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BÁO CÁO MEN + PHỤ KIỆN\"/>
    </mc:Choice>
  </mc:AlternateContent>
  <bookViews>
    <workbookView xWindow="-120" yWindow="1320" windowWidth="12240" windowHeight="8700" tabRatio="1000" firstSheet="175" activeTab="185"/>
  </bookViews>
  <sheets>
    <sheet name="CMC-ND1B-NĐ" sheetId="260" state="hidden" r:id="rId1"/>
    <sheet name="QUARTZ VH004-FTA" sheetId="156" state="hidden" r:id="rId2"/>
    <sheet name="FRIT FO102-FHU" sheetId="153" state="hidden" r:id="rId3"/>
    <sheet name="ZIRCON K1#" sheetId="234" state="hidden" r:id="rId4"/>
    <sheet name="HT082" sheetId="174" state="hidden" r:id="rId5"/>
    <sheet name="STTP LTP" sheetId="168" state="hidden" r:id="rId6"/>
    <sheet name="CMC FC3828-TQ" sheetId="166" state="hidden" r:id="rId7"/>
    <sheet name="Bi cao nhôm D40" sheetId="186" state="hidden" r:id="rId8"/>
    <sheet name="VT GR TIM AN HA 30X60" sheetId="287" state="hidden" r:id="rId9"/>
    <sheet name="VO PHE DONG TAY 30X60" sheetId="222" state="hidden" r:id="rId10"/>
    <sheet name="VO 30X30 GR XANH" sheetId="228" state="hidden" r:id="rId11"/>
    <sheet name="VO 30X30 SAHADO" sheetId="229" state="hidden" r:id="rId12"/>
    <sheet name="DAY DAI TAY PP" sheetId="207" state="hidden" r:id="rId13"/>
    <sheet name=" PALLET GLP 105" sheetId="203" state="hidden" r:id="rId14"/>
    <sheet name="PALLET GPH110" sheetId="257" state="hidden" r:id="rId15"/>
    <sheet name="PALLET ITCO MỚI " sheetId="236" state="hidden" r:id="rId16"/>
    <sheet name="PALLET GIA KIM TÍN" sheetId="267" state="hidden" r:id="rId17"/>
    <sheet name="NEP GO PQ" sheetId="265" state="hidden" r:id="rId18"/>
    <sheet name="NEP GO GIA KIM TÍN" sheetId="268" state="hidden" r:id="rId19"/>
    <sheet name="NEP GO ITC" sheetId="286" state="hidden" r:id="rId20"/>
    <sheet name="NEP GO GLP" sheetId="244" state="hidden" r:id="rId21"/>
    <sheet name="KIM KEP DAI BANG HOI" sheetId="258" state="hidden" r:id="rId22"/>
    <sheet name="CAO LANH LOC BL" sheetId="177" state="hidden" r:id="rId23"/>
    <sheet name="DUNG MOI VADV 015" sheetId="233" state="hidden" r:id="rId24"/>
    <sheet name="MEN VG 443-658" sheetId="191" state="hidden" r:id="rId25"/>
    <sheet name="MUC XANH DUONG" sheetId="196" state="hidden" r:id="rId26"/>
    <sheet name="MUC VANG" sheetId="197" state="hidden" r:id="rId27"/>
    <sheet name="MUC CAM" sheetId="198" state="hidden" r:id="rId28"/>
    <sheet name="MUC NAU DO" sheetId="199" state="hidden" r:id="rId29"/>
    <sheet name="MUC HIEU UNG" sheetId="200" state="hidden" r:id="rId30"/>
    <sheet name="NUOC RUA" sheetId="202" state="hidden" r:id="rId31"/>
    <sheet name="FELDSPAR IDM" sheetId="235" state="hidden" r:id="rId32"/>
    <sheet name="TỔNG HỢP THÁNG" sheetId="53" r:id="rId33"/>
    <sheet name="SO SÁNH" sheetId="365" state="hidden" r:id="rId34"/>
    <sheet name="TH SX" sheetId="318" state="hidden" r:id="rId35"/>
    <sheet name="BAO BÌ " sheetId="341" r:id="rId36"/>
    <sheet name="KIỄM KÊ  T01.26 MEN" sheetId="355" state="hidden" r:id="rId37"/>
    <sheet name="KIỄM KÊ  T01.26 VẬT TƯ" sheetId="421" state="hidden" r:id="rId38"/>
    <sheet name="TH KẾ TOÁN" sheetId="354" state="hidden" r:id="rId39"/>
    <sheet name="FRIT HGE91-FHG" sheetId="284" r:id="rId40"/>
    <sheet name="FRIT A106 -ACV" sheetId="263" r:id="rId41"/>
    <sheet name="FRIT A103 -ACV" sheetId="443" r:id="rId42"/>
    <sheet name="FRIT FO113-FHU" sheetId="292" r:id="rId43"/>
    <sheet name="BF043 " sheetId="155" state="hidden" r:id="rId44"/>
    <sheet name="Cao lanh N2A" sheetId="363" r:id="rId45"/>
    <sheet name="Cao lanh BF046A" sheetId="380" r:id="rId46"/>
    <sheet name="BẢ MEN" sheetId="178" r:id="rId47"/>
    <sheet name="KAOLANH AA INDO" sheetId="317" r:id="rId48"/>
    <sheet name="KAOLANHVCT04A" sheetId="420" r:id="rId49"/>
    <sheet name="KAOLANH 168" sheetId="424" r:id="rId50"/>
    <sheet name="TT KALI K200" sheetId="285" r:id="rId51"/>
    <sheet name="FRIT FT3" sheetId="417" r:id="rId52"/>
    <sheet name="P. FELDSPAR K200-AD" sheetId="149" r:id="rId53"/>
    <sheet name="NHÔM ÔXIT AL2O3-HNP" sheetId="159" r:id="rId54"/>
    <sheet name="FRIT 1089-ACV" sheetId="340" r:id="rId55"/>
    <sheet name="FRIT A528" sheetId="349" r:id="rId56"/>
    <sheet name="FRIT 856" sheetId="357" r:id="rId57"/>
    <sheet name="FRIT HGT03-FHG" sheetId="261" state="hidden" r:id="rId58"/>
    <sheet name="FRIT VFT03" sheetId="346" r:id="rId59"/>
    <sheet name="FRIT A609" sheetId="299" r:id="rId60"/>
    <sheet name="FRIT VO22" sheetId="396" r:id="rId61"/>
    <sheet name="KAOLIN 1C-IMR" sheetId="164" r:id="rId62"/>
    <sheet name="ZIRCON ZS012-LGP" sheetId="157" r:id="rId63"/>
    <sheet name="ZIRCON ZS08" sheetId="418" r:id="rId64"/>
    <sheet name="ZIRCON ZRD5M" sheetId="322" r:id="rId65"/>
    <sheet name="FRIT 853-ACV" sheetId="283" state="hidden" r:id="rId66"/>
    <sheet name="FRIT 502-ACV" sheetId="338" r:id="rId67"/>
    <sheet name="FRIT FS459 FHU" sheetId="332" r:id="rId68"/>
    <sheet name="FRIT A608 ACV" sheetId="339" r:id="rId69"/>
    <sheet name="FRIT A608-2 ACV" sheetId="352" state="hidden" r:id="rId70"/>
    <sheet name="FRIT HGT05-FHG " sheetId="333" r:id="rId71"/>
    <sheet name="FRIT HT082" sheetId="311" r:id="rId72"/>
    <sheet name="FRIT PGB 1288B" sheetId="266" r:id="rId73"/>
    <sheet name="FRIT TM2001" sheetId="269" r:id="rId74"/>
    <sheet name="Sheet1" sheetId="360" state="hidden" r:id="rId75"/>
    <sheet name="FRIT TM2085" sheetId="270" r:id="rId76"/>
    <sheet name="FRIT 356" sheetId="361" r:id="rId77"/>
    <sheet name="FRIT 356 L" sheetId="442" r:id="rId78"/>
    <sheet name="FRIT 320" sheetId="356" r:id="rId79"/>
    <sheet name="FRIT 515" sheetId="358" r:id="rId80"/>
    <sheet name="FRIT 089" sheetId="359" r:id="rId81"/>
    <sheet name="DEF 305" sheetId="309" r:id="rId82"/>
    <sheet name="CMC T26" sheetId="316" r:id="rId83"/>
    <sheet name="CMC USK 60 THT" sheetId="419" r:id="rId84"/>
    <sheet name="CMC S50" sheetId="315" r:id="rId85"/>
    <sheet name="CMC G30" sheetId="342" r:id="rId86"/>
    <sheet name="CMC C20" sheetId="165" r:id="rId87"/>
    <sheet name="STTP-HNP" sheetId="169" r:id="rId88"/>
    <sheet name="ROCIMA 623-HVC" sheetId="170" r:id="rId89"/>
    <sheet name="PROMEX CHS4" sheetId="460" r:id="rId90"/>
    <sheet name="COMPOUD TRÁNG ĐẾ" sheetId="334" r:id="rId91"/>
    <sheet name="MAGIÊ ÔXIT MgO-HNP" sheetId="160" r:id="rId92"/>
    <sheet name="MGO- Men lót chân" sheetId="451" r:id="rId93"/>
    <sheet name="KAOLIN P08-KMD" sheetId="173" r:id="rId94"/>
    <sheet name="MT812-QĐ " sheetId="289" r:id="rId95"/>
    <sheet name="MT616-QĐ" sheetId="345" state="hidden" r:id="rId96"/>
    <sheet name="Y327-QĐ" sheetId="290" r:id="rId97"/>
    <sheet name="MT03VT-QĐ" sheetId="288" r:id="rId98"/>
    <sheet name="BF-002A-QĐ " sheetId="291" r:id="rId99"/>
    <sheet name="BALL CLAY BCO3-PV" sheetId="163" r:id="rId100"/>
    <sheet name="VM01" sheetId="347" r:id="rId101"/>
    <sheet name="VM06" sheetId="348" r:id="rId102"/>
    <sheet name="VFM41" sheetId="366" r:id="rId103"/>
    <sheet name="VF150521" sheetId="425" r:id="rId104"/>
    <sheet name="FO118" sheetId="367" r:id="rId105"/>
    <sheet name="A117" sheetId="456" r:id="rId106"/>
    <sheet name="FO102" sheetId="368" r:id="rId107"/>
    <sheet name="VF1205" sheetId="369" r:id="rId108"/>
    <sheet name="SUGAR" sheetId="371" r:id="rId109"/>
    <sheet name="SUGAR PNSG02 -01" sheetId="385" r:id="rId110"/>
    <sheet name="SUGAR PNSG02 - 05" sheetId="397" r:id="rId111"/>
    <sheet name="FRIT 288" sheetId="374" r:id="rId112"/>
    <sheet name="FRIT VS28" sheetId="381" r:id="rId113"/>
    <sheet name="FRIT VS68" sheetId="382" r:id="rId114"/>
    <sheet name="FRIT VS55" sheetId="405" r:id="rId115"/>
    <sheet name="BI TRUNG NHÔM D60" sheetId="183" r:id="rId116"/>
    <sheet name="BI TRUNG NHÔM D40" sheetId="301" state="hidden" r:id="rId117"/>
    <sheet name="BI CAO NHÔM D60" sheetId="184" r:id="rId118"/>
    <sheet name="BI CAO NHÔM D30" sheetId="187" state="hidden" r:id="rId119"/>
    <sheet name="MÀU XANH AZ1476" sheetId="252" r:id="rId120"/>
    <sheet name="MÀU NÂU MA5455" sheetId="256" r:id="rId121"/>
    <sheet name="MÀU VÀNG CIK-AM5456" sheetId="255" r:id="rId122"/>
    <sheet name="MÀU BE BG9454" sheetId="251" r:id="rId123"/>
    <sheet name="MÀU ĐEN NE6153" sheetId="307" r:id="rId124"/>
    <sheet name="MÀUÀU HỒNG RO4118" sheetId="308" r:id="rId125"/>
    <sheet name="HU CHÌM RC1151" sheetId="253" r:id="rId126"/>
    <sheet name="HU NỔI LUS 1217" sheetId="335" r:id="rId127"/>
    <sheet name="XANH LÁ 1236" sheetId="370" r:id="rId128"/>
    <sheet name="DD RỬA MÁY IN PL0101" sheetId="250" r:id="rId129"/>
    <sheet name="DD RỬA ĐẦU IN PL0115" sheetId="254" r:id="rId130"/>
    <sheet name="DAY DAI PP" sheetId="206" r:id="rId131"/>
    <sheet name="DAY DAI PET" sheetId="208" r:id="rId132"/>
    <sheet name="GR TIM 30x60-HA " sheetId="295" r:id="rId133"/>
    <sheet name="GR TIM 30x60-HA  NÂU" sheetId="387" r:id="rId134"/>
    <sheet name="GR TIM 5050-HA " sheetId="377" r:id="rId135"/>
    <sheet name="GR TIM 30x60-VH" sheetId="310" r:id="rId136"/>
    <sheet name="GR TIM 30x60-TTP" sheetId="247" r:id="rId137"/>
    <sheet name="GR XANH 30x60-HA" sheetId="297" r:id="rId138"/>
    <sheet name="GR XANH 30x60-HA nâu" sheetId="394" r:id="rId139"/>
    <sheet name="GR XANH 30x60-HA nâu MỚI" sheetId="446" r:id="rId140"/>
    <sheet name="GR XANH 30X60-VH" sheetId="220" r:id="rId141"/>
    <sheet name="GR XANH 30x60-TTP" sheetId="300" r:id="rId142"/>
    <sheet name="SAHADO NEW 30x60-VH" sheetId="296" r:id="rId143"/>
    <sheet name="SAHADO NEW 30x60-HA" sheetId="221" r:id="rId144"/>
    <sheet name="SAHADO NEW 30x60-HA nâu" sheetId="391" r:id="rId145"/>
    <sheet name="SAHADO 30x60-VH" sheetId="249" r:id="rId146"/>
    <sheet name="SAHADO 40x80-HA " sheetId="329" r:id="rId147"/>
    <sheet name="LUXURY 30x60-TTP" sheetId="282" r:id="rId148"/>
    <sheet name="LUXURY 30x60-HA" sheetId="312" r:id="rId149"/>
    <sheet name="LUXURY 30x60-HA nâu" sheetId="388" r:id="rId150"/>
    <sheet name="LUXURY 40x80-HA" sheetId="325" r:id="rId151"/>
    <sheet name="LUXURY 40x80-HA nâu" sheetId="409" r:id="rId152"/>
    <sheet name="LUXURY 40x80 5V-HA nâu " sheetId="434" r:id="rId153"/>
    <sheet name="LUXURY 5050-HA " sheetId="378" r:id="rId154"/>
    <sheet name="LUXURY 5050-HA giấy nâu" sheetId="389" r:id="rId155"/>
    <sheet name="LUXURY 4060-HA " sheetId="386" r:id="rId156"/>
    <sheet name="LUXURY 6060-HA " sheetId="399" r:id="rId157"/>
    <sheet name="LUXURY 6060-HA  5V" sheetId="430" r:id="rId158"/>
    <sheet name="CROWN 30x60-HA " sheetId="246" r:id="rId159"/>
    <sheet name="CROWN 40x80-HA" sheetId="330" r:id="rId160"/>
    <sheet name="CROWN 40x80-5V HA " sheetId="435" r:id="rId161"/>
    <sheet name="CROWN 50x50-HA" sheetId="379" r:id="rId162"/>
    <sheet name="CROWN 40x60-HA" sheetId="392" r:id="rId163"/>
    <sheet name="CROWN 60x60-HA " sheetId="400" r:id="rId164"/>
    <sheet name="CROWN 60x60-HA 5V" sheetId="433" r:id="rId165"/>
    <sheet name="ESPANA 30x60-VH" sheetId="313" r:id="rId166"/>
    <sheet name="ESPANA 30x60-HA" sheetId="314" r:id="rId167"/>
    <sheet name="ESPANA 30x60-HA nâu" sheetId="395" r:id="rId168"/>
    <sheet name="ESPANA 40x80-HA " sheetId="331" r:id="rId169"/>
    <sheet name="ESPANA 40x80-HA nâu" sheetId="426" r:id="rId170"/>
    <sheet name="ESPANA 40x80-5V HA nâu " sheetId="438" r:id="rId171"/>
    <sheet name="ESPANA 50x50-HA" sheetId="384" r:id="rId172"/>
    <sheet name="ESPANA 60x60-HA" sheetId="401" r:id="rId173"/>
    <sheet name="ESPANA 60x60-HA 5V" sheetId="431" r:id="rId174"/>
    <sheet name="ADONIS 40x80-HA" sheetId="350" r:id="rId175"/>
    <sheet name="GREEN ERA 4080" sheetId="364" r:id="rId176"/>
    <sheet name="GREEN ERA 4080 nâu" sheetId="410" r:id="rId177"/>
    <sheet name="GREEN ERA 4080 5V nâu " sheetId="436" r:id="rId178"/>
    <sheet name="CERAMIC 30x60-HA" sheetId="336" r:id="rId179"/>
    <sheet name="HAVIRA" sheetId="343" r:id="rId180"/>
    <sheet name="HAVIRA nâu" sheetId="393" r:id="rId181"/>
    <sheet name="HAVIRA 5050" sheetId="383" r:id="rId182"/>
    <sheet name="HAVIRA 6060" sheetId="402" r:id="rId183"/>
    <sheet name="HAVIRA 6060 5V" sheetId="432" r:id="rId184"/>
    <sheet name="HAVIRA 4080" sheetId="414" r:id="rId185"/>
    <sheet name="HAVIRA 4080 5V" sheetId="439" r:id="rId186"/>
    <sheet name="ADONIS" sheetId="344" r:id="rId187"/>
    <sheet name="GREEN ERA" sheetId="362" r:id="rId188"/>
    <sheet name="GREEN ERA nâu" sheetId="390" r:id="rId189"/>
    <sheet name="GREEN HOME" sheetId="403" r:id="rId190"/>
    <sheet name="GREEN HOME 6060" sheetId="404" r:id="rId191"/>
    <sheet name="GREEN HOME 6060 5V" sheetId="429" r:id="rId192"/>
    <sheet name="GREEN HOME 5050" sheetId="406" r:id="rId193"/>
    <sheet name="GREEN HOME 4080" sheetId="412" r:id="rId194"/>
    <sheet name="GREEN HOME 4080 5V" sheetId="437" r:id="rId195"/>
    <sheet name="UNITILE 4080 " sheetId="413" r:id="rId196"/>
    <sheet name="LUSTILE" sheetId="408" r:id="rId197"/>
    <sheet name="LUSTILE 4080 nâu" sheetId="411" r:id="rId198"/>
    <sheet name="LUSTILE 4080 nâu 5V" sheetId="444" r:id="rId199"/>
    <sheet name="PANA TILES 4080 nâu " sheetId="415" r:id="rId200"/>
    <sheet name="PANA TILES 4080 nâu  5V" sheetId="441" r:id="rId201"/>
    <sheet name="PANA TILES 3060 nâu " sheetId="416" r:id="rId202"/>
    <sheet name="TOP ONE 4080 nâu " sheetId="422" r:id="rId203"/>
    <sheet name="TOP ONE 4080 5V nâu " sheetId="440" r:id="rId204"/>
    <sheet name="TOP ONE 3060 nâu  " sheetId="423" r:id="rId205"/>
    <sheet name="TOP ONE 5050 nâu " sheetId="427" r:id="rId206"/>
    <sheet name="CROVINA 3060" sheetId="445" r:id="rId207"/>
    <sheet name="CROVINA 50" sheetId="447" r:id="rId208"/>
    <sheet name="CROVINA 60" sheetId="448" r:id="rId209"/>
    <sheet name="CROVINA 4080 5v" sheetId="449" r:id="rId210"/>
    <sheet name="T H PHUONG 4080 5v " sheetId="457" r:id="rId211"/>
    <sheet name="T H PHƯƠNG 3060" sheetId="450" r:id="rId212"/>
    <sheet name="T H PHƯƠNG 5050" sheetId="465" r:id="rId213"/>
    <sheet name="KARPO 3060" sheetId="454" r:id="rId214"/>
    <sheet name="VIDONA 3060" sheetId="455" r:id="rId215"/>
    <sheet name="KARPO 50" sheetId="452" r:id="rId216"/>
    <sheet name="VIDONA 50" sheetId="453" r:id="rId217"/>
    <sheet name="VIDONA 48" sheetId="461" r:id="rId218"/>
    <sheet name="VINA PHACON 36" sheetId="458" r:id="rId219"/>
    <sheet name="VINA PHACON 48" sheetId="459" r:id="rId220"/>
    <sheet name="PADOVA 48 " sheetId="462" r:id="rId221"/>
    <sheet name="PADOVA 36" sheetId="464" r:id="rId222"/>
    <sheet name="PADOVA 50" sheetId="466" r:id="rId223"/>
    <sheet name="VO PHE 30x60" sheetId="223" r:id="rId224"/>
    <sheet name="VO PHE  40x80" sheetId="327" r:id="rId225"/>
    <sheet name="VO PHE  5050" sheetId="372" r:id="rId226"/>
    <sheet name="VO PHE  4060" sheetId="373" r:id="rId227"/>
    <sheet name="VO PHE  6060" sheetId="398" r:id="rId228"/>
    <sheet name="PALLET 1100x1100x85" sheetId="264" r:id="rId229"/>
    <sheet name="PALLET 1100x1100x60" sheetId="463" r:id="rId230"/>
    <sheet name="PALLET 1100x1100 cũ L1" sheetId="294" r:id="rId231"/>
    <sheet name="PALLET cũ L2" sheetId="240" r:id="rId232"/>
    <sheet name="PALLET 145" sheetId="242" r:id="rId233"/>
    <sheet name="NEP GO 30x60 TH" sheetId="204" r:id="rId234"/>
    <sheet name="NEP GO 30x60-NM" sheetId="245" r:id="rId235"/>
    <sheet name="NEP GO 40x80 TH" sheetId="323" r:id="rId236"/>
    <sheet name="KE NHUA 8V 3060" sheetId="211" r:id="rId237"/>
    <sheet name="KE NHUA 4V 4080" sheetId="328" r:id="rId238"/>
    <sheet name="KE NHUA 5V 4080" sheetId="428" r:id="rId239"/>
    <sheet name="KE NHUA 6V 5050" sheetId="375" r:id="rId240"/>
    <sheet name="KE NHUA 5V 4060" sheetId="376" r:id="rId241"/>
    <sheet name="BO SAT" sheetId="213" r:id="rId242"/>
    <sheet name="BANG KEO TRONG" sheetId="212" r:id="rId243"/>
    <sheet name="KIM KEP DAY DAI" sheetId="214" r:id="rId244"/>
    <sheet name="TANG DAY DAI" sheetId="215" r:id="rId245"/>
    <sheet name="DAO CAT DAN HOA" sheetId="216" r:id="rId246"/>
    <sheet name="CAO LANH PT" sheetId="172" r:id="rId247"/>
    <sheet name="FRIT FO716" sheetId="259" r:id="rId248"/>
    <sheet name="CAO LANH GF-3005" sheetId="180" r:id="rId249"/>
    <sheet name="CAO LANH YS 09" sheetId="218" r:id="rId250"/>
    <sheet name="Bot TALC" sheetId="181" r:id="rId251"/>
    <sheet name="HIFIL-1" sheetId="182" r:id="rId252"/>
    <sheet name="FP940" sheetId="232" r:id="rId253"/>
    <sheet name="TANG CUNG XUONG" sheetId="226" r:id="rId254"/>
    <sheet name="SON CON LAN TREN" sheetId="188" r:id="rId255"/>
    <sheet name="SON CON LAN DUOI" sheetId="225" r:id="rId256"/>
    <sheet name="TB3008" sheetId="278" r:id="rId257"/>
    <sheet name="TB3001" sheetId="271" r:id="rId258"/>
    <sheet name="S501" sheetId="276" r:id="rId259"/>
    <sheet name="S250" sheetId="277" r:id="rId260"/>
    <sheet name="M004" sheetId="280" state="hidden" r:id="rId261"/>
    <sheet name="GB1660" sheetId="275" r:id="rId262"/>
    <sheet name="TB4139" sheetId="273" r:id="rId263"/>
    <sheet name="TB3007" sheetId="274" r:id="rId264"/>
    <sheet name="S130" sheetId="281" r:id="rId265"/>
    <sheet name="FRIT FV 090.540 - FTA" sheetId="231" r:id="rId266"/>
    <sheet name="FRIT 090.558 - FTA" sheetId="293" state="hidden" r:id="rId267"/>
    <sheet name="FRIT VF1101N.A-VNF" sheetId="158" state="hidden" r:id="rId268"/>
    <sheet name="MEN FV104-537" sheetId="190" state="hidden" r:id="rId269"/>
    <sheet name="FRIT PT02-PĐ" sheetId="162" state="hidden" r:id="rId270"/>
    <sheet name="TỔNG HỢP (2)" sheetId="351" state="hidden" r:id="rId271"/>
    <sheet name="Sheet2" sheetId="320" r:id="rId272"/>
    <sheet name="Sheet3" sheetId="321" r:id="rId273"/>
  </sheets>
  <externalReferences>
    <externalReference r:id="rId274"/>
    <externalReference r:id="rId275"/>
    <externalReference r:id="rId276"/>
  </externalReferences>
  <definedNames>
    <definedName name="_xlnm._FilterDatabase" localSheetId="38" hidden="1">'TH KẾ TOÁN'!$A$7:$O$220</definedName>
    <definedName name="A">'TH KẾ TOÁN'!$E$11</definedName>
    <definedName name="_xlnm.Print_Titles" localSheetId="13">' PALLET GLP 105'!$7:$7</definedName>
    <definedName name="_xlnm.Print_Titles" localSheetId="105">'A117'!$6:$7</definedName>
    <definedName name="_xlnm.Print_Titles" localSheetId="186">ADONIS!$7:$7</definedName>
    <definedName name="_xlnm.Print_Titles" localSheetId="174">'ADONIS 40x80-HA'!$7:$7</definedName>
    <definedName name="_xlnm.Print_Titles" localSheetId="46">'BẢ MEN'!$6:$7</definedName>
    <definedName name="_xlnm.Print_Titles" localSheetId="99">'BALL CLAY BCO3-PV'!$6:$7</definedName>
    <definedName name="_xlnm.Print_Titles" localSheetId="242">'BANG KEO TRONG'!$7:$7</definedName>
    <definedName name="_xlnm.Print_Titles" localSheetId="35">'BAO BÌ '!$4:$5</definedName>
    <definedName name="_xlnm.Print_Titles" localSheetId="98">'BF-002A-QĐ '!$6:$7</definedName>
    <definedName name="_xlnm.Print_Titles" localSheetId="43">'BF043 '!$6:$7</definedName>
    <definedName name="_xlnm.Print_Titles" localSheetId="118">'BI CAO NHÔM D30'!$6:$7</definedName>
    <definedName name="_xlnm.Print_Titles" localSheetId="7">'Bi cao nhôm D40'!$7:$8</definedName>
    <definedName name="_xlnm.Print_Titles" localSheetId="117">'BI CAO NHÔM D60'!$6:$7</definedName>
    <definedName name="_xlnm.Print_Titles" localSheetId="115">'BI TRUNG NHÔM D60'!$6:$7</definedName>
    <definedName name="_xlnm.Print_Titles" localSheetId="241">'BO SAT'!#REF!</definedName>
    <definedName name="_xlnm.Print_Titles" localSheetId="250">'Bot TALC'!#REF!</definedName>
    <definedName name="_xlnm.Print_Titles" localSheetId="45">'Cao lanh BF046A'!$6:$7</definedName>
    <definedName name="_xlnm.Print_Titles" localSheetId="248">'CAO LANH GF-3005'!#REF!</definedName>
    <definedName name="_xlnm.Print_Titles" localSheetId="44">'Cao lanh N2A'!$6:$7</definedName>
    <definedName name="_xlnm.Print_Titles" localSheetId="246">'CAO LANH PT'!#REF!</definedName>
    <definedName name="_xlnm.Print_Titles" localSheetId="249">'CAO LANH YS 09'!#REF!</definedName>
    <definedName name="_xlnm.Print_Titles" localSheetId="178">'CERAMIC 30x60-HA'!$7:$7</definedName>
    <definedName name="_xlnm.Print_Titles" localSheetId="86">'CMC C20'!$6:$7</definedName>
    <definedName name="_xlnm.Print_Titles" localSheetId="90">'COMPOUD TRÁNG ĐẾ'!$6:$7</definedName>
    <definedName name="_xlnm.Print_Titles" localSheetId="206">'CROVINA 3060'!$7:$7</definedName>
    <definedName name="_xlnm.Print_Titles" localSheetId="209">'CROVINA 4080 5v'!$7:$7</definedName>
    <definedName name="_xlnm.Print_Titles" localSheetId="207">'CROVINA 50'!$7:$7</definedName>
    <definedName name="_xlnm.Print_Titles" localSheetId="208">'CROVINA 60'!$7:$7</definedName>
    <definedName name="_xlnm.Print_Titles" localSheetId="158">'CROWN 30x60-HA '!$7:$7</definedName>
    <definedName name="_xlnm.Print_Titles" localSheetId="162">'CROWN 40x60-HA'!$7:$7</definedName>
    <definedName name="_xlnm.Print_Titles" localSheetId="160">'CROWN 40x80-5V HA '!$7:$7</definedName>
    <definedName name="_xlnm.Print_Titles" localSheetId="159">'CROWN 40x80-HA'!$7:$7</definedName>
    <definedName name="_xlnm.Print_Titles" localSheetId="161">'CROWN 50x50-HA'!$7:$7</definedName>
    <definedName name="_xlnm.Print_Titles" localSheetId="163">'CROWN 60x60-HA '!$7:$7</definedName>
    <definedName name="_xlnm.Print_Titles" localSheetId="164">'CROWN 60x60-HA 5V'!$7:$7</definedName>
    <definedName name="_xlnm.Print_Titles" localSheetId="245">'DAO CAT DAN HOA'!#REF!</definedName>
    <definedName name="_xlnm.Print_Titles" localSheetId="131">'DAY DAI PET'!#REF!</definedName>
    <definedName name="_xlnm.Print_Titles" localSheetId="130">'DAY DAI PP'!$7:$8</definedName>
    <definedName name="_xlnm.Print_Titles" localSheetId="129">'DD RỬA ĐẦU IN PL0115'!$6:$7</definedName>
    <definedName name="_xlnm.Print_Titles" localSheetId="128">'DD RỬA MÁY IN PL0101'!$6:$7</definedName>
    <definedName name="_xlnm.Print_Titles" localSheetId="166">'ESPANA 30x60-HA'!$7:$7</definedName>
    <definedName name="_xlnm.Print_Titles" localSheetId="167">'ESPANA 30x60-HA nâu'!$7:$7</definedName>
    <definedName name="_xlnm.Print_Titles" localSheetId="165">'ESPANA 30x60-VH'!$7:$7</definedName>
    <definedName name="_xlnm.Print_Titles" localSheetId="170">'ESPANA 40x80-5V HA nâu '!$7:$7</definedName>
    <definedName name="_xlnm.Print_Titles" localSheetId="168">'ESPANA 40x80-HA '!$7:$7</definedName>
    <definedName name="_xlnm.Print_Titles" localSheetId="169">'ESPANA 40x80-HA nâu'!$7:$7</definedName>
    <definedName name="_xlnm.Print_Titles" localSheetId="171">'ESPANA 50x50-HA'!$7:$7</definedName>
    <definedName name="_xlnm.Print_Titles" localSheetId="172">'ESPANA 60x60-HA'!$7:$7</definedName>
    <definedName name="_xlnm.Print_Titles" localSheetId="173">'ESPANA 60x60-HA 5V'!$7:$7</definedName>
    <definedName name="_xlnm.Print_Titles" localSheetId="106">'FO102'!$6:$7</definedName>
    <definedName name="_xlnm.Print_Titles" localSheetId="104">'FO118'!$6:$7</definedName>
    <definedName name="_xlnm.Print_Titles" localSheetId="252">'FP940'!#REF!</definedName>
    <definedName name="_xlnm.Print_Titles" localSheetId="80">'FRIT 089'!$6:$7</definedName>
    <definedName name="_xlnm.Print_Titles" localSheetId="54">'FRIT 1089-ACV'!$6:$7</definedName>
    <definedName name="_xlnm.Print_Titles" localSheetId="111">'FRIT 288'!$6:$7</definedName>
    <definedName name="_xlnm.Print_Titles" localSheetId="78">'FRIT 320'!$6:$7</definedName>
    <definedName name="_xlnm.Print_Titles" localSheetId="76">'FRIT 356'!$6:$7</definedName>
    <definedName name="_xlnm.Print_Titles" localSheetId="77">'FRIT 356 L'!$6:$7</definedName>
    <definedName name="_xlnm.Print_Titles" localSheetId="66">'FRIT 502-ACV'!$6:$7</definedName>
    <definedName name="_xlnm.Print_Titles" localSheetId="79">'FRIT 515'!$6:$7</definedName>
    <definedName name="_xlnm.Print_Titles" localSheetId="65">'FRIT 853-ACV'!$6:$7</definedName>
    <definedName name="_xlnm.Print_Titles" localSheetId="56">'FRIT 856'!$6:$7</definedName>
    <definedName name="_xlnm.Print_Titles" localSheetId="55">'FRIT A528'!$6:$7</definedName>
    <definedName name="_xlnm.Print_Titles" localSheetId="68">'FRIT A608 ACV'!$6:$7</definedName>
    <definedName name="_xlnm.Print_Titles" localSheetId="69">'FRIT A608-2 ACV'!$6:$7</definedName>
    <definedName name="_xlnm.Print_Titles" localSheetId="2">'FRIT FO102-FHU'!$7:$8</definedName>
    <definedName name="_xlnm.Print_Titles" localSheetId="42">'FRIT FO113-FHU'!$6:$7</definedName>
    <definedName name="_xlnm.Print_Titles" localSheetId="247">'FRIT FO716'!#REF!</definedName>
    <definedName name="_xlnm.Print_Titles" localSheetId="67">'FRIT FS459 FHU'!$6:$7</definedName>
    <definedName name="_xlnm.Print_Titles" localSheetId="265">'FRIT FV 090.540 - FTA'!#REF!</definedName>
    <definedName name="_xlnm.Print_Titles" localSheetId="71">'FRIT HT082'!$6:$7</definedName>
    <definedName name="_xlnm.Print_Titles" localSheetId="72">'FRIT PGB 1288B'!$6:$7</definedName>
    <definedName name="_xlnm.Print_Titles" localSheetId="73">'FRIT TM2001'!$6:$7</definedName>
    <definedName name="_xlnm.Print_Titles" localSheetId="75">'FRIT TM2085'!$6:$7</definedName>
    <definedName name="_xlnm.Print_Titles" localSheetId="267">'FRIT VF1101N.A-VNF'!#REF!</definedName>
    <definedName name="_xlnm.Print_Titles" localSheetId="112">'FRIT VS28'!$6:$7</definedName>
    <definedName name="_xlnm.Print_Titles" localSheetId="114">'FRIT VS55'!$6:$7</definedName>
    <definedName name="_xlnm.Print_Titles" localSheetId="113">'FRIT VS68'!$6:$7</definedName>
    <definedName name="_xlnm.Print_Titles" localSheetId="261">'GB1660'!#REF!</definedName>
    <definedName name="_xlnm.Print_Titles" localSheetId="132">'GR TIM 30x60-HA '!$7:$7</definedName>
    <definedName name="_xlnm.Print_Titles" localSheetId="133">'GR TIM 30x60-HA  NÂU'!$7:$7</definedName>
    <definedName name="_xlnm.Print_Titles" localSheetId="136">'GR TIM 30x60-TTP'!$7:$7</definedName>
    <definedName name="_xlnm.Print_Titles" localSheetId="134">'GR TIM 5050-HA '!$7:$7</definedName>
    <definedName name="_xlnm.Print_Titles" localSheetId="140">'GR XANH 30X60-VH'!$7:$7</definedName>
    <definedName name="_xlnm.Print_Titles" localSheetId="187">'GREEN ERA'!$7:$7</definedName>
    <definedName name="_xlnm.Print_Titles" localSheetId="175">'GREEN ERA 4080'!$7:$7</definedName>
    <definedName name="_xlnm.Print_Titles" localSheetId="177">'GREEN ERA 4080 5V nâu '!$7:$7</definedName>
    <definedName name="_xlnm.Print_Titles" localSheetId="176">'GREEN ERA 4080 nâu'!$7:$7</definedName>
    <definedName name="_xlnm.Print_Titles" localSheetId="188">'GREEN ERA nâu'!$7:$7</definedName>
    <definedName name="_xlnm.Print_Titles" localSheetId="189">'GREEN HOME'!$7:$7</definedName>
    <definedName name="_xlnm.Print_Titles" localSheetId="193">'GREEN HOME 4080'!$7:$7</definedName>
    <definedName name="_xlnm.Print_Titles" localSheetId="194">'GREEN HOME 4080 5V'!$7:$7</definedName>
    <definedName name="_xlnm.Print_Titles" localSheetId="192">'GREEN HOME 5050'!$7:$7</definedName>
    <definedName name="_xlnm.Print_Titles" localSheetId="190">'GREEN HOME 6060'!$7:$7</definedName>
    <definedName name="_xlnm.Print_Titles" localSheetId="191">'GREEN HOME 6060 5V'!$7:$7</definedName>
    <definedName name="_xlnm.Print_Titles" localSheetId="179">HAVIRA!$7:$7</definedName>
    <definedName name="_xlnm.Print_Titles" localSheetId="184">'HAVIRA 4080'!$7:$7</definedName>
    <definedName name="_xlnm.Print_Titles" localSheetId="185">'HAVIRA 4080 5V'!$7:$7</definedName>
    <definedName name="_xlnm.Print_Titles" localSheetId="181">'HAVIRA 5050'!$7:$7</definedName>
    <definedName name="_xlnm.Print_Titles" localSheetId="182">'HAVIRA 6060'!$7:$7</definedName>
    <definedName name="_xlnm.Print_Titles" localSheetId="183">'HAVIRA 6060 5V'!$7:$7</definedName>
    <definedName name="_xlnm.Print_Titles" localSheetId="180">'HAVIRA nâu'!$7:$7</definedName>
    <definedName name="_xlnm.Print_Titles" localSheetId="251">'HIFIL-1'!#REF!</definedName>
    <definedName name="_xlnm.Print_Titles" localSheetId="4">'HT082'!$7:$8</definedName>
    <definedName name="_xlnm.Print_Titles" localSheetId="125">'HU CHÌM RC1151'!$6:$7</definedName>
    <definedName name="_xlnm.Print_Titles" localSheetId="126">'HU NỔI LUS 1217'!$6:$7</definedName>
    <definedName name="_xlnm.Print_Titles" localSheetId="49">'KAOLANH 168'!$6:$7</definedName>
    <definedName name="_xlnm.Print_Titles" localSheetId="47">'KAOLANH AA INDO'!$6:$7</definedName>
    <definedName name="_xlnm.Print_Titles" localSheetId="48">KAOLANHVCT04A!$6:$7</definedName>
    <definedName name="_xlnm.Print_Titles" localSheetId="213">'KARPO 3060'!$7:$7</definedName>
    <definedName name="_xlnm.Print_Titles" localSheetId="215">'KARPO 50'!$7:$7</definedName>
    <definedName name="_xlnm.Print_Titles" localSheetId="237">'KE NHUA 4V 4080'!#REF!</definedName>
    <definedName name="_xlnm.Print_Titles" localSheetId="240">'KE NHUA 5V 4060'!#REF!</definedName>
    <definedName name="_xlnm.Print_Titles" localSheetId="238">'KE NHUA 5V 4080'!#REF!</definedName>
    <definedName name="_xlnm.Print_Titles" localSheetId="239">'KE NHUA 6V 5050'!#REF!</definedName>
    <definedName name="_xlnm.Print_Titles" localSheetId="236">'KE NHUA 8V 3060'!#REF!</definedName>
    <definedName name="_xlnm.Print_Titles" localSheetId="36">'KIỄM KÊ  T01.26 MEN'!$14:$17</definedName>
    <definedName name="_xlnm.Print_Titles" localSheetId="37">'KIỄM KÊ  T01.26 VẬT TƯ'!$13:$16</definedName>
    <definedName name="_xlnm.Print_Titles" localSheetId="21">'KIM KEP DAI BANG HOI'!$7:$7</definedName>
    <definedName name="_xlnm.Print_Titles" localSheetId="243">'KIM KEP DAY DAI'!#REF!</definedName>
    <definedName name="_xlnm.Print_Titles" localSheetId="196">LUSTILE!$7:$7</definedName>
    <definedName name="_xlnm.Print_Titles" localSheetId="197">'LUSTILE 4080 nâu'!$7:$7</definedName>
    <definedName name="_xlnm.Print_Titles" localSheetId="198">'LUSTILE 4080 nâu 5V'!$7:$7</definedName>
    <definedName name="_xlnm.Print_Titles" localSheetId="148">'LUXURY 30x60-HA'!$7:$7</definedName>
    <definedName name="_xlnm.Print_Titles" localSheetId="149">'LUXURY 30x60-HA nâu'!$7:$7</definedName>
    <definedName name="_xlnm.Print_Titles" localSheetId="147">'LUXURY 30x60-TTP'!$7:$7</definedName>
    <definedName name="_xlnm.Print_Titles" localSheetId="155">'LUXURY 4060-HA '!$7:$7</definedName>
    <definedName name="_xlnm.Print_Titles" localSheetId="152">'LUXURY 40x80 5V-HA nâu '!$7:$7</definedName>
    <definedName name="_xlnm.Print_Titles" localSheetId="150">'LUXURY 40x80-HA'!$7:$7</definedName>
    <definedName name="_xlnm.Print_Titles" localSheetId="151">'LUXURY 40x80-HA nâu'!$7:$7</definedName>
    <definedName name="_xlnm.Print_Titles" localSheetId="153">'LUXURY 5050-HA '!$7:$7</definedName>
    <definedName name="_xlnm.Print_Titles" localSheetId="154">'LUXURY 5050-HA giấy nâu'!$7:$7</definedName>
    <definedName name="_xlnm.Print_Titles" localSheetId="156">'LUXURY 6060-HA '!$7:$7</definedName>
    <definedName name="_xlnm.Print_Titles" localSheetId="157">'LUXURY 6060-HA  5V'!$7:$7</definedName>
    <definedName name="_xlnm.Print_Titles" localSheetId="260">'M004'!#REF!</definedName>
    <definedName name="_xlnm.Print_Titles" localSheetId="91">'MAGIÊ ÔXIT MgO-HNP'!$6:$7</definedName>
    <definedName name="_xlnm.Print_Titles" localSheetId="122">'MÀU BE BG9454'!$6:$7</definedName>
    <definedName name="_xlnm.Print_Titles" localSheetId="120">'MÀU NÂU MA5455'!$6:$7</definedName>
    <definedName name="_xlnm.Print_Titles" localSheetId="121">'MÀU VÀNG CIK-AM5456'!$6:$7</definedName>
    <definedName name="_xlnm.Print_Titles" localSheetId="119">'MÀU XANH AZ1476'!$6:$7</definedName>
    <definedName name="_xlnm.Print_Titles" localSheetId="268">'MEN FV104-537'!#REF!</definedName>
    <definedName name="_xlnm.Print_Titles" localSheetId="24">'MEN VG 443-658'!$7:$8</definedName>
    <definedName name="_xlnm.Print_Titles" localSheetId="92">'MGO- Men lót chân'!$6:$7</definedName>
    <definedName name="_xlnm.Print_Titles" localSheetId="97">'MT03VT-QĐ'!$6:$7</definedName>
    <definedName name="_xlnm.Print_Titles" localSheetId="95">'MT616-QĐ'!$6:$7</definedName>
    <definedName name="_xlnm.Print_Titles" localSheetId="94">'MT812-QĐ '!$6:$7</definedName>
    <definedName name="_xlnm.Print_Titles" localSheetId="233">'NEP GO 30x60 TH'!$7:$7</definedName>
    <definedName name="_xlnm.Print_Titles" localSheetId="234">'NEP GO 30x60-NM'!$7:$7</definedName>
    <definedName name="_xlnm.Print_Titles" localSheetId="235">'NEP GO 40x80 TH'!$7:$7</definedName>
    <definedName name="_xlnm.Print_Titles" localSheetId="18">'NEP GO GIA KIM TÍN'!$7:$7</definedName>
    <definedName name="_xlnm.Print_Titles" localSheetId="20">'NEP GO GLP'!$7:$7</definedName>
    <definedName name="_xlnm.Print_Titles" localSheetId="19">'NEP GO ITC'!$7:$7</definedName>
    <definedName name="_xlnm.Print_Titles" localSheetId="17">'NEP GO PQ'!$7:$7</definedName>
    <definedName name="_xlnm.Print_Titles" localSheetId="53">'NHÔM ÔXIT AL2O3-HNP'!$6:$7</definedName>
    <definedName name="_xlnm.Print_Titles" localSheetId="52">'P. FELDSPAR K200-AD'!$6:$7</definedName>
    <definedName name="_xlnm.Print_Titles" localSheetId="221">'PADOVA 36'!$7:$7</definedName>
    <definedName name="_xlnm.Print_Titles" localSheetId="220">'PADOVA 48 '!$7:$7</definedName>
    <definedName name="_xlnm.Print_Titles" localSheetId="222">'PADOVA 50'!$7:$7</definedName>
    <definedName name="_xlnm.Print_Titles" localSheetId="230">'PALLET 1100x1100 cũ L1'!$7:$7</definedName>
    <definedName name="_xlnm.Print_Titles" localSheetId="229">'PALLET 1100x1100x60'!$7:$7</definedName>
    <definedName name="_xlnm.Print_Titles" localSheetId="228">'PALLET 1100x1100x85'!$7:$7</definedName>
    <definedName name="_xlnm.Print_Titles" localSheetId="232">'PALLET 145'!$7:$7</definedName>
    <definedName name="_xlnm.Print_Titles" localSheetId="231">'PALLET cũ L2'!$7:$7</definedName>
    <definedName name="_xlnm.Print_Titles" localSheetId="16">'PALLET GIA KIM TÍN'!$7:$7</definedName>
    <definedName name="_xlnm.Print_Titles" localSheetId="14">'PALLET GPH110'!$7:$7</definedName>
    <definedName name="_xlnm.Print_Titles" localSheetId="15">'PALLET ITCO MỚI '!$7:$7</definedName>
    <definedName name="_xlnm.Print_Titles" localSheetId="201">'PANA TILES 3060 nâu '!$7:$7</definedName>
    <definedName name="_xlnm.Print_Titles" localSheetId="199">'PANA TILES 4080 nâu '!$7:$7</definedName>
    <definedName name="_xlnm.Print_Titles" localSheetId="200">'PANA TILES 4080 nâu  5V'!$7:$7</definedName>
    <definedName name="_xlnm.Print_Titles" localSheetId="89">'PROMEX CHS4'!$6:$7</definedName>
    <definedName name="_xlnm.Print_Titles" localSheetId="1">'QUARTZ VH004-FTA'!$7:$8</definedName>
    <definedName name="_xlnm.Print_Titles" localSheetId="88">'ROCIMA 623-HVC'!$6:$7</definedName>
    <definedName name="_xlnm.Print_Titles" localSheetId="264">'S130'!#REF!</definedName>
    <definedName name="_xlnm.Print_Titles" localSheetId="259">'S250'!#REF!</definedName>
    <definedName name="_xlnm.Print_Titles" localSheetId="258">'S501'!#REF!</definedName>
    <definedName name="_xlnm.Print_Titles" localSheetId="143">'SAHADO NEW 30x60-HA'!$7:$7</definedName>
    <definedName name="_xlnm.Print_Titles" localSheetId="144">'SAHADO NEW 30x60-HA nâu'!$7:$7</definedName>
    <definedName name="_xlnm.Print_Titles" localSheetId="33">'SO SÁNH'!$6:$7</definedName>
    <definedName name="_xlnm.Print_Titles" localSheetId="255">'SON CON LAN DUOI'!#REF!</definedName>
    <definedName name="_xlnm.Print_Titles" localSheetId="254">'SON CON LAN TREN'!#REF!</definedName>
    <definedName name="_xlnm.Print_Titles" localSheetId="87">'STTP-HNP'!$6:$7</definedName>
    <definedName name="_xlnm.Print_Titles" localSheetId="108">SUGAR!$6:$7</definedName>
    <definedName name="_xlnm.Print_Titles" localSheetId="110">'SUGAR PNSG02 - 05'!$6:$7</definedName>
    <definedName name="_xlnm.Print_Titles" localSheetId="109">'SUGAR PNSG02 -01'!$6:$7</definedName>
    <definedName name="_xlnm.Print_Titles" localSheetId="211">'T H PHƯƠNG 3060'!$7:$7</definedName>
    <definedName name="_xlnm.Print_Titles" localSheetId="210">'T H PHUONG 4080 5v '!$7:$7</definedName>
    <definedName name="_xlnm.Print_Titles" localSheetId="212">'T H PHƯƠNG 5050'!$7:$7</definedName>
    <definedName name="_xlnm.Print_Titles" localSheetId="253">'TANG CUNG XUONG'!#REF!</definedName>
    <definedName name="_xlnm.Print_Titles" localSheetId="244">'TANG DAY DAI'!#REF!</definedName>
    <definedName name="_xlnm.Print_Titles" localSheetId="257">'TB3001'!#REF!</definedName>
    <definedName name="_xlnm.Print_Titles" localSheetId="263">'TB3007'!#REF!</definedName>
    <definedName name="_xlnm.Print_Titles" localSheetId="256">'TB3008'!#REF!</definedName>
    <definedName name="_xlnm.Print_Titles" localSheetId="262">'TB4139'!#REF!</definedName>
    <definedName name="_xlnm.Print_Titles" localSheetId="38">'TH KẾ TOÁN'!$6:$7</definedName>
    <definedName name="_xlnm.Print_Titles" localSheetId="34">'TH SX'!$7:$8</definedName>
    <definedName name="_xlnm.Print_Titles" localSheetId="270">'TỔNG HỢP (2)'!$7:$8</definedName>
    <definedName name="_xlnm.Print_Titles" localSheetId="32">'TỔNG HỢP THÁNG'!$4:$5</definedName>
    <definedName name="_xlnm.Print_Titles" localSheetId="204">'TOP ONE 3060 nâu  '!$7:$7</definedName>
    <definedName name="_xlnm.Print_Titles" localSheetId="203">'TOP ONE 4080 5V nâu '!$7:$7</definedName>
    <definedName name="_xlnm.Print_Titles" localSheetId="202">'TOP ONE 4080 nâu '!$7:$7</definedName>
    <definedName name="_xlnm.Print_Titles" localSheetId="205">'TOP ONE 5050 nâu '!$7:$7</definedName>
    <definedName name="_xlnm.Print_Titles" localSheetId="195">'UNITILE 4080 '!$7:$7</definedName>
    <definedName name="_xlnm.Print_Titles" localSheetId="107">'VF1205'!$6:$7</definedName>
    <definedName name="_xlnm.Print_Titles" localSheetId="103">'VF150521'!$6:$7</definedName>
    <definedName name="_xlnm.Print_Titles" localSheetId="102">'VFM41'!$6:$7</definedName>
    <definedName name="_xlnm.Print_Titles" localSheetId="214">'VIDONA 3060'!$7:$7</definedName>
    <definedName name="_xlnm.Print_Titles" localSheetId="217">'VIDONA 48'!$7:$7</definedName>
    <definedName name="_xlnm.Print_Titles" localSheetId="216">'VIDONA 50'!$7:$7</definedName>
    <definedName name="_xlnm.Print_Titles" localSheetId="218">'VINA PHACON 36'!$7:$7</definedName>
    <definedName name="_xlnm.Print_Titles" localSheetId="219">'VINA PHACON 48'!$7:$7</definedName>
    <definedName name="_xlnm.Print_Titles" localSheetId="100">'VM01'!$6:$7</definedName>
    <definedName name="_xlnm.Print_Titles" localSheetId="101">'VM06'!$6:$7</definedName>
    <definedName name="_xlnm.Print_Titles" localSheetId="226">'VO PHE  4060'!$7:$7</definedName>
    <definedName name="_xlnm.Print_Titles" localSheetId="224">'VO PHE  40x80'!$7:$7</definedName>
    <definedName name="_xlnm.Print_Titles" localSheetId="225">'VO PHE  5050'!$7:$7</definedName>
    <definedName name="_xlnm.Print_Titles" localSheetId="227">'VO PHE  6060'!$7:$7</definedName>
    <definedName name="_xlnm.Print_Titles" localSheetId="223">'VO PHE 30x60'!$7:$7</definedName>
    <definedName name="_xlnm.Print_Titles" localSheetId="9">'VO PHE DONG TAY 30X60'!$7:$7</definedName>
    <definedName name="_xlnm.Print_Titles" localSheetId="8">'VT GR TIM AN HA 30X60'!$7:$7</definedName>
    <definedName name="_xlnm.Print_Titles" localSheetId="127">'XANH LÁ 1236'!$6:$7</definedName>
    <definedName name="_xlnm.Print_Titles" localSheetId="96">'Y327-QĐ'!$6:$7</definedName>
    <definedName name="_xlnm.Print_Titles" localSheetId="3">'ZIRCON K1#'!$7:$8</definedName>
    <definedName name="_xlnm.Print_Titles" localSheetId="64">'ZIRCON ZRD5M'!$6:$7</definedName>
    <definedName name="_xlnm.Print_Titles" localSheetId="62">'ZIRCON ZS012-LGP'!$6:$7</definedName>
    <definedName name="_xlnm.Print_Titles" localSheetId="63">'ZIRCON ZS08'!$6:$7</definedName>
  </definedNames>
  <calcPr calcId="162913"/>
</workbook>
</file>

<file path=xl/calcChain.xml><?xml version="1.0" encoding="utf-8"?>
<calcChain xmlns="http://schemas.openxmlformats.org/spreadsheetml/2006/main">
  <c r="N26" i="434" l="1"/>
  <c r="O25" i="460" l="1"/>
  <c r="O25" i="169"/>
  <c r="O25" i="419"/>
  <c r="P25" i="363"/>
  <c r="O25" i="363"/>
  <c r="Q25" i="419"/>
  <c r="Q25" i="460"/>
  <c r="Q25" i="169"/>
  <c r="R25" i="363"/>
  <c r="Q25" i="363"/>
  <c r="Q25" i="299"/>
  <c r="O24" i="419" l="1"/>
  <c r="O24" i="460"/>
  <c r="O24" i="169"/>
  <c r="P24" i="363"/>
  <c r="O24" i="363"/>
  <c r="R24" i="363"/>
  <c r="Q24" i="363"/>
  <c r="Q24" i="460"/>
  <c r="Q24" i="169"/>
  <c r="Q24" i="419"/>
  <c r="R23" i="363" l="1"/>
  <c r="Q23" i="363"/>
  <c r="Q23" i="460"/>
  <c r="Q23" i="169"/>
  <c r="Q23" i="419"/>
  <c r="O23" i="460"/>
  <c r="O23" i="169"/>
  <c r="O23" i="419"/>
  <c r="P23" i="363"/>
  <c r="O23" i="363"/>
  <c r="P23" i="317"/>
  <c r="O23" i="317"/>
  <c r="S23" i="323" l="1"/>
  <c r="Y23" i="463"/>
  <c r="Q22" i="419" l="1"/>
  <c r="O22" i="460" l="1"/>
  <c r="O22" i="169"/>
  <c r="O22" i="419"/>
  <c r="P22" i="363"/>
  <c r="O22" i="363"/>
  <c r="R22" i="363"/>
  <c r="Q22" i="363"/>
  <c r="Q22" i="460"/>
  <c r="Q22" i="169"/>
  <c r="D22" i="457" l="1"/>
  <c r="D22" i="211"/>
  <c r="O21" i="460" l="1"/>
  <c r="O21" i="169"/>
  <c r="O21" i="419"/>
  <c r="P21" i="363"/>
  <c r="O21" i="363"/>
  <c r="Q21" i="419"/>
  <c r="Q21" i="460"/>
  <c r="Q21" i="169"/>
  <c r="R21" i="363"/>
  <c r="Q21" i="363"/>
  <c r="O20" i="460" l="1"/>
  <c r="O20" i="169"/>
  <c r="O20" i="419"/>
  <c r="P20" i="363"/>
  <c r="O20" i="363"/>
  <c r="P20" i="317"/>
  <c r="Q20" i="285"/>
  <c r="R20" i="367"/>
  <c r="Q20" i="367"/>
  <c r="Q20" i="419"/>
  <c r="Q20" i="460"/>
  <c r="Q20" i="169"/>
  <c r="Q20" i="159"/>
  <c r="Q20" i="417"/>
  <c r="R20" i="317"/>
  <c r="Q20" i="317"/>
  <c r="R20" i="363"/>
  <c r="Q20" i="363"/>
  <c r="R20" i="292"/>
  <c r="Q20" i="292"/>
  <c r="D20" i="408" l="1"/>
  <c r="D20" i="335" l="1"/>
  <c r="Q19" i="285" l="1"/>
  <c r="Q19" i="417"/>
  <c r="Q19" i="460"/>
  <c r="Q19" i="169"/>
  <c r="Q19" i="419"/>
  <c r="Q19" i="159"/>
  <c r="R19" i="317"/>
  <c r="Q19" i="317"/>
  <c r="R19" i="284"/>
  <c r="Q19" i="284"/>
  <c r="R19" i="367"/>
  <c r="Q19" i="367"/>
  <c r="R19" i="292"/>
  <c r="Q19" i="292"/>
  <c r="R19" i="363"/>
  <c r="Q19" i="363"/>
  <c r="O19" i="419"/>
  <c r="O19" i="460"/>
  <c r="O19" i="169"/>
  <c r="P19" i="363"/>
  <c r="O19" i="363"/>
  <c r="O18" i="419" l="1"/>
  <c r="O18" i="460"/>
  <c r="O18" i="169"/>
  <c r="P18" i="363"/>
  <c r="O18" i="363"/>
  <c r="Q18" i="460"/>
  <c r="Q18" i="169"/>
  <c r="Q18" i="419"/>
  <c r="S9" i="363"/>
  <c r="S10" i="363"/>
  <c r="O17" i="419" l="1"/>
  <c r="O17" i="460"/>
  <c r="O17" i="169"/>
  <c r="P17" i="363"/>
  <c r="O17" i="363"/>
  <c r="Q17" i="460"/>
  <c r="Q17" i="169"/>
  <c r="Q17" i="419"/>
  <c r="O16" i="419"/>
  <c r="O16" i="460"/>
  <c r="O16" i="169"/>
  <c r="P16" i="363"/>
  <c r="O16" i="363"/>
  <c r="Q16" i="460"/>
  <c r="Q16" i="169"/>
  <c r="Q16" i="419"/>
  <c r="O15" i="419" l="1"/>
  <c r="O15" i="460"/>
  <c r="O15" i="169"/>
  <c r="P15" i="363"/>
  <c r="O15" i="363"/>
  <c r="Q15" i="460"/>
  <c r="Q15" i="169"/>
  <c r="Q15" i="419"/>
  <c r="Q14" i="460" l="1"/>
  <c r="Q14" i="169"/>
  <c r="Q14" i="419"/>
  <c r="O14" i="460"/>
  <c r="O14" i="169"/>
  <c r="O14" i="419"/>
  <c r="P14" i="363"/>
  <c r="O14" i="363"/>
  <c r="O13" i="419"/>
  <c r="O13" i="460"/>
  <c r="O13" i="169"/>
  <c r="P13" i="363"/>
  <c r="O13" i="363"/>
  <c r="Q13" i="460"/>
  <c r="Q13" i="169"/>
  <c r="Q13" i="419"/>
  <c r="R13" i="363"/>
  <c r="Q13" i="363"/>
  <c r="E13" i="285" l="1"/>
  <c r="Q12" i="460" l="1"/>
  <c r="Q12" i="169"/>
  <c r="Q12" i="419"/>
  <c r="O12" i="419"/>
  <c r="O12" i="460"/>
  <c r="O12" i="169"/>
  <c r="O12" i="317"/>
  <c r="P12" i="363"/>
  <c r="O12" i="363"/>
  <c r="N12" i="389" l="1"/>
  <c r="O11" i="419" l="1"/>
  <c r="O11" i="460"/>
  <c r="O11" i="169"/>
  <c r="P11" i="317"/>
  <c r="O11" i="317"/>
  <c r="P11" i="363"/>
  <c r="O11" i="363"/>
  <c r="D11" i="211" l="1"/>
  <c r="O10" i="460" l="1"/>
  <c r="O10" i="169"/>
  <c r="O10" i="419"/>
  <c r="P10" i="363"/>
  <c r="O10" i="363"/>
  <c r="P10" i="317"/>
  <c r="O10" i="317"/>
  <c r="O9" i="460"/>
  <c r="O9" i="169"/>
  <c r="O9" i="419"/>
  <c r="P9" i="363"/>
  <c r="O9" i="363"/>
  <c r="P9" i="317"/>
  <c r="O9" i="317"/>
  <c r="Q9" i="460"/>
  <c r="Q9" i="169"/>
  <c r="Q9" i="419"/>
  <c r="R11" i="208" l="1"/>
  <c r="T11" i="208"/>
  <c r="R12" i="208"/>
  <c r="T12" i="208"/>
  <c r="R13" i="208"/>
  <c r="T13" i="208"/>
  <c r="R14" i="208"/>
  <c r="T14" i="208"/>
  <c r="R15" i="208"/>
  <c r="T15" i="208"/>
  <c r="R16" i="208"/>
  <c r="T16" i="208"/>
  <c r="R17" i="208"/>
  <c r="T17" i="208"/>
  <c r="R18" i="208"/>
  <c r="T18" i="208"/>
  <c r="R19" i="208"/>
  <c r="T19" i="208"/>
  <c r="R20" i="208"/>
  <c r="T20" i="208"/>
  <c r="R21" i="208"/>
  <c r="T21" i="208"/>
  <c r="R22" i="208"/>
  <c r="T22" i="208"/>
  <c r="R23" i="208"/>
  <c r="T23" i="208"/>
  <c r="R24" i="208"/>
  <c r="T24" i="208"/>
  <c r="R25" i="208"/>
  <c r="T25" i="208"/>
  <c r="R26" i="208"/>
  <c r="T26" i="208"/>
  <c r="R27" i="208"/>
  <c r="T27" i="208"/>
  <c r="R28" i="208"/>
  <c r="T28" i="208"/>
  <c r="R29" i="208"/>
  <c r="T29" i="208"/>
  <c r="R30" i="208"/>
  <c r="T30" i="208"/>
  <c r="R31" i="208"/>
  <c r="T31" i="208"/>
  <c r="R32" i="208"/>
  <c r="T32" i="208"/>
  <c r="R33" i="208"/>
  <c r="T33" i="208"/>
  <c r="R34" i="208"/>
  <c r="T34" i="208"/>
  <c r="R35" i="208"/>
  <c r="T35" i="208"/>
  <c r="R36" i="208"/>
  <c r="T36" i="208"/>
  <c r="R37" i="208"/>
  <c r="T37" i="208"/>
  <c r="R38" i="208"/>
  <c r="T38" i="208"/>
  <c r="R39" i="208"/>
  <c r="T39" i="208"/>
  <c r="R40" i="208"/>
  <c r="T40" i="208"/>
  <c r="F9" i="183"/>
  <c r="F10" i="183"/>
  <c r="F11" i="183"/>
  <c r="F12" i="183"/>
  <c r="F13" i="183"/>
  <c r="F14" i="183"/>
  <c r="F15" i="183"/>
  <c r="F16" i="183"/>
  <c r="F17" i="183"/>
  <c r="F18" i="183"/>
  <c r="F19" i="183"/>
  <c r="F20" i="183"/>
  <c r="F21" i="183"/>
  <c r="F22" i="183"/>
  <c r="F23" i="183"/>
  <c r="F24" i="183"/>
  <c r="F25" i="183"/>
  <c r="F26" i="183"/>
  <c r="F27" i="183"/>
  <c r="F28" i="183"/>
  <c r="F29" i="183"/>
  <c r="F30" i="183"/>
  <c r="F31" i="183"/>
  <c r="F32" i="183"/>
  <c r="F33" i="183"/>
  <c r="F34" i="183"/>
  <c r="F35" i="183"/>
  <c r="F36" i="183"/>
  <c r="F37" i="183"/>
  <c r="F38" i="183"/>
  <c r="F39" i="183"/>
  <c r="P10" i="460"/>
  <c r="R10" i="460"/>
  <c r="P11" i="460"/>
  <c r="R11" i="460"/>
  <c r="P12" i="460"/>
  <c r="R12" i="460"/>
  <c r="P13" i="460"/>
  <c r="R13" i="460"/>
  <c r="P14" i="460"/>
  <c r="R14" i="460"/>
  <c r="P15" i="460"/>
  <c r="R15" i="460"/>
  <c r="P16" i="460"/>
  <c r="R16" i="460"/>
  <c r="P17" i="460"/>
  <c r="R17" i="460"/>
  <c r="P18" i="460"/>
  <c r="R18" i="460"/>
  <c r="P19" i="460"/>
  <c r="R19" i="460"/>
  <c r="P20" i="460"/>
  <c r="R20" i="460"/>
  <c r="P21" i="460"/>
  <c r="R21" i="460"/>
  <c r="P22" i="460"/>
  <c r="R22" i="460"/>
  <c r="P23" i="460"/>
  <c r="R23" i="460"/>
  <c r="P24" i="460"/>
  <c r="R24" i="460"/>
  <c r="P25" i="460"/>
  <c r="R25" i="460"/>
  <c r="P26" i="460"/>
  <c r="R26" i="460"/>
  <c r="P27" i="460"/>
  <c r="R27" i="460"/>
  <c r="P28" i="460"/>
  <c r="R28" i="460"/>
  <c r="P29" i="460"/>
  <c r="R29" i="460"/>
  <c r="P30" i="460"/>
  <c r="R30" i="460"/>
  <c r="P31" i="460"/>
  <c r="R31" i="460"/>
  <c r="P32" i="460"/>
  <c r="R32" i="460"/>
  <c r="P33" i="460"/>
  <c r="R33" i="460"/>
  <c r="P34" i="460"/>
  <c r="R34" i="460"/>
  <c r="P35" i="460"/>
  <c r="R35" i="460"/>
  <c r="P36" i="460"/>
  <c r="R36" i="460"/>
  <c r="P37" i="460"/>
  <c r="R37" i="460"/>
  <c r="P38" i="460"/>
  <c r="R38" i="460"/>
  <c r="P39" i="460"/>
  <c r="R39" i="460"/>
  <c r="P10" i="169"/>
  <c r="R10" i="169"/>
  <c r="P11" i="169"/>
  <c r="R11" i="169"/>
  <c r="P12" i="169"/>
  <c r="R12" i="169"/>
  <c r="P13" i="169"/>
  <c r="R13" i="169"/>
  <c r="P14" i="169"/>
  <c r="R14" i="169"/>
  <c r="P15" i="169"/>
  <c r="R15" i="169"/>
  <c r="P16" i="169"/>
  <c r="R16" i="169"/>
  <c r="P17" i="169"/>
  <c r="R17" i="169"/>
  <c r="P18" i="169"/>
  <c r="R18" i="169"/>
  <c r="P19" i="169"/>
  <c r="R19" i="169"/>
  <c r="P20" i="169"/>
  <c r="R20" i="169"/>
  <c r="P21" i="169"/>
  <c r="R21" i="169"/>
  <c r="P22" i="169"/>
  <c r="R22" i="169"/>
  <c r="P23" i="169"/>
  <c r="R23" i="169"/>
  <c r="P24" i="169"/>
  <c r="R24" i="169"/>
  <c r="P25" i="169"/>
  <c r="R25" i="169"/>
  <c r="P26" i="169"/>
  <c r="R26" i="169"/>
  <c r="P27" i="169"/>
  <c r="R27" i="169"/>
  <c r="P28" i="169"/>
  <c r="R28" i="169"/>
  <c r="P29" i="169"/>
  <c r="R29" i="169"/>
  <c r="P30" i="169"/>
  <c r="R30" i="169"/>
  <c r="P31" i="169"/>
  <c r="R31" i="169"/>
  <c r="P32" i="169"/>
  <c r="R32" i="169"/>
  <c r="P33" i="169"/>
  <c r="R33" i="169"/>
  <c r="P34" i="169"/>
  <c r="R34" i="169"/>
  <c r="P35" i="169"/>
  <c r="R35" i="169"/>
  <c r="P36" i="169"/>
  <c r="R36" i="169"/>
  <c r="P37" i="169"/>
  <c r="R37" i="169"/>
  <c r="P38" i="169"/>
  <c r="R38" i="169"/>
  <c r="P39" i="169"/>
  <c r="R39" i="169"/>
  <c r="P10" i="419"/>
  <c r="R10" i="419"/>
  <c r="P11" i="419"/>
  <c r="R11" i="419"/>
  <c r="P12" i="419"/>
  <c r="R12" i="419"/>
  <c r="P13" i="419"/>
  <c r="R13" i="419"/>
  <c r="P14" i="419"/>
  <c r="R14" i="419"/>
  <c r="P15" i="419"/>
  <c r="R15" i="419"/>
  <c r="P16" i="419"/>
  <c r="R16" i="419"/>
  <c r="P17" i="419"/>
  <c r="R17" i="419"/>
  <c r="P18" i="419"/>
  <c r="R18" i="419"/>
  <c r="P19" i="419"/>
  <c r="R19" i="419"/>
  <c r="P20" i="419"/>
  <c r="R20" i="419"/>
  <c r="P21" i="419"/>
  <c r="R21" i="419"/>
  <c r="P22" i="419"/>
  <c r="R22" i="419"/>
  <c r="P23" i="419"/>
  <c r="R23" i="419"/>
  <c r="P24" i="419"/>
  <c r="R24" i="419"/>
  <c r="P25" i="419"/>
  <c r="R25" i="419"/>
  <c r="P26" i="419"/>
  <c r="R26" i="419"/>
  <c r="P27" i="419"/>
  <c r="R27" i="419"/>
  <c r="P28" i="419"/>
  <c r="R28" i="419"/>
  <c r="P29" i="419"/>
  <c r="R29" i="419"/>
  <c r="P30" i="419"/>
  <c r="R30" i="419"/>
  <c r="P31" i="419"/>
  <c r="R31" i="419"/>
  <c r="P32" i="419"/>
  <c r="R32" i="419"/>
  <c r="P33" i="419"/>
  <c r="R33" i="419"/>
  <c r="P34" i="419"/>
  <c r="R34" i="419"/>
  <c r="P35" i="419"/>
  <c r="R35" i="419"/>
  <c r="P36" i="419"/>
  <c r="R36" i="419"/>
  <c r="P37" i="419"/>
  <c r="R37" i="419"/>
  <c r="P38" i="419"/>
  <c r="R38" i="419"/>
  <c r="P39" i="419"/>
  <c r="R39" i="419"/>
  <c r="P10" i="159"/>
  <c r="R10" i="159"/>
  <c r="P11" i="159"/>
  <c r="R11" i="159"/>
  <c r="P12" i="159"/>
  <c r="R12" i="159"/>
  <c r="P13" i="159"/>
  <c r="R13" i="159"/>
  <c r="P14" i="159"/>
  <c r="R14" i="159"/>
  <c r="P15" i="159"/>
  <c r="R15" i="159"/>
  <c r="P16" i="159"/>
  <c r="R16" i="159"/>
  <c r="P17" i="159"/>
  <c r="R17" i="159"/>
  <c r="P18" i="159"/>
  <c r="R18" i="159"/>
  <c r="P19" i="159"/>
  <c r="R19" i="159"/>
  <c r="P20" i="159"/>
  <c r="R20" i="159"/>
  <c r="P21" i="159"/>
  <c r="R21" i="159"/>
  <c r="P22" i="159"/>
  <c r="R22" i="159"/>
  <c r="P23" i="159"/>
  <c r="R23" i="159"/>
  <c r="P24" i="159"/>
  <c r="R24" i="159"/>
  <c r="P25" i="159"/>
  <c r="R25" i="159"/>
  <c r="P26" i="159"/>
  <c r="R26" i="159"/>
  <c r="P27" i="159"/>
  <c r="R27" i="159"/>
  <c r="P28" i="159"/>
  <c r="R28" i="159"/>
  <c r="P29" i="159"/>
  <c r="R29" i="159"/>
  <c r="P30" i="159"/>
  <c r="R30" i="159"/>
  <c r="P31" i="159"/>
  <c r="R31" i="159"/>
  <c r="P32" i="159"/>
  <c r="R32" i="159"/>
  <c r="P33" i="159"/>
  <c r="R33" i="159"/>
  <c r="P34" i="159"/>
  <c r="R34" i="159"/>
  <c r="P35" i="159"/>
  <c r="R35" i="159"/>
  <c r="P36" i="159"/>
  <c r="R36" i="159"/>
  <c r="P37" i="159"/>
  <c r="R37" i="159"/>
  <c r="P38" i="159"/>
  <c r="R38" i="159"/>
  <c r="P39" i="159"/>
  <c r="R39" i="159"/>
  <c r="P10" i="149"/>
  <c r="R10" i="149"/>
  <c r="P11" i="149"/>
  <c r="R11" i="149"/>
  <c r="P12" i="149"/>
  <c r="R12" i="149"/>
  <c r="P13" i="149"/>
  <c r="R13" i="149"/>
  <c r="P14" i="149"/>
  <c r="R14" i="149"/>
  <c r="P15" i="149"/>
  <c r="R15" i="149"/>
  <c r="P16" i="149"/>
  <c r="R16" i="149"/>
  <c r="P17" i="149"/>
  <c r="R17" i="149"/>
  <c r="P18" i="149"/>
  <c r="R18" i="149"/>
  <c r="P19" i="149"/>
  <c r="R19" i="149"/>
  <c r="P20" i="149"/>
  <c r="R20" i="149"/>
  <c r="P21" i="149"/>
  <c r="R21" i="149"/>
  <c r="P22" i="149"/>
  <c r="R22" i="149"/>
  <c r="P23" i="149"/>
  <c r="R23" i="149"/>
  <c r="P24" i="149"/>
  <c r="R24" i="149"/>
  <c r="P25" i="149"/>
  <c r="R25" i="149"/>
  <c r="P26" i="149"/>
  <c r="R26" i="149"/>
  <c r="P27" i="149"/>
  <c r="R27" i="149"/>
  <c r="P28" i="149"/>
  <c r="R28" i="149"/>
  <c r="P29" i="149"/>
  <c r="R29" i="149"/>
  <c r="P30" i="149"/>
  <c r="R30" i="149"/>
  <c r="P31" i="149"/>
  <c r="R31" i="149"/>
  <c r="P32" i="149"/>
  <c r="R32" i="149"/>
  <c r="P33" i="149"/>
  <c r="R33" i="149"/>
  <c r="P34" i="149"/>
  <c r="R34" i="149"/>
  <c r="P35" i="149"/>
  <c r="R35" i="149"/>
  <c r="P36" i="149"/>
  <c r="R36" i="149"/>
  <c r="P37" i="149"/>
  <c r="R37" i="149"/>
  <c r="P10" i="417"/>
  <c r="R10" i="417"/>
  <c r="P11" i="417"/>
  <c r="R11" i="417"/>
  <c r="P12" i="417"/>
  <c r="R12" i="417"/>
  <c r="P13" i="417"/>
  <c r="R13" i="417"/>
  <c r="P14" i="417"/>
  <c r="R14" i="417"/>
  <c r="P15" i="417"/>
  <c r="R15" i="417"/>
  <c r="P16" i="417"/>
  <c r="R16" i="417"/>
  <c r="P17" i="417"/>
  <c r="R17" i="417"/>
  <c r="P18" i="417"/>
  <c r="R18" i="417"/>
  <c r="P19" i="417"/>
  <c r="R19" i="417"/>
  <c r="P20" i="417"/>
  <c r="R20" i="417"/>
  <c r="P21" i="417"/>
  <c r="R21" i="417"/>
  <c r="P22" i="417"/>
  <c r="R22" i="417"/>
  <c r="P23" i="417"/>
  <c r="R23" i="417"/>
  <c r="P24" i="417"/>
  <c r="R24" i="417"/>
  <c r="P25" i="417"/>
  <c r="R25" i="417"/>
  <c r="P26" i="417"/>
  <c r="R26" i="417"/>
  <c r="P27" i="417"/>
  <c r="R27" i="417"/>
  <c r="P28" i="417"/>
  <c r="R28" i="417"/>
  <c r="P29" i="417"/>
  <c r="R29" i="417"/>
  <c r="P30" i="417"/>
  <c r="R30" i="417"/>
  <c r="P31" i="417"/>
  <c r="R31" i="417"/>
  <c r="P32" i="417"/>
  <c r="R32" i="417"/>
  <c r="P33" i="417"/>
  <c r="R33" i="417"/>
  <c r="P34" i="417"/>
  <c r="R34" i="417"/>
  <c r="P35" i="417"/>
  <c r="R35" i="417"/>
  <c r="P36" i="417"/>
  <c r="R36" i="417"/>
  <c r="P37" i="417"/>
  <c r="R37" i="417"/>
  <c r="P38" i="417"/>
  <c r="R38" i="417"/>
  <c r="P39" i="417"/>
  <c r="R39" i="417"/>
  <c r="F216" i="354" l="1"/>
  <c r="J216" i="354"/>
  <c r="M216" i="354"/>
  <c r="N216" i="354"/>
  <c r="O216" i="354"/>
  <c r="L196" i="354"/>
  <c r="L199" i="354"/>
  <c r="L209" i="354"/>
  <c r="L210" i="354"/>
  <c r="L212" i="354"/>
  <c r="E215" i="354" l="1"/>
  <c r="B204" i="53" l="1"/>
  <c r="D204" i="53"/>
  <c r="L204" i="53"/>
  <c r="L90" i="341" l="1"/>
  <c r="D90" i="341"/>
  <c r="B90" i="341"/>
  <c r="L40" i="466"/>
  <c r="K40" i="466"/>
  <c r="J40" i="466"/>
  <c r="I40" i="466"/>
  <c r="D40" i="466"/>
  <c r="F90" i="341" s="1"/>
  <c r="E39" i="466"/>
  <c r="B39" i="466"/>
  <c r="E38" i="466"/>
  <c r="B38" i="466"/>
  <c r="E37" i="466"/>
  <c r="B37" i="466"/>
  <c r="E36" i="466"/>
  <c r="B36" i="466"/>
  <c r="E35" i="466"/>
  <c r="B35" i="466"/>
  <c r="E34" i="466"/>
  <c r="B34" i="466"/>
  <c r="E33" i="466"/>
  <c r="B33" i="466"/>
  <c r="E32" i="466"/>
  <c r="B32" i="466"/>
  <c r="E31" i="466"/>
  <c r="B31" i="466"/>
  <c r="E30" i="466"/>
  <c r="B30" i="466"/>
  <c r="E29" i="466"/>
  <c r="B29" i="466"/>
  <c r="E28" i="466"/>
  <c r="B28" i="466"/>
  <c r="E27" i="466"/>
  <c r="B27" i="466"/>
  <c r="E26" i="466"/>
  <c r="B26" i="466"/>
  <c r="E25" i="466"/>
  <c r="B25" i="466"/>
  <c r="E24" i="466"/>
  <c r="B24" i="466"/>
  <c r="E23" i="466"/>
  <c r="B23" i="466"/>
  <c r="E22" i="466"/>
  <c r="B22" i="466"/>
  <c r="E21" i="466"/>
  <c r="B21" i="466"/>
  <c r="E20" i="466"/>
  <c r="B20" i="466"/>
  <c r="E19" i="466"/>
  <c r="B19" i="466"/>
  <c r="E18" i="466"/>
  <c r="B18" i="466"/>
  <c r="E17" i="466"/>
  <c r="B17" i="466"/>
  <c r="E16" i="466"/>
  <c r="B16" i="466"/>
  <c r="E15" i="466"/>
  <c r="B15" i="466"/>
  <c r="E14" i="466"/>
  <c r="B14" i="466"/>
  <c r="E13" i="466"/>
  <c r="B13" i="466"/>
  <c r="E12" i="466"/>
  <c r="B12" i="466"/>
  <c r="E11" i="466"/>
  <c r="B11" i="466"/>
  <c r="E10" i="466"/>
  <c r="B10" i="466"/>
  <c r="F9" i="466"/>
  <c r="F38" i="466" s="1"/>
  <c r="E9" i="466"/>
  <c r="B9" i="466"/>
  <c r="D8" i="466"/>
  <c r="I5" i="466"/>
  <c r="G5" i="466"/>
  <c r="F5" i="466"/>
  <c r="E5" i="466"/>
  <c r="D5" i="466"/>
  <c r="C5" i="466"/>
  <c r="B5" i="466"/>
  <c r="C4" i="466"/>
  <c r="F204" i="53" l="1"/>
  <c r="G215" i="354"/>
  <c r="D41" i="466"/>
  <c r="E40" i="466"/>
  <c r="H90" i="341" s="1"/>
  <c r="G9" i="466"/>
  <c r="F10" i="466"/>
  <c r="F11" i="466"/>
  <c r="F12" i="466"/>
  <c r="F13" i="466"/>
  <c r="F14" i="466"/>
  <c r="F15" i="466"/>
  <c r="F16" i="466"/>
  <c r="F17" i="466"/>
  <c r="F18" i="466"/>
  <c r="F19" i="466"/>
  <c r="F20" i="466"/>
  <c r="F21" i="466"/>
  <c r="F22" i="466"/>
  <c r="F23" i="466"/>
  <c r="F24" i="466"/>
  <c r="F25" i="466"/>
  <c r="F26" i="466"/>
  <c r="F27" i="466"/>
  <c r="F28" i="466"/>
  <c r="F29" i="466"/>
  <c r="F30" i="466"/>
  <c r="F31" i="466"/>
  <c r="F32" i="466"/>
  <c r="F33" i="466"/>
  <c r="F34" i="466"/>
  <c r="F35" i="466"/>
  <c r="F36" i="466"/>
  <c r="F37" i="466"/>
  <c r="H204" i="53" l="1"/>
  <c r="J204" i="53" s="1"/>
  <c r="M204" i="53" s="1"/>
  <c r="I215" i="354"/>
  <c r="J90" i="341"/>
  <c r="M90" i="341" s="1"/>
  <c r="H9" i="466"/>
  <c r="G10" i="466"/>
  <c r="M9" i="466"/>
  <c r="E41" i="466"/>
  <c r="G41" i="466" s="1"/>
  <c r="E8" i="466"/>
  <c r="F39" i="466" s="1"/>
  <c r="L215" i="354" l="1"/>
  <c r="K215" i="354"/>
  <c r="H10" i="466"/>
  <c r="G11" i="466"/>
  <c r="M10" i="466"/>
  <c r="H11" i="466" l="1"/>
  <c r="G12" i="466"/>
  <c r="M11" i="466"/>
  <c r="H12" i="466" l="1"/>
  <c r="G13" i="466"/>
  <c r="M12" i="466"/>
  <c r="H13" i="466" l="1"/>
  <c r="G14" i="466"/>
  <c r="M13" i="466"/>
  <c r="H14" i="466" l="1"/>
  <c r="G15" i="466"/>
  <c r="M14" i="466"/>
  <c r="H15" i="466" l="1"/>
  <c r="G16" i="466"/>
  <c r="M15" i="466"/>
  <c r="H16" i="466" l="1"/>
  <c r="G17" i="466"/>
  <c r="M16" i="466"/>
  <c r="H17" i="466" l="1"/>
  <c r="G18" i="466"/>
  <c r="M17" i="466"/>
  <c r="H18" i="466" l="1"/>
  <c r="G19" i="466"/>
  <c r="M18" i="466"/>
  <c r="H19" i="466" l="1"/>
  <c r="G20" i="466"/>
  <c r="M19" i="466"/>
  <c r="R15" i="285"/>
  <c r="H20" i="466" l="1"/>
  <c r="G21" i="466"/>
  <c r="M20" i="466"/>
  <c r="L203" i="53"/>
  <c r="L89" i="341"/>
  <c r="D89" i="341"/>
  <c r="E214" i="354" s="1"/>
  <c r="B89" i="341"/>
  <c r="B203" i="53" s="1"/>
  <c r="L40" i="465"/>
  <c r="K40" i="465"/>
  <c r="J40" i="465"/>
  <c r="I40" i="465"/>
  <c r="D40" i="465"/>
  <c r="F89" i="341" s="1"/>
  <c r="G214" i="354" s="1"/>
  <c r="E39" i="465"/>
  <c r="B39" i="465"/>
  <c r="E38" i="465"/>
  <c r="B38" i="465"/>
  <c r="E37" i="465"/>
  <c r="B37" i="465"/>
  <c r="E36" i="465"/>
  <c r="B36" i="465"/>
  <c r="E35" i="465"/>
  <c r="B35" i="465"/>
  <c r="E34" i="465"/>
  <c r="B34" i="465"/>
  <c r="E33" i="465"/>
  <c r="B33" i="465"/>
  <c r="E32" i="465"/>
  <c r="B32" i="465"/>
  <c r="E31" i="465"/>
  <c r="B31" i="465"/>
  <c r="E30" i="465"/>
  <c r="B30" i="465"/>
  <c r="E29" i="465"/>
  <c r="B29" i="465"/>
  <c r="E28" i="465"/>
  <c r="B28" i="465"/>
  <c r="E27" i="465"/>
  <c r="B27" i="465"/>
  <c r="E26" i="465"/>
  <c r="B26" i="465"/>
  <c r="E25" i="465"/>
  <c r="B25" i="465"/>
  <c r="E24" i="465"/>
  <c r="B24" i="465"/>
  <c r="E23" i="465"/>
  <c r="B23" i="465"/>
  <c r="E22" i="465"/>
  <c r="B22" i="465"/>
  <c r="E21" i="465"/>
  <c r="B21" i="465"/>
  <c r="E20" i="465"/>
  <c r="B20" i="465"/>
  <c r="E19" i="465"/>
  <c r="B19" i="465"/>
  <c r="E18" i="465"/>
  <c r="B18" i="465"/>
  <c r="E17" i="465"/>
  <c r="B17" i="465"/>
  <c r="E16" i="465"/>
  <c r="B16" i="465"/>
  <c r="E15" i="465"/>
  <c r="B15" i="465"/>
  <c r="E14" i="465"/>
  <c r="B14" i="465"/>
  <c r="E13" i="465"/>
  <c r="B13" i="465"/>
  <c r="E12" i="465"/>
  <c r="B12" i="465"/>
  <c r="E11" i="465"/>
  <c r="B11" i="465"/>
  <c r="E10" i="465"/>
  <c r="B10" i="465"/>
  <c r="F9" i="465"/>
  <c r="E9" i="465"/>
  <c r="B9" i="465"/>
  <c r="D8" i="465"/>
  <c r="D41" i="465" s="1"/>
  <c r="I5" i="465"/>
  <c r="G5" i="465"/>
  <c r="F5" i="465"/>
  <c r="E5" i="465"/>
  <c r="D5" i="465"/>
  <c r="C5" i="465"/>
  <c r="B5" i="465"/>
  <c r="C4" i="465"/>
  <c r="D203" i="53" l="1"/>
  <c r="H21" i="466"/>
  <c r="G22" i="466"/>
  <c r="M21" i="466"/>
  <c r="E40" i="465"/>
  <c r="H89" i="341" s="1"/>
  <c r="J89" i="341" s="1"/>
  <c r="M89" i="341" s="1"/>
  <c r="F203" i="53"/>
  <c r="F38" i="465"/>
  <c r="F37" i="465"/>
  <c r="F36" i="465"/>
  <c r="F35" i="465"/>
  <c r="F34" i="465"/>
  <c r="F33" i="465"/>
  <c r="F32" i="465"/>
  <c r="F10" i="465"/>
  <c r="F11" i="465"/>
  <c r="F12" i="465"/>
  <c r="F13" i="465"/>
  <c r="F14" i="465"/>
  <c r="F15" i="465"/>
  <c r="F16" i="465"/>
  <c r="F17" i="465"/>
  <c r="F18" i="465"/>
  <c r="F19" i="465"/>
  <c r="F20" i="465"/>
  <c r="F21" i="465"/>
  <c r="F22" i="465"/>
  <c r="F23" i="465"/>
  <c r="F24" i="465"/>
  <c r="F25" i="465"/>
  <c r="F26" i="465"/>
  <c r="F27" i="465"/>
  <c r="F28" i="465"/>
  <c r="F29" i="465"/>
  <c r="F30" i="465"/>
  <c r="F31" i="465"/>
  <c r="E8" i="465"/>
  <c r="F39" i="465" s="1"/>
  <c r="G9" i="465"/>
  <c r="H203" i="53" l="1"/>
  <c r="I214" i="354"/>
  <c r="H22" i="466"/>
  <c r="G23" i="466"/>
  <c r="M22" i="466"/>
  <c r="E41" i="465"/>
  <c r="G41" i="465" s="1"/>
  <c r="J203" i="53"/>
  <c r="M203" i="53" s="1"/>
  <c r="G10" i="465"/>
  <c r="M9" i="465"/>
  <c r="H9" i="465"/>
  <c r="R39" i="285"/>
  <c r="R38" i="285"/>
  <c r="R37" i="285"/>
  <c r="R36" i="285"/>
  <c r="R35" i="285"/>
  <c r="R34" i="285"/>
  <c r="R33" i="285"/>
  <c r="R32" i="285"/>
  <c r="R31" i="285"/>
  <c r="R30" i="285"/>
  <c r="R29" i="285"/>
  <c r="R28" i="285"/>
  <c r="R27" i="285"/>
  <c r="R26" i="285"/>
  <c r="R25" i="285"/>
  <c r="R24" i="285"/>
  <c r="R23" i="285"/>
  <c r="R22" i="285"/>
  <c r="R21" i="285"/>
  <c r="R20" i="285"/>
  <c r="R19" i="285"/>
  <c r="R18" i="285"/>
  <c r="R17" i="285"/>
  <c r="R16" i="285"/>
  <c r="R14" i="285"/>
  <c r="R13" i="285"/>
  <c r="R12" i="285"/>
  <c r="R11" i="285"/>
  <c r="R10" i="285"/>
  <c r="R9" i="285"/>
  <c r="K214" i="354" l="1"/>
  <c r="L214" i="354"/>
  <c r="H23" i="466"/>
  <c r="G24" i="466"/>
  <c r="M23" i="466"/>
  <c r="G11" i="465"/>
  <c r="M10" i="465"/>
  <c r="H10" i="465"/>
  <c r="H24" i="466" l="1"/>
  <c r="G25" i="466"/>
  <c r="M24" i="466"/>
  <c r="G12" i="465"/>
  <c r="M11" i="465"/>
  <c r="H11" i="465"/>
  <c r="H25" i="466" l="1"/>
  <c r="G26" i="466"/>
  <c r="M25" i="466"/>
  <c r="G13" i="465"/>
  <c r="M12" i="465"/>
  <c r="H12" i="465"/>
  <c r="H26" i="466" l="1"/>
  <c r="G27" i="466"/>
  <c r="M26" i="466"/>
  <c r="G14" i="465"/>
  <c r="M13" i="465"/>
  <c r="H13" i="465"/>
  <c r="P10" i="285"/>
  <c r="P11" i="285"/>
  <c r="P12" i="285"/>
  <c r="P13" i="285"/>
  <c r="P14" i="285"/>
  <c r="P15" i="285"/>
  <c r="P16" i="285"/>
  <c r="P17" i="285"/>
  <c r="P18" i="285"/>
  <c r="P19" i="285"/>
  <c r="P20" i="285"/>
  <c r="P21" i="285"/>
  <c r="P22" i="285"/>
  <c r="P23" i="285"/>
  <c r="P24" i="285"/>
  <c r="P25" i="285"/>
  <c r="P26" i="285"/>
  <c r="P27" i="285"/>
  <c r="P28" i="285"/>
  <c r="P29" i="285"/>
  <c r="P30" i="285"/>
  <c r="P31" i="285"/>
  <c r="P32" i="285"/>
  <c r="P33" i="285"/>
  <c r="P34" i="285"/>
  <c r="P35" i="285"/>
  <c r="P36" i="285"/>
  <c r="P37" i="285"/>
  <c r="P38" i="285"/>
  <c r="P39" i="285"/>
  <c r="P9" i="285"/>
  <c r="H27" i="466" l="1"/>
  <c r="G28" i="466"/>
  <c r="M27" i="466"/>
  <c r="G15" i="465"/>
  <c r="M14" i="465"/>
  <c r="H14" i="465"/>
  <c r="P10" i="170"/>
  <c r="R10" i="170"/>
  <c r="P11" i="170"/>
  <c r="R11" i="170"/>
  <c r="P12" i="170"/>
  <c r="R12" i="170"/>
  <c r="P13" i="170"/>
  <c r="R13" i="170"/>
  <c r="P14" i="170"/>
  <c r="R14" i="170"/>
  <c r="P15" i="170"/>
  <c r="R15" i="170"/>
  <c r="P16" i="170"/>
  <c r="R16" i="170"/>
  <c r="P17" i="170"/>
  <c r="R17" i="170"/>
  <c r="P18" i="170"/>
  <c r="R18" i="170"/>
  <c r="P10" i="418"/>
  <c r="R10" i="418"/>
  <c r="P11" i="418"/>
  <c r="R11" i="418"/>
  <c r="P12" i="418"/>
  <c r="R12" i="418"/>
  <c r="P13" i="418"/>
  <c r="R13" i="418"/>
  <c r="P14" i="418"/>
  <c r="R14" i="418"/>
  <c r="P15" i="418"/>
  <c r="R15" i="418"/>
  <c r="P16" i="418"/>
  <c r="R16" i="418"/>
  <c r="P17" i="418"/>
  <c r="R17" i="418"/>
  <c r="P18" i="418"/>
  <c r="R18" i="418"/>
  <c r="P19" i="418"/>
  <c r="R19" i="418"/>
  <c r="P20" i="418"/>
  <c r="R20" i="418"/>
  <c r="P21" i="418"/>
  <c r="R21" i="418"/>
  <c r="P22" i="418"/>
  <c r="R22" i="418"/>
  <c r="P23" i="418"/>
  <c r="R23" i="418"/>
  <c r="P24" i="418"/>
  <c r="R24" i="418"/>
  <c r="P25" i="418"/>
  <c r="R25" i="418"/>
  <c r="P26" i="418"/>
  <c r="R26" i="418"/>
  <c r="P27" i="418"/>
  <c r="R27" i="418"/>
  <c r="P28" i="418"/>
  <c r="R28" i="418"/>
  <c r="P29" i="418"/>
  <c r="R29" i="418"/>
  <c r="P30" i="418"/>
  <c r="R30" i="418"/>
  <c r="P31" i="418"/>
  <c r="R31" i="418"/>
  <c r="P32" i="418"/>
  <c r="R32" i="418"/>
  <c r="P33" i="418"/>
  <c r="R33" i="418"/>
  <c r="P34" i="418"/>
  <c r="R34" i="418"/>
  <c r="P35" i="418"/>
  <c r="R35" i="418"/>
  <c r="P36" i="418"/>
  <c r="R36" i="418"/>
  <c r="P37" i="418"/>
  <c r="R37" i="418"/>
  <c r="P38" i="418"/>
  <c r="R38" i="418"/>
  <c r="P39" i="418"/>
  <c r="R39" i="418"/>
  <c r="R38" i="149"/>
  <c r="P38" i="149"/>
  <c r="P9" i="417"/>
  <c r="R9" i="417"/>
  <c r="H28" i="466" l="1"/>
  <c r="G29" i="466"/>
  <c r="M28" i="466"/>
  <c r="G16" i="465"/>
  <c r="M15" i="465"/>
  <c r="H15" i="465"/>
  <c r="F34" i="299"/>
  <c r="H29" i="466" l="1"/>
  <c r="G30" i="466"/>
  <c r="M29" i="466"/>
  <c r="G17" i="465"/>
  <c r="M16" i="465"/>
  <c r="H16" i="465"/>
  <c r="E10" i="240"/>
  <c r="E11" i="240"/>
  <c r="E12" i="240"/>
  <c r="E13" i="240"/>
  <c r="E14" i="240"/>
  <c r="E15" i="240"/>
  <c r="E16" i="240"/>
  <c r="E17" i="240"/>
  <c r="E18" i="240"/>
  <c r="E19" i="240"/>
  <c r="E20" i="240"/>
  <c r="E21" i="240"/>
  <c r="E22" i="240"/>
  <c r="E23" i="240"/>
  <c r="E24" i="240"/>
  <c r="E25" i="240"/>
  <c r="E26" i="240"/>
  <c r="E27" i="240"/>
  <c r="E28" i="240"/>
  <c r="E29" i="240"/>
  <c r="E30" i="240"/>
  <c r="E31" i="240"/>
  <c r="E32" i="240"/>
  <c r="E33" i="240"/>
  <c r="E34" i="240"/>
  <c r="E35" i="240"/>
  <c r="E36" i="240"/>
  <c r="E37" i="240"/>
  <c r="E38" i="240"/>
  <c r="E39" i="240"/>
  <c r="E9" i="240"/>
  <c r="E10" i="294"/>
  <c r="E11" i="294"/>
  <c r="E12" i="294"/>
  <c r="E13" i="294"/>
  <c r="E14" i="294"/>
  <c r="E15" i="294"/>
  <c r="E16" i="294"/>
  <c r="E17" i="294"/>
  <c r="E18" i="294"/>
  <c r="E19" i="294"/>
  <c r="E20" i="294"/>
  <c r="E21" i="294"/>
  <c r="E22" i="294"/>
  <c r="E23" i="294"/>
  <c r="E24" i="294"/>
  <c r="E25" i="294"/>
  <c r="E26" i="294"/>
  <c r="E27" i="294"/>
  <c r="E28" i="294"/>
  <c r="E29" i="294"/>
  <c r="E30" i="294"/>
  <c r="E31" i="294"/>
  <c r="E32" i="294"/>
  <c r="E33" i="294"/>
  <c r="E34" i="294"/>
  <c r="E35" i="294"/>
  <c r="E36" i="294"/>
  <c r="E37" i="294"/>
  <c r="E38" i="294"/>
  <c r="E39" i="294"/>
  <c r="E9" i="294"/>
  <c r="K40" i="294"/>
  <c r="H30" i="466" l="1"/>
  <c r="G31" i="466"/>
  <c r="M30" i="466"/>
  <c r="G18" i="465"/>
  <c r="M17" i="465"/>
  <c r="H17" i="465"/>
  <c r="H31" i="466" l="1"/>
  <c r="G32" i="466"/>
  <c r="M31" i="466"/>
  <c r="G19" i="465"/>
  <c r="M18" i="465"/>
  <c r="H18" i="465"/>
  <c r="H32" i="466" l="1"/>
  <c r="G33" i="466"/>
  <c r="M32" i="466"/>
  <c r="G20" i="465"/>
  <c r="M19" i="465"/>
  <c r="H19" i="465"/>
  <c r="L145" i="53"/>
  <c r="L146" i="53"/>
  <c r="H33" i="466" l="1"/>
  <c r="G34" i="466"/>
  <c r="M33" i="466"/>
  <c r="G21" i="465"/>
  <c r="M20" i="465"/>
  <c r="H20" i="465"/>
  <c r="L42" i="341"/>
  <c r="D42" i="341"/>
  <c r="B42" i="341"/>
  <c r="B146" i="53" s="1"/>
  <c r="L40" i="464"/>
  <c r="K40" i="464"/>
  <c r="J40" i="464"/>
  <c r="I40" i="464"/>
  <c r="D40" i="464"/>
  <c r="E39" i="464"/>
  <c r="B39" i="464"/>
  <c r="E38" i="464"/>
  <c r="B38" i="464"/>
  <c r="E37" i="464"/>
  <c r="B37" i="464"/>
  <c r="E36" i="464"/>
  <c r="B36" i="464"/>
  <c r="E35" i="464"/>
  <c r="B35" i="464"/>
  <c r="E34" i="464"/>
  <c r="B34" i="464"/>
  <c r="E33" i="464"/>
  <c r="B33" i="464"/>
  <c r="E32" i="464"/>
  <c r="B32" i="464"/>
  <c r="E31" i="464"/>
  <c r="B31" i="464"/>
  <c r="E30" i="464"/>
  <c r="B30" i="464"/>
  <c r="E29" i="464"/>
  <c r="B29" i="464"/>
  <c r="E28" i="464"/>
  <c r="B28" i="464"/>
  <c r="E27" i="464"/>
  <c r="B27" i="464"/>
  <c r="E26" i="464"/>
  <c r="B26" i="464"/>
  <c r="E25" i="464"/>
  <c r="B25" i="464"/>
  <c r="E24" i="464"/>
  <c r="B24" i="464"/>
  <c r="E23" i="464"/>
  <c r="B23" i="464"/>
  <c r="E22" i="464"/>
  <c r="B22" i="464"/>
  <c r="E21" i="464"/>
  <c r="B21" i="464"/>
  <c r="E20" i="464"/>
  <c r="B20" i="464"/>
  <c r="E19" i="464"/>
  <c r="B19" i="464"/>
  <c r="E18" i="464"/>
  <c r="B18" i="464"/>
  <c r="E17" i="464"/>
  <c r="B17" i="464"/>
  <c r="E16" i="464"/>
  <c r="B16" i="464"/>
  <c r="E15" i="464"/>
  <c r="B15" i="464"/>
  <c r="E14" i="464"/>
  <c r="B14" i="464"/>
  <c r="E13" i="464"/>
  <c r="B13" i="464"/>
  <c r="E12" i="464"/>
  <c r="B12" i="464"/>
  <c r="E11" i="464"/>
  <c r="B11" i="464"/>
  <c r="E10" i="464"/>
  <c r="B10" i="464"/>
  <c r="F9" i="464"/>
  <c r="F38" i="464" s="1"/>
  <c r="E9" i="464"/>
  <c r="B9" i="464"/>
  <c r="D8" i="464"/>
  <c r="I5" i="464"/>
  <c r="G5" i="464"/>
  <c r="F5" i="464"/>
  <c r="E5" i="464"/>
  <c r="D5" i="464"/>
  <c r="C5" i="464"/>
  <c r="B5" i="464"/>
  <c r="C4" i="464"/>
  <c r="L178" i="53"/>
  <c r="H34" i="466" l="1"/>
  <c r="G35" i="466"/>
  <c r="M34" i="466"/>
  <c r="G22" i="465"/>
  <c r="M21" i="465"/>
  <c r="H21" i="465"/>
  <c r="E40" i="464"/>
  <c r="E41" i="464" s="1"/>
  <c r="D41" i="464"/>
  <c r="E211" i="354"/>
  <c r="D146" i="53"/>
  <c r="F42" i="341"/>
  <c r="G211" i="354" s="1"/>
  <c r="G9" i="464"/>
  <c r="F10" i="464"/>
  <c r="F11" i="464"/>
  <c r="F12" i="464"/>
  <c r="F13" i="464"/>
  <c r="F14" i="464"/>
  <c r="F15" i="464"/>
  <c r="F16" i="464"/>
  <c r="F17" i="464"/>
  <c r="F18" i="464"/>
  <c r="F19" i="464"/>
  <c r="F20" i="464"/>
  <c r="F21" i="464"/>
  <c r="F22" i="464"/>
  <c r="F23" i="464"/>
  <c r="F24" i="464"/>
  <c r="F25" i="464"/>
  <c r="F26" i="464"/>
  <c r="F27" i="464"/>
  <c r="F28" i="464"/>
  <c r="F29" i="464"/>
  <c r="F30" i="464"/>
  <c r="F31" i="464"/>
  <c r="F32" i="464"/>
  <c r="F33" i="464"/>
  <c r="F34" i="464"/>
  <c r="F35" i="464"/>
  <c r="F36" i="464"/>
  <c r="F37" i="464"/>
  <c r="L109" i="53"/>
  <c r="D109" i="53"/>
  <c r="E213" i="354" s="1"/>
  <c r="B109" i="53"/>
  <c r="C4" i="264"/>
  <c r="C4" i="463"/>
  <c r="AA40" i="463"/>
  <c r="Z40" i="463"/>
  <c r="Y40" i="463"/>
  <c r="X40" i="463"/>
  <c r="W40" i="463"/>
  <c r="V40" i="463"/>
  <c r="U40" i="463"/>
  <c r="T40" i="463"/>
  <c r="S40" i="463"/>
  <c r="R40" i="463"/>
  <c r="Q40" i="463"/>
  <c r="P40" i="463"/>
  <c r="O40" i="463"/>
  <c r="N40" i="463"/>
  <c r="M40" i="463"/>
  <c r="K40" i="463"/>
  <c r="J40" i="463"/>
  <c r="I40" i="463"/>
  <c r="E39" i="463"/>
  <c r="D39" i="463"/>
  <c r="B39" i="463"/>
  <c r="L39" i="463" s="1"/>
  <c r="E38" i="463"/>
  <c r="D38" i="463"/>
  <c r="B38" i="463"/>
  <c r="L38" i="463" s="1"/>
  <c r="E37" i="463"/>
  <c r="D37" i="463"/>
  <c r="B37" i="463"/>
  <c r="L37" i="463" s="1"/>
  <c r="E36" i="463"/>
  <c r="D36" i="463"/>
  <c r="B36" i="463"/>
  <c r="L36" i="463" s="1"/>
  <c r="E35" i="463"/>
  <c r="D35" i="463"/>
  <c r="B35" i="463"/>
  <c r="L35" i="463" s="1"/>
  <c r="E34" i="463"/>
  <c r="D34" i="463"/>
  <c r="B34" i="463"/>
  <c r="L34" i="463" s="1"/>
  <c r="E33" i="463"/>
  <c r="D33" i="463"/>
  <c r="B33" i="463"/>
  <c r="L33" i="463" s="1"/>
  <c r="E32" i="463"/>
  <c r="D32" i="463"/>
  <c r="B32" i="463"/>
  <c r="L32" i="463" s="1"/>
  <c r="E31" i="463"/>
  <c r="D31" i="463"/>
  <c r="B31" i="463"/>
  <c r="L31" i="463" s="1"/>
  <c r="E30" i="463"/>
  <c r="D30" i="463"/>
  <c r="B30" i="463"/>
  <c r="L30" i="463" s="1"/>
  <c r="E29" i="463"/>
  <c r="D29" i="463"/>
  <c r="B29" i="463"/>
  <c r="L29" i="463" s="1"/>
  <c r="E28" i="463"/>
  <c r="D28" i="463"/>
  <c r="B28" i="463"/>
  <c r="L28" i="463" s="1"/>
  <c r="E27" i="463"/>
  <c r="D27" i="463"/>
  <c r="B27" i="463"/>
  <c r="L27" i="463" s="1"/>
  <c r="E26" i="463"/>
  <c r="D26" i="463"/>
  <c r="B26" i="463"/>
  <c r="L26" i="463" s="1"/>
  <c r="E25" i="463"/>
  <c r="D25" i="463"/>
  <c r="B25" i="463"/>
  <c r="L25" i="463" s="1"/>
  <c r="E24" i="463"/>
  <c r="D24" i="463"/>
  <c r="B24" i="463"/>
  <c r="L24" i="463" s="1"/>
  <c r="E23" i="463"/>
  <c r="D23" i="463"/>
  <c r="B23" i="463"/>
  <c r="L23" i="463" s="1"/>
  <c r="E22" i="463"/>
  <c r="D22" i="463"/>
  <c r="B22" i="463"/>
  <c r="L22" i="463" s="1"/>
  <c r="E21" i="463"/>
  <c r="D21" i="463"/>
  <c r="B21" i="463"/>
  <c r="L21" i="463" s="1"/>
  <c r="E20" i="463"/>
  <c r="D20" i="463"/>
  <c r="B20" i="463"/>
  <c r="L20" i="463" s="1"/>
  <c r="E19" i="463"/>
  <c r="D19" i="463"/>
  <c r="B19" i="463"/>
  <c r="L19" i="463" s="1"/>
  <c r="E18" i="463"/>
  <c r="D18" i="463"/>
  <c r="B18" i="463"/>
  <c r="L18" i="463" s="1"/>
  <c r="E17" i="463"/>
  <c r="D17" i="463"/>
  <c r="B17" i="463"/>
  <c r="L17" i="463" s="1"/>
  <c r="E16" i="463"/>
  <c r="D16" i="463"/>
  <c r="B16" i="463"/>
  <c r="L16" i="463" s="1"/>
  <c r="E15" i="463"/>
  <c r="D15" i="463"/>
  <c r="B15" i="463"/>
  <c r="L15" i="463" s="1"/>
  <c r="E14" i="463"/>
  <c r="D14" i="463"/>
  <c r="B14" i="463"/>
  <c r="L14" i="463" s="1"/>
  <c r="E13" i="463"/>
  <c r="D13" i="463"/>
  <c r="B13" i="463"/>
  <c r="L13" i="463" s="1"/>
  <c r="E12" i="463"/>
  <c r="D12" i="463"/>
  <c r="B12" i="463"/>
  <c r="L12" i="463" s="1"/>
  <c r="E11" i="463"/>
  <c r="D11" i="463"/>
  <c r="B11" i="463"/>
  <c r="L11" i="463" s="1"/>
  <c r="E10" i="463"/>
  <c r="D10" i="463"/>
  <c r="B10" i="463"/>
  <c r="L10" i="463" s="1"/>
  <c r="F9" i="463"/>
  <c r="E9" i="463"/>
  <c r="D9" i="463"/>
  <c r="B9" i="463"/>
  <c r="L9" i="463" s="1"/>
  <c r="D8" i="463"/>
  <c r="I5" i="463"/>
  <c r="H5" i="463"/>
  <c r="G5" i="463"/>
  <c r="F5" i="463"/>
  <c r="E5" i="463"/>
  <c r="D5" i="463"/>
  <c r="C5" i="463"/>
  <c r="B5" i="463"/>
  <c r="P4" i="463"/>
  <c r="H35" i="466" l="1"/>
  <c r="G36" i="466"/>
  <c r="M35" i="466"/>
  <c r="G41" i="464"/>
  <c r="G23" i="465"/>
  <c r="M22" i="465"/>
  <c r="H22" i="465"/>
  <c r="E8" i="464"/>
  <c r="F39" i="464" s="1"/>
  <c r="H42" i="341"/>
  <c r="J42" i="341" s="1"/>
  <c r="M42" i="341" s="1"/>
  <c r="F146" i="53"/>
  <c r="E40" i="463"/>
  <c r="E41" i="463" s="1"/>
  <c r="H9" i="464"/>
  <c r="M9" i="464"/>
  <c r="G10" i="464"/>
  <c r="M42" i="463"/>
  <c r="Y41" i="463"/>
  <c r="G9" i="463"/>
  <c r="G10" i="463" s="1"/>
  <c r="G11" i="463" s="1"/>
  <c r="G12" i="463" s="1"/>
  <c r="G13" i="463" s="1"/>
  <c r="G14" i="463" s="1"/>
  <c r="G15" i="463" s="1"/>
  <c r="G16" i="463" s="1"/>
  <c r="G17" i="463" s="1"/>
  <c r="G18" i="463" s="1"/>
  <c r="G19" i="463" s="1"/>
  <c r="AB19" i="463" s="1"/>
  <c r="F39" i="463"/>
  <c r="F38" i="463"/>
  <c r="F37" i="463"/>
  <c r="F36" i="463"/>
  <c r="F35" i="463"/>
  <c r="F34" i="463"/>
  <c r="F33" i="463"/>
  <c r="F32" i="463"/>
  <c r="F31" i="463"/>
  <c r="F30" i="463"/>
  <c r="F29" i="463"/>
  <c r="F28" i="463"/>
  <c r="F27" i="463"/>
  <c r="F26" i="463"/>
  <c r="F25" i="463"/>
  <c r="F21" i="463"/>
  <c r="F20" i="463"/>
  <c r="F10" i="463"/>
  <c r="F11" i="463"/>
  <c r="F12" i="463"/>
  <c r="F13" i="463"/>
  <c r="F14" i="463"/>
  <c r="F15" i="463"/>
  <c r="F16" i="463"/>
  <c r="F17" i="463"/>
  <c r="F18" i="463"/>
  <c r="F19" i="463"/>
  <c r="F22" i="463"/>
  <c r="F23" i="463"/>
  <c r="F24" i="463"/>
  <c r="D40" i="463"/>
  <c r="L75" i="341"/>
  <c r="D75" i="341"/>
  <c r="B75" i="341"/>
  <c r="B178" i="53" s="1"/>
  <c r="L40" i="462"/>
  <c r="K40" i="462"/>
  <c r="J40" i="462"/>
  <c r="I40" i="462"/>
  <c r="D40" i="462"/>
  <c r="F75" i="341" s="1"/>
  <c r="E39" i="462"/>
  <c r="B39" i="462"/>
  <c r="E38" i="462"/>
  <c r="B38" i="462"/>
  <c r="E37" i="462"/>
  <c r="B37" i="462"/>
  <c r="E36" i="462"/>
  <c r="B36" i="462"/>
  <c r="E35" i="462"/>
  <c r="B35" i="462"/>
  <c r="E34" i="462"/>
  <c r="B34" i="462"/>
  <c r="E33" i="462"/>
  <c r="B33" i="462"/>
  <c r="E32" i="462"/>
  <c r="B32" i="462"/>
  <c r="E31" i="462"/>
  <c r="B31" i="462"/>
  <c r="E30" i="462"/>
  <c r="B30" i="462"/>
  <c r="E29" i="462"/>
  <c r="B29" i="462"/>
  <c r="E28" i="462"/>
  <c r="B28" i="462"/>
  <c r="E27" i="462"/>
  <c r="B27" i="462"/>
  <c r="E26" i="462"/>
  <c r="B26" i="462"/>
  <c r="E25" i="462"/>
  <c r="B25" i="462"/>
  <c r="E24" i="462"/>
  <c r="B24" i="462"/>
  <c r="E23" i="462"/>
  <c r="B23" i="462"/>
  <c r="E22" i="462"/>
  <c r="B22" i="462"/>
  <c r="E21" i="462"/>
  <c r="B21" i="462"/>
  <c r="E20" i="462"/>
  <c r="B20" i="462"/>
  <c r="E19" i="462"/>
  <c r="B19" i="462"/>
  <c r="E18" i="462"/>
  <c r="B18" i="462"/>
  <c r="E17" i="462"/>
  <c r="B17" i="462"/>
  <c r="E16" i="462"/>
  <c r="B16" i="462"/>
  <c r="E15" i="462"/>
  <c r="B15" i="462"/>
  <c r="E14" i="462"/>
  <c r="B14" i="462"/>
  <c r="E13" i="462"/>
  <c r="B13" i="462"/>
  <c r="E12" i="462"/>
  <c r="B12" i="462"/>
  <c r="E11" i="462"/>
  <c r="B11" i="462"/>
  <c r="E10" i="462"/>
  <c r="B10" i="462"/>
  <c r="F9" i="462"/>
  <c r="F38" i="462" s="1"/>
  <c r="E9" i="462"/>
  <c r="B9" i="462"/>
  <c r="D8" i="462"/>
  <c r="I5" i="462"/>
  <c r="G5" i="462"/>
  <c r="F5" i="462"/>
  <c r="E5" i="462"/>
  <c r="D5" i="462"/>
  <c r="C5" i="462"/>
  <c r="B5" i="462"/>
  <c r="C4" i="462"/>
  <c r="H36" i="466" l="1"/>
  <c r="G37" i="466"/>
  <c r="M36" i="466"/>
  <c r="D178" i="53"/>
  <c r="E212" i="354"/>
  <c r="G24" i="465"/>
  <c r="M23" i="465"/>
  <c r="H23" i="465"/>
  <c r="I211" i="354"/>
  <c r="H146" i="53"/>
  <c r="J146" i="53" s="1"/>
  <c r="M146" i="53" s="1"/>
  <c r="F178" i="53"/>
  <c r="G212" i="354"/>
  <c r="E8" i="463"/>
  <c r="H109" i="53"/>
  <c r="I213" i="354" s="1"/>
  <c r="L213" i="354" s="1"/>
  <c r="G20" i="463"/>
  <c r="AB20" i="463" s="1"/>
  <c r="AB18" i="463"/>
  <c r="AB17" i="463"/>
  <c r="AB16" i="463"/>
  <c r="AB15" i="463"/>
  <c r="AB14" i="463"/>
  <c r="AB13" i="463"/>
  <c r="AB12" i="463"/>
  <c r="AB11" i="463"/>
  <c r="AB10" i="463"/>
  <c r="AB9" i="463"/>
  <c r="H10" i="464"/>
  <c r="M10" i="464"/>
  <c r="G11" i="464"/>
  <c r="D41" i="463"/>
  <c r="G41" i="463" s="1"/>
  <c r="F109" i="53"/>
  <c r="H19" i="463"/>
  <c r="H18" i="463"/>
  <c r="H17" i="463"/>
  <c r="H16" i="463"/>
  <c r="H15" i="463"/>
  <c r="H14" i="463"/>
  <c r="H13" i="463"/>
  <c r="H12" i="463"/>
  <c r="H11" i="463"/>
  <c r="H10" i="463"/>
  <c r="H9" i="463"/>
  <c r="D41" i="462"/>
  <c r="E40" i="462"/>
  <c r="H75" i="341" s="1"/>
  <c r="I212" i="354" s="1"/>
  <c r="G9" i="462"/>
  <c r="F10" i="462"/>
  <c r="F11" i="462"/>
  <c r="F12" i="462"/>
  <c r="F13" i="462"/>
  <c r="F14" i="462"/>
  <c r="F15" i="462"/>
  <c r="F16" i="462"/>
  <c r="F17" i="462"/>
  <c r="F18" i="462"/>
  <c r="F19" i="462"/>
  <c r="F20" i="462"/>
  <c r="F21" i="462"/>
  <c r="F22" i="462"/>
  <c r="F23" i="462"/>
  <c r="F24" i="462"/>
  <c r="F25" i="462"/>
  <c r="F26" i="462"/>
  <c r="F27" i="462"/>
  <c r="F28" i="462"/>
  <c r="F29" i="462"/>
  <c r="F30" i="462"/>
  <c r="F31" i="462"/>
  <c r="F32" i="462"/>
  <c r="F33" i="462"/>
  <c r="F34" i="462"/>
  <c r="F35" i="462"/>
  <c r="F36" i="462"/>
  <c r="F37" i="462"/>
  <c r="K211" i="354" l="1"/>
  <c r="L211" i="354"/>
  <c r="H37" i="466"/>
  <c r="G38" i="466"/>
  <c r="M37" i="466"/>
  <c r="G25" i="465"/>
  <c r="M24" i="465"/>
  <c r="H24" i="465"/>
  <c r="K212" i="354"/>
  <c r="H20" i="463"/>
  <c r="G21" i="463"/>
  <c r="H21" i="463" s="1"/>
  <c r="J109" i="53"/>
  <c r="M109" i="53" s="1"/>
  <c r="G213" i="354"/>
  <c r="K213" i="354" s="1"/>
  <c r="H11" i="464"/>
  <c r="M11" i="464"/>
  <c r="G12" i="464"/>
  <c r="J75" i="341"/>
  <c r="M75" i="341" s="1"/>
  <c r="H178" i="53"/>
  <c r="J178" i="53" s="1"/>
  <c r="M178" i="53" s="1"/>
  <c r="G22" i="463"/>
  <c r="H9" i="462"/>
  <c r="G10" i="462"/>
  <c r="M9" i="462"/>
  <c r="E41" i="462"/>
  <c r="G41" i="462" s="1"/>
  <c r="E8" i="462"/>
  <c r="F39" i="462" s="1"/>
  <c r="D25" i="367"/>
  <c r="D26" i="367"/>
  <c r="H38" i="466" l="1"/>
  <c r="G39" i="466"/>
  <c r="M38" i="466"/>
  <c r="G26" i="465"/>
  <c r="M25" i="465"/>
  <c r="H25" i="465"/>
  <c r="AB21" i="463"/>
  <c r="H12" i="464"/>
  <c r="M12" i="464"/>
  <c r="G13" i="464"/>
  <c r="G23" i="463"/>
  <c r="AB22" i="463"/>
  <c r="H22" i="463"/>
  <c r="H10" i="462"/>
  <c r="G11" i="462"/>
  <c r="M10" i="462"/>
  <c r="G40" i="466" l="1"/>
  <c r="H39" i="466"/>
  <c r="M39" i="466"/>
  <c r="G27" i="465"/>
  <c r="M26" i="465"/>
  <c r="H26" i="465"/>
  <c r="H13" i="464"/>
  <c r="M13" i="464"/>
  <c r="G14" i="464"/>
  <c r="G24" i="463"/>
  <c r="AB23" i="463"/>
  <c r="H23" i="463"/>
  <c r="H11" i="462"/>
  <c r="G12" i="462"/>
  <c r="M11" i="462"/>
  <c r="G28" i="465" l="1"/>
  <c r="M27" i="465"/>
  <c r="H27" i="465"/>
  <c r="H14" i="464"/>
  <c r="M14" i="464"/>
  <c r="G15" i="464"/>
  <c r="AB24" i="463"/>
  <c r="G25" i="463"/>
  <c r="H24" i="463"/>
  <c r="H12" i="462"/>
  <c r="G13" i="462"/>
  <c r="M12" i="462"/>
  <c r="G29" i="465" l="1"/>
  <c r="M28" i="465"/>
  <c r="H28" i="465"/>
  <c r="H15" i="464"/>
  <c r="M15" i="464"/>
  <c r="G16" i="464"/>
  <c r="AB25" i="463"/>
  <c r="H25" i="463"/>
  <c r="G26" i="463"/>
  <c r="H13" i="462"/>
  <c r="G14" i="462"/>
  <c r="M13" i="462"/>
  <c r="E39" i="211"/>
  <c r="E38" i="211"/>
  <c r="E37" i="211"/>
  <c r="E36" i="211"/>
  <c r="E35" i="211"/>
  <c r="E34" i="211"/>
  <c r="E33" i="211"/>
  <c r="E32" i="211"/>
  <c r="E31" i="211"/>
  <c r="E30" i="211"/>
  <c r="E29" i="211"/>
  <c r="E28" i="211"/>
  <c r="E27" i="211"/>
  <c r="E26" i="211"/>
  <c r="E25" i="211"/>
  <c r="E24" i="211"/>
  <c r="E23" i="211"/>
  <c r="E22" i="211"/>
  <c r="E21" i="211"/>
  <c r="E20" i="211"/>
  <c r="E19" i="211"/>
  <c r="E18" i="211"/>
  <c r="E17" i="211"/>
  <c r="E16" i="211"/>
  <c r="E15" i="211"/>
  <c r="E14" i="211"/>
  <c r="E13" i="211"/>
  <c r="E12" i="211"/>
  <c r="E11" i="211"/>
  <c r="E10" i="211"/>
  <c r="F9" i="211"/>
  <c r="F39" i="211" s="1"/>
  <c r="E9" i="211"/>
  <c r="G9" i="211" s="1"/>
  <c r="E39" i="204"/>
  <c r="D39" i="204"/>
  <c r="E38" i="204"/>
  <c r="D38" i="204"/>
  <c r="E37" i="204"/>
  <c r="D37" i="204"/>
  <c r="E36" i="204"/>
  <c r="D36" i="204"/>
  <c r="E35" i="204"/>
  <c r="D35" i="204"/>
  <c r="E34" i="204"/>
  <c r="D34" i="204"/>
  <c r="E33" i="204"/>
  <c r="D33" i="204"/>
  <c r="E32" i="204"/>
  <c r="D32" i="204"/>
  <c r="E31" i="204"/>
  <c r="D31" i="204"/>
  <c r="E30" i="204"/>
  <c r="D30" i="204"/>
  <c r="E29" i="204"/>
  <c r="D29" i="204"/>
  <c r="E28" i="204"/>
  <c r="D28" i="204"/>
  <c r="E27" i="204"/>
  <c r="D27" i="204"/>
  <c r="E26" i="204"/>
  <c r="D26" i="204"/>
  <c r="E25" i="204"/>
  <c r="D25" i="204"/>
  <c r="E24" i="204"/>
  <c r="D24" i="204"/>
  <c r="E23" i="204"/>
  <c r="D23" i="204"/>
  <c r="E22" i="204"/>
  <c r="D22" i="204"/>
  <c r="E21" i="204"/>
  <c r="D21" i="204"/>
  <c r="E20" i="204"/>
  <c r="D20" i="204"/>
  <c r="E19" i="204"/>
  <c r="D19" i="204"/>
  <c r="E18" i="204"/>
  <c r="D18" i="204"/>
  <c r="E17" i="204"/>
  <c r="D17" i="204"/>
  <c r="E16" i="204"/>
  <c r="D16" i="204"/>
  <c r="E15" i="204"/>
  <c r="D15" i="204"/>
  <c r="E14" i="204"/>
  <c r="D14" i="204"/>
  <c r="E13" i="204"/>
  <c r="D13" i="204"/>
  <c r="E12" i="204"/>
  <c r="D12" i="204"/>
  <c r="E11" i="204"/>
  <c r="D11" i="204"/>
  <c r="E10" i="204"/>
  <c r="D10" i="204"/>
  <c r="F9" i="204"/>
  <c r="F10" i="204" s="1"/>
  <c r="E9" i="204"/>
  <c r="D9" i="204"/>
  <c r="E39" i="264"/>
  <c r="D39" i="264"/>
  <c r="E38" i="264"/>
  <c r="D38" i="264"/>
  <c r="E37" i="264"/>
  <c r="D37" i="264"/>
  <c r="E36" i="264"/>
  <c r="D36" i="264"/>
  <c r="E35" i="264"/>
  <c r="D35" i="264"/>
  <c r="E34" i="264"/>
  <c r="D34" i="264"/>
  <c r="E33" i="264"/>
  <c r="D33" i="264"/>
  <c r="E32" i="264"/>
  <c r="D32" i="264"/>
  <c r="E31" i="264"/>
  <c r="D31" i="264"/>
  <c r="E30" i="264"/>
  <c r="D30" i="264"/>
  <c r="E29" i="264"/>
  <c r="D29" i="264"/>
  <c r="E28" i="264"/>
  <c r="D28" i="264"/>
  <c r="E27" i="264"/>
  <c r="D27" i="264"/>
  <c r="E26" i="264"/>
  <c r="D26" i="264"/>
  <c r="E25" i="264"/>
  <c r="D25" i="264"/>
  <c r="E24" i="264"/>
  <c r="D24" i="264"/>
  <c r="E23" i="264"/>
  <c r="D23" i="264"/>
  <c r="E22" i="264"/>
  <c r="D22" i="264"/>
  <c r="E21" i="264"/>
  <c r="D21" i="264"/>
  <c r="E20" i="264"/>
  <c r="D20" i="264"/>
  <c r="D19" i="264"/>
  <c r="E19" i="264"/>
  <c r="E18" i="264"/>
  <c r="D18" i="264"/>
  <c r="E17" i="264"/>
  <c r="D17" i="264"/>
  <c r="E16" i="264"/>
  <c r="D16" i="264"/>
  <c r="E15" i="264"/>
  <c r="D15" i="264"/>
  <c r="E14" i="264"/>
  <c r="D14" i="264"/>
  <c r="E13" i="264"/>
  <c r="D13" i="264"/>
  <c r="E12" i="264"/>
  <c r="D12" i="264"/>
  <c r="E11" i="264"/>
  <c r="D11" i="264"/>
  <c r="E10" i="264"/>
  <c r="D10" i="264"/>
  <c r="F9" i="264"/>
  <c r="F12" i="264" s="1"/>
  <c r="E9" i="264"/>
  <c r="D9" i="264"/>
  <c r="E39" i="458"/>
  <c r="E38" i="458"/>
  <c r="E37" i="458"/>
  <c r="E36" i="458"/>
  <c r="E35" i="458"/>
  <c r="E34" i="458"/>
  <c r="E33" i="458"/>
  <c r="E32" i="458"/>
  <c r="E31" i="458"/>
  <c r="E30" i="458"/>
  <c r="E29" i="458"/>
  <c r="E28" i="458"/>
  <c r="E27" i="458"/>
  <c r="E26" i="458"/>
  <c r="E25" i="458"/>
  <c r="E24" i="458"/>
  <c r="E23" i="458"/>
  <c r="E22" i="458"/>
  <c r="E21" i="458"/>
  <c r="E20" i="458"/>
  <c r="E19" i="458"/>
  <c r="E18" i="458"/>
  <c r="E17" i="458"/>
  <c r="E16" i="458"/>
  <c r="E15" i="458"/>
  <c r="E14" i="458"/>
  <c r="E13" i="458"/>
  <c r="E12" i="458"/>
  <c r="E11" i="458"/>
  <c r="E10" i="458"/>
  <c r="F9" i="458"/>
  <c r="F38" i="458" s="1"/>
  <c r="E9" i="458"/>
  <c r="G9" i="458" s="1"/>
  <c r="E39" i="454"/>
  <c r="E38" i="454"/>
  <c r="E37" i="454"/>
  <c r="E36" i="454"/>
  <c r="E35" i="454"/>
  <c r="E34" i="454"/>
  <c r="E33" i="454"/>
  <c r="E32" i="454"/>
  <c r="E31" i="454"/>
  <c r="E30" i="454"/>
  <c r="E29" i="454"/>
  <c r="E28" i="454"/>
  <c r="E27" i="454"/>
  <c r="E26" i="454"/>
  <c r="E25" i="454"/>
  <c r="E24" i="454"/>
  <c r="E23" i="454"/>
  <c r="E22" i="454"/>
  <c r="E21" i="454"/>
  <c r="E20" i="454"/>
  <c r="E19" i="454"/>
  <c r="E18" i="454"/>
  <c r="E17" i="454"/>
  <c r="E16" i="454"/>
  <c r="E15" i="454"/>
  <c r="E14" i="454"/>
  <c r="E13" i="454"/>
  <c r="E12" i="454"/>
  <c r="E11" i="454"/>
  <c r="E10" i="454"/>
  <c r="F9" i="454"/>
  <c r="F38" i="454" s="1"/>
  <c r="E9" i="454"/>
  <c r="G9" i="454" s="1"/>
  <c r="E39" i="450"/>
  <c r="E38" i="450"/>
  <c r="E37" i="450"/>
  <c r="E36" i="450"/>
  <c r="E35" i="450"/>
  <c r="E34" i="450"/>
  <c r="E33" i="450"/>
  <c r="E32" i="450"/>
  <c r="E31" i="450"/>
  <c r="E30" i="450"/>
  <c r="E29" i="450"/>
  <c r="E28" i="450"/>
  <c r="E27" i="450"/>
  <c r="E26" i="450"/>
  <c r="E25" i="450"/>
  <c r="E24" i="450"/>
  <c r="E23" i="450"/>
  <c r="E22" i="450"/>
  <c r="E21" i="450"/>
  <c r="E20" i="450"/>
  <c r="E19" i="450"/>
  <c r="E18" i="450"/>
  <c r="E17" i="450"/>
  <c r="E16" i="450"/>
  <c r="E15" i="450"/>
  <c r="E14" i="450"/>
  <c r="E13" i="450"/>
  <c r="E12" i="450"/>
  <c r="E11" i="450"/>
  <c r="E10" i="450"/>
  <c r="F9" i="450"/>
  <c r="F12" i="450" s="1"/>
  <c r="E9" i="450"/>
  <c r="G9" i="450" s="1"/>
  <c r="G10" i="450" s="1"/>
  <c r="E39" i="423"/>
  <c r="E38" i="423"/>
  <c r="E37" i="423"/>
  <c r="E36" i="423"/>
  <c r="E35" i="423"/>
  <c r="E34" i="423"/>
  <c r="E33" i="423"/>
  <c r="E32" i="423"/>
  <c r="E31" i="423"/>
  <c r="E30" i="423"/>
  <c r="E29" i="423"/>
  <c r="E28" i="423"/>
  <c r="E27" i="423"/>
  <c r="E26" i="423"/>
  <c r="E25" i="423"/>
  <c r="E24" i="423"/>
  <c r="E23" i="423"/>
  <c r="E22" i="423"/>
  <c r="E21" i="423"/>
  <c r="E20" i="423"/>
  <c r="E19" i="423"/>
  <c r="E18" i="423"/>
  <c r="E17" i="423"/>
  <c r="E16" i="423"/>
  <c r="E15" i="423"/>
  <c r="E14" i="423"/>
  <c r="E13" i="423"/>
  <c r="E12" i="423"/>
  <c r="E11" i="423"/>
  <c r="E10" i="423"/>
  <c r="F9" i="423"/>
  <c r="F10" i="423" s="1"/>
  <c r="E9" i="423"/>
  <c r="G9" i="423" s="1"/>
  <c r="G10" i="423" s="1"/>
  <c r="H10" i="423" s="1"/>
  <c r="E9" i="440"/>
  <c r="F9" i="440"/>
  <c r="G9" i="440"/>
  <c r="H9" i="440" s="1"/>
  <c r="E10" i="440"/>
  <c r="F10" i="440"/>
  <c r="E11" i="440"/>
  <c r="F11" i="440"/>
  <c r="E12" i="440"/>
  <c r="F12" i="440"/>
  <c r="E13" i="440"/>
  <c r="F13" i="440"/>
  <c r="E14" i="440"/>
  <c r="F14" i="440"/>
  <c r="E15" i="440"/>
  <c r="F15" i="440"/>
  <c r="E16" i="440"/>
  <c r="F16" i="440"/>
  <c r="E17" i="440"/>
  <c r="F17" i="440"/>
  <c r="E18" i="440"/>
  <c r="F18" i="440"/>
  <c r="E19" i="440"/>
  <c r="F19" i="440"/>
  <c r="E20" i="440"/>
  <c r="F20" i="440"/>
  <c r="E21" i="440"/>
  <c r="F21" i="440"/>
  <c r="E22" i="440"/>
  <c r="F22" i="440"/>
  <c r="E23" i="440"/>
  <c r="F23" i="440"/>
  <c r="E24" i="440"/>
  <c r="F24" i="440"/>
  <c r="E25" i="440"/>
  <c r="F25" i="440"/>
  <c r="E26" i="440"/>
  <c r="F26" i="440"/>
  <c r="E27" i="440"/>
  <c r="F27" i="440"/>
  <c r="E28" i="440"/>
  <c r="F28" i="440"/>
  <c r="E29" i="440"/>
  <c r="F29" i="440"/>
  <c r="E30" i="440"/>
  <c r="F30" i="440"/>
  <c r="E31" i="440"/>
  <c r="F31" i="440"/>
  <c r="E32" i="440"/>
  <c r="F32" i="440"/>
  <c r="E33" i="440"/>
  <c r="F33" i="440"/>
  <c r="E34" i="440"/>
  <c r="F34" i="440"/>
  <c r="E35" i="440"/>
  <c r="F35" i="440"/>
  <c r="E36" i="440"/>
  <c r="F36" i="440"/>
  <c r="E37" i="440"/>
  <c r="F37" i="440"/>
  <c r="E38" i="440"/>
  <c r="F38" i="440"/>
  <c r="E39" i="440"/>
  <c r="E39" i="403"/>
  <c r="E38" i="403"/>
  <c r="E37" i="403"/>
  <c r="E36" i="403"/>
  <c r="E35" i="403"/>
  <c r="E34" i="403"/>
  <c r="E33" i="403"/>
  <c r="E32" i="403"/>
  <c r="E31" i="403"/>
  <c r="E30" i="403"/>
  <c r="E29" i="403"/>
  <c r="E28" i="403"/>
  <c r="E27" i="403"/>
  <c r="E26" i="403"/>
  <c r="E25" i="403"/>
  <c r="E24" i="403"/>
  <c r="E23" i="403"/>
  <c r="E22" i="403"/>
  <c r="E21" i="403"/>
  <c r="E20" i="403"/>
  <c r="E19" i="403"/>
  <c r="E18" i="403"/>
  <c r="E17" i="403"/>
  <c r="E16" i="403"/>
  <c r="E15" i="403"/>
  <c r="E14" i="403"/>
  <c r="E13" i="403"/>
  <c r="E12" i="403"/>
  <c r="E11" i="403"/>
  <c r="E10" i="403"/>
  <c r="F9" i="403"/>
  <c r="F38" i="403" s="1"/>
  <c r="E9" i="403"/>
  <c r="G9" i="403" s="1"/>
  <c r="E39" i="390"/>
  <c r="E38" i="390"/>
  <c r="E37" i="390"/>
  <c r="E36" i="390"/>
  <c r="E35" i="390"/>
  <c r="E34" i="390"/>
  <c r="E33" i="390"/>
  <c r="E32" i="390"/>
  <c r="E31" i="390"/>
  <c r="E30" i="390"/>
  <c r="E29" i="390"/>
  <c r="E28" i="390"/>
  <c r="E27" i="390"/>
  <c r="E26" i="390"/>
  <c r="E25" i="390"/>
  <c r="E24" i="390"/>
  <c r="E23" i="390"/>
  <c r="E22" i="390"/>
  <c r="E21" i="390"/>
  <c r="E20" i="390"/>
  <c r="E19" i="390"/>
  <c r="E18" i="390"/>
  <c r="E17" i="390"/>
  <c r="E16" i="390"/>
  <c r="E15" i="390"/>
  <c r="E14" i="390"/>
  <c r="E13" i="390"/>
  <c r="E12" i="390"/>
  <c r="E11" i="390"/>
  <c r="E10" i="390"/>
  <c r="F9" i="390"/>
  <c r="F10" i="390" s="1"/>
  <c r="E9" i="390"/>
  <c r="G9" i="390" s="1"/>
  <c r="G10" i="390" s="1"/>
  <c r="E39" i="439"/>
  <c r="D39" i="439"/>
  <c r="E38" i="439"/>
  <c r="D38" i="439"/>
  <c r="E37" i="439"/>
  <c r="D37" i="439"/>
  <c r="E36" i="439"/>
  <c r="D36" i="439"/>
  <c r="E35" i="439"/>
  <c r="D35" i="439"/>
  <c r="E34" i="439"/>
  <c r="D34" i="439"/>
  <c r="E33" i="439"/>
  <c r="D33" i="439"/>
  <c r="E32" i="439"/>
  <c r="D32" i="439"/>
  <c r="E31" i="439"/>
  <c r="D31" i="439"/>
  <c r="E30" i="439"/>
  <c r="D30" i="439"/>
  <c r="E29" i="439"/>
  <c r="D29" i="439"/>
  <c r="E28" i="439"/>
  <c r="D28" i="439"/>
  <c r="E27" i="439"/>
  <c r="D27" i="439"/>
  <c r="E26" i="439"/>
  <c r="D26" i="439"/>
  <c r="E25" i="439"/>
  <c r="D25" i="439"/>
  <c r="E24" i="439"/>
  <c r="D24" i="439"/>
  <c r="E23" i="439"/>
  <c r="D23" i="439"/>
  <c r="E22" i="439"/>
  <c r="D22" i="439"/>
  <c r="E21" i="439"/>
  <c r="D21" i="439"/>
  <c r="E20" i="439"/>
  <c r="D20" i="439"/>
  <c r="E19" i="439"/>
  <c r="D19" i="439"/>
  <c r="E18" i="439"/>
  <c r="D18" i="439"/>
  <c r="E17" i="439"/>
  <c r="D17" i="439"/>
  <c r="E16" i="439"/>
  <c r="D16" i="439"/>
  <c r="E15" i="439"/>
  <c r="D15" i="439"/>
  <c r="E14" i="439"/>
  <c r="D14" i="439"/>
  <c r="E13" i="439"/>
  <c r="D13" i="439"/>
  <c r="E12" i="439"/>
  <c r="D12" i="439"/>
  <c r="E11" i="439"/>
  <c r="D11" i="439"/>
  <c r="E10" i="439"/>
  <c r="D10" i="439"/>
  <c r="F9" i="439"/>
  <c r="F37" i="439" s="1"/>
  <c r="E9" i="439"/>
  <c r="D9" i="439"/>
  <c r="E39" i="314"/>
  <c r="E38" i="314"/>
  <c r="E37" i="314"/>
  <c r="E36" i="314"/>
  <c r="E35" i="314"/>
  <c r="E34" i="314"/>
  <c r="E33" i="314"/>
  <c r="E32" i="314"/>
  <c r="E31" i="314"/>
  <c r="E30" i="314"/>
  <c r="E29" i="314"/>
  <c r="E28" i="314"/>
  <c r="E27" i="314"/>
  <c r="E26" i="314"/>
  <c r="E25" i="314"/>
  <c r="E24" i="314"/>
  <c r="E23" i="314"/>
  <c r="E22" i="314"/>
  <c r="E21" i="314"/>
  <c r="E20" i="314"/>
  <c r="E19" i="314"/>
  <c r="E18" i="314"/>
  <c r="E17" i="314"/>
  <c r="E16" i="314"/>
  <c r="E15" i="314"/>
  <c r="E14" i="314"/>
  <c r="E13" i="314"/>
  <c r="E12" i="314"/>
  <c r="E11" i="314"/>
  <c r="E10" i="314"/>
  <c r="F9" i="314"/>
  <c r="F38" i="314" s="1"/>
  <c r="E9" i="314"/>
  <c r="G9" i="314" s="1"/>
  <c r="E39" i="434"/>
  <c r="D39" i="434"/>
  <c r="E38" i="434"/>
  <c r="D38" i="434"/>
  <c r="E37" i="434"/>
  <c r="D37" i="434"/>
  <c r="E36" i="434"/>
  <c r="D36" i="434"/>
  <c r="E35" i="434"/>
  <c r="D35" i="434"/>
  <c r="E34" i="434"/>
  <c r="D34" i="434"/>
  <c r="E33" i="434"/>
  <c r="D33" i="434"/>
  <c r="E32" i="434"/>
  <c r="D32" i="434"/>
  <c r="E31" i="434"/>
  <c r="D31" i="434"/>
  <c r="E30" i="434"/>
  <c r="D30" i="434"/>
  <c r="E29" i="434"/>
  <c r="D29" i="434"/>
  <c r="E28" i="434"/>
  <c r="D28" i="434"/>
  <c r="E27" i="434"/>
  <c r="D27" i="434"/>
  <c r="E26" i="434"/>
  <c r="D26" i="434"/>
  <c r="E25" i="434"/>
  <c r="D25" i="434"/>
  <c r="E24" i="434"/>
  <c r="D24" i="434"/>
  <c r="E23" i="434"/>
  <c r="D23" i="434"/>
  <c r="E22" i="434"/>
  <c r="D22" i="434"/>
  <c r="E21" i="434"/>
  <c r="D21" i="434"/>
  <c r="E20" i="434"/>
  <c r="D20" i="434"/>
  <c r="E19" i="434"/>
  <c r="D19" i="434"/>
  <c r="E18" i="434"/>
  <c r="D18" i="434"/>
  <c r="E17" i="434"/>
  <c r="D17" i="434"/>
  <c r="E16" i="434"/>
  <c r="D16" i="434"/>
  <c r="E15" i="434"/>
  <c r="D15" i="434"/>
  <c r="E14" i="434"/>
  <c r="D14" i="434"/>
  <c r="E13" i="434"/>
  <c r="D13" i="434"/>
  <c r="E12" i="434"/>
  <c r="D12" i="434"/>
  <c r="E11" i="434"/>
  <c r="D11" i="434"/>
  <c r="E10" i="434"/>
  <c r="D10" i="434"/>
  <c r="F9" i="434"/>
  <c r="F39" i="434" s="1"/>
  <c r="E9" i="434"/>
  <c r="D9" i="434"/>
  <c r="E39" i="391"/>
  <c r="E38" i="391"/>
  <c r="E37" i="391"/>
  <c r="E36" i="391"/>
  <c r="E35" i="391"/>
  <c r="E34" i="391"/>
  <c r="E33" i="391"/>
  <c r="E32" i="391"/>
  <c r="E31" i="391"/>
  <c r="E30" i="391"/>
  <c r="E29" i="391"/>
  <c r="E28" i="391"/>
  <c r="E27" i="391"/>
  <c r="E26" i="391"/>
  <c r="E25" i="391"/>
  <c r="E24" i="391"/>
  <c r="E23" i="391"/>
  <c r="E22" i="391"/>
  <c r="E21" i="391"/>
  <c r="E20" i="391"/>
  <c r="E19" i="391"/>
  <c r="E18" i="391"/>
  <c r="E17" i="391"/>
  <c r="E16" i="391"/>
  <c r="E15" i="391"/>
  <c r="E14" i="391"/>
  <c r="E13" i="391"/>
  <c r="E12" i="391"/>
  <c r="E11" i="391"/>
  <c r="E10" i="391"/>
  <c r="F9" i="391"/>
  <c r="F38" i="391" s="1"/>
  <c r="E9" i="391"/>
  <c r="E39" i="387"/>
  <c r="D39" i="387"/>
  <c r="E38" i="387"/>
  <c r="D38" i="387"/>
  <c r="E37" i="387"/>
  <c r="D37" i="387"/>
  <c r="E36" i="387"/>
  <c r="D36" i="387"/>
  <c r="E35" i="387"/>
  <c r="D35" i="387"/>
  <c r="E34" i="387"/>
  <c r="D34" i="387"/>
  <c r="E33" i="387"/>
  <c r="D33" i="387"/>
  <c r="E32" i="387"/>
  <c r="D32" i="387"/>
  <c r="E31" i="387"/>
  <c r="D31" i="387"/>
  <c r="E30" i="387"/>
  <c r="D30" i="387"/>
  <c r="E29" i="387"/>
  <c r="D29" i="387"/>
  <c r="E28" i="387"/>
  <c r="D28" i="387"/>
  <c r="E27" i="387"/>
  <c r="D27" i="387"/>
  <c r="E26" i="387"/>
  <c r="D26" i="387"/>
  <c r="E25" i="387"/>
  <c r="D25" i="387"/>
  <c r="E24" i="387"/>
  <c r="D24" i="387"/>
  <c r="E23" i="387"/>
  <c r="D23" i="387"/>
  <c r="E22" i="387"/>
  <c r="D22" i="387"/>
  <c r="E21" i="387"/>
  <c r="D21" i="387"/>
  <c r="E20" i="387"/>
  <c r="D20" i="387"/>
  <c r="E19" i="387"/>
  <c r="D19" i="387"/>
  <c r="E18" i="387"/>
  <c r="D18" i="387"/>
  <c r="E17" i="387"/>
  <c r="D17" i="387"/>
  <c r="E16" i="387"/>
  <c r="D16" i="387"/>
  <c r="E15" i="387"/>
  <c r="D15" i="387"/>
  <c r="D14" i="387"/>
  <c r="E14" i="387"/>
  <c r="E13" i="387"/>
  <c r="D13" i="387"/>
  <c r="E12" i="387"/>
  <c r="D12" i="387"/>
  <c r="E11" i="387"/>
  <c r="D11" i="387"/>
  <c r="E10" i="387"/>
  <c r="D10" i="387"/>
  <c r="F9" i="387"/>
  <c r="E9" i="387"/>
  <c r="D9" i="387"/>
  <c r="F40" i="208"/>
  <c r="G40" i="208" s="1"/>
  <c r="D40" i="208"/>
  <c r="E40" i="208" s="1"/>
  <c r="F39" i="208"/>
  <c r="G39" i="208" s="1"/>
  <c r="D39" i="208"/>
  <c r="E39" i="208" s="1"/>
  <c r="F38" i="208"/>
  <c r="G38" i="208" s="1"/>
  <c r="D38" i="208"/>
  <c r="E38" i="208" s="1"/>
  <c r="F37" i="208"/>
  <c r="G37" i="208" s="1"/>
  <c r="D37" i="208"/>
  <c r="E37" i="208" s="1"/>
  <c r="F36" i="208"/>
  <c r="G36" i="208" s="1"/>
  <c r="D36" i="208"/>
  <c r="E36" i="208" s="1"/>
  <c r="F35" i="208"/>
  <c r="G35" i="208" s="1"/>
  <c r="D35" i="208"/>
  <c r="E35" i="208" s="1"/>
  <c r="F34" i="208"/>
  <c r="G34" i="208" s="1"/>
  <c r="D34" i="208"/>
  <c r="E34" i="208" s="1"/>
  <c r="F33" i="208"/>
  <c r="G33" i="208" s="1"/>
  <c r="D33" i="208"/>
  <c r="E33" i="208" s="1"/>
  <c r="F32" i="208"/>
  <c r="G32" i="208" s="1"/>
  <c r="D32" i="208"/>
  <c r="E32" i="208" s="1"/>
  <c r="F31" i="208"/>
  <c r="G31" i="208" s="1"/>
  <c r="D31" i="208"/>
  <c r="E31" i="208" s="1"/>
  <c r="F30" i="208"/>
  <c r="G30" i="208" s="1"/>
  <c r="D30" i="208"/>
  <c r="E30" i="208" s="1"/>
  <c r="F29" i="208"/>
  <c r="G29" i="208" s="1"/>
  <c r="D29" i="208"/>
  <c r="E29" i="208" s="1"/>
  <c r="F28" i="208"/>
  <c r="G28" i="208" s="1"/>
  <c r="D28" i="208"/>
  <c r="E28" i="208" s="1"/>
  <c r="F27" i="208"/>
  <c r="G27" i="208" s="1"/>
  <c r="D27" i="208"/>
  <c r="E27" i="208" s="1"/>
  <c r="F26" i="208"/>
  <c r="G26" i="208" s="1"/>
  <c r="D26" i="208"/>
  <c r="E26" i="208" s="1"/>
  <c r="F25" i="208"/>
  <c r="G25" i="208" s="1"/>
  <c r="D25" i="208"/>
  <c r="E25" i="208" s="1"/>
  <c r="F24" i="208"/>
  <c r="G24" i="208" s="1"/>
  <c r="D24" i="208"/>
  <c r="E24" i="208" s="1"/>
  <c r="F23" i="208"/>
  <c r="G23" i="208" s="1"/>
  <c r="D23" i="208"/>
  <c r="E23" i="208" s="1"/>
  <c r="F22" i="208"/>
  <c r="G22" i="208" s="1"/>
  <c r="D22" i="208"/>
  <c r="E22" i="208" s="1"/>
  <c r="F21" i="208"/>
  <c r="G21" i="208" s="1"/>
  <c r="D21" i="208"/>
  <c r="E21" i="208" s="1"/>
  <c r="F20" i="208"/>
  <c r="G20" i="208" s="1"/>
  <c r="D20" i="208"/>
  <c r="E20" i="208" s="1"/>
  <c r="F19" i="208"/>
  <c r="G19" i="208" s="1"/>
  <c r="D19" i="208"/>
  <c r="E19" i="208" s="1"/>
  <c r="F18" i="208"/>
  <c r="G18" i="208" s="1"/>
  <c r="D18" i="208"/>
  <c r="E18" i="208" s="1"/>
  <c r="F17" i="208"/>
  <c r="G17" i="208" s="1"/>
  <c r="D17" i="208"/>
  <c r="E17" i="208" s="1"/>
  <c r="F16" i="208"/>
  <c r="G16" i="208" s="1"/>
  <c r="D16" i="208"/>
  <c r="E16" i="208" s="1"/>
  <c r="F15" i="208"/>
  <c r="G15" i="208" s="1"/>
  <c r="D15" i="208"/>
  <c r="E15" i="208" s="1"/>
  <c r="F14" i="208"/>
  <c r="G14" i="208" s="1"/>
  <c r="D14" i="208"/>
  <c r="E14" i="208" s="1"/>
  <c r="F13" i="208"/>
  <c r="G13" i="208" s="1"/>
  <c r="D13" i="208"/>
  <c r="E13" i="208" s="1"/>
  <c r="F12" i="208"/>
  <c r="G12" i="208" s="1"/>
  <c r="D12" i="208"/>
  <c r="E12" i="208" s="1"/>
  <c r="F11" i="208"/>
  <c r="G11" i="208" s="1"/>
  <c r="D11" i="208"/>
  <c r="E11" i="208" s="1"/>
  <c r="T10" i="208"/>
  <c r="R10" i="208"/>
  <c r="F10" i="208"/>
  <c r="G10" i="208" s="1"/>
  <c r="D10" i="208"/>
  <c r="T40" i="206"/>
  <c r="R40" i="206"/>
  <c r="F40" i="206"/>
  <c r="G40" i="206" s="1"/>
  <c r="D40" i="206"/>
  <c r="E40" i="206" s="1"/>
  <c r="T39" i="206"/>
  <c r="R39" i="206"/>
  <c r="F39" i="206"/>
  <c r="G39" i="206" s="1"/>
  <c r="D39" i="206"/>
  <c r="E39" i="206" s="1"/>
  <c r="T38" i="206"/>
  <c r="R38" i="206"/>
  <c r="F38" i="206"/>
  <c r="G38" i="206" s="1"/>
  <c r="D38" i="206"/>
  <c r="E38" i="206" s="1"/>
  <c r="T37" i="206"/>
  <c r="R37" i="206"/>
  <c r="F37" i="206"/>
  <c r="G37" i="206" s="1"/>
  <c r="D37" i="206"/>
  <c r="E37" i="206" s="1"/>
  <c r="T36" i="206"/>
  <c r="R36" i="206"/>
  <c r="F36" i="206"/>
  <c r="G36" i="206" s="1"/>
  <c r="D36" i="206"/>
  <c r="E36" i="206" s="1"/>
  <c r="T35" i="206"/>
  <c r="R35" i="206"/>
  <c r="F35" i="206"/>
  <c r="G35" i="206" s="1"/>
  <c r="D35" i="206"/>
  <c r="E35" i="206" s="1"/>
  <c r="T34" i="206"/>
  <c r="R34" i="206"/>
  <c r="F34" i="206"/>
  <c r="G34" i="206" s="1"/>
  <c r="D34" i="206"/>
  <c r="E34" i="206" s="1"/>
  <c r="T33" i="206"/>
  <c r="R33" i="206"/>
  <c r="F33" i="206"/>
  <c r="G33" i="206" s="1"/>
  <c r="D33" i="206"/>
  <c r="E33" i="206" s="1"/>
  <c r="T32" i="206"/>
  <c r="R32" i="206"/>
  <c r="F32" i="206"/>
  <c r="G32" i="206" s="1"/>
  <c r="D32" i="206"/>
  <c r="E32" i="206" s="1"/>
  <c r="T31" i="206"/>
  <c r="R31" i="206"/>
  <c r="F31" i="206"/>
  <c r="G31" i="206" s="1"/>
  <c r="D31" i="206"/>
  <c r="E31" i="206" s="1"/>
  <c r="T30" i="206"/>
  <c r="R30" i="206"/>
  <c r="F30" i="206"/>
  <c r="G30" i="206" s="1"/>
  <c r="D30" i="206"/>
  <c r="E30" i="206" s="1"/>
  <c r="T29" i="206"/>
  <c r="R29" i="206"/>
  <c r="F29" i="206"/>
  <c r="G29" i="206" s="1"/>
  <c r="D29" i="206"/>
  <c r="E29" i="206" s="1"/>
  <c r="T28" i="206"/>
  <c r="R28" i="206"/>
  <c r="F28" i="206"/>
  <c r="G28" i="206" s="1"/>
  <c r="D28" i="206"/>
  <c r="E28" i="206" s="1"/>
  <c r="T27" i="206"/>
  <c r="R27" i="206"/>
  <c r="F27" i="206"/>
  <c r="G27" i="206" s="1"/>
  <c r="D27" i="206"/>
  <c r="E27" i="206" s="1"/>
  <c r="T26" i="206"/>
  <c r="R26" i="206"/>
  <c r="F26" i="206"/>
  <c r="G26" i="206" s="1"/>
  <c r="D26" i="206"/>
  <c r="E26" i="206" s="1"/>
  <c r="T25" i="206"/>
  <c r="R25" i="206"/>
  <c r="F25" i="206"/>
  <c r="G25" i="206" s="1"/>
  <c r="D25" i="206"/>
  <c r="E25" i="206" s="1"/>
  <c r="T24" i="206"/>
  <c r="R24" i="206"/>
  <c r="F24" i="206"/>
  <c r="G24" i="206" s="1"/>
  <c r="D24" i="206"/>
  <c r="E24" i="206" s="1"/>
  <c r="T23" i="206"/>
  <c r="R23" i="206"/>
  <c r="F23" i="206"/>
  <c r="G23" i="206" s="1"/>
  <c r="D23" i="206"/>
  <c r="E23" i="206" s="1"/>
  <c r="T22" i="206"/>
  <c r="R22" i="206"/>
  <c r="F22" i="206"/>
  <c r="G22" i="206" s="1"/>
  <c r="D22" i="206"/>
  <c r="E22" i="206" s="1"/>
  <c r="T21" i="206"/>
  <c r="R21" i="206"/>
  <c r="F21" i="206"/>
  <c r="G21" i="206" s="1"/>
  <c r="D21" i="206"/>
  <c r="E21" i="206" s="1"/>
  <c r="T20" i="206"/>
  <c r="R20" i="206"/>
  <c r="F20" i="206"/>
  <c r="G20" i="206" s="1"/>
  <c r="D20" i="206"/>
  <c r="E20" i="206" s="1"/>
  <c r="T19" i="206"/>
  <c r="R19" i="206"/>
  <c r="F19" i="206"/>
  <c r="G19" i="206" s="1"/>
  <c r="D19" i="206"/>
  <c r="E19" i="206" s="1"/>
  <c r="T18" i="206"/>
  <c r="R18" i="206"/>
  <c r="F18" i="206"/>
  <c r="G18" i="206" s="1"/>
  <c r="D18" i="206"/>
  <c r="E18" i="206" s="1"/>
  <c r="T17" i="206"/>
  <c r="R17" i="206"/>
  <c r="F17" i="206"/>
  <c r="G17" i="206" s="1"/>
  <c r="D17" i="206"/>
  <c r="E17" i="206" s="1"/>
  <c r="T16" i="206"/>
  <c r="R16" i="206"/>
  <c r="F16" i="206"/>
  <c r="G16" i="206" s="1"/>
  <c r="D16" i="206"/>
  <c r="E16" i="206" s="1"/>
  <c r="T15" i="206"/>
  <c r="R15" i="206"/>
  <c r="F15" i="206"/>
  <c r="G15" i="206" s="1"/>
  <c r="D15" i="206"/>
  <c r="E15" i="206" s="1"/>
  <c r="T14" i="206"/>
  <c r="R14" i="206"/>
  <c r="F14" i="206"/>
  <c r="G14" i="206" s="1"/>
  <c r="D14" i="206"/>
  <c r="E14" i="206" s="1"/>
  <c r="T13" i="206"/>
  <c r="R13" i="206"/>
  <c r="F13" i="206"/>
  <c r="G13" i="206" s="1"/>
  <c r="D13" i="206"/>
  <c r="E13" i="206" s="1"/>
  <c r="T12" i="206"/>
  <c r="R12" i="206"/>
  <c r="F12" i="206"/>
  <c r="G12" i="206" s="1"/>
  <c r="D12" i="206"/>
  <c r="E12" i="206" s="1"/>
  <c r="T11" i="206"/>
  <c r="R11" i="206"/>
  <c r="F11" i="206"/>
  <c r="G11" i="206" s="1"/>
  <c r="D11" i="206"/>
  <c r="E11" i="206" s="1"/>
  <c r="T10" i="206"/>
  <c r="R10" i="206"/>
  <c r="F10" i="206"/>
  <c r="G10" i="206" s="1"/>
  <c r="D10" i="206"/>
  <c r="F39" i="370"/>
  <c r="G39" i="370" s="1"/>
  <c r="E39" i="370"/>
  <c r="F38" i="370"/>
  <c r="G38" i="370" s="1"/>
  <c r="E38" i="370"/>
  <c r="F37" i="370"/>
  <c r="G37" i="370" s="1"/>
  <c r="E37" i="370"/>
  <c r="F36" i="370"/>
  <c r="G36" i="370" s="1"/>
  <c r="E36" i="370"/>
  <c r="F35" i="370"/>
  <c r="G35" i="370" s="1"/>
  <c r="E35" i="370"/>
  <c r="F34" i="370"/>
  <c r="G34" i="370" s="1"/>
  <c r="E34" i="370"/>
  <c r="F33" i="370"/>
  <c r="G33" i="370" s="1"/>
  <c r="E33" i="370"/>
  <c r="F32" i="370"/>
  <c r="G32" i="370" s="1"/>
  <c r="E32" i="370"/>
  <c r="F31" i="370"/>
  <c r="G31" i="370" s="1"/>
  <c r="E31" i="370"/>
  <c r="F30" i="370"/>
  <c r="G30" i="370" s="1"/>
  <c r="E30" i="370"/>
  <c r="F29" i="370"/>
  <c r="G29" i="370" s="1"/>
  <c r="E29" i="370"/>
  <c r="F28" i="370"/>
  <c r="G28" i="370" s="1"/>
  <c r="E28" i="370"/>
  <c r="F27" i="370"/>
  <c r="G27" i="370" s="1"/>
  <c r="E27" i="370"/>
  <c r="F26" i="370"/>
  <c r="G26" i="370" s="1"/>
  <c r="E26" i="370"/>
  <c r="F25" i="370"/>
  <c r="G25" i="370" s="1"/>
  <c r="E25" i="370"/>
  <c r="F24" i="370"/>
  <c r="G24" i="370" s="1"/>
  <c r="E24" i="370"/>
  <c r="F23" i="370"/>
  <c r="G23" i="370" s="1"/>
  <c r="E23" i="370"/>
  <c r="F22" i="370"/>
  <c r="E22" i="370"/>
  <c r="F21" i="370"/>
  <c r="G21" i="370" s="1"/>
  <c r="E21" i="370"/>
  <c r="F20" i="370"/>
  <c r="G20" i="370" s="1"/>
  <c r="E20" i="370"/>
  <c r="F19" i="370"/>
  <c r="G19" i="370" s="1"/>
  <c r="E19" i="370"/>
  <c r="F18" i="370"/>
  <c r="G18" i="370" s="1"/>
  <c r="E18" i="370"/>
  <c r="F17" i="370"/>
  <c r="G17" i="370" s="1"/>
  <c r="E17" i="370"/>
  <c r="F16" i="370"/>
  <c r="G16" i="370" s="1"/>
  <c r="E16" i="370"/>
  <c r="F15" i="370"/>
  <c r="G15" i="370" s="1"/>
  <c r="E15" i="370"/>
  <c r="F14" i="370"/>
  <c r="G14" i="370" s="1"/>
  <c r="E14" i="370"/>
  <c r="F13" i="370"/>
  <c r="G13" i="370" s="1"/>
  <c r="E13" i="370"/>
  <c r="F12" i="370"/>
  <c r="G12" i="370" s="1"/>
  <c r="E12" i="370"/>
  <c r="F11" i="370"/>
  <c r="G11" i="370" s="1"/>
  <c r="E11" i="370"/>
  <c r="F10" i="370"/>
  <c r="G10" i="370" s="1"/>
  <c r="E10" i="370"/>
  <c r="F9" i="370"/>
  <c r="E9" i="370"/>
  <c r="F39" i="335"/>
  <c r="G39" i="335" s="1"/>
  <c r="E39" i="335"/>
  <c r="F38" i="335"/>
  <c r="G38" i="335" s="1"/>
  <c r="E38" i="335"/>
  <c r="F37" i="335"/>
  <c r="G37" i="335" s="1"/>
  <c r="E37" i="335"/>
  <c r="F36" i="335"/>
  <c r="G36" i="335" s="1"/>
  <c r="E36" i="335"/>
  <c r="F35" i="335"/>
  <c r="G35" i="335" s="1"/>
  <c r="E35" i="335"/>
  <c r="F34" i="335"/>
  <c r="G34" i="335" s="1"/>
  <c r="E34" i="335"/>
  <c r="F33" i="335"/>
  <c r="G33" i="335" s="1"/>
  <c r="E33" i="335"/>
  <c r="F32" i="335"/>
  <c r="G32" i="335" s="1"/>
  <c r="E32" i="335"/>
  <c r="G31" i="335"/>
  <c r="F31" i="335"/>
  <c r="E31" i="335"/>
  <c r="F30" i="335"/>
  <c r="G30" i="335" s="1"/>
  <c r="E30" i="335"/>
  <c r="F29" i="335"/>
  <c r="G29" i="335" s="1"/>
  <c r="E29" i="335"/>
  <c r="F28" i="335"/>
  <c r="G28" i="335" s="1"/>
  <c r="E28" i="335"/>
  <c r="F27" i="335"/>
  <c r="G27" i="335" s="1"/>
  <c r="E27" i="335"/>
  <c r="F26" i="335"/>
  <c r="G26" i="335" s="1"/>
  <c r="E26" i="335"/>
  <c r="F25" i="335"/>
  <c r="G25" i="335" s="1"/>
  <c r="E25" i="335"/>
  <c r="F24" i="335"/>
  <c r="G24" i="335" s="1"/>
  <c r="E24" i="335"/>
  <c r="F23" i="335"/>
  <c r="G23" i="335" s="1"/>
  <c r="E23" i="335"/>
  <c r="F22" i="335"/>
  <c r="G22" i="335" s="1"/>
  <c r="E22" i="335"/>
  <c r="F21" i="335"/>
  <c r="G21" i="335" s="1"/>
  <c r="E21" i="335"/>
  <c r="F20" i="335"/>
  <c r="G20" i="335" s="1"/>
  <c r="E20" i="335"/>
  <c r="F19" i="335"/>
  <c r="G19" i="335" s="1"/>
  <c r="E19" i="335"/>
  <c r="F18" i="335"/>
  <c r="G18" i="335" s="1"/>
  <c r="E18" i="335"/>
  <c r="F17" i="335"/>
  <c r="G17" i="335" s="1"/>
  <c r="E17" i="335"/>
  <c r="F16" i="335"/>
  <c r="G16" i="335" s="1"/>
  <c r="E16" i="335"/>
  <c r="F15" i="335"/>
  <c r="G15" i="335" s="1"/>
  <c r="E15" i="335"/>
  <c r="F14" i="335"/>
  <c r="G14" i="335" s="1"/>
  <c r="E14" i="335"/>
  <c r="F13" i="335"/>
  <c r="G13" i="335" s="1"/>
  <c r="E13" i="335"/>
  <c r="F12" i="335"/>
  <c r="G12" i="335" s="1"/>
  <c r="E12" i="335"/>
  <c r="F11" i="335"/>
  <c r="G11" i="335" s="1"/>
  <c r="E11" i="335"/>
  <c r="F10" i="335"/>
  <c r="G10" i="335" s="1"/>
  <c r="E10" i="335"/>
  <c r="F9" i="335"/>
  <c r="H9" i="335" s="1"/>
  <c r="E9" i="335"/>
  <c r="F39" i="253"/>
  <c r="G39" i="253" s="1"/>
  <c r="E39" i="253"/>
  <c r="F38" i="253"/>
  <c r="G38" i="253" s="1"/>
  <c r="E38" i="253"/>
  <c r="F37" i="253"/>
  <c r="G37" i="253" s="1"/>
  <c r="E37" i="253"/>
  <c r="F36" i="253"/>
  <c r="G36" i="253" s="1"/>
  <c r="E36" i="253"/>
  <c r="F35" i="253"/>
  <c r="G35" i="253" s="1"/>
  <c r="E35" i="253"/>
  <c r="F34" i="253"/>
  <c r="G34" i="253" s="1"/>
  <c r="E34" i="253"/>
  <c r="F33" i="253"/>
  <c r="G33" i="253" s="1"/>
  <c r="E33" i="253"/>
  <c r="F32" i="253"/>
  <c r="G32" i="253" s="1"/>
  <c r="E32" i="253"/>
  <c r="F31" i="253"/>
  <c r="G31" i="253" s="1"/>
  <c r="E31" i="253"/>
  <c r="F30" i="253"/>
  <c r="G30" i="253" s="1"/>
  <c r="E30" i="253"/>
  <c r="F29" i="253"/>
  <c r="G29" i="253" s="1"/>
  <c r="E29" i="253"/>
  <c r="F28" i="253"/>
  <c r="G28" i="253" s="1"/>
  <c r="E28" i="253"/>
  <c r="F27" i="253"/>
  <c r="G27" i="253" s="1"/>
  <c r="E27" i="253"/>
  <c r="F26" i="253"/>
  <c r="G26" i="253" s="1"/>
  <c r="E26" i="253"/>
  <c r="F25" i="253"/>
  <c r="G25" i="253" s="1"/>
  <c r="E25" i="253"/>
  <c r="F24" i="253"/>
  <c r="G24" i="253" s="1"/>
  <c r="E24" i="253"/>
  <c r="F23" i="253"/>
  <c r="G23" i="253" s="1"/>
  <c r="E23" i="253"/>
  <c r="F22" i="253"/>
  <c r="G22" i="253" s="1"/>
  <c r="E22" i="253"/>
  <c r="F21" i="253"/>
  <c r="G21" i="253" s="1"/>
  <c r="E21" i="253"/>
  <c r="F20" i="253"/>
  <c r="G20" i="253" s="1"/>
  <c r="E20" i="253"/>
  <c r="F19" i="253"/>
  <c r="G19" i="253" s="1"/>
  <c r="E19" i="253"/>
  <c r="F18" i="253"/>
  <c r="G18" i="253" s="1"/>
  <c r="E18" i="253"/>
  <c r="F17" i="253"/>
  <c r="G17" i="253" s="1"/>
  <c r="E17" i="253"/>
  <c r="F16" i="253"/>
  <c r="G16" i="253" s="1"/>
  <c r="E16" i="253"/>
  <c r="F15" i="253"/>
  <c r="G15" i="253" s="1"/>
  <c r="E15" i="253"/>
  <c r="F14" i="253"/>
  <c r="G14" i="253" s="1"/>
  <c r="E14" i="253"/>
  <c r="F13" i="253"/>
  <c r="G13" i="253" s="1"/>
  <c r="E13" i="253"/>
  <c r="F12" i="253"/>
  <c r="G12" i="253" s="1"/>
  <c r="E12" i="253"/>
  <c r="F11" i="253"/>
  <c r="G11" i="253" s="1"/>
  <c r="E11" i="253"/>
  <c r="F10" i="253"/>
  <c r="E10" i="253"/>
  <c r="F9" i="253"/>
  <c r="I9" i="253" s="1"/>
  <c r="E9" i="253"/>
  <c r="F39" i="251"/>
  <c r="G39" i="251" s="1"/>
  <c r="E39" i="251"/>
  <c r="F38" i="251"/>
  <c r="G38" i="251" s="1"/>
  <c r="E38" i="251"/>
  <c r="F37" i="251"/>
  <c r="G37" i="251" s="1"/>
  <c r="E37" i="251"/>
  <c r="F36" i="251"/>
  <c r="G36" i="251" s="1"/>
  <c r="E36" i="251"/>
  <c r="F35" i="251"/>
  <c r="G35" i="251" s="1"/>
  <c r="E35" i="251"/>
  <c r="F34" i="251"/>
  <c r="G34" i="251" s="1"/>
  <c r="E34" i="251"/>
  <c r="F33" i="251"/>
  <c r="G33" i="251" s="1"/>
  <c r="E33" i="251"/>
  <c r="F32" i="251"/>
  <c r="G32" i="251" s="1"/>
  <c r="E32" i="251"/>
  <c r="F31" i="251"/>
  <c r="G31" i="251" s="1"/>
  <c r="E31" i="251"/>
  <c r="F30" i="251"/>
  <c r="G30" i="251" s="1"/>
  <c r="E30" i="251"/>
  <c r="F29" i="251"/>
  <c r="G29" i="251" s="1"/>
  <c r="E29" i="251"/>
  <c r="F28" i="251"/>
  <c r="G28" i="251" s="1"/>
  <c r="E28" i="251"/>
  <c r="F27" i="251"/>
  <c r="G27" i="251" s="1"/>
  <c r="E27" i="251"/>
  <c r="F26" i="251"/>
  <c r="G26" i="251" s="1"/>
  <c r="E26" i="251"/>
  <c r="F25" i="251"/>
  <c r="G25" i="251" s="1"/>
  <c r="E25" i="251"/>
  <c r="F24" i="251"/>
  <c r="G24" i="251" s="1"/>
  <c r="E24" i="251"/>
  <c r="F23" i="251"/>
  <c r="G23" i="251" s="1"/>
  <c r="E23" i="251"/>
  <c r="F22" i="251"/>
  <c r="G22" i="251" s="1"/>
  <c r="E22" i="251"/>
  <c r="F21" i="251"/>
  <c r="G21" i="251" s="1"/>
  <c r="E21" i="251"/>
  <c r="F20" i="251"/>
  <c r="G20" i="251" s="1"/>
  <c r="E20" i="251"/>
  <c r="F19" i="251"/>
  <c r="G19" i="251" s="1"/>
  <c r="E19" i="251"/>
  <c r="F18" i="251"/>
  <c r="G18" i="251" s="1"/>
  <c r="E18" i="251"/>
  <c r="F17" i="251"/>
  <c r="G17" i="251" s="1"/>
  <c r="E17" i="251"/>
  <c r="F16" i="251"/>
  <c r="G16" i="251" s="1"/>
  <c r="E16" i="251"/>
  <c r="F15" i="251"/>
  <c r="G15" i="251" s="1"/>
  <c r="E15" i="251"/>
  <c r="F14" i="251"/>
  <c r="G14" i="251" s="1"/>
  <c r="E14" i="251"/>
  <c r="F13" i="251"/>
  <c r="G13" i="251" s="1"/>
  <c r="E13" i="251"/>
  <c r="F12" i="251"/>
  <c r="G12" i="251" s="1"/>
  <c r="E12" i="251"/>
  <c r="F11" i="251"/>
  <c r="G11" i="251" s="1"/>
  <c r="E11" i="251"/>
  <c r="F10" i="251"/>
  <c r="G10" i="251" s="1"/>
  <c r="E10" i="251"/>
  <c r="F9" i="251"/>
  <c r="H9" i="251" s="1"/>
  <c r="E9" i="251"/>
  <c r="F39" i="255"/>
  <c r="G39" i="255" s="1"/>
  <c r="E39" i="255"/>
  <c r="F38" i="255"/>
  <c r="G38" i="255" s="1"/>
  <c r="E38" i="255"/>
  <c r="F37" i="255"/>
  <c r="G37" i="255" s="1"/>
  <c r="E37" i="255"/>
  <c r="F36" i="255"/>
  <c r="G36" i="255" s="1"/>
  <c r="E36" i="255"/>
  <c r="F35" i="255"/>
  <c r="G35" i="255" s="1"/>
  <c r="E35" i="255"/>
  <c r="F34" i="255"/>
  <c r="G34" i="255" s="1"/>
  <c r="E34" i="255"/>
  <c r="F33" i="255"/>
  <c r="G33" i="255" s="1"/>
  <c r="E33" i="255"/>
  <c r="F32" i="255"/>
  <c r="G32" i="255" s="1"/>
  <c r="E32" i="255"/>
  <c r="F31" i="255"/>
  <c r="G31" i="255" s="1"/>
  <c r="E31" i="255"/>
  <c r="F30" i="255"/>
  <c r="G30" i="255" s="1"/>
  <c r="E30" i="255"/>
  <c r="F29" i="255"/>
  <c r="G29" i="255" s="1"/>
  <c r="E29" i="255"/>
  <c r="F28" i="255"/>
  <c r="G28" i="255" s="1"/>
  <c r="E28" i="255"/>
  <c r="F27" i="255"/>
  <c r="G27" i="255" s="1"/>
  <c r="E27" i="255"/>
  <c r="F26" i="255"/>
  <c r="G26" i="255" s="1"/>
  <c r="E26" i="255"/>
  <c r="F25" i="255"/>
  <c r="G25" i="255" s="1"/>
  <c r="E25" i="255"/>
  <c r="F24" i="255"/>
  <c r="G24" i="255" s="1"/>
  <c r="E24" i="255"/>
  <c r="F23" i="255"/>
  <c r="G23" i="255" s="1"/>
  <c r="E23" i="255"/>
  <c r="F22" i="255"/>
  <c r="G22" i="255" s="1"/>
  <c r="E22" i="255"/>
  <c r="F21" i="255"/>
  <c r="G21" i="255" s="1"/>
  <c r="E21" i="255"/>
  <c r="F20" i="255"/>
  <c r="G20" i="255" s="1"/>
  <c r="E20" i="255"/>
  <c r="F19" i="255"/>
  <c r="G19" i="255" s="1"/>
  <c r="E19" i="255"/>
  <c r="F18" i="255"/>
  <c r="G18" i="255" s="1"/>
  <c r="E18" i="255"/>
  <c r="F17" i="255"/>
  <c r="G17" i="255" s="1"/>
  <c r="E17" i="255"/>
  <c r="F16" i="255"/>
  <c r="G16" i="255" s="1"/>
  <c r="E16" i="255"/>
  <c r="F15" i="255"/>
  <c r="G15" i="255" s="1"/>
  <c r="E15" i="255"/>
  <c r="F14" i="255"/>
  <c r="G14" i="255" s="1"/>
  <c r="E14" i="255"/>
  <c r="F13" i="255"/>
  <c r="G13" i="255" s="1"/>
  <c r="E13" i="255"/>
  <c r="F12" i="255"/>
  <c r="G12" i="255" s="1"/>
  <c r="E12" i="255"/>
  <c r="F11" i="255"/>
  <c r="G11" i="255" s="1"/>
  <c r="E11" i="255"/>
  <c r="F10" i="255"/>
  <c r="G10" i="255" s="1"/>
  <c r="E10" i="255"/>
  <c r="F9" i="255"/>
  <c r="H9" i="255" s="1"/>
  <c r="E9" i="255"/>
  <c r="F39" i="256"/>
  <c r="G39" i="256" s="1"/>
  <c r="E39" i="256"/>
  <c r="F38" i="256"/>
  <c r="G38" i="256" s="1"/>
  <c r="E38" i="256"/>
  <c r="F37" i="256"/>
  <c r="G37" i="256" s="1"/>
  <c r="E37" i="256"/>
  <c r="F36" i="256"/>
  <c r="G36" i="256" s="1"/>
  <c r="E36" i="256"/>
  <c r="F35" i="256"/>
  <c r="G35" i="256" s="1"/>
  <c r="E35" i="256"/>
  <c r="F34" i="256"/>
  <c r="G34" i="256" s="1"/>
  <c r="E34" i="256"/>
  <c r="F33" i="256"/>
  <c r="G33" i="256" s="1"/>
  <c r="E33" i="256"/>
  <c r="F32" i="256"/>
  <c r="G32" i="256" s="1"/>
  <c r="E32" i="256"/>
  <c r="F31" i="256"/>
  <c r="G31" i="256" s="1"/>
  <c r="E31" i="256"/>
  <c r="F30" i="256"/>
  <c r="G30" i="256" s="1"/>
  <c r="E30" i="256"/>
  <c r="F29" i="256"/>
  <c r="G29" i="256" s="1"/>
  <c r="E29" i="256"/>
  <c r="F28" i="256"/>
  <c r="G28" i="256" s="1"/>
  <c r="E28" i="256"/>
  <c r="F27" i="256"/>
  <c r="G27" i="256" s="1"/>
  <c r="E27" i="256"/>
  <c r="F26" i="256"/>
  <c r="G26" i="256" s="1"/>
  <c r="E26" i="256"/>
  <c r="F25" i="256"/>
  <c r="G25" i="256" s="1"/>
  <c r="E25" i="256"/>
  <c r="F24" i="256"/>
  <c r="G24" i="256" s="1"/>
  <c r="E24" i="256"/>
  <c r="F23" i="256"/>
  <c r="G23" i="256" s="1"/>
  <c r="E23" i="256"/>
  <c r="F22" i="256"/>
  <c r="G22" i="256" s="1"/>
  <c r="E22" i="256"/>
  <c r="F21" i="256"/>
  <c r="G21" i="256" s="1"/>
  <c r="E21" i="256"/>
  <c r="F20" i="256"/>
  <c r="G20" i="256" s="1"/>
  <c r="E20" i="256"/>
  <c r="F19" i="256"/>
  <c r="G19" i="256" s="1"/>
  <c r="E19" i="256"/>
  <c r="F18" i="256"/>
  <c r="G18" i="256" s="1"/>
  <c r="E18" i="256"/>
  <c r="F17" i="256"/>
  <c r="G17" i="256" s="1"/>
  <c r="E17" i="256"/>
  <c r="F16" i="256"/>
  <c r="G16" i="256" s="1"/>
  <c r="E16" i="256"/>
  <c r="F15" i="256"/>
  <c r="G15" i="256" s="1"/>
  <c r="E15" i="256"/>
  <c r="F14" i="256"/>
  <c r="G14" i="256" s="1"/>
  <c r="E14" i="256"/>
  <c r="F13" i="256"/>
  <c r="G13" i="256" s="1"/>
  <c r="E13" i="256"/>
  <c r="F12" i="256"/>
  <c r="G12" i="256" s="1"/>
  <c r="E12" i="256"/>
  <c r="F11" i="256"/>
  <c r="G11" i="256" s="1"/>
  <c r="E11" i="256"/>
  <c r="F10" i="256"/>
  <c r="E10" i="256"/>
  <c r="F9" i="256"/>
  <c r="G9" i="256" s="1"/>
  <c r="E9" i="256"/>
  <c r="F39" i="252"/>
  <c r="G39" i="252" s="1"/>
  <c r="E39" i="252"/>
  <c r="F38" i="252"/>
  <c r="G38" i="252" s="1"/>
  <c r="E38" i="252"/>
  <c r="F37" i="252"/>
  <c r="G37" i="252" s="1"/>
  <c r="E37" i="252"/>
  <c r="F36" i="252"/>
  <c r="G36" i="252" s="1"/>
  <c r="E36" i="252"/>
  <c r="F35" i="252"/>
  <c r="G35" i="252" s="1"/>
  <c r="E35" i="252"/>
  <c r="F34" i="252"/>
  <c r="G34" i="252" s="1"/>
  <c r="E34" i="252"/>
  <c r="F33" i="252"/>
  <c r="G33" i="252" s="1"/>
  <c r="E33" i="252"/>
  <c r="F32" i="252"/>
  <c r="G32" i="252" s="1"/>
  <c r="E32" i="252"/>
  <c r="F31" i="252"/>
  <c r="G31" i="252" s="1"/>
  <c r="E31" i="252"/>
  <c r="F30" i="252"/>
  <c r="G30" i="252" s="1"/>
  <c r="E30" i="252"/>
  <c r="F29" i="252"/>
  <c r="G29" i="252" s="1"/>
  <c r="E29" i="252"/>
  <c r="F28" i="252"/>
  <c r="G28" i="252" s="1"/>
  <c r="E28" i="252"/>
  <c r="F27" i="252"/>
  <c r="G27" i="252" s="1"/>
  <c r="E27" i="252"/>
  <c r="F26" i="252"/>
  <c r="G26" i="252" s="1"/>
  <c r="E26" i="252"/>
  <c r="F25" i="252"/>
  <c r="G25" i="252" s="1"/>
  <c r="E25" i="252"/>
  <c r="F24" i="252"/>
  <c r="G24" i="252" s="1"/>
  <c r="E24" i="252"/>
  <c r="F23" i="252"/>
  <c r="G23" i="252" s="1"/>
  <c r="E23" i="252"/>
  <c r="F22" i="252"/>
  <c r="G22" i="252" s="1"/>
  <c r="E22" i="252"/>
  <c r="F21" i="252"/>
  <c r="G21" i="252" s="1"/>
  <c r="E21" i="252"/>
  <c r="F20" i="252"/>
  <c r="G20" i="252" s="1"/>
  <c r="E20" i="252"/>
  <c r="F19" i="252"/>
  <c r="G19" i="252" s="1"/>
  <c r="E19" i="252"/>
  <c r="F18" i="252"/>
  <c r="G18" i="252" s="1"/>
  <c r="E18" i="252"/>
  <c r="F17" i="252"/>
  <c r="G17" i="252" s="1"/>
  <c r="E17" i="252"/>
  <c r="F16" i="252"/>
  <c r="G16" i="252" s="1"/>
  <c r="E16" i="252"/>
  <c r="F15" i="252"/>
  <c r="G15" i="252" s="1"/>
  <c r="E15" i="252"/>
  <c r="F14" i="252"/>
  <c r="G14" i="252" s="1"/>
  <c r="E14" i="252"/>
  <c r="F13" i="252"/>
  <c r="G13" i="252" s="1"/>
  <c r="E13" i="252"/>
  <c r="F12" i="252"/>
  <c r="G12" i="252" s="1"/>
  <c r="E12" i="252"/>
  <c r="F11" i="252"/>
  <c r="G11" i="252" s="1"/>
  <c r="E11" i="252"/>
  <c r="F10" i="252"/>
  <c r="E10" i="252"/>
  <c r="F9" i="252"/>
  <c r="G9" i="252" s="1"/>
  <c r="E9" i="252"/>
  <c r="D39" i="292"/>
  <c r="D38" i="292"/>
  <c r="D37" i="292"/>
  <c r="D36" i="292"/>
  <c r="D35" i="292"/>
  <c r="D34" i="292"/>
  <c r="D33" i="292"/>
  <c r="D32" i="292"/>
  <c r="D31" i="292"/>
  <c r="D30" i="292"/>
  <c r="D29" i="292"/>
  <c r="D28" i="292"/>
  <c r="D27" i="292"/>
  <c r="D26" i="292"/>
  <c r="D25" i="292"/>
  <c r="D24" i="292"/>
  <c r="D23" i="292"/>
  <c r="D22" i="292"/>
  <c r="D21" i="292"/>
  <c r="D20" i="292"/>
  <c r="D19" i="292"/>
  <c r="D18" i="292"/>
  <c r="D17" i="292"/>
  <c r="D16" i="292"/>
  <c r="D15" i="292"/>
  <c r="D14" i="292"/>
  <c r="D13" i="292"/>
  <c r="D12" i="292"/>
  <c r="D11" i="292"/>
  <c r="D10" i="292"/>
  <c r="D9" i="292"/>
  <c r="D39" i="263"/>
  <c r="D38" i="263"/>
  <c r="D37" i="263"/>
  <c r="D36" i="263"/>
  <c r="D35" i="263"/>
  <c r="D34" i="263"/>
  <c r="D33" i="263"/>
  <c r="D32" i="263"/>
  <c r="D31" i="263"/>
  <c r="D30" i="263"/>
  <c r="D29" i="263"/>
  <c r="D28" i="263"/>
  <c r="D27" i="263"/>
  <c r="D26" i="263"/>
  <c r="D25" i="263"/>
  <c r="D24" i="263"/>
  <c r="D23" i="263"/>
  <c r="D22" i="263"/>
  <c r="D21" i="263"/>
  <c r="D20" i="263"/>
  <c r="D19" i="263"/>
  <c r="D18" i="263"/>
  <c r="D17" i="263"/>
  <c r="D16" i="263"/>
  <c r="D15" i="263"/>
  <c r="D14" i="263"/>
  <c r="D13" i="263"/>
  <c r="D12" i="263"/>
  <c r="D11" i="263"/>
  <c r="D10" i="263"/>
  <c r="D9" i="263"/>
  <c r="H14" i="370" l="1"/>
  <c r="H16" i="370"/>
  <c r="H18" i="370"/>
  <c r="H20" i="370"/>
  <c r="H11" i="370"/>
  <c r="H10" i="370"/>
  <c r="H13" i="370"/>
  <c r="H15" i="370"/>
  <c r="H17" i="370"/>
  <c r="H19" i="370"/>
  <c r="H21" i="370"/>
  <c r="H12" i="370"/>
  <c r="H9" i="370"/>
  <c r="J10" i="206"/>
  <c r="J11" i="206" s="1"/>
  <c r="G22" i="370"/>
  <c r="H22" i="370"/>
  <c r="H24" i="370"/>
  <c r="H26" i="370"/>
  <c r="H28" i="370"/>
  <c r="H30" i="370"/>
  <c r="H32" i="370"/>
  <c r="H34" i="370"/>
  <c r="H36" i="370"/>
  <c r="H38" i="370"/>
  <c r="H23" i="370"/>
  <c r="H25" i="370"/>
  <c r="H27" i="370"/>
  <c r="H29" i="370"/>
  <c r="H31" i="370"/>
  <c r="H33" i="370"/>
  <c r="H35" i="370"/>
  <c r="H37" i="370"/>
  <c r="H39" i="370"/>
  <c r="G11" i="450"/>
  <c r="G30" i="465"/>
  <c r="M29" i="465"/>
  <c r="H29" i="465"/>
  <c r="J10" i="208"/>
  <c r="J11" i="208" s="1"/>
  <c r="H16" i="464"/>
  <c r="M16" i="464"/>
  <c r="G17" i="464"/>
  <c r="H10" i="252"/>
  <c r="G9" i="253"/>
  <c r="G9" i="335"/>
  <c r="E10" i="206"/>
  <c r="E10" i="208"/>
  <c r="F39" i="391"/>
  <c r="G11" i="390"/>
  <c r="G12" i="390" s="1"/>
  <c r="G13" i="390" s="1"/>
  <c r="G14" i="390" s="1"/>
  <c r="H10" i="256"/>
  <c r="F12" i="390"/>
  <c r="F10" i="264"/>
  <c r="G9" i="204"/>
  <c r="AB26" i="463"/>
  <c r="H26" i="463"/>
  <c r="G27" i="463"/>
  <c r="F12" i="434"/>
  <c r="F16" i="434"/>
  <c r="F20" i="434"/>
  <c r="F24" i="434"/>
  <c r="F28" i="434"/>
  <c r="F32" i="434"/>
  <c r="F36" i="434"/>
  <c r="F12" i="439"/>
  <c r="F16" i="439"/>
  <c r="F20" i="439"/>
  <c r="F24" i="439"/>
  <c r="F28" i="439"/>
  <c r="F32" i="439"/>
  <c r="F36" i="439"/>
  <c r="F10" i="450"/>
  <c r="F12" i="204"/>
  <c r="H14" i="462"/>
  <c r="G15" i="462"/>
  <c r="M14" i="462"/>
  <c r="H39" i="252"/>
  <c r="I9" i="252"/>
  <c r="I10" i="252" s="1"/>
  <c r="H39" i="256"/>
  <c r="I9" i="256"/>
  <c r="J9" i="256" s="1"/>
  <c r="I9" i="335"/>
  <c r="I10" i="335" s="1"/>
  <c r="H40" i="206"/>
  <c r="H40" i="208"/>
  <c r="G9" i="387"/>
  <c r="H9" i="387" s="1"/>
  <c r="G9" i="434"/>
  <c r="H9" i="434" s="1"/>
  <c r="F10" i="434"/>
  <c r="F14" i="434"/>
  <c r="F18" i="434"/>
  <c r="F22" i="434"/>
  <c r="F26" i="434"/>
  <c r="F30" i="434"/>
  <c r="F34" i="434"/>
  <c r="F38" i="434"/>
  <c r="G9" i="439"/>
  <c r="G10" i="439" s="1"/>
  <c r="F10" i="439"/>
  <c r="F14" i="439"/>
  <c r="F18" i="439"/>
  <c r="F22" i="439"/>
  <c r="F26" i="439"/>
  <c r="F30" i="439"/>
  <c r="F34" i="439"/>
  <c r="F38" i="439"/>
  <c r="G10" i="440"/>
  <c r="G12" i="450"/>
  <c r="G13" i="450" s="1"/>
  <c r="H13" i="450" s="1"/>
  <c r="G9" i="264"/>
  <c r="H9" i="264" s="1"/>
  <c r="H9" i="211"/>
  <c r="G10" i="211"/>
  <c r="F10" i="211"/>
  <c r="F11" i="211"/>
  <c r="F12" i="211"/>
  <c r="F13" i="211"/>
  <c r="F14" i="211"/>
  <c r="F15" i="211"/>
  <c r="F16" i="211"/>
  <c r="F17" i="211"/>
  <c r="F18" i="211"/>
  <c r="F19" i="211"/>
  <c r="F20" i="211"/>
  <c r="F21" i="211"/>
  <c r="F22" i="211"/>
  <c r="F23" i="211"/>
  <c r="F24" i="211"/>
  <c r="F25" i="211"/>
  <c r="F26" i="211"/>
  <c r="F27" i="211"/>
  <c r="F28" i="211"/>
  <c r="F29" i="211"/>
  <c r="F30" i="211"/>
  <c r="F31" i="211"/>
  <c r="F32" i="211"/>
  <c r="F33" i="211"/>
  <c r="F34" i="211"/>
  <c r="F35" i="211"/>
  <c r="F36" i="211"/>
  <c r="F37" i="211"/>
  <c r="F38" i="211"/>
  <c r="F39" i="204"/>
  <c r="F38" i="204"/>
  <c r="F37" i="204"/>
  <c r="F36" i="204"/>
  <c r="F35" i="204"/>
  <c r="F34" i="204"/>
  <c r="F33" i="204"/>
  <c r="F32" i="204"/>
  <c r="F31" i="204"/>
  <c r="F30" i="204"/>
  <c r="F29" i="204"/>
  <c r="F28" i="204"/>
  <c r="F27" i="204"/>
  <c r="F26" i="204"/>
  <c r="F25" i="204"/>
  <c r="F24" i="204"/>
  <c r="F23" i="204"/>
  <c r="F22" i="204"/>
  <c r="F21" i="204"/>
  <c r="F20" i="204"/>
  <c r="F19" i="204"/>
  <c r="F18" i="204"/>
  <c r="F17" i="204"/>
  <c r="F16" i="204"/>
  <c r="F15" i="204"/>
  <c r="F14" i="204"/>
  <c r="F13" i="204"/>
  <c r="F11" i="204"/>
  <c r="F21" i="264"/>
  <c r="F20" i="264"/>
  <c r="F39" i="264"/>
  <c r="F38" i="264"/>
  <c r="F37" i="264"/>
  <c r="F36" i="264"/>
  <c r="F35" i="264"/>
  <c r="F34" i="264"/>
  <c r="F33" i="264"/>
  <c r="F32" i="264"/>
  <c r="F31" i="264"/>
  <c r="F30" i="264"/>
  <c r="F29" i="264"/>
  <c r="F28" i="264"/>
  <c r="F27" i="264"/>
  <c r="F26" i="264"/>
  <c r="F25" i="264"/>
  <c r="F24" i="264"/>
  <c r="F23" i="264"/>
  <c r="F22" i="264"/>
  <c r="F19" i="264"/>
  <c r="F18" i="264"/>
  <c r="F17" i="264"/>
  <c r="F16" i="264"/>
  <c r="F15" i="264"/>
  <c r="F14" i="264"/>
  <c r="F13" i="264"/>
  <c r="F11" i="264"/>
  <c r="H9" i="458"/>
  <c r="G10" i="458"/>
  <c r="F10" i="458"/>
  <c r="F11" i="458"/>
  <c r="F12" i="458"/>
  <c r="F13" i="458"/>
  <c r="F14" i="458"/>
  <c r="F15" i="458"/>
  <c r="F16" i="458"/>
  <c r="F17" i="458"/>
  <c r="F18" i="458"/>
  <c r="F19" i="458"/>
  <c r="F20" i="458"/>
  <c r="F21" i="458"/>
  <c r="F22" i="458"/>
  <c r="F23" i="458"/>
  <c r="F24" i="458"/>
  <c r="F25" i="458"/>
  <c r="F26" i="458"/>
  <c r="F27" i="458"/>
  <c r="F28" i="458"/>
  <c r="F29" i="458"/>
  <c r="F30" i="458"/>
  <c r="F31" i="458"/>
  <c r="F32" i="458"/>
  <c r="F33" i="458"/>
  <c r="F34" i="458"/>
  <c r="F35" i="458"/>
  <c r="F36" i="458"/>
  <c r="F37" i="458"/>
  <c r="H9" i="454"/>
  <c r="G10" i="454"/>
  <c r="F10" i="454"/>
  <c r="F11" i="454"/>
  <c r="F12" i="454"/>
  <c r="F13" i="454"/>
  <c r="F14" i="454"/>
  <c r="F15" i="454"/>
  <c r="F16" i="454"/>
  <c r="F17" i="454"/>
  <c r="F18" i="454"/>
  <c r="F19" i="454"/>
  <c r="F20" i="454"/>
  <c r="F21" i="454"/>
  <c r="F22" i="454"/>
  <c r="F23" i="454"/>
  <c r="F24" i="454"/>
  <c r="F25" i="454"/>
  <c r="F26" i="454"/>
  <c r="F27" i="454"/>
  <c r="F28" i="454"/>
  <c r="F29" i="454"/>
  <c r="F30" i="454"/>
  <c r="F31" i="454"/>
  <c r="F32" i="454"/>
  <c r="F33" i="454"/>
  <c r="F34" i="454"/>
  <c r="F35" i="454"/>
  <c r="F36" i="454"/>
  <c r="F37" i="454"/>
  <c r="H9" i="450"/>
  <c r="H11" i="450"/>
  <c r="F38" i="450"/>
  <c r="F37" i="450"/>
  <c r="F36" i="450"/>
  <c r="F35" i="450"/>
  <c r="F34" i="450"/>
  <c r="F33" i="450"/>
  <c r="F32" i="450"/>
  <c r="F31" i="450"/>
  <c r="F30" i="450"/>
  <c r="F29" i="450"/>
  <c r="F28" i="450"/>
  <c r="F27" i="450"/>
  <c r="F26" i="450"/>
  <c r="F25" i="450"/>
  <c r="F24" i="450"/>
  <c r="F23" i="450"/>
  <c r="F22" i="450"/>
  <c r="F21" i="450"/>
  <c r="F20" i="450"/>
  <c r="F19" i="450"/>
  <c r="F18" i="450"/>
  <c r="F17" i="450"/>
  <c r="F16" i="450"/>
  <c r="F15" i="450"/>
  <c r="F14" i="450"/>
  <c r="F13" i="450"/>
  <c r="H10" i="450"/>
  <c r="F11" i="450"/>
  <c r="H9" i="423"/>
  <c r="G11" i="423"/>
  <c r="F38" i="423"/>
  <c r="F37" i="423"/>
  <c r="F36" i="423"/>
  <c r="F35" i="423"/>
  <c r="F34" i="423"/>
  <c r="F33" i="423"/>
  <c r="F32" i="423"/>
  <c r="F31" i="423"/>
  <c r="F30" i="423"/>
  <c r="F29" i="423"/>
  <c r="F28" i="423"/>
  <c r="F27" i="423"/>
  <c r="F26" i="423"/>
  <c r="F25" i="423"/>
  <c r="F24" i="423"/>
  <c r="F23" i="423"/>
  <c r="F22" i="423"/>
  <c r="F21" i="423"/>
  <c r="F20" i="423"/>
  <c r="F19" i="423"/>
  <c r="F18" i="423"/>
  <c r="F17" i="423"/>
  <c r="F16" i="423"/>
  <c r="F15" i="423"/>
  <c r="F14" i="423"/>
  <c r="F13" i="423"/>
  <c r="F12" i="423"/>
  <c r="F11" i="423"/>
  <c r="H9" i="403"/>
  <c r="G10" i="403"/>
  <c r="F10" i="403"/>
  <c r="F11" i="403"/>
  <c r="F12" i="403"/>
  <c r="F13" i="403"/>
  <c r="F14" i="403"/>
  <c r="F15" i="403"/>
  <c r="F16" i="403"/>
  <c r="F17" i="403"/>
  <c r="F18" i="403"/>
  <c r="F19" i="403"/>
  <c r="F20" i="403"/>
  <c r="F21" i="403"/>
  <c r="F22" i="403"/>
  <c r="F23" i="403"/>
  <c r="F24" i="403"/>
  <c r="F25" i="403"/>
  <c r="F26" i="403"/>
  <c r="F27" i="403"/>
  <c r="F28" i="403"/>
  <c r="F29" i="403"/>
  <c r="F30" i="403"/>
  <c r="F31" i="403"/>
  <c r="F32" i="403"/>
  <c r="F33" i="403"/>
  <c r="F34" i="403"/>
  <c r="F35" i="403"/>
  <c r="F36" i="403"/>
  <c r="F37" i="403"/>
  <c r="H9" i="390"/>
  <c r="F38" i="390"/>
  <c r="F37" i="390"/>
  <c r="F36" i="390"/>
  <c r="F35" i="390"/>
  <c r="F34" i="390"/>
  <c r="F33" i="390"/>
  <c r="F32" i="390"/>
  <c r="F31" i="390"/>
  <c r="F30" i="390"/>
  <c r="F29" i="390"/>
  <c r="F28" i="390"/>
  <c r="F27" i="390"/>
  <c r="F26" i="390"/>
  <c r="F25" i="390"/>
  <c r="F24" i="390"/>
  <c r="F23" i="390"/>
  <c r="F22" i="390"/>
  <c r="F21" i="390"/>
  <c r="F20" i="390"/>
  <c r="F19" i="390"/>
  <c r="F18" i="390"/>
  <c r="F17" i="390"/>
  <c r="F16" i="390"/>
  <c r="F15" i="390"/>
  <c r="F14" i="390"/>
  <c r="F13" i="390"/>
  <c r="H10" i="390"/>
  <c r="F11" i="390"/>
  <c r="H12" i="390"/>
  <c r="H9" i="439"/>
  <c r="F11" i="439"/>
  <c r="F13" i="439"/>
  <c r="F15" i="439"/>
  <c r="F17" i="439"/>
  <c r="F19" i="439"/>
  <c r="F21" i="439"/>
  <c r="F23" i="439"/>
  <c r="F25" i="439"/>
  <c r="F27" i="439"/>
  <c r="F29" i="439"/>
  <c r="F31" i="439"/>
  <c r="F33" i="439"/>
  <c r="F35" i="439"/>
  <c r="H9" i="314"/>
  <c r="G10" i="314"/>
  <c r="F10" i="314"/>
  <c r="F11" i="314"/>
  <c r="F12" i="314"/>
  <c r="F13" i="314"/>
  <c r="F14" i="314"/>
  <c r="F15" i="314"/>
  <c r="F16" i="314"/>
  <c r="F17" i="314"/>
  <c r="F18" i="314"/>
  <c r="F19" i="314"/>
  <c r="F20" i="314"/>
  <c r="F21" i="314"/>
  <c r="F22" i="314"/>
  <c r="F23" i="314"/>
  <c r="F24" i="314"/>
  <c r="F25" i="314"/>
  <c r="F26" i="314"/>
  <c r="F27" i="314"/>
  <c r="F28" i="314"/>
  <c r="F29" i="314"/>
  <c r="F30" i="314"/>
  <c r="F31" i="314"/>
  <c r="F32" i="314"/>
  <c r="F33" i="314"/>
  <c r="F34" i="314"/>
  <c r="F35" i="314"/>
  <c r="F36" i="314"/>
  <c r="F37" i="314"/>
  <c r="G10" i="434"/>
  <c r="F11" i="434"/>
  <c r="F13" i="434"/>
  <c r="F15" i="434"/>
  <c r="F17" i="434"/>
  <c r="F19" i="434"/>
  <c r="F21" i="434"/>
  <c r="F23" i="434"/>
  <c r="F25" i="434"/>
  <c r="F27" i="434"/>
  <c r="F29" i="434"/>
  <c r="F31" i="434"/>
  <c r="F33" i="434"/>
  <c r="F35" i="434"/>
  <c r="F37" i="434"/>
  <c r="F10" i="391"/>
  <c r="F11" i="391"/>
  <c r="F12" i="391"/>
  <c r="F13" i="391"/>
  <c r="F14" i="391"/>
  <c r="F15" i="391"/>
  <c r="F16" i="391"/>
  <c r="F17" i="391"/>
  <c r="F18" i="391"/>
  <c r="F19" i="391"/>
  <c r="F20" i="391"/>
  <c r="F21" i="391"/>
  <c r="F22" i="391"/>
  <c r="F23" i="391"/>
  <c r="F24" i="391"/>
  <c r="F25" i="391"/>
  <c r="F26" i="391"/>
  <c r="F27" i="391"/>
  <c r="F28" i="391"/>
  <c r="F29" i="391"/>
  <c r="F30" i="391"/>
  <c r="F31" i="391"/>
  <c r="F32" i="391"/>
  <c r="F33" i="391"/>
  <c r="F34" i="391"/>
  <c r="F35" i="391"/>
  <c r="F36" i="391"/>
  <c r="F37" i="391"/>
  <c r="F39" i="387"/>
  <c r="F37" i="387"/>
  <c r="F35" i="387"/>
  <c r="F33" i="387"/>
  <c r="F31" i="387"/>
  <c r="F29" i="387"/>
  <c r="F27" i="387"/>
  <c r="F25" i="387"/>
  <c r="F23" i="387"/>
  <c r="F21" i="387"/>
  <c r="F19" i="387"/>
  <c r="F17" i="387"/>
  <c r="F15" i="387"/>
  <c r="F14" i="387"/>
  <c r="F12" i="387"/>
  <c r="F10" i="387"/>
  <c r="F38" i="387"/>
  <c r="F36" i="387"/>
  <c r="F34" i="387"/>
  <c r="F32" i="387"/>
  <c r="F30" i="387"/>
  <c r="F28" i="387"/>
  <c r="F26" i="387"/>
  <c r="F24" i="387"/>
  <c r="F22" i="387"/>
  <c r="F20" i="387"/>
  <c r="F18" i="387"/>
  <c r="F16" i="387"/>
  <c r="F13" i="387"/>
  <c r="F11" i="387"/>
  <c r="I40" i="208"/>
  <c r="I39" i="208"/>
  <c r="I38" i="208"/>
  <c r="I37" i="208"/>
  <c r="I36" i="208"/>
  <c r="I35" i="208"/>
  <c r="I34" i="208"/>
  <c r="I33" i="208"/>
  <c r="I32" i="208"/>
  <c r="I31" i="208"/>
  <c r="I30" i="208"/>
  <c r="I29" i="208"/>
  <c r="I28" i="208"/>
  <c r="I27" i="208"/>
  <c r="I26" i="208"/>
  <c r="I25" i="208"/>
  <c r="I24" i="208"/>
  <c r="I10" i="208"/>
  <c r="I11" i="208"/>
  <c r="I12" i="208"/>
  <c r="I13" i="208"/>
  <c r="I14" i="208"/>
  <c r="I15" i="208"/>
  <c r="I16" i="208"/>
  <c r="I17" i="208"/>
  <c r="I18" i="208"/>
  <c r="I19" i="208"/>
  <c r="I20" i="208"/>
  <c r="I21" i="208"/>
  <c r="I22" i="208"/>
  <c r="I23" i="208"/>
  <c r="H25" i="208"/>
  <c r="H27" i="208"/>
  <c r="H29" i="208"/>
  <c r="H31" i="208"/>
  <c r="H33" i="208"/>
  <c r="H35" i="208"/>
  <c r="H37" i="208"/>
  <c r="H39" i="208"/>
  <c r="H10" i="208"/>
  <c r="H11" i="208"/>
  <c r="H12" i="208"/>
  <c r="H13" i="208"/>
  <c r="H14" i="208"/>
  <c r="H15" i="208"/>
  <c r="H16" i="208"/>
  <c r="H17" i="208"/>
  <c r="H18" i="208"/>
  <c r="H19" i="208"/>
  <c r="H20" i="208"/>
  <c r="H21" i="208"/>
  <c r="H22" i="208"/>
  <c r="H23" i="208"/>
  <c r="H24" i="208"/>
  <c r="H26" i="208"/>
  <c r="H28" i="208"/>
  <c r="H30" i="208"/>
  <c r="H32" i="208"/>
  <c r="H34" i="208"/>
  <c r="H36" i="208"/>
  <c r="H38" i="208"/>
  <c r="I40" i="206"/>
  <c r="I39" i="206"/>
  <c r="I38" i="206"/>
  <c r="I37" i="206"/>
  <c r="I36" i="206"/>
  <c r="I35" i="206"/>
  <c r="I34" i="206"/>
  <c r="I33" i="206"/>
  <c r="I32" i="206"/>
  <c r="I31" i="206"/>
  <c r="I30" i="206"/>
  <c r="I29" i="206"/>
  <c r="I28" i="206"/>
  <c r="I27" i="206"/>
  <c r="I26" i="206"/>
  <c r="I25" i="206"/>
  <c r="I24" i="206"/>
  <c r="I10" i="206"/>
  <c r="I11" i="206"/>
  <c r="I12" i="206"/>
  <c r="I13" i="206"/>
  <c r="I14" i="206"/>
  <c r="I15" i="206"/>
  <c r="I16" i="206"/>
  <c r="I17" i="206"/>
  <c r="I18" i="206"/>
  <c r="I19" i="206"/>
  <c r="I20" i="206"/>
  <c r="I21" i="206"/>
  <c r="I22" i="206"/>
  <c r="I23" i="206"/>
  <c r="H25" i="206"/>
  <c r="H27" i="206"/>
  <c r="H29" i="206"/>
  <c r="H31" i="206"/>
  <c r="H33" i="206"/>
  <c r="H35" i="206"/>
  <c r="H37" i="206"/>
  <c r="H39" i="206"/>
  <c r="H10" i="206"/>
  <c r="H11" i="206"/>
  <c r="H12" i="206"/>
  <c r="H13" i="206"/>
  <c r="H14" i="206"/>
  <c r="H15" i="206"/>
  <c r="H16" i="206"/>
  <c r="H17" i="206"/>
  <c r="H18" i="206"/>
  <c r="H19" i="206"/>
  <c r="H20" i="206"/>
  <c r="H21" i="206"/>
  <c r="H22" i="206"/>
  <c r="H23" i="206"/>
  <c r="H24" i="206"/>
  <c r="H26" i="206"/>
  <c r="H28" i="206"/>
  <c r="H30" i="206"/>
  <c r="H32" i="206"/>
  <c r="H34" i="206"/>
  <c r="H36" i="206"/>
  <c r="H38" i="206"/>
  <c r="I9" i="370"/>
  <c r="G9" i="370"/>
  <c r="G10" i="253"/>
  <c r="H38" i="253"/>
  <c r="H36" i="253"/>
  <c r="H12" i="253"/>
  <c r="H16" i="253"/>
  <c r="H20" i="253"/>
  <c r="H24" i="253"/>
  <c r="H28" i="253"/>
  <c r="H32" i="253"/>
  <c r="H39" i="253"/>
  <c r="I10" i="253"/>
  <c r="J9" i="253"/>
  <c r="H10" i="253"/>
  <c r="H14" i="253"/>
  <c r="H18" i="253"/>
  <c r="H22" i="253"/>
  <c r="H26" i="253"/>
  <c r="H30" i="253"/>
  <c r="H34" i="253"/>
  <c r="H9" i="253"/>
  <c r="K9" i="253" s="1"/>
  <c r="H11" i="253"/>
  <c r="H13" i="253"/>
  <c r="H15" i="253"/>
  <c r="H17" i="253"/>
  <c r="H19" i="253"/>
  <c r="H21" i="253"/>
  <c r="H23" i="253"/>
  <c r="H25" i="253"/>
  <c r="H27" i="253"/>
  <c r="H29" i="253"/>
  <c r="H31" i="253"/>
  <c r="H33" i="253"/>
  <c r="H35" i="253"/>
  <c r="H37" i="253"/>
  <c r="H13" i="251"/>
  <c r="H17" i="251"/>
  <c r="H21" i="251"/>
  <c r="H25" i="251"/>
  <c r="H29" i="251"/>
  <c r="H33" i="251"/>
  <c r="H38" i="251"/>
  <c r="H36" i="251"/>
  <c r="H34" i="251"/>
  <c r="H32" i="251"/>
  <c r="H30" i="251"/>
  <c r="H28" i="251"/>
  <c r="H26" i="251"/>
  <c r="H24" i="251"/>
  <c r="H22" i="251"/>
  <c r="H20" i="251"/>
  <c r="H18" i="251"/>
  <c r="H16" i="251"/>
  <c r="H14" i="251"/>
  <c r="H12" i="251"/>
  <c r="H10" i="251"/>
  <c r="I9" i="251"/>
  <c r="G9" i="251"/>
  <c r="H39" i="251"/>
  <c r="H37" i="251"/>
  <c r="H11" i="251"/>
  <c r="H15" i="251"/>
  <c r="H19" i="251"/>
  <c r="H23" i="251"/>
  <c r="H27" i="251"/>
  <c r="H31" i="251"/>
  <c r="H35" i="251"/>
  <c r="H13" i="255"/>
  <c r="H17" i="255"/>
  <c r="H21" i="255"/>
  <c r="H25" i="255"/>
  <c r="H29" i="255"/>
  <c r="H33" i="255"/>
  <c r="H38" i="255"/>
  <c r="H36" i="255"/>
  <c r="H34" i="255"/>
  <c r="H32" i="255"/>
  <c r="H30" i="255"/>
  <c r="H28" i="255"/>
  <c r="H26" i="255"/>
  <c r="H24" i="255"/>
  <c r="H22" i="255"/>
  <c r="H20" i="255"/>
  <c r="H18" i="255"/>
  <c r="H16" i="255"/>
  <c r="H14" i="255"/>
  <c r="H12" i="255"/>
  <c r="H10" i="255"/>
  <c r="I9" i="255"/>
  <c r="G9" i="255"/>
  <c r="H39" i="255"/>
  <c r="H37" i="255"/>
  <c r="H11" i="255"/>
  <c r="H15" i="255"/>
  <c r="H19" i="255"/>
  <c r="H23" i="255"/>
  <c r="H27" i="255"/>
  <c r="H31" i="255"/>
  <c r="H35" i="255"/>
  <c r="H14" i="256"/>
  <c r="H18" i="256"/>
  <c r="H22" i="256"/>
  <c r="H26" i="256"/>
  <c r="H30" i="256"/>
  <c r="H34" i="256"/>
  <c r="G10" i="256"/>
  <c r="H38" i="256"/>
  <c r="H36" i="256"/>
  <c r="H12" i="256"/>
  <c r="H16" i="256"/>
  <c r="H20" i="256"/>
  <c r="H24" i="256"/>
  <c r="H28" i="256"/>
  <c r="H32" i="256"/>
  <c r="H9" i="256"/>
  <c r="H11" i="256"/>
  <c r="H13" i="256"/>
  <c r="H15" i="256"/>
  <c r="H17" i="256"/>
  <c r="H19" i="256"/>
  <c r="H21" i="256"/>
  <c r="H23" i="256"/>
  <c r="H25" i="256"/>
  <c r="H27" i="256"/>
  <c r="H29" i="256"/>
  <c r="H31" i="256"/>
  <c r="H33" i="256"/>
  <c r="H35" i="256"/>
  <c r="H37" i="256"/>
  <c r="J9" i="252"/>
  <c r="H14" i="252"/>
  <c r="H18" i="252"/>
  <c r="H22" i="252"/>
  <c r="H26" i="252"/>
  <c r="H30" i="252"/>
  <c r="H34" i="252"/>
  <c r="G10" i="252"/>
  <c r="H38" i="252"/>
  <c r="H36" i="252"/>
  <c r="H12" i="252"/>
  <c r="H16" i="252"/>
  <c r="H20" i="252"/>
  <c r="H24" i="252"/>
  <c r="H28" i="252"/>
  <c r="H32" i="252"/>
  <c r="H9" i="252"/>
  <c r="K9" i="252" s="1"/>
  <c r="H11" i="252"/>
  <c r="H13" i="252"/>
  <c r="H15" i="252"/>
  <c r="H17" i="252"/>
  <c r="H19" i="252"/>
  <c r="H21" i="252"/>
  <c r="H23" i="252"/>
  <c r="H25" i="252"/>
  <c r="H27" i="252"/>
  <c r="H29" i="252"/>
  <c r="H31" i="252"/>
  <c r="H33" i="252"/>
  <c r="H35" i="252"/>
  <c r="H37" i="252"/>
  <c r="H9" i="204" l="1"/>
  <c r="Z9" i="204"/>
  <c r="J9" i="335"/>
  <c r="I10" i="256"/>
  <c r="I11" i="256" s="1"/>
  <c r="L10" i="206"/>
  <c r="L10" i="208"/>
  <c r="H11" i="390"/>
  <c r="H13" i="390"/>
  <c r="G31" i="465"/>
  <c r="M30" i="465"/>
  <c r="H30" i="465"/>
  <c r="K9" i="256"/>
  <c r="G14" i="450"/>
  <c r="G15" i="450" s="1"/>
  <c r="K9" i="335"/>
  <c r="G10" i="204"/>
  <c r="G11" i="204" s="1"/>
  <c r="H12" i="450"/>
  <c r="G10" i="387"/>
  <c r="H10" i="387" s="1"/>
  <c r="H17" i="464"/>
  <c r="M17" i="464"/>
  <c r="G18" i="464"/>
  <c r="G10" i="264"/>
  <c r="G11" i="264" s="1"/>
  <c r="AB27" i="463"/>
  <c r="H27" i="463"/>
  <c r="G28" i="463"/>
  <c r="H10" i="440"/>
  <c r="G11" i="440"/>
  <c r="H15" i="462"/>
  <c r="G16" i="462"/>
  <c r="M15" i="462"/>
  <c r="H10" i="211"/>
  <c r="G11" i="211"/>
  <c r="H10" i="458"/>
  <c r="G11" i="458"/>
  <c r="H10" i="454"/>
  <c r="G11" i="454"/>
  <c r="H11" i="423"/>
  <c r="G12" i="423"/>
  <c r="H10" i="403"/>
  <c r="G11" i="403"/>
  <c r="G15" i="390"/>
  <c r="H14" i="390"/>
  <c r="G11" i="439"/>
  <c r="H10" i="439"/>
  <c r="H10" i="314"/>
  <c r="G11" i="314"/>
  <c r="G11" i="434"/>
  <c r="H10" i="434"/>
  <c r="J12" i="208"/>
  <c r="L11" i="208"/>
  <c r="J12" i="206"/>
  <c r="L11" i="206"/>
  <c r="K9" i="370"/>
  <c r="I10" i="370"/>
  <c r="J9" i="370"/>
  <c r="I11" i="335"/>
  <c r="J10" i="335"/>
  <c r="K10" i="253"/>
  <c r="I11" i="253"/>
  <c r="J10" i="253"/>
  <c r="K9" i="251"/>
  <c r="I10" i="251"/>
  <c r="J9" i="251"/>
  <c r="K9" i="255"/>
  <c r="I10" i="255"/>
  <c r="J9" i="255"/>
  <c r="K10" i="256"/>
  <c r="K10" i="252"/>
  <c r="I11" i="252"/>
  <c r="J10" i="252"/>
  <c r="J10" i="256" l="1"/>
  <c r="G32" i="465"/>
  <c r="M31" i="465"/>
  <c r="H31" i="465"/>
  <c r="H14" i="450"/>
  <c r="G11" i="387"/>
  <c r="H11" i="387" s="1"/>
  <c r="H10" i="204"/>
  <c r="H10" i="264"/>
  <c r="H18" i="464"/>
  <c r="M18" i="464"/>
  <c r="G19" i="464"/>
  <c r="AB28" i="463"/>
  <c r="H28" i="463"/>
  <c r="G29" i="463"/>
  <c r="H16" i="462"/>
  <c r="G17" i="462"/>
  <c r="M16" i="462"/>
  <c r="H11" i="440"/>
  <c r="G12" i="440"/>
  <c r="H11" i="211"/>
  <c r="G12" i="211"/>
  <c r="G12" i="204"/>
  <c r="H11" i="204"/>
  <c r="G12" i="264"/>
  <c r="H11" i="264"/>
  <c r="H11" i="458"/>
  <c r="G12" i="458"/>
  <c r="H11" i="454"/>
  <c r="G12" i="454"/>
  <c r="G16" i="450"/>
  <c r="H15" i="450"/>
  <c r="H12" i="423"/>
  <c r="G13" i="423"/>
  <c r="H11" i="403"/>
  <c r="G12" i="403"/>
  <c r="G16" i="390"/>
  <c r="H15" i="390"/>
  <c r="G12" i="439"/>
  <c r="H11" i="439"/>
  <c r="H11" i="314"/>
  <c r="G12" i="314"/>
  <c r="G12" i="434"/>
  <c r="H11" i="434"/>
  <c r="G12" i="387"/>
  <c r="J13" i="208"/>
  <c r="L12" i="208"/>
  <c r="J13" i="206"/>
  <c r="L12" i="206"/>
  <c r="I11" i="370"/>
  <c r="J10" i="370"/>
  <c r="I12" i="335"/>
  <c r="J11" i="335"/>
  <c r="I12" i="253"/>
  <c r="J11" i="253"/>
  <c r="K11" i="253"/>
  <c r="I11" i="251"/>
  <c r="J10" i="251"/>
  <c r="K10" i="251"/>
  <c r="I11" i="255"/>
  <c r="J10" i="255"/>
  <c r="K10" i="255"/>
  <c r="I12" i="256"/>
  <c r="J11" i="256"/>
  <c r="K11" i="256"/>
  <c r="I12" i="252"/>
  <c r="J11" i="252"/>
  <c r="K11" i="252"/>
  <c r="G33" i="465" l="1"/>
  <c r="M32" i="465"/>
  <c r="H32" i="465"/>
  <c r="H19" i="464"/>
  <c r="M19" i="464"/>
  <c r="G20" i="464"/>
  <c r="AB29" i="463"/>
  <c r="H29" i="463"/>
  <c r="G30" i="463"/>
  <c r="H12" i="440"/>
  <c r="G13" i="440"/>
  <c r="H17" i="462"/>
  <c r="G18" i="462"/>
  <c r="M17" i="462"/>
  <c r="H12" i="211"/>
  <c r="G13" i="211"/>
  <c r="G13" i="204"/>
  <c r="H12" i="204"/>
  <c r="G13" i="264"/>
  <c r="H12" i="264"/>
  <c r="H12" i="458"/>
  <c r="G13" i="458"/>
  <c r="H12" i="454"/>
  <c r="G13" i="454"/>
  <c r="G17" i="450"/>
  <c r="H16" i="450"/>
  <c r="H13" i="423"/>
  <c r="G14" i="423"/>
  <c r="H12" i="403"/>
  <c r="G13" i="403"/>
  <c r="G17" i="390"/>
  <c r="H16" i="390"/>
  <c r="G13" i="439"/>
  <c r="H12" i="439"/>
  <c r="H12" i="314"/>
  <c r="G13" i="314"/>
  <c r="G13" i="434"/>
  <c r="H12" i="434"/>
  <c r="G13" i="387"/>
  <c r="H12" i="387"/>
  <c r="J14" i="208"/>
  <c r="L13" i="208"/>
  <c r="J14" i="206"/>
  <c r="L13" i="206"/>
  <c r="I12" i="370"/>
  <c r="J11" i="370"/>
  <c r="I13" i="335"/>
  <c r="J12" i="335"/>
  <c r="K12" i="253"/>
  <c r="I13" i="253"/>
  <c r="J12" i="253"/>
  <c r="K11" i="251"/>
  <c r="I12" i="251"/>
  <c r="J11" i="251"/>
  <c r="K11" i="255"/>
  <c r="I12" i="255"/>
  <c r="J11" i="255"/>
  <c r="K12" i="256"/>
  <c r="I13" i="256"/>
  <c r="J12" i="256"/>
  <c r="K12" i="252"/>
  <c r="I13" i="252"/>
  <c r="J12" i="252"/>
  <c r="G34" i="465" l="1"/>
  <c r="M33" i="465"/>
  <c r="H33" i="465"/>
  <c r="H20" i="464"/>
  <c r="M20" i="464"/>
  <c r="G21" i="464"/>
  <c r="AB30" i="463"/>
  <c r="H30" i="463"/>
  <c r="G31" i="463"/>
  <c r="H18" i="462"/>
  <c r="G19" i="462"/>
  <c r="M18" i="462"/>
  <c r="H13" i="440"/>
  <c r="G14" i="440"/>
  <c r="H13" i="211"/>
  <c r="G14" i="211"/>
  <c r="G14" i="204"/>
  <c r="H13" i="204"/>
  <c r="G14" i="264"/>
  <c r="H13" i="264"/>
  <c r="H13" i="458"/>
  <c r="G14" i="458"/>
  <c r="H13" i="454"/>
  <c r="G14" i="454"/>
  <c r="G18" i="450"/>
  <c r="H17" i="450"/>
  <c r="H14" i="423"/>
  <c r="G15" i="423"/>
  <c r="H13" i="403"/>
  <c r="G14" i="403"/>
  <c r="G18" i="390"/>
  <c r="H17" i="390"/>
  <c r="G14" i="439"/>
  <c r="H13" i="439"/>
  <c r="H13" i="314"/>
  <c r="G14" i="314"/>
  <c r="G14" i="434"/>
  <c r="H13" i="434"/>
  <c r="G14" i="387"/>
  <c r="H13" i="387"/>
  <c r="J15" i="208"/>
  <c r="L14" i="208"/>
  <c r="J15" i="206"/>
  <c r="L14" i="206"/>
  <c r="I13" i="370"/>
  <c r="J12" i="370"/>
  <c r="I14" i="335"/>
  <c r="J13" i="335"/>
  <c r="I14" i="253"/>
  <c r="J13" i="253"/>
  <c r="K13" i="253"/>
  <c r="I13" i="251"/>
  <c r="J12" i="251"/>
  <c r="K12" i="251"/>
  <c r="I13" i="255"/>
  <c r="J12" i="255"/>
  <c r="K12" i="255"/>
  <c r="I14" i="256"/>
  <c r="J13" i="256"/>
  <c r="K13" i="256"/>
  <c r="I14" i="252"/>
  <c r="J13" i="252"/>
  <c r="K13" i="252"/>
  <c r="G35" i="465" l="1"/>
  <c r="M34" i="465"/>
  <c r="H34" i="465"/>
  <c r="H21" i="464"/>
  <c r="M21" i="464"/>
  <c r="G22" i="464"/>
  <c r="AB31" i="463"/>
  <c r="H31" i="463"/>
  <c r="G32" i="463"/>
  <c r="H14" i="440"/>
  <c r="G15" i="440"/>
  <c r="H19" i="462"/>
  <c r="G20" i="462"/>
  <c r="M19" i="462"/>
  <c r="H14" i="211"/>
  <c r="G15" i="211"/>
  <c r="G15" i="204"/>
  <c r="H14" i="204"/>
  <c r="G15" i="264"/>
  <c r="H14" i="264"/>
  <c r="H14" i="458"/>
  <c r="G15" i="458"/>
  <c r="H14" i="454"/>
  <c r="G15" i="454"/>
  <c r="G19" i="450"/>
  <c r="H18" i="450"/>
  <c r="H15" i="423"/>
  <c r="G16" i="423"/>
  <c r="H14" i="403"/>
  <c r="G15" i="403"/>
  <c r="G19" i="390"/>
  <c r="H18" i="390"/>
  <c r="G15" i="439"/>
  <c r="H14" i="439"/>
  <c r="H14" i="314"/>
  <c r="G15" i="314"/>
  <c r="G15" i="434"/>
  <c r="H14" i="434"/>
  <c r="H14" i="387"/>
  <c r="G15" i="387"/>
  <c r="J16" i="208"/>
  <c r="L15" i="208"/>
  <c r="J16" i="206"/>
  <c r="L15" i="206"/>
  <c r="I14" i="370"/>
  <c r="J13" i="370"/>
  <c r="I15" i="335"/>
  <c r="J14" i="335"/>
  <c r="K14" i="253"/>
  <c r="I15" i="253"/>
  <c r="J14" i="253"/>
  <c r="K13" i="251"/>
  <c r="I14" i="251"/>
  <c r="J13" i="251"/>
  <c r="K13" i="255"/>
  <c r="I14" i="255"/>
  <c r="J13" i="255"/>
  <c r="K14" i="256"/>
  <c r="I15" i="256"/>
  <c r="J14" i="256"/>
  <c r="K14" i="252"/>
  <c r="I15" i="252"/>
  <c r="J14" i="252"/>
  <c r="G36" i="465" l="1"/>
  <c r="M35" i="465"/>
  <c r="H35" i="465"/>
  <c r="H22" i="464"/>
  <c r="M22" i="464"/>
  <c r="G23" i="464"/>
  <c r="AB32" i="463"/>
  <c r="H32" i="463"/>
  <c r="G33" i="463"/>
  <c r="H20" i="462"/>
  <c r="G21" i="462"/>
  <c r="M20" i="462"/>
  <c r="H15" i="440"/>
  <c r="G16" i="440"/>
  <c r="H15" i="211"/>
  <c r="G16" i="211"/>
  <c r="G16" i="204"/>
  <c r="H15" i="204"/>
  <c r="G16" i="264"/>
  <c r="H15" i="264"/>
  <c r="H15" i="458"/>
  <c r="G16" i="458"/>
  <c r="H15" i="454"/>
  <c r="G16" i="454"/>
  <c r="G20" i="450"/>
  <c r="H19" i="450"/>
  <c r="H16" i="423"/>
  <c r="G17" i="423"/>
  <c r="H15" i="403"/>
  <c r="G16" i="403"/>
  <c r="G20" i="390"/>
  <c r="H19" i="390"/>
  <c r="G16" i="439"/>
  <c r="H15" i="439"/>
  <c r="H15" i="314"/>
  <c r="G16" i="314"/>
  <c r="G16" i="434"/>
  <c r="H15" i="434"/>
  <c r="G16" i="387"/>
  <c r="H15" i="387"/>
  <c r="J17" i="208"/>
  <c r="L16" i="208"/>
  <c r="J17" i="206"/>
  <c r="L16" i="206"/>
  <c r="I15" i="370"/>
  <c r="J14" i="370"/>
  <c r="I16" i="335"/>
  <c r="J15" i="335"/>
  <c r="I16" i="253"/>
  <c r="J15" i="253"/>
  <c r="K15" i="253"/>
  <c r="I15" i="251"/>
  <c r="J14" i="251"/>
  <c r="K14" i="251"/>
  <c r="I15" i="255"/>
  <c r="J14" i="255"/>
  <c r="K14" i="255"/>
  <c r="I16" i="256"/>
  <c r="J15" i="256"/>
  <c r="K15" i="256"/>
  <c r="I16" i="252"/>
  <c r="J15" i="252"/>
  <c r="K15" i="252"/>
  <c r="G37" i="465" l="1"/>
  <c r="M36" i="465"/>
  <c r="H36" i="465"/>
  <c r="H23" i="464"/>
  <c r="M23" i="464"/>
  <c r="G24" i="464"/>
  <c r="AB33" i="463"/>
  <c r="H33" i="463"/>
  <c r="G34" i="463"/>
  <c r="H16" i="440"/>
  <c r="G17" i="440"/>
  <c r="H21" i="462"/>
  <c r="G22" i="462"/>
  <c r="M21" i="462"/>
  <c r="H16" i="211"/>
  <c r="G17" i="211"/>
  <c r="G17" i="204"/>
  <c r="H16" i="204"/>
  <c r="G17" i="264"/>
  <c r="H16" i="264"/>
  <c r="H16" i="458"/>
  <c r="G17" i="458"/>
  <c r="H16" i="454"/>
  <c r="G17" i="454"/>
  <c r="G21" i="450"/>
  <c r="H20" i="450"/>
  <c r="H17" i="423"/>
  <c r="G18" i="423"/>
  <c r="H16" i="403"/>
  <c r="G17" i="403"/>
  <c r="G21" i="390"/>
  <c r="H20" i="390"/>
  <c r="G17" i="439"/>
  <c r="H16" i="439"/>
  <c r="H16" i="314"/>
  <c r="G17" i="314"/>
  <c r="G17" i="434"/>
  <c r="H16" i="434"/>
  <c r="G17" i="387"/>
  <c r="H16" i="387"/>
  <c r="J18" i="208"/>
  <c r="L17" i="208"/>
  <c r="J18" i="206"/>
  <c r="L17" i="206"/>
  <c r="I16" i="370"/>
  <c r="J15" i="370"/>
  <c r="I17" i="335"/>
  <c r="J16" i="335"/>
  <c r="K16" i="253"/>
  <c r="I17" i="253"/>
  <c r="J16" i="253"/>
  <c r="K15" i="251"/>
  <c r="I16" i="251"/>
  <c r="J15" i="251"/>
  <c r="K15" i="255"/>
  <c r="I16" i="255"/>
  <c r="J15" i="255"/>
  <c r="K16" i="256"/>
  <c r="I17" i="256"/>
  <c r="J16" i="256"/>
  <c r="K16" i="252"/>
  <c r="I17" i="252"/>
  <c r="J16" i="252"/>
  <c r="G38" i="465" l="1"/>
  <c r="M37" i="465"/>
  <c r="H37" i="465"/>
  <c r="H24" i="464"/>
  <c r="M24" i="464"/>
  <c r="G25" i="464"/>
  <c r="AB34" i="463"/>
  <c r="H34" i="463"/>
  <c r="G35" i="463"/>
  <c r="H22" i="462"/>
  <c r="G23" i="462"/>
  <c r="M22" i="462"/>
  <c r="H17" i="440"/>
  <c r="G18" i="440"/>
  <c r="H17" i="211"/>
  <c r="G18" i="211"/>
  <c r="G18" i="204"/>
  <c r="H17" i="204"/>
  <c r="G18" i="264"/>
  <c r="H17" i="264"/>
  <c r="H17" i="458"/>
  <c r="G18" i="458"/>
  <c r="H17" i="454"/>
  <c r="G18" i="454"/>
  <c r="G22" i="450"/>
  <c r="H21" i="450"/>
  <c r="H18" i="423"/>
  <c r="G19" i="423"/>
  <c r="H17" i="403"/>
  <c r="G18" i="403"/>
  <c r="G22" i="390"/>
  <c r="H21" i="390"/>
  <c r="G18" i="439"/>
  <c r="H17" i="439"/>
  <c r="H17" i="314"/>
  <c r="G18" i="314"/>
  <c r="G18" i="434"/>
  <c r="H17" i="434"/>
  <c r="G18" i="387"/>
  <c r="H17" i="387"/>
  <c r="J19" i="208"/>
  <c r="L18" i="208"/>
  <c r="J19" i="206"/>
  <c r="L18" i="206"/>
  <c r="I17" i="370"/>
  <c r="J16" i="370"/>
  <c r="I18" i="335"/>
  <c r="J17" i="335"/>
  <c r="I18" i="253"/>
  <c r="J17" i="253"/>
  <c r="K17" i="253"/>
  <c r="I17" i="251"/>
  <c r="J16" i="251"/>
  <c r="K16" i="251"/>
  <c r="I17" i="255"/>
  <c r="J16" i="255"/>
  <c r="K16" i="255"/>
  <c r="I18" i="256"/>
  <c r="J17" i="256"/>
  <c r="K17" i="256"/>
  <c r="I18" i="252"/>
  <c r="J17" i="252"/>
  <c r="K17" i="252"/>
  <c r="G39" i="465" l="1"/>
  <c r="M38" i="465"/>
  <c r="H38" i="465"/>
  <c r="H25" i="464"/>
  <c r="M25" i="464"/>
  <c r="G26" i="464"/>
  <c r="AB35" i="463"/>
  <c r="H35" i="463"/>
  <c r="G36" i="463"/>
  <c r="H18" i="440"/>
  <c r="G19" i="440"/>
  <c r="H23" i="462"/>
  <c r="G24" i="462"/>
  <c r="M23" i="462"/>
  <c r="H18" i="211"/>
  <c r="G19" i="211"/>
  <c r="G19" i="204"/>
  <c r="H18" i="204"/>
  <c r="G19" i="264"/>
  <c r="H18" i="264"/>
  <c r="H18" i="458"/>
  <c r="G19" i="458"/>
  <c r="H18" i="454"/>
  <c r="G19" i="454"/>
  <c r="G23" i="450"/>
  <c r="H22" i="450"/>
  <c r="H19" i="423"/>
  <c r="G20" i="423"/>
  <c r="H18" i="403"/>
  <c r="G19" i="403"/>
  <c r="G23" i="390"/>
  <c r="H22" i="390"/>
  <c r="G19" i="439"/>
  <c r="H18" i="439"/>
  <c r="H18" i="314"/>
  <c r="G19" i="314"/>
  <c r="G19" i="434"/>
  <c r="H18" i="434"/>
  <c r="G19" i="387"/>
  <c r="H18" i="387"/>
  <c r="J20" i="208"/>
  <c r="L19" i="208"/>
  <c r="J20" i="206"/>
  <c r="L19" i="206"/>
  <c r="I18" i="370"/>
  <c r="J17" i="370"/>
  <c r="I19" i="335"/>
  <c r="J18" i="335"/>
  <c r="K18" i="253"/>
  <c r="I19" i="253"/>
  <c r="J18" i="253"/>
  <c r="K17" i="251"/>
  <c r="I18" i="251"/>
  <c r="J17" i="251"/>
  <c r="K17" i="255"/>
  <c r="I18" i="255"/>
  <c r="J17" i="255"/>
  <c r="K18" i="256"/>
  <c r="I19" i="256"/>
  <c r="J18" i="256"/>
  <c r="K18" i="252"/>
  <c r="I19" i="252"/>
  <c r="J18" i="252"/>
  <c r="M39" i="465" l="1"/>
  <c r="G40" i="465"/>
  <c r="H39" i="465"/>
  <c r="H26" i="464"/>
  <c r="M26" i="464"/>
  <c r="G27" i="464"/>
  <c r="AB36" i="463"/>
  <c r="H36" i="463"/>
  <c r="G37" i="463"/>
  <c r="H24" i="462"/>
  <c r="G25" i="462"/>
  <c r="M24" i="462"/>
  <c r="H19" i="440"/>
  <c r="G20" i="440"/>
  <c r="H19" i="211"/>
  <c r="G20" i="211"/>
  <c r="G20" i="204"/>
  <c r="H19" i="204"/>
  <c r="G20" i="264"/>
  <c r="H19" i="264"/>
  <c r="H19" i="458"/>
  <c r="G20" i="458"/>
  <c r="H19" i="454"/>
  <c r="G20" i="454"/>
  <c r="G24" i="450"/>
  <c r="H23" i="450"/>
  <c r="H20" i="423"/>
  <c r="G21" i="423"/>
  <c r="H19" i="403"/>
  <c r="G20" i="403"/>
  <c r="G24" i="390"/>
  <c r="H23" i="390"/>
  <c r="G20" i="439"/>
  <c r="H19" i="439"/>
  <c r="H19" i="314"/>
  <c r="G20" i="314"/>
  <c r="G20" i="434"/>
  <c r="H19" i="434"/>
  <c r="G20" i="387"/>
  <c r="H19" i="387"/>
  <c r="J21" i="208"/>
  <c r="L20" i="208"/>
  <c r="J21" i="206"/>
  <c r="L20" i="206"/>
  <c r="I19" i="370"/>
  <c r="J18" i="370"/>
  <c r="I20" i="335"/>
  <c r="J19" i="335"/>
  <c r="I20" i="253"/>
  <c r="J19" i="253"/>
  <c r="K19" i="253"/>
  <c r="I19" i="251"/>
  <c r="J18" i="251"/>
  <c r="K18" i="251"/>
  <c r="I19" i="255"/>
  <c r="J18" i="255"/>
  <c r="K18" i="255"/>
  <c r="I20" i="256"/>
  <c r="J19" i="256"/>
  <c r="K19" i="256"/>
  <c r="I20" i="252"/>
  <c r="J19" i="252"/>
  <c r="K19" i="252"/>
  <c r="H27" i="464" l="1"/>
  <c r="M27" i="464"/>
  <c r="G28" i="464"/>
  <c r="AB37" i="463"/>
  <c r="H37" i="463"/>
  <c r="G38" i="463"/>
  <c r="H25" i="462"/>
  <c r="G26" i="462"/>
  <c r="M25" i="462"/>
  <c r="H20" i="440"/>
  <c r="G21" i="440"/>
  <c r="H20" i="211"/>
  <c r="G21" i="211"/>
  <c r="G21" i="204"/>
  <c r="H20" i="204"/>
  <c r="H20" i="264"/>
  <c r="G21" i="264"/>
  <c r="H20" i="458"/>
  <c r="G21" i="458"/>
  <c r="H20" i="454"/>
  <c r="G21" i="454"/>
  <c r="G25" i="450"/>
  <c r="H24" i="450"/>
  <c r="H21" i="423"/>
  <c r="G22" i="423"/>
  <c r="H20" i="403"/>
  <c r="G21" i="403"/>
  <c r="G25" i="390"/>
  <c r="H24" i="390"/>
  <c r="G21" i="439"/>
  <c r="H20" i="439"/>
  <c r="H20" i="314"/>
  <c r="G21" i="314"/>
  <c r="G21" i="434"/>
  <c r="H20" i="434"/>
  <c r="G21" i="387"/>
  <c r="H20" i="387"/>
  <c r="J22" i="208"/>
  <c r="L21" i="208"/>
  <c r="J22" i="206"/>
  <c r="L21" i="206"/>
  <c r="I20" i="370"/>
  <c r="J19" i="370"/>
  <c r="I21" i="335"/>
  <c r="J20" i="335"/>
  <c r="K20" i="253"/>
  <c r="I21" i="253"/>
  <c r="J20" i="253"/>
  <c r="K19" i="251"/>
  <c r="I20" i="251"/>
  <c r="J19" i="251"/>
  <c r="K19" i="255"/>
  <c r="I20" i="255"/>
  <c r="J19" i="255"/>
  <c r="K20" i="256"/>
  <c r="I21" i="256"/>
  <c r="J20" i="256"/>
  <c r="K20" i="252"/>
  <c r="I21" i="252"/>
  <c r="J20" i="252"/>
  <c r="H28" i="464" l="1"/>
  <c r="M28" i="464"/>
  <c r="G29" i="464"/>
  <c r="AB38" i="463"/>
  <c r="H38" i="463"/>
  <c r="G39" i="463"/>
  <c r="H26" i="462"/>
  <c r="G27" i="462"/>
  <c r="M26" i="462"/>
  <c r="H21" i="440"/>
  <c r="G22" i="440"/>
  <c r="H21" i="211"/>
  <c r="G22" i="211"/>
  <c r="G22" i="204"/>
  <c r="H21" i="204"/>
  <c r="G22" i="264"/>
  <c r="H21" i="264"/>
  <c r="H21" i="458"/>
  <c r="G22" i="458"/>
  <c r="H21" i="454"/>
  <c r="G22" i="454"/>
  <c r="G26" i="450"/>
  <c r="H25" i="450"/>
  <c r="H22" i="423"/>
  <c r="G23" i="423"/>
  <c r="H21" i="403"/>
  <c r="G22" i="403"/>
  <c r="G26" i="390"/>
  <c r="H25" i="390"/>
  <c r="G22" i="439"/>
  <c r="H21" i="439"/>
  <c r="H21" i="314"/>
  <c r="G22" i="314"/>
  <c r="G22" i="434"/>
  <c r="H21" i="434"/>
  <c r="G22" i="387"/>
  <c r="H21" i="387"/>
  <c r="J23" i="208"/>
  <c r="L22" i="208"/>
  <c r="J23" i="206"/>
  <c r="L22" i="206"/>
  <c r="I21" i="370"/>
  <c r="J20" i="370"/>
  <c r="I22" i="335"/>
  <c r="J21" i="335"/>
  <c r="I22" i="253"/>
  <c r="J21" i="253"/>
  <c r="K21" i="253"/>
  <c r="I21" i="251"/>
  <c r="J20" i="251"/>
  <c r="K20" i="251"/>
  <c r="I21" i="255"/>
  <c r="J20" i="255"/>
  <c r="K20" i="255"/>
  <c r="I22" i="256"/>
  <c r="J21" i="256"/>
  <c r="K21" i="256"/>
  <c r="I22" i="252"/>
  <c r="J21" i="252"/>
  <c r="K21" i="252"/>
  <c r="H29" i="464" l="1"/>
  <c r="M29" i="464"/>
  <c r="G30" i="464"/>
  <c r="AB39" i="463"/>
  <c r="H39" i="463"/>
  <c r="G40" i="463"/>
  <c r="H27" i="462"/>
  <c r="G28" i="462"/>
  <c r="M27" i="462"/>
  <c r="H22" i="440"/>
  <c r="G23" i="440"/>
  <c r="H22" i="211"/>
  <c r="G23" i="211"/>
  <c r="G23" i="204"/>
  <c r="H22" i="204"/>
  <c r="G23" i="264"/>
  <c r="H22" i="264"/>
  <c r="H22" i="458"/>
  <c r="G23" i="458"/>
  <c r="H22" i="454"/>
  <c r="G23" i="454"/>
  <c r="G27" i="450"/>
  <c r="H26" i="450"/>
  <c r="H23" i="423"/>
  <c r="G24" i="423"/>
  <c r="H22" i="403"/>
  <c r="G23" i="403"/>
  <c r="G27" i="390"/>
  <c r="H26" i="390"/>
  <c r="G23" i="439"/>
  <c r="H22" i="439"/>
  <c r="H22" i="314"/>
  <c r="G23" i="314"/>
  <c r="G23" i="434"/>
  <c r="H22" i="434"/>
  <c r="G23" i="387"/>
  <c r="H22" i="387"/>
  <c r="L23" i="208"/>
  <c r="J24" i="208"/>
  <c r="L23" i="206"/>
  <c r="J24" i="206"/>
  <c r="I22" i="370"/>
  <c r="J21" i="370"/>
  <c r="I23" i="335"/>
  <c r="J22" i="335"/>
  <c r="K22" i="253"/>
  <c r="I23" i="253"/>
  <c r="J22" i="253"/>
  <c r="K21" i="251"/>
  <c r="I22" i="251"/>
  <c r="J21" i="251"/>
  <c r="K21" i="255"/>
  <c r="I22" i="255"/>
  <c r="J21" i="255"/>
  <c r="K22" i="256"/>
  <c r="I23" i="256"/>
  <c r="J22" i="256"/>
  <c r="K22" i="252"/>
  <c r="I23" i="252"/>
  <c r="J22" i="252"/>
  <c r="H30" i="464" l="1"/>
  <c r="G31" i="464"/>
  <c r="M30" i="464"/>
  <c r="H28" i="462"/>
  <c r="G29" i="462"/>
  <c r="M28" i="462"/>
  <c r="H23" i="440"/>
  <c r="G24" i="440"/>
  <c r="H23" i="211"/>
  <c r="G24" i="211"/>
  <c r="G24" i="204"/>
  <c r="H23" i="204"/>
  <c r="G24" i="264"/>
  <c r="H23" i="264"/>
  <c r="H23" i="458"/>
  <c r="G24" i="458"/>
  <c r="H23" i="454"/>
  <c r="G24" i="454"/>
  <c r="G28" i="450"/>
  <c r="H27" i="450"/>
  <c r="H24" i="423"/>
  <c r="G25" i="423"/>
  <c r="H23" i="403"/>
  <c r="G24" i="403"/>
  <c r="G28" i="390"/>
  <c r="H27" i="390"/>
  <c r="G24" i="439"/>
  <c r="H23" i="439"/>
  <c r="H23" i="314"/>
  <c r="G24" i="314"/>
  <c r="G24" i="434"/>
  <c r="H23" i="434"/>
  <c r="G24" i="387"/>
  <c r="H23" i="387"/>
  <c r="J25" i="208"/>
  <c r="L24" i="208"/>
  <c r="J25" i="206"/>
  <c r="L24" i="206"/>
  <c r="I23" i="370"/>
  <c r="J22" i="370"/>
  <c r="I24" i="335"/>
  <c r="J23" i="335"/>
  <c r="I24" i="253"/>
  <c r="J23" i="253"/>
  <c r="K23" i="253"/>
  <c r="I23" i="251"/>
  <c r="J22" i="251"/>
  <c r="K22" i="251"/>
  <c r="I23" i="255"/>
  <c r="J22" i="255"/>
  <c r="K22" i="255"/>
  <c r="I24" i="256"/>
  <c r="J23" i="256"/>
  <c r="K23" i="256"/>
  <c r="I24" i="252"/>
  <c r="J23" i="252"/>
  <c r="K23" i="252"/>
  <c r="H31" i="464" l="1"/>
  <c r="G32" i="464"/>
  <c r="M31" i="464"/>
  <c r="H29" i="462"/>
  <c r="G30" i="462"/>
  <c r="M29" i="462"/>
  <c r="H24" i="440"/>
  <c r="G25" i="440"/>
  <c r="H24" i="211"/>
  <c r="G25" i="211"/>
  <c r="G25" i="204"/>
  <c r="H24" i="204"/>
  <c r="G25" i="264"/>
  <c r="H24" i="264"/>
  <c r="H24" i="458"/>
  <c r="G25" i="458"/>
  <c r="H24" i="454"/>
  <c r="G25" i="454"/>
  <c r="G29" i="450"/>
  <c r="H28" i="450"/>
  <c r="H25" i="423"/>
  <c r="G26" i="423"/>
  <c r="H24" i="403"/>
  <c r="G25" i="403"/>
  <c r="G29" i="390"/>
  <c r="H28" i="390"/>
  <c r="G25" i="439"/>
  <c r="H24" i="439"/>
  <c r="H24" i="314"/>
  <c r="G25" i="314"/>
  <c r="G25" i="434"/>
  <c r="H24" i="434"/>
  <c r="G25" i="387"/>
  <c r="H24" i="387"/>
  <c r="J26" i="208"/>
  <c r="L25" i="208"/>
  <c r="J26" i="206"/>
  <c r="L25" i="206"/>
  <c r="I24" i="370"/>
  <c r="J23" i="370"/>
  <c r="I25" i="335"/>
  <c r="J24" i="335"/>
  <c r="K24" i="253"/>
  <c r="I25" i="253"/>
  <c r="J24" i="253"/>
  <c r="K23" i="251"/>
  <c r="I24" i="251"/>
  <c r="J23" i="251"/>
  <c r="K23" i="255"/>
  <c r="I24" i="255"/>
  <c r="J23" i="255"/>
  <c r="K24" i="256"/>
  <c r="I25" i="256"/>
  <c r="J24" i="256"/>
  <c r="K24" i="252"/>
  <c r="I25" i="252"/>
  <c r="J24" i="252"/>
  <c r="H32" i="464" l="1"/>
  <c r="G33" i="464"/>
  <c r="M32" i="464"/>
  <c r="H30" i="462"/>
  <c r="G31" i="462"/>
  <c r="M30" i="462"/>
  <c r="G26" i="440"/>
  <c r="H25" i="440"/>
  <c r="H25" i="211"/>
  <c r="G26" i="211"/>
  <c r="G26" i="204"/>
  <c r="H25" i="204"/>
  <c r="G26" i="264"/>
  <c r="H25" i="264"/>
  <c r="H25" i="458"/>
  <c r="G26" i="458"/>
  <c r="H25" i="454"/>
  <c r="G26" i="454"/>
  <c r="G30" i="450"/>
  <c r="H29" i="450"/>
  <c r="H26" i="423"/>
  <c r="G27" i="423"/>
  <c r="H25" i="403"/>
  <c r="G26" i="403"/>
  <c r="G30" i="390"/>
  <c r="H29" i="390"/>
  <c r="G26" i="439"/>
  <c r="H25" i="439"/>
  <c r="H25" i="314"/>
  <c r="G26" i="314"/>
  <c r="G26" i="434"/>
  <c r="H25" i="434"/>
  <c r="G26" i="387"/>
  <c r="H25" i="387"/>
  <c r="J27" i="208"/>
  <c r="L26" i="208"/>
  <c r="J27" i="206"/>
  <c r="L26" i="206"/>
  <c r="I25" i="370"/>
  <c r="J24" i="370"/>
  <c r="I26" i="335"/>
  <c r="J25" i="335"/>
  <c r="I26" i="253"/>
  <c r="J25" i="253"/>
  <c r="K25" i="253"/>
  <c r="I25" i="251"/>
  <c r="J24" i="251"/>
  <c r="K24" i="251"/>
  <c r="I25" i="255"/>
  <c r="J24" i="255"/>
  <c r="K24" i="255"/>
  <c r="I26" i="256"/>
  <c r="J25" i="256"/>
  <c r="K25" i="256"/>
  <c r="I26" i="252"/>
  <c r="J25" i="252"/>
  <c r="K25" i="252"/>
  <c r="H33" i="464" l="1"/>
  <c r="G34" i="464"/>
  <c r="M33" i="464"/>
  <c r="H26" i="440"/>
  <c r="G27" i="440"/>
  <c r="H31" i="462"/>
  <c r="G32" i="462"/>
  <c r="M31" i="462"/>
  <c r="H26" i="211"/>
  <c r="G27" i="211"/>
  <c r="G27" i="204"/>
  <c r="H26" i="204"/>
  <c r="G27" i="264"/>
  <c r="H26" i="264"/>
  <c r="H26" i="458"/>
  <c r="G27" i="458"/>
  <c r="H26" i="454"/>
  <c r="G27" i="454"/>
  <c r="G31" i="450"/>
  <c r="H30" i="450"/>
  <c r="H27" i="423"/>
  <c r="G28" i="423"/>
  <c r="H26" i="403"/>
  <c r="G27" i="403"/>
  <c r="G31" i="390"/>
  <c r="H30" i="390"/>
  <c r="G27" i="439"/>
  <c r="H26" i="439"/>
  <c r="H26" i="314"/>
  <c r="G27" i="314"/>
  <c r="G27" i="434"/>
  <c r="H26" i="434"/>
  <c r="G27" i="387"/>
  <c r="H26" i="387"/>
  <c r="J28" i="208"/>
  <c r="L27" i="208"/>
  <c r="J28" i="206"/>
  <c r="L27" i="206"/>
  <c r="I26" i="370"/>
  <c r="J25" i="370"/>
  <c r="I27" i="335"/>
  <c r="J26" i="335"/>
  <c r="K26" i="253"/>
  <c r="I27" i="253"/>
  <c r="J26" i="253"/>
  <c r="K25" i="251"/>
  <c r="I26" i="251"/>
  <c r="J25" i="251"/>
  <c r="K25" i="255"/>
  <c r="I26" i="255"/>
  <c r="J25" i="255"/>
  <c r="K26" i="256"/>
  <c r="I27" i="256"/>
  <c r="J26" i="256"/>
  <c r="K26" i="252"/>
  <c r="I27" i="252"/>
  <c r="J26" i="252"/>
  <c r="H34" i="464" l="1"/>
  <c r="G35" i="464"/>
  <c r="M34" i="464"/>
  <c r="H32" i="462"/>
  <c r="G33" i="462"/>
  <c r="M32" i="462"/>
  <c r="H27" i="440"/>
  <c r="G28" i="440"/>
  <c r="H27" i="211"/>
  <c r="G28" i="211"/>
  <c r="G28" i="204"/>
  <c r="H27" i="204"/>
  <c r="G28" i="264"/>
  <c r="H27" i="264"/>
  <c r="H27" i="458"/>
  <c r="G28" i="458"/>
  <c r="H27" i="454"/>
  <c r="G28" i="454"/>
  <c r="G32" i="450"/>
  <c r="H31" i="450"/>
  <c r="H28" i="423"/>
  <c r="G29" i="423"/>
  <c r="H27" i="403"/>
  <c r="G28" i="403"/>
  <c r="G32" i="390"/>
  <c r="H31" i="390"/>
  <c r="G28" i="439"/>
  <c r="H27" i="439"/>
  <c r="H27" i="314"/>
  <c r="G28" i="314"/>
  <c r="G28" i="434"/>
  <c r="H27" i="434"/>
  <c r="G28" i="387"/>
  <c r="H27" i="387"/>
  <c r="J29" i="208"/>
  <c r="L28" i="208"/>
  <c r="J29" i="206"/>
  <c r="L28" i="206"/>
  <c r="I27" i="370"/>
  <c r="J26" i="370"/>
  <c r="I28" i="335"/>
  <c r="J27" i="335"/>
  <c r="I28" i="253"/>
  <c r="J27" i="253"/>
  <c r="K27" i="253"/>
  <c r="I27" i="251"/>
  <c r="J26" i="251"/>
  <c r="K26" i="251"/>
  <c r="I27" i="255"/>
  <c r="J26" i="255"/>
  <c r="K26" i="255"/>
  <c r="I28" i="256"/>
  <c r="J27" i="256"/>
  <c r="K27" i="256"/>
  <c r="I28" i="252"/>
  <c r="J27" i="252"/>
  <c r="K27" i="252"/>
  <c r="H35" i="464" l="1"/>
  <c r="G36" i="464"/>
  <c r="M35" i="464"/>
  <c r="H33" i="462"/>
  <c r="G34" i="462"/>
  <c r="M33" i="462"/>
  <c r="H28" i="440"/>
  <c r="G29" i="440"/>
  <c r="H28" i="211"/>
  <c r="G29" i="211"/>
  <c r="G29" i="204"/>
  <c r="H28" i="204"/>
  <c r="G29" i="264"/>
  <c r="H28" i="264"/>
  <c r="H28" i="458"/>
  <c r="G29" i="458"/>
  <c r="H28" i="454"/>
  <c r="G29" i="454"/>
  <c r="G33" i="450"/>
  <c r="H32" i="450"/>
  <c r="H29" i="423"/>
  <c r="G30" i="423"/>
  <c r="H28" i="403"/>
  <c r="G29" i="403"/>
  <c r="G33" i="390"/>
  <c r="H32" i="390"/>
  <c r="G29" i="439"/>
  <c r="H28" i="439"/>
  <c r="H28" i="314"/>
  <c r="G29" i="314"/>
  <c r="G29" i="434"/>
  <c r="H28" i="434"/>
  <c r="G29" i="387"/>
  <c r="H28" i="387"/>
  <c r="J30" i="208"/>
  <c r="L29" i="208"/>
  <c r="J30" i="206"/>
  <c r="L29" i="206"/>
  <c r="I28" i="370"/>
  <c r="J27" i="370"/>
  <c r="I29" i="335"/>
  <c r="J28" i="335"/>
  <c r="K28" i="253"/>
  <c r="I29" i="253"/>
  <c r="J28" i="253"/>
  <c r="K27" i="251"/>
  <c r="I28" i="251"/>
  <c r="J27" i="251"/>
  <c r="K27" i="255"/>
  <c r="I28" i="255"/>
  <c r="J27" i="255"/>
  <c r="K28" i="256"/>
  <c r="I29" i="256"/>
  <c r="J28" i="256"/>
  <c r="K28" i="252"/>
  <c r="I29" i="252"/>
  <c r="J28" i="252"/>
  <c r="H36" i="464" l="1"/>
  <c r="G37" i="464"/>
  <c r="M36" i="464"/>
  <c r="H34" i="462"/>
  <c r="G35" i="462"/>
  <c r="M34" i="462"/>
  <c r="G30" i="440"/>
  <c r="H29" i="440"/>
  <c r="H29" i="211"/>
  <c r="G30" i="211"/>
  <c r="G30" i="204"/>
  <c r="H29" i="204"/>
  <c r="G30" i="264"/>
  <c r="H29" i="264"/>
  <c r="H29" i="458"/>
  <c r="G30" i="458"/>
  <c r="H29" i="454"/>
  <c r="G30" i="454"/>
  <c r="G34" i="450"/>
  <c r="H33" i="450"/>
  <c r="H30" i="423"/>
  <c r="G31" i="423"/>
  <c r="H29" i="403"/>
  <c r="G30" i="403"/>
  <c r="G34" i="390"/>
  <c r="H33" i="390"/>
  <c r="G30" i="439"/>
  <c r="H29" i="439"/>
  <c r="H29" i="314"/>
  <c r="G30" i="314"/>
  <c r="G30" i="434"/>
  <c r="H29" i="434"/>
  <c r="G30" i="387"/>
  <c r="H29" i="387"/>
  <c r="J31" i="208"/>
  <c r="L30" i="208"/>
  <c r="J31" i="206"/>
  <c r="L30" i="206"/>
  <c r="I29" i="370"/>
  <c r="J28" i="370"/>
  <c r="I30" i="335"/>
  <c r="J29" i="335"/>
  <c r="I30" i="253"/>
  <c r="J29" i="253"/>
  <c r="K29" i="253"/>
  <c r="I29" i="251"/>
  <c r="J28" i="251"/>
  <c r="K28" i="251"/>
  <c r="I29" i="255"/>
  <c r="J28" i="255"/>
  <c r="K28" i="255"/>
  <c r="I30" i="256"/>
  <c r="J29" i="256"/>
  <c r="K29" i="256"/>
  <c r="I30" i="252"/>
  <c r="J29" i="252"/>
  <c r="K29" i="252"/>
  <c r="H37" i="464" l="1"/>
  <c r="G38" i="464"/>
  <c r="M37" i="464"/>
  <c r="H30" i="440"/>
  <c r="G31" i="440"/>
  <c r="H35" i="462"/>
  <c r="G36" i="462"/>
  <c r="M35" i="462"/>
  <c r="H30" i="211"/>
  <c r="G31" i="211"/>
  <c r="G31" i="204"/>
  <c r="H30" i="204"/>
  <c r="G31" i="264"/>
  <c r="H30" i="264"/>
  <c r="H30" i="458"/>
  <c r="G31" i="458"/>
  <c r="H30" i="454"/>
  <c r="G31" i="454"/>
  <c r="G35" i="450"/>
  <c r="H34" i="450"/>
  <c r="H31" i="423"/>
  <c r="G32" i="423"/>
  <c r="H30" i="403"/>
  <c r="G31" i="403"/>
  <c r="G35" i="390"/>
  <c r="H34" i="390"/>
  <c r="G31" i="439"/>
  <c r="H30" i="439"/>
  <c r="H30" i="314"/>
  <c r="G31" i="314"/>
  <c r="G31" i="434"/>
  <c r="H30" i="434"/>
  <c r="G31" i="387"/>
  <c r="H30" i="387"/>
  <c r="J32" i="208"/>
  <c r="L31" i="208"/>
  <c r="J32" i="206"/>
  <c r="L31" i="206"/>
  <c r="I30" i="370"/>
  <c r="J29" i="370"/>
  <c r="I31" i="335"/>
  <c r="J30" i="335"/>
  <c r="K30" i="253"/>
  <c r="I31" i="253"/>
  <c r="J30" i="253"/>
  <c r="K29" i="251"/>
  <c r="I30" i="251"/>
  <c r="J29" i="251"/>
  <c r="K29" i="255"/>
  <c r="I30" i="255"/>
  <c r="J29" i="255"/>
  <c r="K30" i="256"/>
  <c r="I31" i="256"/>
  <c r="J30" i="256"/>
  <c r="K30" i="252"/>
  <c r="I31" i="252"/>
  <c r="J30" i="252"/>
  <c r="H38" i="464" l="1"/>
  <c r="G39" i="464"/>
  <c r="M38" i="464"/>
  <c r="H36" i="462"/>
  <c r="G37" i="462"/>
  <c r="M36" i="462"/>
  <c r="G32" i="440"/>
  <c r="H31" i="440"/>
  <c r="H31" i="211"/>
  <c r="G32" i="211"/>
  <c r="G32" i="204"/>
  <c r="H31" i="204"/>
  <c r="G32" i="264"/>
  <c r="H31" i="264"/>
  <c r="H31" i="458"/>
  <c r="G32" i="458"/>
  <c r="H31" i="454"/>
  <c r="G32" i="454"/>
  <c r="G36" i="450"/>
  <c r="H35" i="450"/>
  <c r="H32" i="423"/>
  <c r="G33" i="423"/>
  <c r="H31" i="403"/>
  <c r="G32" i="403"/>
  <c r="G36" i="390"/>
  <c r="H35" i="390"/>
  <c r="G32" i="439"/>
  <c r="H31" i="439"/>
  <c r="H31" i="314"/>
  <c r="G32" i="314"/>
  <c r="G32" i="434"/>
  <c r="H31" i="434"/>
  <c r="G32" i="387"/>
  <c r="H31" i="387"/>
  <c r="J33" i="208"/>
  <c r="L32" i="208"/>
  <c r="J33" i="206"/>
  <c r="L32" i="206"/>
  <c r="I31" i="370"/>
  <c r="J30" i="370"/>
  <c r="I32" i="335"/>
  <c r="J31" i="335"/>
  <c r="I32" i="253"/>
  <c r="J31" i="253"/>
  <c r="K31" i="253"/>
  <c r="I31" i="251"/>
  <c r="J30" i="251"/>
  <c r="K30" i="251"/>
  <c r="I31" i="255"/>
  <c r="J30" i="255"/>
  <c r="K30" i="255"/>
  <c r="I32" i="256"/>
  <c r="J31" i="256"/>
  <c r="K31" i="256"/>
  <c r="I32" i="252"/>
  <c r="J31" i="252"/>
  <c r="K31" i="252"/>
  <c r="G40" i="464" l="1"/>
  <c r="H39" i="464"/>
  <c r="M39" i="464"/>
  <c r="H32" i="440"/>
  <c r="G33" i="440"/>
  <c r="H37" i="462"/>
  <c r="G38" i="462"/>
  <c r="M37" i="462"/>
  <c r="H32" i="211"/>
  <c r="G33" i="211"/>
  <c r="G33" i="204"/>
  <c r="H32" i="204"/>
  <c r="G33" i="264"/>
  <c r="H32" i="264"/>
  <c r="H32" i="458"/>
  <c r="G33" i="458"/>
  <c r="H32" i="454"/>
  <c r="G33" i="454"/>
  <c r="G37" i="450"/>
  <c r="H36" i="450"/>
  <c r="H33" i="423"/>
  <c r="G34" i="423"/>
  <c r="H32" i="403"/>
  <c r="G33" i="403"/>
  <c r="G37" i="390"/>
  <c r="H36" i="390"/>
  <c r="G33" i="439"/>
  <c r="H32" i="439"/>
  <c r="H32" i="314"/>
  <c r="G33" i="314"/>
  <c r="G33" i="434"/>
  <c r="H32" i="434"/>
  <c r="G33" i="387"/>
  <c r="H32" i="387"/>
  <c r="J34" i="208"/>
  <c r="L33" i="208"/>
  <c r="J34" i="206"/>
  <c r="L33" i="206"/>
  <c r="I32" i="370"/>
  <c r="J31" i="370"/>
  <c r="I33" i="335"/>
  <c r="J32" i="335"/>
  <c r="K32" i="253"/>
  <c r="I33" i="253"/>
  <c r="J32" i="253"/>
  <c r="K31" i="251"/>
  <c r="I32" i="251"/>
  <c r="J31" i="251"/>
  <c r="K31" i="255"/>
  <c r="I32" i="255"/>
  <c r="J31" i="255"/>
  <c r="K32" i="256"/>
  <c r="I33" i="256"/>
  <c r="J32" i="256"/>
  <c r="K32" i="252"/>
  <c r="I33" i="252"/>
  <c r="J32" i="252"/>
  <c r="H38" i="462" l="1"/>
  <c r="G39" i="462"/>
  <c r="M38" i="462"/>
  <c r="G34" i="440"/>
  <c r="H33" i="440"/>
  <c r="H33" i="211"/>
  <c r="G34" i="211"/>
  <c r="G34" i="204"/>
  <c r="H33" i="204"/>
  <c r="G34" i="264"/>
  <c r="H33" i="264"/>
  <c r="H33" i="458"/>
  <c r="G34" i="458"/>
  <c r="H33" i="454"/>
  <c r="G34" i="454"/>
  <c r="G38" i="450"/>
  <c r="H37" i="450"/>
  <c r="H34" i="423"/>
  <c r="G35" i="423"/>
  <c r="H33" i="403"/>
  <c r="G34" i="403"/>
  <c r="G38" i="390"/>
  <c r="H37" i="390"/>
  <c r="G34" i="439"/>
  <c r="H33" i="439"/>
  <c r="H33" i="314"/>
  <c r="G34" i="314"/>
  <c r="G34" i="434"/>
  <c r="H33" i="434"/>
  <c r="G34" i="387"/>
  <c r="H33" i="387"/>
  <c r="J35" i="208"/>
  <c r="L34" i="208"/>
  <c r="J35" i="206"/>
  <c r="L34" i="206"/>
  <c r="I33" i="370"/>
  <c r="J32" i="370"/>
  <c r="I34" i="335"/>
  <c r="J33" i="335"/>
  <c r="I34" i="253"/>
  <c r="J33" i="253"/>
  <c r="K33" i="253"/>
  <c r="I33" i="251"/>
  <c r="J32" i="251"/>
  <c r="K32" i="251"/>
  <c r="I33" i="255"/>
  <c r="J32" i="255"/>
  <c r="K32" i="255"/>
  <c r="I34" i="256"/>
  <c r="J33" i="256"/>
  <c r="K33" i="256"/>
  <c r="I34" i="252"/>
  <c r="J33" i="252"/>
  <c r="K33" i="252"/>
  <c r="G35" i="440" l="1"/>
  <c r="H34" i="440"/>
  <c r="G40" i="462"/>
  <c r="H39" i="462"/>
  <c r="M39" i="462"/>
  <c r="H34" i="211"/>
  <c r="G35" i="211"/>
  <c r="G35" i="204"/>
  <c r="H34" i="204"/>
  <c r="G35" i="264"/>
  <c r="H34" i="264"/>
  <c r="H34" i="458"/>
  <c r="G35" i="458"/>
  <c r="H34" i="454"/>
  <c r="G35" i="454"/>
  <c r="G39" i="450"/>
  <c r="H39" i="450" s="1"/>
  <c r="H38" i="450"/>
  <c r="H35" i="423"/>
  <c r="G36" i="423"/>
  <c r="H34" i="403"/>
  <c r="G35" i="403"/>
  <c r="G39" i="390"/>
  <c r="H39" i="390" s="1"/>
  <c r="H38" i="390"/>
  <c r="G35" i="439"/>
  <c r="H34" i="439"/>
  <c r="H34" i="314"/>
  <c r="G35" i="314"/>
  <c r="G35" i="434"/>
  <c r="H34" i="434"/>
  <c r="G35" i="387"/>
  <c r="H34" i="387"/>
  <c r="J36" i="208"/>
  <c r="L35" i="208"/>
  <c r="J36" i="206"/>
  <c r="L35" i="206"/>
  <c r="I34" i="370"/>
  <c r="J33" i="370"/>
  <c r="I35" i="335"/>
  <c r="J34" i="335"/>
  <c r="K34" i="253"/>
  <c r="I35" i="253"/>
  <c r="J34" i="253"/>
  <c r="K33" i="251"/>
  <c r="I34" i="251"/>
  <c r="J33" i="251"/>
  <c r="K33" i="255"/>
  <c r="I34" i="255"/>
  <c r="J33" i="255"/>
  <c r="K34" i="256"/>
  <c r="I35" i="256"/>
  <c r="J34" i="256"/>
  <c r="K34" i="252"/>
  <c r="I35" i="252"/>
  <c r="J34" i="252"/>
  <c r="G36" i="440" l="1"/>
  <c r="H35" i="440"/>
  <c r="H35" i="211"/>
  <c r="G36" i="211"/>
  <c r="G36" i="204"/>
  <c r="H35" i="204"/>
  <c r="G36" i="264"/>
  <c r="H35" i="264"/>
  <c r="H35" i="458"/>
  <c r="G36" i="458"/>
  <c r="H35" i="454"/>
  <c r="G36" i="454"/>
  <c r="H36" i="423"/>
  <c r="G37" i="423"/>
  <c r="H35" i="403"/>
  <c r="G36" i="403"/>
  <c r="G36" i="439"/>
  <c r="H35" i="439"/>
  <c r="H35" i="314"/>
  <c r="G36" i="314"/>
  <c r="G36" i="434"/>
  <c r="H35" i="434"/>
  <c r="G36" i="387"/>
  <c r="H35" i="387"/>
  <c r="J37" i="208"/>
  <c r="L36" i="208"/>
  <c r="J37" i="206"/>
  <c r="L36" i="206"/>
  <c r="I35" i="370"/>
  <c r="J34" i="370"/>
  <c r="I36" i="335"/>
  <c r="J35" i="335"/>
  <c r="I36" i="253"/>
  <c r="J35" i="253"/>
  <c r="K35" i="253"/>
  <c r="I35" i="251"/>
  <c r="J34" i="251"/>
  <c r="K34" i="251"/>
  <c r="I35" i="255"/>
  <c r="J34" i="255"/>
  <c r="K34" i="255"/>
  <c r="I36" i="256"/>
  <c r="J35" i="256"/>
  <c r="K35" i="256"/>
  <c r="I36" i="252"/>
  <c r="J35" i="252"/>
  <c r="K35" i="252"/>
  <c r="G37" i="440" l="1"/>
  <c r="H36" i="440"/>
  <c r="H36" i="211"/>
  <c r="G37" i="211"/>
  <c r="G37" i="204"/>
  <c r="H36" i="204"/>
  <c r="G37" i="264"/>
  <c r="H36" i="264"/>
  <c r="H36" i="458"/>
  <c r="G37" i="458"/>
  <c r="H36" i="454"/>
  <c r="G37" i="454"/>
  <c r="H37" i="423"/>
  <c r="G38" i="423"/>
  <c r="H36" i="403"/>
  <c r="G37" i="403"/>
  <c r="G37" i="439"/>
  <c r="H36" i="439"/>
  <c r="H36" i="314"/>
  <c r="G37" i="314"/>
  <c r="G37" i="434"/>
  <c r="H36" i="434"/>
  <c r="G37" i="387"/>
  <c r="H36" i="387"/>
  <c r="J38" i="208"/>
  <c r="L37" i="208"/>
  <c r="J38" i="206"/>
  <c r="L37" i="206"/>
  <c r="I36" i="370"/>
  <c r="J35" i="370"/>
  <c r="I37" i="335"/>
  <c r="J36" i="335"/>
  <c r="K36" i="253"/>
  <c r="I37" i="253"/>
  <c r="J36" i="253"/>
  <c r="K35" i="251"/>
  <c r="I36" i="251"/>
  <c r="J35" i="251"/>
  <c r="K35" i="255"/>
  <c r="I36" i="255"/>
  <c r="J35" i="255"/>
  <c r="K36" i="256"/>
  <c r="I37" i="256"/>
  <c r="J36" i="256"/>
  <c r="K36" i="252"/>
  <c r="I37" i="252"/>
  <c r="J36" i="252"/>
  <c r="G38" i="440" l="1"/>
  <c r="H37" i="440"/>
  <c r="H37" i="211"/>
  <c r="G38" i="211"/>
  <c r="G38" i="204"/>
  <c r="H37" i="204"/>
  <c r="G38" i="264"/>
  <c r="H37" i="264"/>
  <c r="H37" i="458"/>
  <c r="G38" i="458"/>
  <c r="H37" i="454"/>
  <c r="G38" i="454"/>
  <c r="H38" i="423"/>
  <c r="G39" i="423"/>
  <c r="H39" i="423" s="1"/>
  <c r="H37" i="403"/>
  <c r="G38" i="403"/>
  <c r="G38" i="439"/>
  <c r="H37" i="439"/>
  <c r="H37" i="314"/>
  <c r="G38" i="314"/>
  <c r="G38" i="434"/>
  <c r="H37" i="434"/>
  <c r="G38" i="387"/>
  <c r="H37" i="387"/>
  <c r="J39" i="208"/>
  <c r="L38" i="208"/>
  <c r="J39" i="206"/>
  <c r="L38" i="206"/>
  <c r="I37" i="370"/>
  <c r="J36" i="370"/>
  <c r="I38" i="335"/>
  <c r="J37" i="335"/>
  <c r="I38" i="253"/>
  <c r="J37" i="253"/>
  <c r="K37" i="253"/>
  <c r="I37" i="251"/>
  <c r="J36" i="251"/>
  <c r="K36" i="251"/>
  <c r="I37" i="255"/>
  <c r="J36" i="255"/>
  <c r="K36" i="255"/>
  <c r="I38" i="256"/>
  <c r="J37" i="256"/>
  <c r="K37" i="256"/>
  <c r="I38" i="252"/>
  <c r="J37" i="252"/>
  <c r="K37" i="252"/>
  <c r="G39" i="440" l="1"/>
  <c r="H39" i="440" s="1"/>
  <c r="H38" i="440"/>
  <c r="H38" i="211"/>
  <c r="G39" i="211"/>
  <c r="H39" i="211" s="1"/>
  <c r="G39" i="204"/>
  <c r="H39" i="204" s="1"/>
  <c r="H38" i="204"/>
  <c r="G39" i="264"/>
  <c r="H39" i="264" s="1"/>
  <c r="H38" i="264"/>
  <c r="H38" i="458"/>
  <c r="G39" i="458"/>
  <c r="H39" i="458" s="1"/>
  <c r="H38" i="454"/>
  <c r="G39" i="454"/>
  <c r="H39" i="454" s="1"/>
  <c r="H38" i="403"/>
  <c r="G39" i="403"/>
  <c r="H39" i="403" s="1"/>
  <c r="G39" i="439"/>
  <c r="H39" i="439" s="1"/>
  <c r="H38" i="439"/>
  <c r="H38" i="314"/>
  <c r="G39" i="314"/>
  <c r="H39" i="314" s="1"/>
  <c r="G39" i="434"/>
  <c r="H39" i="434" s="1"/>
  <c r="H38" i="434"/>
  <c r="G39" i="387"/>
  <c r="H39" i="387" s="1"/>
  <c r="H38" i="387"/>
  <c r="J40" i="208"/>
  <c r="L40" i="208" s="1"/>
  <c r="L39" i="208"/>
  <c r="J40" i="206"/>
  <c r="L40" i="206" s="1"/>
  <c r="L39" i="206"/>
  <c r="I38" i="370"/>
  <c r="J37" i="370"/>
  <c r="I39" i="335"/>
  <c r="J38" i="335"/>
  <c r="K38" i="253"/>
  <c r="I39" i="253"/>
  <c r="J38" i="253"/>
  <c r="K37" i="251"/>
  <c r="I38" i="251"/>
  <c r="J37" i="251"/>
  <c r="K37" i="255"/>
  <c r="I38" i="255"/>
  <c r="J37" i="255"/>
  <c r="K38" i="256"/>
  <c r="I39" i="256"/>
  <c r="J38" i="256"/>
  <c r="K38" i="252"/>
  <c r="I39" i="252"/>
  <c r="J38" i="252"/>
  <c r="I39" i="370" l="1"/>
  <c r="J38" i="370"/>
  <c r="J39" i="335"/>
  <c r="J39" i="253"/>
  <c r="K39" i="253"/>
  <c r="I39" i="251"/>
  <c r="J38" i="251"/>
  <c r="K38" i="251"/>
  <c r="I39" i="255"/>
  <c r="J38" i="255"/>
  <c r="K38" i="255"/>
  <c r="J39" i="256"/>
  <c r="K39" i="256"/>
  <c r="J39" i="252"/>
  <c r="K39" i="252"/>
  <c r="J39" i="370" l="1"/>
  <c r="K39" i="251"/>
  <c r="J39" i="251"/>
  <c r="K39" i="255"/>
  <c r="J39" i="255"/>
  <c r="G39" i="405" l="1"/>
  <c r="F39" i="405"/>
  <c r="G38" i="405"/>
  <c r="F38" i="405"/>
  <c r="G37" i="405"/>
  <c r="F37" i="405"/>
  <c r="G36" i="405"/>
  <c r="F36" i="405"/>
  <c r="G35" i="405"/>
  <c r="F35" i="405"/>
  <c r="G34" i="405"/>
  <c r="F34" i="405"/>
  <c r="G33" i="405"/>
  <c r="F33" i="405"/>
  <c r="G32" i="405"/>
  <c r="F32" i="405"/>
  <c r="G31" i="405"/>
  <c r="F31" i="405"/>
  <c r="G30" i="405"/>
  <c r="F30" i="405"/>
  <c r="G29" i="405"/>
  <c r="F29" i="405"/>
  <c r="G28" i="405"/>
  <c r="F28" i="405"/>
  <c r="G27" i="405"/>
  <c r="F27" i="405"/>
  <c r="G26" i="405"/>
  <c r="F26" i="405"/>
  <c r="G25" i="405"/>
  <c r="F25" i="405"/>
  <c r="G24" i="405"/>
  <c r="F24" i="405"/>
  <c r="G23" i="405"/>
  <c r="F23" i="405"/>
  <c r="G22" i="405"/>
  <c r="F22" i="405"/>
  <c r="G21" i="405"/>
  <c r="F21" i="405"/>
  <c r="G20" i="405"/>
  <c r="F20" i="405"/>
  <c r="G19" i="405"/>
  <c r="F19" i="405"/>
  <c r="G18" i="405"/>
  <c r="F18" i="405"/>
  <c r="G17" i="405"/>
  <c r="F17" i="405"/>
  <c r="G16" i="405"/>
  <c r="F16" i="405"/>
  <c r="G15" i="405"/>
  <c r="F15" i="405"/>
  <c r="G14" i="405"/>
  <c r="F14" i="405"/>
  <c r="G13" i="405"/>
  <c r="F13" i="405"/>
  <c r="G12" i="405"/>
  <c r="F12" i="405"/>
  <c r="G11" i="405"/>
  <c r="F11" i="405"/>
  <c r="G10" i="405"/>
  <c r="F10" i="405"/>
  <c r="G9" i="405"/>
  <c r="F9" i="405"/>
  <c r="G39" i="382"/>
  <c r="F39" i="382"/>
  <c r="G38" i="382"/>
  <c r="F38" i="382"/>
  <c r="G37" i="382"/>
  <c r="F37" i="382"/>
  <c r="G36" i="382"/>
  <c r="F36" i="382"/>
  <c r="G35" i="382"/>
  <c r="F35" i="382"/>
  <c r="G34" i="382"/>
  <c r="F34" i="382"/>
  <c r="G33" i="382"/>
  <c r="F33" i="382"/>
  <c r="G32" i="382"/>
  <c r="F32" i="382"/>
  <c r="G31" i="382"/>
  <c r="F31" i="382"/>
  <c r="G30" i="382"/>
  <c r="F30" i="382"/>
  <c r="G29" i="382"/>
  <c r="F29" i="382"/>
  <c r="G28" i="382"/>
  <c r="F28" i="382"/>
  <c r="G27" i="382"/>
  <c r="F27" i="382"/>
  <c r="G26" i="382"/>
  <c r="F26" i="382"/>
  <c r="G25" i="382"/>
  <c r="F25" i="382"/>
  <c r="G24" i="382"/>
  <c r="F24" i="382"/>
  <c r="G23" i="382"/>
  <c r="F23" i="382"/>
  <c r="G22" i="382"/>
  <c r="F22" i="382"/>
  <c r="G21" i="382"/>
  <c r="F21" i="382"/>
  <c r="G20" i="382"/>
  <c r="F20" i="382"/>
  <c r="G19" i="382"/>
  <c r="F19" i="382"/>
  <c r="G18" i="382"/>
  <c r="F18" i="382"/>
  <c r="G17" i="382"/>
  <c r="F17" i="382"/>
  <c r="G16" i="382"/>
  <c r="F16" i="382"/>
  <c r="G15" i="382"/>
  <c r="F15" i="382"/>
  <c r="G14" i="382"/>
  <c r="F14" i="382"/>
  <c r="G13" i="382"/>
  <c r="F13" i="382"/>
  <c r="G12" i="382"/>
  <c r="F12" i="382"/>
  <c r="G11" i="382"/>
  <c r="F11" i="382"/>
  <c r="G10" i="382"/>
  <c r="F10" i="382"/>
  <c r="G9" i="382"/>
  <c r="F9" i="382"/>
  <c r="G39" i="381"/>
  <c r="F39" i="381"/>
  <c r="G38" i="381"/>
  <c r="F38" i="381"/>
  <c r="G37" i="381"/>
  <c r="F37" i="381"/>
  <c r="G36" i="381"/>
  <c r="F36" i="381"/>
  <c r="G35" i="381"/>
  <c r="F35" i="381"/>
  <c r="G34" i="381"/>
  <c r="F34" i="381"/>
  <c r="G33" i="381"/>
  <c r="F33" i="381"/>
  <c r="G32" i="381"/>
  <c r="F32" i="381"/>
  <c r="G31" i="381"/>
  <c r="F31" i="381"/>
  <c r="G30" i="381"/>
  <c r="F30" i="381"/>
  <c r="G29" i="381"/>
  <c r="F29" i="381"/>
  <c r="G28" i="381"/>
  <c r="F28" i="381"/>
  <c r="G27" i="381"/>
  <c r="F27" i="381"/>
  <c r="G26" i="381"/>
  <c r="F26" i="381"/>
  <c r="G25" i="381"/>
  <c r="F25" i="381"/>
  <c r="G24" i="381"/>
  <c r="F24" i="381"/>
  <c r="G23" i="381"/>
  <c r="F23" i="381"/>
  <c r="G22" i="381"/>
  <c r="F22" i="381"/>
  <c r="G21" i="381"/>
  <c r="F21" i="381"/>
  <c r="G20" i="381"/>
  <c r="F20" i="381"/>
  <c r="G19" i="381"/>
  <c r="F19" i="381"/>
  <c r="G18" i="381"/>
  <c r="F18" i="381"/>
  <c r="G17" i="381"/>
  <c r="F17" i="381"/>
  <c r="G16" i="381"/>
  <c r="F16" i="381"/>
  <c r="G15" i="381"/>
  <c r="F15" i="381"/>
  <c r="G14" i="381"/>
  <c r="F14" i="381"/>
  <c r="G13" i="381"/>
  <c r="F13" i="381"/>
  <c r="G12" i="381"/>
  <c r="F12" i="381"/>
  <c r="G11" i="381"/>
  <c r="F11" i="381"/>
  <c r="G10" i="381"/>
  <c r="F10" i="381"/>
  <c r="G9" i="381"/>
  <c r="F9" i="381"/>
  <c r="G39" i="374"/>
  <c r="F39" i="374"/>
  <c r="G38" i="374"/>
  <c r="F38" i="374"/>
  <c r="G37" i="374"/>
  <c r="F37" i="374"/>
  <c r="G36" i="374"/>
  <c r="F36" i="374"/>
  <c r="G35" i="374"/>
  <c r="F35" i="374"/>
  <c r="G34" i="374"/>
  <c r="F34" i="374"/>
  <c r="G33" i="374"/>
  <c r="F33" i="374"/>
  <c r="G32" i="374"/>
  <c r="F32" i="374"/>
  <c r="G31" i="374"/>
  <c r="F31" i="374"/>
  <c r="G30" i="374"/>
  <c r="F30" i="374"/>
  <c r="G29" i="374"/>
  <c r="F29" i="374"/>
  <c r="G28" i="374"/>
  <c r="F28" i="374"/>
  <c r="G27" i="374"/>
  <c r="F27" i="374"/>
  <c r="G26" i="374"/>
  <c r="F26" i="374"/>
  <c r="G25" i="374"/>
  <c r="F25" i="374"/>
  <c r="G24" i="374"/>
  <c r="F24" i="374"/>
  <c r="G23" i="374"/>
  <c r="F23" i="374"/>
  <c r="G22" i="374"/>
  <c r="F22" i="374"/>
  <c r="G21" i="374"/>
  <c r="F21" i="374"/>
  <c r="G20" i="374"/>
  <c r="F20" i="374"/>
  <c r="G19" i="374"/>
  <c r="F19" i="374"/>
  <c r="G18" i="374"/>
  <c r="F18" i="374"/>
  <c r="G17" i="374"/>
  <c r="F17" i="374"/>
  <c r="G16" i="374"/>
  <c r="F16" i="374"/>
  <c r="G15" i="374"/>
  <c r="F15" i="374"/>
  <c r="G14" i="374"/>
  <c r="F14" i="374"/>
  <c r="G13" i="374"/>
  <c r="F13" i="374"/>
  <c r="G12" i="374"/>
  <c r="F12" i="374"/>
  <c r="G11" i="374"/>
  <c r="F11" i="374"/>
  <c r="G10" i="374"/>
  <c r="F10" i="374"/>
  <c r="G9" i="374"/>
  <c r="F9" i="374"/>
  <c r="G39" i="397"/>
  <c r="F39" i="397"/>
  <c r="G38" i="397"/>
  <c r="F38" i="397"/>
  <c r="G37" i="397"/>
  <c r="F37" i="397"/>
  <c r="G36" i="397"/>
  <c r="F36" i="397"/>
  <c r="G35" i="397"/>
  <c r="F35" i="397"/>
  <c r="G34" i="397"/>
  <c r="F34" i="397"/>
  <c r="G33" i="397"/>
  <c r="F33" i="397"/>
  <c r="G32" i="397"/>
  <c r="F32" i="397"/>
  <c r="G31" i="397"/>
  <c r="F31" i="397"/>
  <c r="G30" i="397"/>
  <c r="F30" i="397"/>
  <c r="G29" i="397"/>
  <c r="F29" i="397"/>
  <c r="G28" i="397"/>
  <c r="F28" i="397"/>
  <c r="G27" i="397"/>
  <c r="F27" i="397"/>
  <c r="G26" i="397"/>
  <c r="F26" i="397"/>
  <c r="G25" i="397"/>
  <c r="F25" i="397"/>
  <c r="G24" i="397"/>
  <c r="F24" i="397"/>
  <c r="G23" i="397"/>
  <c r="F23" i="397"/>
  <c r="G22" i="397"/>
  <c r="F22" i="397"/>
  <c r="G21" i="397"/>
  <c r="F21" i="397"/>
  <c r="G20" i="397"/>
  <c r="F20" i="397"/>
  <c r="G19" i="397"/>
  <c r="F19" i="397"/>
  <c r="G18" i="397"/>
  <c r="F18" i="397"/>
  <c r="G17" i="397"/>
  <c r="F17" i="397"/>
  <c r="G16" i="397"/>
  <c r="F16" i="397"/>
  <c r="G15" i="397"/>
  <c r="F15" i="397"/>
  <c r="G14" i="397"/>
  <c r="F14" i="397"/>
  <c r="G13" i="397"/>
  <c r="F13" i="397"/>
  <c r="G12" i="397"/>
  <c r="F12" i="397"/>
  <c r="G11" i="397"/>
  <c r="F11" i="397"/>
  <c r="G10" i="397"/>
  <c r="F10" i="397"/>
  <c r="G9" i="397"/>
  <c r="F9" i="397"/>
  <c r="G39" i="385"/>
  <c r="F39" i="385"/>
  <c r="G38" i="385"/>
  <c r="F38" i="385"/>
  <c r="G37" i="385"/>
  <c r="F37" i="385"/>
  <c r="G36" i="385"/>
  <c r="F36" i="385"/>
  <c r="G35" i="385"/>
  <c r="F35" i="385"/>
  <c r="G34" i="385"/>
  <c r="F34" i="385"/>
  <c r="G33" i="385"/>
  <c r="F33" i="385"/>
  <c r="G32" i="385"/>
  <c r="F32" i="385"/>
  <c r="G31" i="385"/>
  <c r="F31" i="385"/>
  <c r="G30" i="385"/>
  <c r="F30" i="385"/>
  <c r="G29" i="385"/>
  <c r="F29" i="385"/>
  <c r="G28" i="385"/>
  <c r="F28" i="385"/>
  <c r="G27" i="385"/>
  <c r="F27" i="385"/>
  <c r="G26" i="385"/>
  <c r="F26" i="385"/>
  <c r="G25" i="385"/>
  <c r="F25" i="385"/>
  <c r="G24" i="385"/>
  <c r="F24" i="385"/>
  <c r="G23" i="385"/>
  <c r="F23" i="385"/>
  <c r="G22" i="385"/>
  <c r="F22" i="385"/>
  <c r="G21" i="385"/>
  <c r="F21" i="385"/>
  <c r="G20" i="385"/>
  <c r="F20" i="385"/>
  <c r="G19" i="385"/>
  <c r="F19" i="385"/>
  <c r="G18" i="385"/>
  <c r="F18" i="385"/>
  <c r="G17" i="385"/>
  <c r="F17" i="385"/>
  <c r="G16" i="385"/>
  <c r="F16" i="385"/>
  <c r="G15" i="385"/>
  <c r="F15" i="385"/>
  <c r="G14" i="385"/>
  <c r="F14" i="385"/>
  <c r="G13" i="385"/>
  <c r="F13" i="385"/>
  <c r="G12" i="385"/>
  <c r="F12" i="385"/>
  <c r="G11" i="385"/>
  <c r="F11" i="385"/>
  <c r="G10" i="385"/>
  <c r="F10" i="385"/>
  <c r="G9" i="385"/>
  <c r="F9" i="385"/>
  <c r="G39" i="371"/>
  <c r="F39" i="371"/>
  <c r="G38" i="371"/>
  <c r="F38" i="371"/>
  <c r="G37" i="371"/>
  <c r="F37" i="371"/>
  <c r="G36" i="371"/>
  <c r="F36" i="371"/>
  <c r="G35" i="371"/>
  <c r="F35" i="371"/>
  <c r="G34" i="371"/>
  <c r="F34" i="371"/>
  <c r="G33" i="371"/>
  <c r="F33" i="371"/>
  <c r="G32" i="371"/>
  <c r="F32" i="371"/>
  <c r="G31" i="371"/>
  <c r="F31" i="371"/>
  <c r="G30" i="371"/>
  <c r="F30" i="371"/>
  <c r="G29" i="371"/>
  <c r="F29" i="371"/>
  <c r="G28" i="371"/>
  <c r="F28" i="371"/>
  <c r="G27" i="371"/>
  <c r="F27" i="371"/>
  <c r="G26" i="371"/>
  <c r="F26" i="371"/>
  <c r="G25" i="371"/>
  <c r="F25" i="371"/>
  <c r="G24" i="371"/>
  <c r="F24" i="371"/>
  <c r="G23" i="371"/>
  <c r="F23" i="371"/>
  <c r="G22" i="371"/>
  <c r="F22" i="371"/>
  <c r="G21" i="371"/>
  <c r="F21" i="371"/>
  <c r="G20" i="371"/>
  <c r="F20" i="371"/>
  <c r="G19" i="371"/>
  <c r="F19" i="371"/>
  <c r="G18" i="371"/>
  <c r="F18" i="371"/>
  <c r="G17" i="371"/>
  <c r="F17" i="371"/>
  <c r="G16" i="371"/>
  <c r="F16" i="371"/>
  <c r="G15" i="371"/>
  <c r="F15" i="371"/>
  <c r="G14" i="371"/>
  <c r="F14" i="371"/>
  <c r="G13" i="371"/>
  <c r="F13" i="371"/>
  <c r="G12" i="371"/>
  <c r="F12" i="371"/>
  <c r="G11" i="371"/>
  <c r="F11" i="371"/>
  <c r="G10" i="371"/>
  <c r="F10" i="371"/>
  <c r="G9" i="371"/>
  <c r="F9" i="371"/>
  <c r="G39" i="369"/>
  <c r="F39" i="369"/>
  <c r="G38" i="369"/>
  <c r="F38" i="369"/>
  <c r="G37" i="369"/>
  <c r="F37" i="369"/>
  <c r="G36" i="369"/>
  <c r="F36" i="369"/>
  <c r="G35" i="369"/>
  <c r="F35" i="369"/>
  <c r="G34" i="369"/>
  <c r="F34" i="369"/>
  <c r="G33" i="369"/>
  <c r="F33" i="369"/>
  <c r="G32" i="369"/>
  <c r="F32" i="369"/>
  <c r="G31" i="369"/>
  <c r="F31" i="369"/>
  <c r="G30" i="369"/>
  <c r="F30" i="369"/>
  <c r="G29" i="369"/>
  <c r="F29" i="369"/>
  <c r="G28" i="369"/>
  <c r="F28" i="369"/>
  <c r="G27" i="369"/>
  <c r="F27" i="369"/>
  <c r="G26" i="369"/>
  <c r="F26" i="369"/>
  <c r="G25" i="369"/>
  <c r="F25" i="369"/>
  <c r="G24" i="369"/>
  <c r="F24" i="369"/>
  <c r="G23" i="369"/>
  <c r="F23" i="369"/>
  <c r="G22" i="369"/>
  <c r="F22" i="369"/>
  <c r="G21" i="369"/>
  <c r="F21" i="369"/>
  <c r="G20" i="369"/>
  <c r="F20" i="369"/>
  <c r="G19" i="369"/>
  <c r="F19" i="369"/>
  <c r="G18" i="369"/>
  <c r="F18" i="369"/>
  <c r="G17" i="369"/>
  <c r="F17" i="369"/>
  <c r="G16" i="369"/>
  <c r="F16" i="369"/>
  <c r="G15" i="369"/>
  <c r="F15" i="369"/>
  <c r="G14" i="369"/>
  <c r="F14" i="369"/>
  <c r="G13" i="369"/>
  <c r="F13" i="369"/>
  <c r="G12" i="369"/>
  <c r="F12" i="369"/>
  <c r="G11" i="369"/>
  <c r="F11" i="369"/>
  <c r="G10" i="369"/>
  <c r="F10" i="369"/>
  <c r="G9" i="369"/>
  <c r="F9" i="369"/>
  <c r="G39" i="368"/>
  <c r="F39" i="368"/>
  <c r="G38" i="368"/>
  <c r="F38" i="368"/>
  <c r="G37" i="368"/>
  <c r="F37" i="368"/>
  <c r="G36" i="368"/>
  <c r="F36" i="368"/>
  <c r="G35" i="368"/>
  <c r="F35" i="368"/>
  <c r="G34" i="368"/>
  <c r="F34" i="368"/>
  <c r="G33" i="368"/>
  <c r="F33" i="368"/>
  <c r="G32" i="368"/>
  <c r="F32" i="368"/>
  <c r="G31" i="368"/>
  <c r="F31" i="368"/>
  <c r="G30" i="368"/>
  <c r="F30" i="368"/>
  <c r="G29" i="368"/>
  <c r="F29" i="368"/>
  <c r="G28" i="368"/>
  <c r="F28" i="368"/>
  <c r="G27" i="368"/>
  <c r="F27" i="368"/>
  <c r="G26" i="368"/>
  <c r="F26" i="368"/>
  <c r="G25" i="368"/>
  <c r="F25" i="368"/>
  <c r="G24" i="368"/>
  <c r="F24" i="368"/>
  <c r="G23" i="368"/>
  <c r="F23" i="368"/>
  <c r="G22" i="368"/>
  <c r="F22" i="368"/>
  <c r="G21" i="368"/>
  <c r="F21" i="368"/>
  <c r="G20" i="368"/>
  <c r="F20" i="368"/>
  <c r="G19" i="368"/>
  <c r="F19" i="368"/>
  <c r="G18" i="368"/>
  <c r="F18" i="368"/>
  <c r="G17" i="368"/>
  <c r="F17" i="368"/>
  <c r="G16" i="368"/>
  <c r="F16" i="368"/>
  <c r="G15" i="368"/>
  <c r="F15" i="368"/>
  <c r="G14" i="368"/>
  <c r="F14" i="368"/>
  <c r="G13" i="368"/>
  <c r="F13" i="368"/>
  <c r="G12" i="368"/>
  <c r="F12" i="368"/>
  <c r="G11" i="368"/>
  <c r="F11" i="368"/>
  <c r="G10" i="368"/>
  <c r="F10" i="368"/>
  <c r="G9" i="368"/>
  <c r="F9" i="368"/>
  <c r="G39" i="456"/>
  <c r="F39" i="456"/>
  <c r="G38" i="456"/>
  <c r="F38" i="456"/>
  <c r="G37" i="456"/>
  <c r="F37" i="456"/>
  <c r="G36" i="456"/>
  <c r="F36" i="456"/>
  <c r="G35" i="456"/>
  <c r="F35" i="456"/>
  <c r="G34" i="456"/>
  <c r="F34" i="456"/>
  <c r="G33" i="456"/>
  <c r="F33" i="456"/>
  <c r="G32" i="456"/>
  <c r="F32" i="456"/>
  <c r="G31" i="456"/>
  <c r="F31" i="456"/>
  <c r="G30" i="456"/>
  <c r="F30" i="456"/>
  <c r="G29" i="456"/>
  <c r="F29" i="456"/>
  <c r="G28" i="456"/>
  <c r="F28" i="456"/>
  <c r="G27" i="456"/>
  <c r="F27" i="456"/>
  <c r="G26" i="456"/>
  <c r="F26" i="456"/>
  <c r="G25" i="456"/>
  <c r="F25" i="456"/>
  <c r="G24" i="456"/>
  <c r="F24" i="456"/>
  <c r="G23" i="456"/>
  <c r="F23" i="456"/>
  <c r="G22" i="456"/>
  <c r="F22" i="456"/>
  <c r="G21" i="456"/>
  <c r="F21" i="456"/>
  <c r="G20" i="456"/>
  <c r="F20" i="456"/>
  <c r="G19" i="456"/>
  <c r="F19" i="456"/>
  <c r="G18" i="456"/>
  <c r="F18" i="456"/>
  <c r="G17" i="456"/>
  <c r="F17" i="456"/>
  <c r="G16" i="456"/>
  <c r="F16" i="456"/>
  <c r="G15" i="456"/>
  <c r="F15" i="456"/>
  <c r="G14" i="456"/>
  <c r="F14" i="456"/>
  <c r="G13" i="456"/>
  <c r="F13" i="456"/>
  <c r="G12" i="456"/>
  <c r="F12" i="456"/>
  <c r="G11" i="456"/>
  <c r="F11" i="456"/>
  <c r="G10" i="456"/>
  <c r="F10" i="456"/>
  <c r="G9" i="456"/>
  <c r="F9" i="456"/>
  <c r="G39" i="367"/>
  <c r="F39" i="367"/>
  <c r="G38" i="367"/>
  <c r="F38" i="367"/>
  <c r="G37" i="367"/>
  <c r="F37" i="367"/>
  <c r="G36" i="367"/>
  <c r="F36" i="367"/>
  <c r="G35" i="367"/>
  <c r="F35" i="367"/>
  <c r="G34" i="367"/>
  <c r="F34" i="367"/>
  <c r="G33" i="367"/>
  <c r="F33" i="367"/>
  <c r="G32" i="367"/>
  <c r="F32" i="367"/>
  <c r="G31" i="367"/>
  <c r="F31" i="367"/>
  <c r="G30" i="367"/>
  <c r="F30" i="367"/>
  <c r="G29" i="367"/>
  <c r="F29" i="367"/>
  <c r="G28" i="367"/>
  <c r="F28" i="367"/>
  <c r="G27" i="367"/>
  <c r="F27" i="367"/>
  <c r="G26" i="367"/>
  <c r="F26" i="367"/>
  <c r="G25" i="367"/>
  <c r="F25" i="367"/>
  <c r="G24" i="367"/>
  <c r="F24" i="367"/>
  <c r="G23" i="367"/>
  <c r="F23" i="367"/>
  <c r="G22" i="367"/>
  <c r="F22" i="367"/>
  <c r="G21" i="367"/>
  <c r="F21" i="367"/>
  <c r="G20" i="367"/>
  <c r="F20" i="367"/>
  <c r="G19" i="367"/>
  <c r="F19" i="367"/>
  <c r="G18" i="367"/>
  <c r="F18" i="367"/>
  <c r="G17" i="367"/>
  <c r="F17" i="367"/>
  <c r="G16" i="367"/>
  <c r="F16" i="367"/>
  <c r="G15" i="367"/>
  <c r="F15" i="367"/>
  <c r="G14" i="367"/>
  <c r="F14" i="367"/>
  <c r="G13" i="367"/>
  <c r="F13" i="367"/>
  <c r="G12" i="367"/>
  <c r="F12" i="367"/>
  <c r="G11" i="367"/>
  <c r="F11" i="367"/>
  <c r="G10" i="367"/>
  <c r="F10" i="367"/>
  <c r="G9" i="367"/>
  <c r="F9" i="367"/>
  <c r="G39" i="425"/>
  <c r="F39" i="425"/>
  <c r="G38" i="425"/>
  <c r="F38" i="425"/>
  <c r="G37" i="425"/>
  <c r="F37" i="425"/>
  <c r="G36" i="425"/>
  <c r="F36" i="425"/>
  <c r="G35" i="425"/>
  <c r="F35" i="425"/>
  <c r="G34" i="425"/>
  <c r="F34" i="425"/>
  <c r="G33" i="425"/>
  <c r="F33" i="425"/>
  <c r="G32" i="425"/>
  <c r="F32" i="425"/>
  <c r="G31" i="425"/>
  <c r="F31" i="425"/>
  <c r="G30" i="425"/>
  <c r="F30" i="425"/>
  <c r="G29" i="425"/>
  <c r="F29" i="425"/>
  <c r="G28" i="425"/>
  <c r="F28" i="425"/>
  <c r="G27" i="425"/>
  <c r="F27" i="425"/>
  <c r="G26" i="425"/>
  <c r="F26" i="425"/>
  <c r="G25" i="425"/>
  <c r="F25" i="425"/>
  <c r="G24" i="425"/>
  <c r="F24" i="425"/>
  <c r="G23" i="425"/>
  <c r="F23" i="425"/>
  <c r="G22" i="425"/>
  <c r="F22" i="425"/>
  <c r="G21" i="425"/>
  <c r="F21" i="425"/>
  <c r="G20" i="425"/>
  <c r="F20" i="425"/>
  <c r="G19" i="425"/>
  <c r="F19" i="425"/>
  <c r="G18" i="425"/>
  <c r="F18" i="425"/>
  <c r="G17" i="425"/>
  <c r="F17" i="425"/>
  <c r="G16" i="425"/>
  <c r="F16" i="425"/>
  <c r="G15" i="425"/>
  <c r="F15" i="425"/>
  <c r="G14" i="425"/>
  <c r="F14" i="425"/>
  <c r="G13" i="425"/>
  <c r="F13" i="425"/>
  <c r="G12" i="425"/>
  <c r="F12" i="425"/>
  <c r="G11" i="425"/>
  <c r="F11" i="425"/>
  <c r="G10" i="425"/>
  <c r="F10" i="425"/>
  <c r="G9" i="425"/>
  <c r="F9" i="425"/>
  <c r="G39" i="366"/>
  <c r="F39" i="366"/>
  <c r="G38" i="366"/>
  <c r="F38" i="366"/>
  <c r="G37" i="366"/>
  <c r="F37" i="366"/>
  <c r="G36" i="366"/>
  <c r="F36" i="366"/>
  <c r="G35" i="366"/>
  <c r="F35" i="366"/>
  <c r="G34" i="366"/>
  <c r="F34" i="366"/>
  <c r="G33" i="366"/>
  <c r="F33" i="366"/>
  <c r="G32" i="366"/>
  <c r="F32" i="366"/>
  <c r="G31" i="366"/>
  <c r="F31" i="366"/>
  <c r="G30" i="366"/>
  <c r="F30" i="366"/>
  <c r="G29" i="366"/>
  <c r="F29" i="366"/>
  <c r="G28" i="366"/>
  <c r="F28" i="366"/>
  <c r="G27" i="366"/>
  <c r="F27" i="366"/>
  <c r="G26" i="366"/>
  <c r="F26" i="366"/>
  <c r="G25" i="366"/>
  <c r="F25" i="366"/>
  <c r="G24" i="366"/>
  <c r="F24" i="366"/>
  <c r="G23" i="366"/>
  <c r="F23" i="366"/>
  <c r="G22" i="366"/>
  <c r="F22" i="366"/>
  <c r="G21" i="366"/>
  <c r="F21" i="366"/>
  <c r="G20" i="366"/>
  <c r="F20" i="366"/>
  <c r="G19" i="366"/>
  <c r="F19" i="366"/>
  <c r="G18" i="366"/>
  <c r="F18" i="366"/>
  <c r="G17" i="366"/>
  <c r="F17" i="366"/>
  <c r="G16" i="366"/>
  <c r="F16" i="366"/>
  <c r="G15" i="366"/>
  <c r="F15" i="366"/>
  <c r="G14" i="366"/>
  <c r="F14" i="366"/>
  <c r="G13" i="366"/>
  <c r="F13" i="366"/>
  <c r="G12" i="366"/>
  <c r="F12" i="366"/>
  <c r="G11" i="366"/>
  <c r="F11" i="366"/>
  <c r="G10" i="366"/>
  <c r="F10" i="366"/>
  <c r="G9" i="366"/>
  <c r="F9" i="366"/>
  <c r="G39" i="348"/>
  <c r="F39" i="348"/>
  <c r="G38" i="348"/>
  <c r="F38" i="348"/>
  <c r="G37" i="348"/>
  <c r="F37" i="348"/>
  <c r="G36" i="348"/>
  <c r="F36" i="348"/>
  <c r="G35" i="348"/>
  <c r="F35" i="348"/>
  <c r="G34" i="348"/>
  <c r="F34" i="348"/>
  <c r="G33" i="348"/>
  <c r="F33" i="348"/>
  <c r="G32" i="348"/>
  <c r="F32" i="348"/>
  <c r="G31" i="348"/>
  <c r="F31" i="348"/>
  <c r="G30" i="348"/>
  <c r="F30" i="348"/>
  <c r="G29" i="348"/>
  <c r="F29" i="348"/>
  <c r="G28" i="348"/>
  <c r="F28" i="348"/>
  <c r="G27" i="348"/>
  <c r="F27" i="348"/>
  <c r="G26" i="348"/>
  <c r="F26" i="348"/>
  <c r="G25" i="348"/>
  <c r="F25" i="348"/>
  <c r="G24" i="348"/>
  <c r="F24" i="348"/>
  <c r="G23" i="348"/>
  <c r="F23" i="348"/>
  <c r="G22" i="348"/>
  <c r="F22" i="348"/>
  <c r="G21" i="348"/>
  <c r="F21" i="348"/>
  <c r="G20" i="348"/>
  <c r="F20" i="348"/>
  <c r="G19" i="348"/>
  <c r="F19" i="348"/>
  <c r="G18" i="348"/>
  <c r="F18" i="348"/>
  <c r="G17" i="348"/>
  <c r="F17" i="348"/>
  <c r="G16" i="348"/>
  <c r="F16" i="348"/>
  <c r="G15" i="348"/>
  <c r="F15" i="348"/>
  <c r="G14" i="348"/>
  <c r="F14" i="348"/>
  <c r="G13" i="348"/>
  <c r="F13" i="348"/>
  <c r="G12" i="348"/>
  <c r="F12" i="348"/>
  <c r="G11" i="348"/>
  <c r="F11" i="348"/>
  <c r="G10" i="348"/>
  <c r="F10" i="348"/>
  <c r="G9" i="348"/>
  <c r="F9" i="348"/>
  <c r="G39" i="347"/>
  <c r="F39" i="347"/>
  <c r="G38" i="347"/>
  <c r="F38" i="347"/>
  <c r="G37" i="347"/>
  <c r="F37" i="347"/>
  <c r="G36" i="347"/>
  <c r="F36" i="347"/>
  <c r="G35" i="347"/>
  <c r="F35" i="347"/>
  <c r="G34" i="347"/>
  <c r="F34" i="347"/>
  <c r="G33" i="347"/>
  <c r="F33" i="347"/>
  <c r="G32" i="347"/>
  <c r="F32" i="347"/>
  <c r="G31" i="347"/>
  <c r="F31" i="347"/>
  <c r="G30" i="347"/>
  <c r="F30" i="347"/>
  <c r="G29" i="347"/>
  <c r="F29" i="347"/>
  <c r="G28" i="347"/>
  <c r="F28" i="347"/>
  <c r="G27" i="347"/>
  <c r="F27" i="347"/>
  <c r="G26" i="347"/>
  <c r="F26" i="347"/>
  <c r="G25" i="347"/>
  <c r="F25" i="347"/>
  <c r="G24" i="347"/>
  <c r="F24" i="347"/>
  <c r="G23" i="347"/>
  <c r="F23" i="347"/>
  <c r="G22" i="347"/>
  <c r="F22" i="347"/>
  <c r="G21" i="347"/>
  <c r="F21" i="347"/>
  <c r="G20" i="347"/>
  <c r="F20" i="347"/>
  <c r="G19" i="347"/>
  <c r="F19" i="347"/>
  <c r="G18" i="347"/>
  <c r="F18" i="347"/>
  <c r="G17" i="347"/>
  <c r="F17" i="347"/>
  <c r="G16" i="347"/>
  <c r="F16" i="347"/>
  <c r="G15" i="347"/>
  <c r="F15" i="347"/>
  <c r="G14" i="347"/>
  <c r="F14" i="347"/>
  <c r="G13" i="347"/>
  <c r="F13" i="347"/>
  <c r="G12" i="347"/>
  <c r="F12" i="347"/>
  <c r="G11" i="347"/>
  <c r="F11" i="347"/>
  <c r="G10" i="347"/>
  <c r="F10" i="347"/>
  <c r="G9" i="347"/>
  <c r="F9" i="347"/>
  <c r="G39" i="163"/>
  <c r="F39" i="163"/>
  <c r="G38" i="163"/>
  <c r="F38" i="163"/>
  <c r="G37" i="163"/>
  <c r="F37" i="163"/>
  <c r="G36" i="163"/>
  <c r="F36" i="163"/>
  <c r="G35" i="163"/>
  <c r="F35" i="163"/>
  <c r="G34" i="163"/>
  <c r="F34" i="163"/>
  <c r="G33" i="163"/>
  <c r="F33" i="163"/>
  <c r="G32" i="163"/>
  <c r="F32" i="163"/>
  <c r="G31" i="163"/>
  <c r="F31" i="163"/>
  <c r="G30" i="163"/>
  <c r="F30" i="163"/>
  <c r="G29" i="163"/>
  <c r="F29" i="163"/>
  <c r="G28" i="163"/>
  <c r="F28" i="163"/>
  <c r="G27" i="163"/>
  <c r="F27" i="163"/>
  <c r="G26" i="163"/>
  <c r="F26" i="163"/>
  <c r="G25" i="163"/>
  <c r="F25" i="163"/>
  <c r="G24" i="163"/>
  <c r="F24" i="163"/>
  <c r="G23" i="163"/>
  <c r="F23" i="163"/>
  <c r="G22" i="163"/>
  <c r="F22" i="163"/>
  <c r="G21" i="163"/>
  <c r="F21" i="163"/>
  <c r="G20" i="163"/>
  <c r="F20" i="163"/>
  <c r="G19" i="163"/>
  <c r="F19" i="163"/>
  <c r="G18" i="163"/>
  <c r="F18" i="163"/>
  <c r="G17" i="163"/>
  <c r="F17" i="163"/>
  <c r="G16" i="163"/>
  <c r="F16" i="163"/>
  <c r="G15" i="163"/>
  <c r="F15" i="163"/>
  <c r="G14" i="163"/>
  <c r="F14" i="163"/>
  <c r="G13" i="163"/>
  <c r="F13" i="163"/>
  <c r="G12" i="163"/>
  <c r="F12" i="163"/>
  <c r="G11" i="163"/>
  <c r="F11" i="163"/>
  <c r="G10" i="163"/>
  <c r="F10" i="163"/>
  <c r="G9" i="163"/>
  <c r="F9" i="163"/>
  <c r="G39" i="291"/>
  <c r="F39" i="291"/>
  <c r="G38" i="291"/>
  <c r="F38" i="291"/>
  <c r="G37" i="291"/>
  <c r="F37" i="291"/>
  <c r="G36" i="291"/>
  <c r="F36" i="291"/>
  <c r="G35" i="291"/>
  <c r="F35" i="291"/>
  <c r="G34" i="291"/>
  <c r="F34" i="291"/>
  <c r="G33" i="291"/>
  <c r="F33" i="291"/>
  <c r="G32" i="291"/>
  <c r="F32" i="291"/>
  <c r="G31" i="291"/>
  <c r="F31" i="291"/>
  <c r="G30" i="291"/>
  <c r="F30" i="291"/>
  <c r="G29" i="291"/>
  <c r="F29" i="291"/>
  <c r="G28" i="291"/>
  <c r="F28" i="291"/>
  <c r="G27" i="291"/>
  <c r="F27" i="291"/>
  <c r="G26" i="291"/>
  <c r="F26" i="291"/>
  <c r="G25" i="291"/>
  <c r="F25" i="291"/>
  <c r="G24" i="291"/>
  <c r="F24" i="291"/>
  <c r="G23" i="291"/>
  <c r="F23" i="291"/>
  <c r="G22" i="291"/>
  <c r="F22" i="291"/>
  <c r="G21" i="291"/>
  <c r="F21" i="291"/>
  <c r="G20" i="291"/>
  <c r="F20" i="291"/>
  <c r="G19" i="291"/>
  <c r="F19" i="291"/>
  <c r="G18" i="291"/>
  <c r="F18" i="291"/>
  <c r="G17" i="291"/>
  <c r="F17" i="291"/>
  <c r="G16" i="291"/>
  <c r="F16" i="291"/>
  <c r="G15" i="291"/>
  <c r="F15" i="291"/>
  <c r="G14" i="291"/>
  <c r="F14" i="291"/>
  <c r="G13" i="291"/>
  <c r="F13" i="291"/>
  <c r="G12" i="291"/>
  <c r="F12" i="291"/>
  <c r="G11" i="291"/>
  <c r="F11" i="291"/>
  <c r="G10" i="291"/>
  <c r="F10" i="291"/>
  <c r="G9" i="291"/>
  <c r="F9" i="291"/>
  <c r="G39" i="288"/>
  <c r="F39" i="288"/>
  <c r="G38" i="288"/>
  <c r="F38" i="288"/>
  <c r="G37" i="288"/>
  <c r="F37" i="288"/>
  <c r="G36" i="288"/>
  <c r="F36" i="288"/>
  <c r="G35" i="288"/>
  <c r="F35" i="288"/>
  <c r="G34" i="288"/>
  <c r="F34" i="288"/>
  <c r="G33" i="288"/>
  <c r="F33" i="288"/>
  <c r="G32" i="288"/>
  <c r="F32" i="288"/>
  <c r="G31" i="288"/>
  <c r="F31" i="288"/>
  <c r="G30" i="288"/>
  <c r="F30" i="288"/>
  <c r="G29" i="288"/>
  <c r="F29" i="288"/>
  <c r="G28" i="288"/>
  <c r="F28" i="288"/>
  <c r="G27" i="288"/>
  <c r="F27" i="288"/>
  <c r="G26" i="288"/>
  <c r="F26" i="288"/>
  <c r="G25" i="288"/>
  <c r="F25" i="288"/>
  <c r="G24" i="288"/>
  <c r="F24" i="288"/>
  <c r="G23" i="288"/>
  <c r="F23" i="288"/>
  <c r="G22" i="288"/>
  <c r="F22" i="288"/>
  <c r="G21" i="288"/>
  <c r="F21" i="288"/>
  <c r="G20" i="288"/>
  <c r="F20" i="288"/>
  <c r="G19" i="288"/>
  <c r="F19" i="288"/>
  <c r="G18" i="288"/>
  <c r="F18" i="288"/>
  <c r="G17" i="288"/>
  <c r="F17" i="288"/>
  <c r="G16" i="288"/>
  <c r="F16" i="288"/>
  <c r="G15" i="288"/>
  <c r="F15" i="288"/>
  <c r="G14" i="288"/>
  <c r="F14" i="288"/>
  <c r="G13" i="288"/>
  <c r="F13" i="288"/>
  <c r="G12" i="288"/>
  <c r="F12" i="288"/>
  <c r="G11" i="288"/>
  <c r="F11" i="288"/>
  <c r="G10" i="288"/>
  <c r="F10" i="288"/>
  <c r="G9" i="288"/>
  <c r="F9" i="288"/>
  <c r="G39" i="290"/>
  <c r="F39" i="290"/>
  <c r="G38" i="290"/>
  <c r="F38" i="290"/>
  <c r="G37" i="290"/>
  <c r="F37" i="290"/>
  <c r="G36" i="290"/>
  <c r="F36" i="290"/>
  <c r="G35" i="290"/>
  <c r="F35" i="290"/>
  <c r="G34" i="290"/>
  <c r="F34" i="290"/>
  <c r="G33" i="290"/>
  <c r="F33" i="290"/>
  <c r="G32" i="290"/>
  <c r="F32" i="290"/>
  <c r="G31" i="290"/>
  <c r="F31" i="290"/>
  <c r="G30" i="290"/>
  <c r="F30" i="290"/>
  <c r="G29" i="290"/>
  <c r="F29" i="290"/>
  <c r="G28" i="290"/>
  <c r="F28" i="290"/>
  <c r="G27" i="290"/>
  <c r="F27" i="290"/>
  <c r="G26" i="290"/>
  <c r="F26" i="290"/>
  <c r="G25" i="290"/>
  <c r="F25" i="290"/>
  <c r="G24" i="290"/>
  <c r="F24" i="290"/>
  <c r="G23" i="290"/>
  <c r="F23" i="290"/>
  <c r="G22" i="290"/>
  <c r="F22" i="290"/>
  <c r="G21" i="290"/>
  <c r="F21" i="290"/>
  <c r="G20" i="290"/>
  <c r="F20" i="290"/>
  <c r="G19" i="290"/>
  <c r="F19" i="290"/>
  <c r="G18" i="290"/>
  <c r="F18" i="290"/>
  <c r="G17" i="290"/>
  <c r="F17" i="290"/>
  <c r="G16" i="290"/>
  <c r="F16" i="290"/>
  <c r="G15" i="290"/>
  <c r="F15" i="290"/>
  <c r="G14" i="290"/>
  <c r="F14" i="290"/>
  <c r="G13" i="290"/>
  <c r="F13" i="290"/>
  <c r="G12" i="290"/>
  <c r="F12" i="290"/>
  <c r="G11" i="290"/>
  <c r="F11" i="290"/>
  <c r="G10" i="290"/>
  <c r="F10" i="290"/>
  <c r="G9" i="290"/>
  <c r="F9" i="290"/>
  <c r="G39" i="289"/>
  <c r="F39" i="289"/>
  <c r="G38" i="289"/>
  <c r="F38" i="289"/>
  <c r="G37" i="289"/>
  <c r="F37" i="289"/>
  <c r="G36" i="289"/>
  <c r="F36" i="289"/>
  <c r="G35" i="289"/>
  <c r="F35" i="289"/>
  <c r="G34" i="289"/>
  <c r="F34" i="289"/>
  <c r="G33" i="289"/>
  <c r="F33" i="289"/>
  <c r="G32" i="289"/>
  <c r="F32" i="289"/>
  <c r="G31" i="289"/>
  <c r="F31" i="289"/>
  <c r="G30" i="289"/>
  <c r="F30" i="289"/>
  <c r="G29" i="289"/>
  <c r="F29" i="289"/>
  <c r="G28" i="289"/>
  <c r="F28" i="289"/>
  <c r="G27" i="289"/>
  <c r="F27" i="289"/>
  <c r="G26" i="289"/>
  <c r="F26" i="289"/>
  <c r="G25" i="289"/>
  <c r="F25" i="289"/>
  <c r="G24" i="289"/>
  <c r="F24" i="289"/>
  <c r="G23" i="289"/>
  <c r="F23" i="289"/>
  <c r="G22" i="289"/>
  <c r="F22" i="289"/>
  <c r="G21" i="289"/>
  <c r="F21" i="289"/>
  <c r="G20" i="289"/>
  <c r="F20" i="289"/>
  <c r="G19" i="289"/>
  <c r="F19" i="289"/>
  <c r="G18" i="289"/>
  <c r="F18" i="289"/>
  <c r="G17" i="289"/>
  <c r="F17" i="289"/>
  <c r="G16" i="289"/>
  <c r="F16" i="289"/>
  <c r="G15" i="289"/>
  <c r="F15" i="289"/>
  <c r="G14" i="289"/>
  <c r="F14" i="289"/>
  <c r="G13" i="289"/>
  <c r="F13" i="289"/>
  <c r="G12" i="289"/>
  <c r="F12" i="289"/>
  <c r="G11" i="289"/>
  <c r="F11" i="289"/>
  <c r="G10" i="289"/>
  <c r="F10" i="289"/>
  <c r="G9" i="289"/>
  <c r="F9" i="289"/>
  <c r="G39" i="173"/>
  <c r="F39" i="173"/>
  <c r="G38" i="173"/>
  <c r="F38" i="173"/>
  <c r="G37" i="173"/>
  <c r="F37" i="173"/>
  <c r="G36" i="173"/>
  <c r="F36" i="173"/>
  <c r="G35" i="173"/>
  <c r="F35" i="173"/>
  <c r="G34" i="173"/>
  <c r="F34" i="173"/>
  <c r="G33" i="173"/>
  <c r="F33" i="173"/>
  <c r="G32" i="173"/>
  <c r="F32" i="173"/>
  <c r="G31" i="173"/>
  <c r="F31" i="173"/>
  <c r="G30" i="173"/>
  <c r="F30" i="173"/>
  <c r="G29" i="173"/>
  <c r="F29" i="173"/>
  <c r="G28" i="173"/>
  <c r="F28" i="173"/>
  <c r="G27" i="173"/>
  <c r="F27" i="173"/>
  <c r="G26" i="173"/>
  <c r="F26" i="173"/>
  <c r="G25" i="173"/>
  <c r="F25" i="173"/>
  <c r="G24" i="173"/>
  <c r="F24" i="173"/>
  <c r="G23" i="173"/>
  <c r="F23" i="173"/>
  <c r="G22" i="173"/>
  <c r="F22" i="173"/>
  <c r="G21" i="173"/>
  <c r="F21" i="173"/>
  <c r="G20" i="173"/>
  <c r="F20" i="173"/>
  <c r="G19" i="173"/>
  <c r="F19" i="173"/>
  <c r="G18" i="173"/>
  <c r="F18" i="173"/>
  <c r="G17" i="173"/>
  <c r="F17" i="173"/>
  <c r="G16" i="173"/>
  <c r="F16" i="173"/>
  <c r="G15" i="173"/>
  <c r="F15" i="173"/>
  <c r="G14" i="173"/>
  <c r="F14" i="173"/>
  <c r="G13" i="173"/>
  <c r="F13" i="173"/>
  <c r="G12" i="173"/>
  <c r="F12" i="173"/>
  <c r="G11" i="173"/>
  <c r="F11" i="173"/>
  <c r="G10" i="173"/>
  <c r="F10" i="173"/>
  <c r="G9" i="173"/>
  <c r="F9" i="173"/>
  <c r="G39" i="451"/>
  <c r="F39" i="451"/>
  <c r="G38" i="451"/>
  <c r="F38" i="451"/>
  <c r="G37" i="451"/>
  <c r="F37" i="451"/>
  <c r="G36" i="451"/>
  <c r="F36" i="451"/>
  <c r="G35" i="451"/>
  <c r="F35" i="451"/>
  <c r="G34" i="451"/>
  <c r="F34" i="451"/>
  <c r="G33" i="451"/>
  <c r="F33" i="451"/>
  <c r="G32" i="451"/>
  <c r="F32" i="451"/>
  <c r="G31" i="451"/>
  <c r="F31" i="451"/>
  <c r="G30" i="451"/>
  <c r="F30" i="451"/>
  <c r="G29" i="451"/>
  <c r="F29" i="451"/>
  <c r="G28" i="451"/>
  <c r="F28" i="451"/>
  <c r="G27" i="451"/>
  <c r="F27" i="451"/>
  <c r="G26" i="451"/>
  <c r="F26" i="451"/>
  <c r="G25" i="451"/>
  <c r="F25" i="451"/>
  <c r="G24" i="451"/>
  <c r="F24" i="451"/>
  <c r="G23" i="451"/>
  <c r="F23" i="451"/>
  <c r="G22" i="451"/>
  <c r="F22" i="451"/>
  <c r="G21" i="451"/>
  <c r="F21" i="451"/>
  <c r="G20" i="451"/>
  <c r="F20" i="451"/>
  <c r="G19" i="451"/>
  <c r="F19" i="451"/>
  <c r="G18" i="451"/>
  <c r="F18" i="451"/>
  <c r="G17" i="451"/>
  <c r="F17" i="451"/>
  <c r="G16" i="451"/>
  <c r="F16" i="451"/>
  <c r="G15" i="451"/>
  <c r="F15" i="451"/>
  <c r="G14" i="451"/>
  <c r="F14" i="451"/>
  <c r="G13" i="451"/>
  <c r="F13" i="451"/>
  <c r="G12" i="451"/>
  <c r="F12" i="451"/>
  <c r="G11" i="451"/>
  <c r="F11" i="451"/>
  <c r="G10" i="451"/>
  <c r="F10" i="451"/>
  <c r="G9" i="451"/>
  <c r="F9" i="451"/>
  <c r="G39" i="160"/>
  <c r="F39" i="160"/>
  <c r="G38" i="160"/>
  <c r="F38" i="160"/>
  <c r="G37" i="160"/>
  <c r="F37" i="160"/>
  <c r="G36" i="160"/>
  <c r="F36" i="160"/>
  <c r="G35" i="160"/>
  <c r="F35" i="160"/>
  <c r="G34" i="160"/>
  <c r="F34" i="160"/>
  <c r="G33" i="160"/>
  <c r="F33" i="160"/>
  <c r="G32" i="160"/>
  <c r="F32" i="160"/>
  <c r="G31" i="160"/>
  <c r="F31" i="160"/>
  <c r="G30" i="160"/>
  <c r="F30" i="160"/>
  <c r="G29" i="160"/>
  <c r="F29" i="160"/>
  <c r="G28" i="160"/>
  <c r="F28" i="160"/>
  <c r="G27" i="160"/>
  <c r="F27" i="160"/>
  <c r="G26" i="160"/>
  <c r="F26" i="160"/>
  <c r="G25" i="160"/>
  <c r="F25" i="160"/>
  <c r="G24" i="160"/>
  <c r="F24" i="160"/>
  <c r="G23" i="160"/>
  <c r="F23" i="160"/>
  <c r="G22" i="160"/>
  <c r="F22" i="160"/>
  <c r="G21" i="160"/>
  <c r="F21" i="160"/>
  <c r="G20" i="160"/>
  <c r="F20" i="160"/>
  <c r="G19" i="160"/>
  <c r="F19" i="160"/>
  <c r="G18" i="160"/>
  <c r="F18" i="160"/>
  <c r="G17" i="160"/>
  <c r="F17" i="160"/>
  <c r="G16" i="160"/>
  <c r="F16" i="160"/>
  <c r="G15" i="160"/>
  <c r="F15" i="160"/>
  <c r="G14" i="160"/>
  <c r="F14" i="160"/>
  <c r="G13" i="160"/>
  <c r="F13" i="160"/>
  <c r="G12" i="160"/>
  <c r="F12" i="160"/>
  <c r="G11" i="160"/>
  <c r="F11" i="160"/>
  <c r="G10" i="160"/>
  <c r="F10" i="160"/>
  <c r="G9" i="160"/>
  <c r="F9" i="160"/>
  <c r="G39" i="334"/>
  <c r="F39" i="334"/>
  <c r="G38" i="334"/>
  <c r="F38" i="334"/>
  <c r="G37" i="334"/>
  <c r="F37" i="334"/>
  <c r="G36" i="334"/>
  <c r="F36" i="334"/>
  <c r="G35" i="334"/>
  <c r="F35" i="334"/>
  <c r="G34" i="334"/>
  <c r="F34" i="334"/>
  <c r="G33" i="334"/>
  <c r="F33" i="334"/>
  <c r="G32" i="334"/>
  <c r="F32" i="334"/>
  <c r="G31" i="334"/>
  <c r="F31" i="334"/>
  <c r="G30" i="334"/>
  <c r="F30" i="334"/>
  <c r="G29" i="334"/>
  <c r="F29" i="334"/>
  <c r="G28" i="334"/>
  <c r="F28" i="334"/>
  <c r="G27" i="334"/>
  <c r="F27" i="334"/>
  <c r="G26" i="334"/>
  <c r="F26" i="334"/>
  <c r="G25" i="334"/>
  <c r="F25" i="334"/>
  <c r="G24" i="334"/>
  <c r="F24" i="334"/>
  <c r="G23" i="334"/>
  <c r="F23" i="334"/>
  <c r="G22" i="334"/>
  <c r="F22" i="334"/>
  <c r="G21" i="334"/>
  <c r="F21" i="334"/>
  <c r="G20" i="334"/>
  <c r="F20" i="334"/>
  <c r="G19" i="334"/>
  <c r="F19" i="334"/>
  <c r="G18" i="334"/>
  <c r="F18" i="334"/>
  <c r="G17" i="334"/>
  <c r="F17" i="334"/>
  <c r="G16" i="334"/>
  <c r="F16" i="334"/>
  <c r="G15" i="334"/>
  <c r="F15" i="334"/>
  <c r="G14" i="334"/>
  <c r="F14" i="334"/>
  <c r="G13" i="334"/>
  <c r="F13" i="334"/>
  <c r="G12" i="334"/>
  <c r="F12" i="334"/>
  <c r="G11" i="334"/>
  <c r="F11" i="334"/>
  <c r="G10" i="334"/>
  <c r="F10" i="334"/>
  <c r="G9" i="334"/>
  <c r="F9" i="334"/>
  <c r="F39" i="460"/>
  <c r="F38" i="460"/>
  <c r="F37" i="460"/>
  <c r="F36" i="460"/>
  <c r="F35" i="460"/>
  <c r="F34" i="460"/>
  <c r="F33" i="460"/>
  <c r="F32" i="460"/>
  <c r="F31" i="460"/>
  <c r="F30" i="460"/>
  <c r="F29" i="460"/>
  <c r="F28" i="460"/>
  <c r="F27" i="460"/>
  <c r="F26" i="460"/>
  <c r="F25" i="460"/>
  <c r="F24" i="460"/>
  <c r="F23" i="460"/>
  <c r="F16" i="460"/>
  <c r="F15" i="460"/>
  <c r="F14" i="460"/>
  <c r="F13" i="460"/>
  <c r="F12" i="460"/>
  <c r="F11" i="460"/>
  <c r="F10" i="460"/>
  <c r="F9" i="460"/>
  <c r="F39" i="170"/>
  <c r="F38" i="170"/>
  <c r="F37" i="170"/>
  <c r="F36" i="170"/>
  <c r="F35" i="170"/>
  <c r="F34" i="170"/>
  <c r="F33" i="170"/>
  <c r="F32" i="170"/>
  <c r="F31" i="170"/>
  <c r="F30" i="170"/>
  <c r="F29" i="170"/>
  <c r="F28" i="170"/>
  <c r="F27" i="170"/>
  <c r="F26" i="170"/>
  <c r="F25" i="170"/>
  <c r="F24" i="170"/>
  <c r="F23" i="170"/>
  <c r="F22" i="170"/>
  <c r="F21" i="170"/>
  <c r="F20" i="170"/>
  <c r="F19" i="170"/>
  <c r="F18" i="170"/>
  <c r="F39" i="169"/>
  <c r="F38" i="169"/>
  <c r="F37" i="169"/>
  <c r="F36" i="169"/>
  <c r="F35" i="169"/>
  <c r="F34" i="169"/>
  <c r="F33" i="169"/>
  <c r="F32" i="169"/>
  <c r="F31" i="169"/>
  <c r="F30" i="169"/>
  <c r="F29" i="169"/>
  <c r="F28" i="169"/>
  <c r="F27" i="169"/>
  <c r="F26" i="169"/>
  <c r="F25" i="169"/>
  <c r="F24" i="169"/>
  <c r="F23" i="169"/>
  <c r="G39" i="165"/>
  <c r="F39" i="165"/>
  <c r="G38" i="165"/>
  <c r="F38" i="165"/>
  <c r="G37" i="165"/>
  <c r="F37" i="165"/>
  <c r="G36" i="165"/>
  <c r="F36" i="165"/>
  <c r="G35" i="165"/>
  <c r="F35" i="165"/>
  <c r="G34" i="165"/>
  <c r="F34" i="165"/>
  <c r="G33" i="165"/>
  <c r="F33" i="165"/>
  <c r="G32" i="165"/>
  <c r="F32" i="165"/>
  <c r="G31" i="165"/>
  <c r="F31" i="165"/>
  <c r="G30" i="165"/>
  <c r="F30" i="165"/>
  <c r="G29" i="165"/>
  <c r="F29" i="165"/>
  <c r="G28" i="165"/>
  <c r="F28" i="165"/>
  <c r="G27" i="165"/>
  <c r="F27" i="165"/>
  <c r="G26" i="165"/>
  <c r="F26" i="165"/>
  <c r="G25" i="165"/>
  <c r="F25" i="165"/>
  <c r="G24" i="165"/>
  <c r="F24" i="165"/>
  <c r="G23" i="165"/>
  <c r="F23" i="165"/>
  <c r="G22" i="165"/>
  <c r="F22" i="165"/>
  <c r="G21" i="165"/>
  <c r="F21" i="165"/>
  <c r="G20" i="165"/>
  <c r="F20" i="165"/>
  <c r="G19" i="165"/>
  <c r="F19" i="165"/>
  <c r="G18" i="165"/>
  <c r="F18" i="165"/>
  <c r="G17" i="165"/>
  <c r="F17" i="165"/>
  <c r="G16" i="165"/>
  <c r="F16" i="165"/>
  <c r="G15" i="165"/>
  <c r="F15" i="165"/>
  <c r="G14" i="165"/>
  <c r="F14" i="165"/>
  <c r="G13" i="165"/>
  <c r="F13" i="165"/>
  <c r="G12" i="165"/>
  <c r="F12" i="165"/>
  <c r="G11" i="165"/>
  <c r="F11" i="165"/>
  <c r="G10" i="165"/>
  <c r="F10" i="165"/>
  <c r="G9" i="165"/>
  <c r="F9" i="165"/>
  <c r="G39" i="342"/>
  <c r="F39" i="342"/>
  <c r="G38" i="342"/>
  <c r="F38" i="342"/>
  <c r="G37" i="342"/>
  <c r="F37" i="342"/>
  <c r="G36" i="342"/>
  <c r="F36" i="342"/>
  <c r="G35" i="342"/>
  <c r="F35" i="342"/>
  <c r="G34" i="342"/>
  <c r="F34" i="342"/>
  <c r="G33" i="342"/>
  <c r="F33" i="342"/>
  <c r="G32" i="342"/>
  <c r="F32" i="342"/>
  <c r="G31" i="342"/>
  <c r="F31" i="342"/>
  <c r="G30" i="342"/>
  <c r="F30" i="342"/>
  <c r="G29" i="342"/>
  <c r="F29" i="342"/>
  <c r="G28" i="342"/>
  <c r="F28" i="342"/>
  <c r="G27" i="342"/>
  <c r="F27" i="342"/>
  <c r="G26" i="342"/>
  <c r="F26" i="342"/>
  <c r="G25" i="342"/>
  <c r="F25" i="342"/>
  <c r="G24" i="342"/>
  <c r="F24" i="342"/>
  <c r="G23" i="342"/>
  <c r="F23" i="342"/>
  <c r="G22" i="342"/>
  <c r="F22" i="342"/>
  <c r="G21" i="342"/>
  <c r="F21" i="342"/>
  <c r="G20" i="342"/>
  <c r="F20" i="342"/>
  <c r="G19" i="342"/>
  <c r="F19" i="342"/>
  <c r="G18" i="342"/>
  <c r="F18" i="342"/>
  <c r="G17" i="342"/>
  <c r="F17" i="342"/>
  <c r="G16" i="342"/>
  <c r="F16" i="342"/>
  <c r="G15" i="342"/>
  <c r="F15" i="342"/>
  <c r="G14" i="342"/>
  <c r="F14" i="342"/>
  <c r="G13" i="342"/>
  <c r="F13" i="342"/>
  <c r="G12" i="342"/>
  <c r="F12" i="342"/>
  <c r="G11" i="342"/>
  <c r="F11" i="342"/>
  <c r="G10" i="342"/>
  <c r="F10" i="342"/>
  <c r="G9" i="342"/>
  <c r="F9" i="342"/>
  <c r="G39" i="315"/>
  <c r="F39" i="315"/>
  <c r="G38" i="315"/>
  <c r="F38" i="315"/>
  <c r="G37" i="315"/>
  <c r="F37" i="315"/>
  <c r="G36" i="315"/>
  <c r="F36" i="315"/>
  <c r="G35" i="315"/>
  <c r="F35" i="315"/>
  <c r="G34" i="315"/>
  <c r="F34" i="315"/>
  <c r="G33" i="315"/>
  <c r="F33" i="315"/>
  <c r="G32" i="315"/>
  <c r="F32" i="315"/>
  <c r="G31" i="315"/>
  <c r="F31" i="315"/>
  <c r="G30" i="315"/>
  <c r="F30" i="315"/>
  <c r="G29" i="315"/>
  <c r="F29" i="315"/>
  <c r="G28" i="315"/>
  <c r="F28" i="315"/>
  <c r="G27" i="315"/>
  <c r="F27" i="315"/>
  <c r="G26" i="315"/>
  <c r="F26" i="315"/>
  <c r="G25" i="315"/>
  <c r="F25" i="315"/>
  <c r="G24" i="315"/>
  <c r="F24" i="315"/>
  <c r="G23" i="315"/>
  <c r="F23" i="315"/>
  <c r="G22" i="315"/>
  <c r="F22" i="315"/>
  <c r="G21" i="315"/>
  <c r="F21" i="315"/>
  <c r="G20" i="315"/>
  <c r="F20" i="315"/>
  <c r="G19" i="315"/>
  <c r="F19" i="315"/>
  <c r="G18" i="315"/>
  <c r="F18" i="315"/>
  <c r="G17" i="315"/>
  <c r="F17" i="315"/>
  <c r="G16" i="315"/>
  <c r="F16" i="315"/>
  <c r="G15" i="315"/>
  <c r="F15" i="315"/>
  <c r="G14" i="315"/>
  <c r="F14" i="315"/>
  <c r="G13" i="315"/>
  <c r="F13" i="315"/>
  <c r="G12" i="315"/>
  <c r="F12" i="315"/>
  <c r="G11" i="315"/>
  <c r="F11" i="315"/>
  <c r="G10" i="315"/>
  <c r="F10" i="315"/>
  <c r="G9" i="315"/>
  <c r="F9" i="315"/>
  <c r="F39" i="419"/>
  <c r="F38" i="419"/>
  <c r="F37" i="419"/>
  <c r="F36" i="419"/>
  <c r="F35" i="419"/>
  <c r="F34" i="419"/>
  <c r="F33" i="419"/>
  <c r="F32" i="419"/>
  <c r="F31" i="419"/>
  <c r="F30" i="419"/>
  <c r="F29" i="419"/>
  <c r="F28" i="419"/>
  <c r="F27" i="419"/>
  <c r="F26" i="419"/>
  <c r="F25" i="419"/>
  <c r="F24" i="419"/>
  <c r="F23" i="419"/>
  <c r="G39" i="316"/>
  <c r="F39" i="316"/>
  <c r="G38" i="316"/>
  <c r="F38" i="316"/>
  <c r="G37" i="316"/>
  <c r="F37" i="316"/>
  <c r="G36" i="316"/>
  <c r="F36" i="316"/>
  <c r="G35" i="316"/>
  <c r="F35" i="316"/>
  <c r="G34" i="316"/>
  <c r="F34" i="316"/>
  <c r="G33" i="316"/>
  <c r="F33" i="316"/>
  <c r="G32" i="316"/>
  <c r="F32" i="316"/>
  <c r="G31" i="316"/>
  <c r="F31" i="316"/>
  <c r="G30" i="316"/>
  <c r="F30" i="316"/>
  <c r="G29" i="316"/>
  <c r="F29" i="316"/>
  <c r="G28" i="316"/>
  <c r="F28" i="316"/>
  <c r="G27" i="316"/>
  <c r="F27" i="316"/>
  <c r="G26" i="316"/>
  <c r="F26" i="316"/>
  <c r="G25" i="316"/>
  <c r="F25" i="316"/>
  <c r="G24" i="316"/>
  <c r="F24" i="316"/>
  <c r="G23" i="316"/>
  <c r="F23" i="316"/>
  <c r="G22" i="316"/>
  <c r="F22" i="316"/>
  <c r="G21" i="316"/>
  <c r="F21" i="316"/>
  <c r="G20" i="316"/>
  <c r="F20" i="316"/>
  <c r="G19" i="316"/>
  <c r="F19" i="316"/>
  <c r="G18" i="316"/>
  <c r="F18" i="316"/>
  <c r="G17" i="316"/>
  <c r="F17" i="316"/>
  <c r="G16" i="316"/>
  <c r="F16" i="316"/>
  <c r="G15" i="316"/>
  <c r="F15" i="316"/>
  <c r="G14" i="316"/>
  <c r="F14" i="316"/>
  <c r="G13" i="316"/>
  <c r="F13" i="316"/>
  <c r="G12" i="316"/>
  <c r="F12" i="316"/>
  <c r="G11" i="316"/>
  <c r="F11" i="316"/>
  <c r="G10" i="316"/>
  <c r="F10" i="316"/>
  <c r="G9" i="316"/>
  <c r="F9" i="316"/>
  <c r="G39" i="309"/>
  <c r="F39" i="309"/>
  <c r="G38" i="309"/>
  <c r="F38" i="309"/>
  <c r="G37" i="309"/>
  <c r="F37" i="309"/>
  <c r="G36" i="309"/>
  <c r="F36" i="309"/>
  <c r="G35" i="309"/>
  <c r="F35" i="309"/>
  <c r="G34" i="309"/>
  <c r="F34" i="309"/>
  <c r="G33" i="309"/>
  <c r="F33" i="309"/>
  <c r="G32" i="309"/>
  <c r="F32" i="309"/>
  <c r="G31" i="309"/>
  <c r="F31" i="309"/>
  <c r="G30" i="309"/>
  <c r="F30" i="309"/>
  <c r="G29" i="309"/>
  <c r="F29" i="309"/>
  <c r="G28" i="309"/>
  <c r="F28" i="309"/>
  <c r="G27" i="309"/>
  <c r="F27" i="309"/>
  <c r="G26" i="309"/>
  <c r="F26" i="309"/>
  <c r="G25" i="309"/>
  <c r="F25" i="309"/>
  <c r="G24" i="309"/>
  <c r="F24" i="309"/>
  <c r="G23" i="309"/>
  <c r="F23" i="309"/>
  <c r="G22" i="309"/>
  <c r="F22" i="309"/>
  <c r="G21" i="309"/>
  <c r="F21" i="309"/>
  <c r="G20" i="309"/>
  <c r="F20" i="309"/>
  <c r="G19" i="309"/>
  <c r="F19" i="309"/>
  <c r="G18" i="309"/>
  <c r="F18" i="309"/>
  <c r="G17" i="309"/>
  <c r="F17" i="309"/>
  <c r="G16" i="309"/>
  <c r="F16" i="309"/>
  <c r="G15" i="309"/>
  <c r="F15" i="309"/>
  <c r="G14" i="309"/>
  <c r="F14" i="309"/>
  <c r="G13" i="309"/>
  <c r="F13" i="309"/>
  <c r="G12" i="309"/>
  <c r="F12" i="309"/>
  <c r="G11" i="309"/>
  <c r="F11" i="309"/>
  <c r="G10" i="309"/>
  <c r="F10" i="309"/>
  <c r="G9" i="309"/>
  <c r="F9" i="309"/>
  <c r="G39" i="359"/>
  <c r="F39" i="359"/>
  <c r="G38" i="359"/>
  <c r="F38" i="359"/>
  <c r="G37" i="359"/>
  <c r="F37" i="359"/>
  <c r="G36" i="359"/>
  <c r="F36" i="359"/>
  <c r="G35" i="359"/>
  <c r="F35" i="359"/>
  <c r="G34" i="359"/>
  <c r="F34" i="359"/>
  <c r="G33" i="359"/>
  <c r="F33" i="359"/>
  <c r="G32" i="359"/>
  <c r="F32" i="359"/>
  <c r="G31" i="359"/>
  <c r="F31" i="359"/>
  <c r="G30" i="359"/>
  <c r="F30" i="359"/>
  <c r="G29" i="359"/>
  <c r="F29" i="359"/>
  <c r="G28" i="359"/>
  <c r="F28" i="359"/>
  <c r="G27" i="359"/>
  <c r="F27" i="359"/>
  <c r="G26" i="359"/>
  <c r="F26" i="359"/>
  <c r="G25" i="359"/>
  <c r="F25" i="359"/>
  <c r="G24" i="359"/>
  <c r="F24" i="359"/>
  <c r="G23" i="359"/>
  <c r="F23" i="359"/>
  <c r="G22" i="359"/>
  <c r="F22" i="359"/>
  <c r="G21" i="359"/>
  <c r="F21" i="359"/>
  <c r="G20" i="359"/>
  <c r="F20" i="359"/>
  <c r="G19" i="359"/>
  <c r="F19" i="359"/>
  <c r="G18" i="359"/>
  <c r="F18" i="359"/>
  <c r="G17" i="359"/>
  <c r="F17" i="359"/>
  <c r="G16" i="359"/>
  <c r="F16" i="359"/>
  <c r="G15" i="359"/>
  <c r="F15" i="359"/>
  <c r="G14" i="359"/>
  <c r="F14" i="359"/>
  <c r="G13" i="359"/>
  <c r="F13" i="359"/>
  <c r="G12" i="359"/>
  <c r="F12" i="359"/>
  <c r="G11" i="359"/>
  <c r="F11" i="359"/>
  <c r="G10" i="359"/>
  <c r="F10" i="359"/>
  <c r="G9" i="359"/>
  <c r="F9" i="359"/>
  <c r="G39" i="358"/>
  <c r="F39" i="358"/>
  <c r="G38" i="358"/>
  <c r="F38" i="358"/>
  <c r="G37" i="358"/>
  <c r="F37" i="358"/>
  <c r="G36" i="358"/>
  <c r="F36" i="358"/>
  <c r="G35" i="358"/>
  <c r="F35" i="358"/>
  <c r="G34" i="358"/>
  <c r="F34" i="358"/>
  <c r="G33" i="358"/>
  <c r="F33" i="358"/>
  <c r="G32" i="358"/>
  <c r="F32" i="358"/>
  <c r="G31" i="358"/>
  <c r="F31" i="358"/>
  <c r="G30" i="358"/>
  <c r="F30" i="358"/>
  <c r="G29" i="358"/>
  <c r="F29" i="358"/>
  <c r="G28" i="358"/>
  <c r="F28" i="358"/>
  <c r="G27" i="358"/>
  <c r="F27" i="358"/>
  <c r="G26" i="358"/>
  <c r="F26" i="358"/>
  <c r="G25" i="358"/>
  <c r="F25" i="358"/>
  <c r="G24" i="358"/>
  <c r="F24" i="358"/>
  <c r="G23" i="358"/>
  <c r="F23" i="358"/>
  <c r="G22" i="358"/>
  <c r="F22" i="358"/>
  <c r="G21" i="358"/>
  <c r="F21" i="358"/>
  <c r="G20" i="358"/>
  <c r="F20" i="358"/>
  <c r="G19" i="358"/>
  <c r="F19" i="358"/>
  <c r="G18" i="358"/>
  <c r="F18" i="358"/>
  <c r="G17" i="358"/>
  <c r="F17" i="358"/>
  <c r="G16" i="358"/>
  <c r="F16" i="358"/>
  <c r="G15" i="358"/>
  <c r="F15" i="358"/>
  <c r="G14" i="358"/>
  <c r="F14" i="358"/>
  <c r="G13" i="358"/>
  <c r="F13" i="358"/>
  <c r="G12" i="358"/>
  <c r="F12" i="358"/>
  <c r="G11" i="358"/>
  <c r="F11" i="358"/>
  <c r="G10" i="358"/>
  <c r="F10" i="358"/>
  <c r="G9" i="358"/>
  <c r="F9" i="358"/>
  <c r="G39" i="356"/>
  <c r="F39" i="356"/>
  <c r="G38" i="356"/>
  <c r="F38" i="356"/>
  <c r="G37" i="356"/>
  <c r="F37" i="356"/>
  <c r="G36" i="356"/>
  <c r="F36" i="356"/>
  <c r="G35" i="356"/>
  <c r="F35" i="356"/>
  <c r="G34" i="356"/>
  <c r="F34" i="356"/>
  <c r="G33" i="356"/>
  <c r="F33" i="356"/>
  <c r="G32" i="356"/>
  <c r="F32" i="356"/>
  <c r="G31" i="356"/>
  <c r="F31" i="356"/>
  <c r="G30" i="356"/>
  <c r="F30" i="356"/>
  <c r="G29" i="356"/>
  <c r="F29" i="356"/>
  <c r="G28" i="356"/>
  <c r="F28" i="356"/>
  <c r="G27" i="356"/>
  <c r="F27" i="356"/>
  <c r="G26" i="356"/>
  <c r="F26" i="356"/>
  <c r="G25" i="356"/>
  <c r="F25" i="356"/>
  <c r="G24" i="356"/>
  <c r="F24" i="356"/>
  <c r="G23" i="356"/>
  <c r="F23" i="356"/>
  <c r="G22" i="356"/>
  <c r="F22" i="356"/>
  <c r="G21" i="356"/>
  <c r="F21" i="356"/>
  <c r="G20" i="356"/>
  <c r="F20" i="356"/>
  <c r="G19" i="356"/>
  <c r="F19" i="356"/>
  <c r="G18" i="356"/>
  <c r="F18" i="356"/>
  <c r="G17" i="356"/>
  <c r="F17" i="356"/>
  <c r="G16" i="356"/>
  <c r="F16" i="356"/>
  <c r="G15" i="356"/>
  <c r="F15" i="356"/>
  <c r="G14" i="356"/>
  <c r="F14" i="356"/>
  <c r="G13" i="356"/>
  <c r="F13" i="356"/>
  <c r="G12" i="356"/>
  <c r="F12" i="356"/>
  <c r="G11" i="356"/>
  <c r="F11" i="356"/>
  <c r="G10" i="356"/>
  <c r="F10" i="356"/>
  <c r="G9" i="356"/>
  <c r="F9" i="356"/>
  <c r="G39" i="442"/>
  <c r="F39" i="442"/>
  <c r="G38" i="442"/>
  <c r="F38" i="442"/>
  <c r="G37" i="442"/>
  <c r="F37" i="442"/>
  <c r="G36" i="442"/>
  <c r="F36" i="442"/>
  <c r="G35" i="442"/>
  <c r="F35" i="442"/>
  <c r="G34" i="442"/>
  <c r="F34" i="442"/>
  <c r="G33" i="442"/>
  <c r="F33" i="442"/>
  <c r="G32" i="442"/>
  <c r="F32" i="442"/>
  <c r="G31" i="442"/>
  <c r="F31" i="442"/>
  <c r="G30" i="442"/>
  <c r="F30" i="442"/>
  <c r="G29" i="442"/>
  <c r="F29" i="442"/>
  <c r="G28" i="442"/>
  <c r="F28" i="442"/>
  <c r="G27" i="442"/>
  <c r="F27" i="442"/>
  <c r="G26" i="442"/>
  <c r="F26" i="442"/>
  <c r="G25" i="442"/>
  <c r="F25" i="442"/>
  <c r="G24" i="442"/>
  <c r="F24" i="442"/>
  <c r="G23" i="442"/>
  <c r="F23" i="442"/>
  <c r="G20" i="442"/>
  <c r="F20" i="442"/>
  <c r="G18" i="442"/>
  <c r="F18" i="442"/>
  <c r="G17" i="442"/>
  <c r="F17" i="442"/>
  <c r="G14" i="442"/>
  <c r="F14" i="442"/>
  <c r="G13" i="442"/>
  <c r="F13" i="442"/>
  <c r="G12" i="442"/>
  <c r="F12" i="442"/>
  <c r="G11" i="442"/>
  <c r="F11" i="442"/>
  <c r="G10" i="442"/>
  <c r="F10" i="442"/>
  <c r="G9" i="442"/>
  <c r="F9" i="442"/>
  <c r="G39" i="361"/>
  <c r="F39" i="361"/>
  <c r="G38" i="361"/>
  <c r="F38" i="361"/>
  <c r="G37" i="361"/>
  <c r="F37" i="361"/>
  <c r="G36" i="361"/>
  <c r="F36" i="361"/>
  <c r="G35" i="361"/>
  <c r="F35" i="361"/>
  <c r="G34" i="361"/>
  <c r="F34" i="361"/>
  <c r="G33" i="361"/>
  <c r="F33" i="361"/>
  <c r="G32" i="361"/>
  <c r="F32" i="361"/>
  <c r="G31" i="361"/>
  <c r="F31" i="361"/>
  <c r="G30" i="361"/>
  <c r="F30" i="361"/>
  <c r="G29" i="361"/>
  <c r="F29" i="361"/>
  <c r="G28" i="361"/>
  <c r="F28" i="361"/>
  <c r="G27" i="361"/>
  <c r="F27" i="361"/>
  <c r="G26" i="361"/>
  <c r="F26" i="361"/>
  <c r="G25" i="361"/>
  <c r="F25" i="361"/>
  <c r="G24" i="361"/>
  <c r="F24" i="361"/>
  <c r="G23" i="361"/>
  <c r="F23" i="361"/>
  <c r="G22" i="361"/>
  <c r="F22" i="361"/>
  <c r="G21" i="361"/>
  <c r="F21" i="361"/>
  <c r="G20" i="361"/>
  <c r="F20" i="361"/>
  <c r="G19" i="361"/>
  <c r="F19" i="361"/>
  <c r="G18" i="361"/>
  <c r="F18" i="361"/>
  <c r="G17" i="361"/>
  <c r="F17" i="361"/>
  <c r="G16" i="361"/>
  <c r="F16" i="361"/>
  <c r="G15" i="361"/>
  <c r="F15" i="361"/>
  <c r="G14" i="361"/>
  <c r="F14" i="361"/>
  <c r="G13" i="361"/>
  <c r="F13" i="361"/>
  <c r="G12" i="361"/>
  <c r="F12" i="361"/>
  <c r="G11" i="361"/>
  <c r="F11" i="361"/>
  <c r="G10" i="361"/>
  <c r="F10" i="361"/>
  <c r="G9" i="361"/>
  <c r="F9" i="361"/>
  <c r="G39" i="270"/>
  <c r="F39" i="270"/>
  <c r="G38" i="270"/>
  <c r="F38" i="270"/>
  <c r="G37" i="270"/>
  <c r="F37" i="270"/>
  <c r="G36" i="270"/>
  <c r="F36" i="270"/>
  <c r="G35" i="270"/>
  <c r="F35" i="270"/>
  <c r="G34" i="270"/>
  <c r="F34" i="270"/>
  <c r="G33" i="270"/>
  <c r="F33" i="270"/>
  <c r="G32" i="270"/>
  <c r="F32" i="270"/>
  <c r="G31" i="270"/>
  <c r="F31" i="270"/>
  <c r="G30" i="270"/>
  <c r="F30" i="270"/>
  <c r="G29" i="270"/>
  <c r="F29" i="270"/>
  <c r="G28" i="270"/>
  <c r="F28" i="270"/>
  <c r="G27" i="270"/>
  <c r="F27" i="270"/>
  <c r="G26" i="270"/>
  <c r="F26" i="270"/>
  <c r="G25" i="270"/>
  <c r="F25" i="270"/>
  <c r="G24" i="270"/>
  <c r="F24" i="270"/>
  <c r="G23" i="270"/>
  <c r="F23" i="270"/>
  <c r="G22" i="270"/>
  <c r="F22" i="270"/>
  <c r="G21" i="270"/>
  <c r="F21" i="270"/>
  <c r="G20" i="270"/>
  <c r="F20" i="270"/>
  <c r="G19" i="270"/>
  <c r="F19" i="270"/>
  <c r="G18" i="270"/>
  <c r="F18" i="270"/>
  <c r="G17" i="270"/>
  <c r="F17" i="270"/>
  <c r="G16" i="270"/>
  <c r="F16" i="270"/>
  <c r="G15" i="270"/>
  <c r="F15" i="270"/>
  <c r="G14" i="270"/>
  <c r="F14" i="270"/>
  <c r="G13" i="270"/>
  <c r="F13" i="270"/>
  <c r="G12" i="270"/>
  <c r="F12" i="270"/>
  <c r="G11" i="270"/>
  <c r="F11" i="270"/>
  <c r="G10" i="270"/>
  <c r="F10" i="270"/>
  <c r="G9" i="270"/>
  <c r="F9" i="270"/>
  <c r="G39" i="269"/>
  <c r="F39" i="269"/>
  <c r="G38" i="269"/>
  <c r="F38" i="269"/>
  <c r="G37" i="269"/>
  <c r="F37" i="269"/>
  <c r="G36" i="269"/>
  <c r="F36" i="269"/>
  <c r="G35" i="269"/>
  <c r="F35" i="269"/>
  <c r="G34" i="269"/>
  <c r="F34" i="269"/>
  <c r="G33" i="269"/>
  <c r="F33" i="269"/>
  <c r="G32" i="269"/>
  <c r="F32" i="269"/>
  <c r="G31" i="269"/>
  <c r="F31" i="269"/>
  <c r="G30" i="269"/>
  <c r="F30" i="269"/>
  <c r="G29" i="269"/>
  <c r="F29" i="269"/>
  <c r="G28" i="269"/>
  <c r="F28" i="269"/>
  <c r="G27" i="269"/>
  <c r="F27" i="269"/>
  <c r="G26" i="269"/>
  <c r="F26" i="269"/>
  <c r="G25" i="269"/>
  <c r="F25" i="269"/>
  <c r="G24" i="269"/>
  <c r="F24" i="269"/>
  <c r="G23" i="269"/>
  <c r="F23" i="269"/>
  <c r="G22" i="269"/>
  <c r="F22" i="269"/>
  <c r="G21" i="269"/>
  <c r="F21" i="269"/>
  <c r="G20" i="269"/>
  <c r="F20" i="269"/>
  <c r="G19" i="269"/>
  <c r="F19" i="269"/>
  <c r="G18" i="269"/>
  <c r="F18" i="269"/>
  <c r="G17" i="269"/>
  <c r="F17" i="269"/>
  <c r="G16" i="269"/>
  <c r="F16" i="269"/>
  <c r="G15" i="269"/>
  <c r="F15" i="269"/>
  <c r="G14" i="269"/>
  <c r="F14" i="269"/>
  <c r="G13" i="269"/>
  <c r="F13" i="269"/>
  <c r="G12" i="269"/>
  <c r="F12" i="269"/>
  <c r="G11" i="269"/>
  <c r="F11" i="269"/>
  <c r="G10" i="269"/>
  <c r="F10" i="269"/>
  <c r="G9" i="269"/>
  <c r="F9" i="269"/>
  <c r="G39" i="266"/>
  <c r="F39" i="266"/>
  <c r="G38" i="266"/>
  <c r="F38" i="266"/>
  <c r="G37" i="266"/>
  <c r="F37" i="266"/>
  <c r="G36" i="266"/>
  <c r="F36" i="266"/>
  <c r="G35" i="266"/>
  <c r="F35" i="266"/>
  <c r="G34" i="266"/>
  <c r="F34" i="266"/>
  <c r="G33" i="266"/>
  <c r="F33" i="266"/>
  <c r="G32" i="266"/>
  <c r="F32" i="266"/>
  <c r="G31" i="266"/>
  <c r="F31" i="266"/>
  <c r="G30" i="266"/>
  <c r="F30" i="266"/>
  <c r="G29" i="266"/>
  <c r="F29" i="266"/>
  <c r="G28" i="266"/>
  <c r="F28" i="266"/>
  <c r="G27" i="266"/>
  <c r="F27" i="266"/>
  <c r="G26" i="266"/>
  <c r="F26" i="266"/>
  <c r="G25" i="266"/>
  <c r="F25" i="266"/>
  <c r="G24" i="266"/>
  <c r="F24" i="266"/>
  <c r="G23" i="266"/>
  <c r="F23" i="266"/>
  <c r="G22" i="266"/>
  <c r="F22" i="266"/>
  <c r="G21" i="266"/>
  <c r="F21" i="266"/>
  <c r="G20" i="266"/>
  <c r="F20" i="266"/>
  <c r="G19" i="266"/>
  <c r="F19" i="266"/>
  <c r="G18" i="266"/>
  <c r="F18" i="266"/>
  <c r="G17" i="266"/>
  <c r="F17" i="266"/>
  <c r="G16" i="266"/>
  <c r="F16" i="266"/>
  <c r="G15" i="266"/>
  <c r="F15" i="266"/>
  <c r="G14" i="266"/>
  <c r="F14" i="266"/>
  <c r="G13" i="266"/>
  <c r="F13" i="266"/>
  <c r="G12" i="266"/>
  <c r="F12" i="266"/>
  <c r="G11" i="266"/>
  <c r="F11" i="266"/>
  <c r="G10" i="266"/>
  <c r="F10" i="266"/>
  <c r="G9" i="266"/>
  <c r="F9" i="266"/>
  <c r="G39" i="311"/>
  <c r="F39" i="311"/>
  <c r="G38" i="311"/>
  <c r="F38" i="311"/>
  <c r="G37" i="311"/>
  <c r="F37" i="311"/>
  <c r="G36" i="311"/>
  <c r="F36" i="311"/>
  <c r="G35" i="311"/>
  <c r="F35" i="311"/>
  <c r="G34" i="311"/>
  <c r="F34" i="311"/>
  <c r="G33" i="311"/>
  <c r="F33" i="311"/>
  <c r="G32" i="311"/>
  <c r="F32" i="311"/>
  <c r="G31" i="311"/>
  <c r="F31" i="311"/>
  <c r="G30" i="311"/>
  <c r="F30" i="311"/>
  <c r="G29" i="311"/>
  <c r="F29" i="311"/>
  <c r="G28" i="311"/>
  <c r="F28" i="311"/>
  <c r="G27" i="311"/>
  <c r="F27" i="311"/>
  <c r="G26" i="311"/>
  <c r="F26" i="311"/>
  <c r="G25" i="311"/>
  <c r="F25" i="311"/>
  <c r="G24" i="311"/>
  <c r="F24" i="311"/>
  <c r="G23" i="311"/>
  <c r="F23" i="311"/>
  <c r="G22" i="311"/>
  <c r="F22" i="311"/>
  <c r="G21" i="311"/>
  <c r="F21" i="311"/>
  <c r="G20" i="311"/>
  <c r="F20" i="311"/>
  <c r="G19" i="311"/>
  <c r="F19" i="311"/>
  <c r="G18" i="311"/>
  <c r="F18" i="311"/>
  <c r="G17" i="311"/>
  <c r="F17" i="311"/>
  <c r="G16" i="311"/>
  <c r="F16" i="311"/>
  <c r="G15" i="311"/>
  <c r="F15" i="311"/>
  <c r="G14" i="311"/>
  <c r="F14" i="311"/>
  <c r="G13" i="311"/>
  <c r="F13" i="311"/>
  <c r="G12" i="311"/>
  <c r="F12" i="311"/>
  <c r="G11" i="311"/>
  <c r="F11" i="311"/>
  <c r="G10" i="311"/>
  <c r="F10" i="311"/>
  <c r="G9" i="311"/>
  <c r="F9" i="311"/>
  <c r="G39" i="333"/>
  <c r="F39" i="333"/>
  <c r="G38" i="333"/>
  <c r="F38" i="333"/>
  <c r="G37" i="333"/>
  <c r="F37" i="333"/>
  <c r="G36" i="333"/>
  <c r="F36" i="333"/>
  <c r="G35" i="333"/>
  <c r="F35" i="333"/>
  <c r="G34" i="333"/>
  <c r="F34" i="333"/>
  <c r="G33" i="333"/>
  <c r="F33" i="333"/>
  <c r="G32" i="333"/>
  <c r="F32" i="333"/>
  <c r="G31" i="333"/>
  <c r="F31" i="333"/>
  <c r="G30" i="333"/>
  <c r="F30" i="333"/>
  <c r="G29" i="333"/>
  <c r="F29" i="333"/>
  <c r="G28" i="333"/>
  <c r="F28" i="333"/>
  <c r="G27" i="333"/>
  <c r="F27" i="333"/>
  <c r="G26" i="333"/>
  <c r="F26" i="333"/>
  <c r="G25" i="333"/>
  <c r="F25" i="333"/>
  <c r="G24" i="333"/>
  <c r="F24" i="333"/>
  <c r="G23" i="333"/>
  <c r="F23" i="333"/>
  <c r="G22" i="333"/>
  <c r="F22" i="333"/>
  <c r="G21" i="333"/>
  <c r="F21" i="333"/>
  <c r="G20" i="333"/>
  <c r="F20" i="333"/>
  <c r="G19" i="333"/>
  <c r="F19" i="333"/>
  <c r="G18" i="333"/>
  <c r="F18" i="333"/>
  <c r="G17" i="333"/>
  <c r="F17" i="333"/>
  <c r="G16" i="333"/>
  <c r="F16" i="333"/>
  <c r="G15" i="333"/>
  <c r="F15" i="333"/>
  <c r="G14" i="333"/>
  <c r="F14" i="333"/>
  <c r="G13" i="333"/>
  <c r="F13" i="333"/>
  <c r="G12" i="333"/>
  <c r="F12" i="333"/>
  <c r="G11" i="333"/>
  <c r="F11" i="333"/>
  <c r="G10" i="333"/>
  <c r="F10" i="333"/>
  <c r="G9" i="333"/>
  <c r="F9" i="333"/>
  <c r="G39" i="339"/>
  <c r="F39" i="339"/>
  <c r="G38" i="339"/>
  <c r="F38" i="339"/>
  <c r="G37" i="339"/>
  <c r="F37" i="339"/>
  <c r="G36" i="339"/>
  <c r="F36" i="339"/>
  <c r="G35" i="339"/>
  <c r="F35" i="339"/>
  <c r="G34" i="339"/>
  <c r="F34" i="339"/>
  <c r="G33" i="339"/>
  <c r="F33" i="339"/>
  <c r="G32" i="339"/>
  <c r="F32" i="339"/>
  <c r="G31" i="339"/>
  <c r="F31" i="339"/>
  <c r="G30" i="339"/>
  <c r="F30" i="339"/>
  <c r="G29" i="339"/>
  <c r="F29" i="339"/>
  <c r="G28" i="339"/>
  <c r="F28" i="339"/>
  <c r="G27" i="339"/>
  <c r="F27" i="339"/>
  <c r="G26" i="339"/>
  <c r="F26" i="339"/>
  <c r="G25" i="339"/>
  <c r="F25" i="339"/>
  <c r="G24" i="339"/>
  <c r="F24" i="339"/>
  <c r="G23" i="339"/>
  <c r="F23" i="339"/>
  <c r="G22" i="339"/>
  <c r="F22" i="339"/>
  <c r="G21" i="339"/>
  <c r="F21" i="339"/>
  <c r="G20" i="339"/>
  <c r="F20" i="339"/>
  <c r="G19" i="339"/>
  <c r="F19" i="339"/>
  <c r="G18" i="339"/>
  <c r="F18" i="339"/>
  <c r="G17" i="339"/>
  <c r="F17" i="339"/>
  <c r="G16" i="339"/>
  <c r="F16" i="339"/>
  <c r="G15" i="339"/>
  <c r="F15" i="339"/>
  <c r="G14" i="339"/>
  <c r="F14" i="339"/>
  <c r="G13" i="339"/>
  <c r="F13" i="339"/>
  <c r="G12" i="339"/>
  <c r="F12" i="339"/>
  <c r="G11" i="339"/>
  <c r="F11" i="339"/>
  <c r="G10" i="339"/>
  <c r="F10" i="339"/>
  <c r="G9" i="339"/>
  <c r="F9" i="339"/>
  <c r="G39" i="332"/>
  <c r="F39" i="332"/>
  <c r="G38" i="332"/>
  <c r="F38" i="332"/>
  <c r="G37" i="332"/>
  <c r="F37" i="332"/>
  <c r="G36" i="332"/>
  <c r="F36" i="332"/>
  <c r="G35" i="332"/>
  <c r="F35" i="332"/>
  <c r="G34" i="332"/>
  <c r="F34" i="332"/>
  <c r="G33" i="332"/>
  <c r="F33" i="332"/>
  <c r="G32" i="332"/>
  <c r="F32" i="332"/>
  <c r="G31" i="332"/>
  <c r="F31" i="332"/>
  <c r="G30" i="332"/>
  <c r="F30" i="332"/>
  <c r="G29" i="332"/>
  <c r="F29" i="332"/>
  <c r="G28" i="332"/>
  <c r="F28" i="332"/>
  <c r="G27" i="332"/>
  <c r="F27" i="332"/>
  <c r="G26" i="332"/>
  <c r="F26" i="332"/>
  <c r="G25" i="332"/>
  <c r="F25" i="332"/>
  <c r="G24" i="332"/>
  <c r="F24" i="332"/>
  <c r="G23" i="332"/>
  <c r="F23" i="332"/>
  <c r="G22" i="332"/>
  <c r="F22" i="332"/>
  <c r="G21" i="332"/>
  <c r="F21" i="332"/>
  <c r="G20" i="332"/>
  <c r="F20" i="332"/>
  <c r="G19" i="332"/>
  <c r="F19" i="332"/>
  <c r="G18" i="332"/>
  <c r="F18" i="332"/>
  <c r="G17" i="332"/>
  <c r="F17" i="332"/>
  <c r="G16" i="332"/>
  <c r="F16" i="332"/>
  <c r="G15" i="332"/>
  <c r="F15" i="332"/>
  <c r="G14" i="332"/>
  <c r="F14" i="332"/>
  <c r="G13" i="332"/>
  <c r="F13" i="332"/>
  <c r="G12" i="332"/>
  <c r="F12" i="332"/>
  <c r="G11" i="332"/>
  <c r="F11" i="332"/>
  <c r="G10" i="332"/>
  <c r="F10" i="332"/>
  <c r="G9" i="332"/>
  <c r="F9" i="332"/>
  <c r="G39" i="338"/>
  <c r="F39" i="338"/>
  <c r="G38" i="338"/>
  <c r="F38" i="338"/>
  <c r="G37" i="338"/>
  <c r="F37" i="338"/>
  <c r="G36" i="338"/>
  <c r="F36" i="338"/>
  <c r="G35" i="338"/>
  <c r="F35" i="338"/>
  <c r="G34" i="338"/>
  <c r="F34" i="338"/>
  <c r="G33" i="338"/>
  <c r="F33" i="338"/>
  <c r="G32" i="338"/>
  <c r="F32" i="338"/>
  <c r="G31" i="338"/>
  <c r="F31" i="338"/>
  <c r="G30" i="338"/>
  <c r="F30" i="338"/>
  <c r="G29" i="338"/>
  <c r="F29" i="338"/>
  <c r="G28" i="338"/>
  <c r="F28" i="338"/>
  <c r="G27" i="338"/>
  <c r="F27" i="338"/>
  <c r="G26" i="338"/>
  <c r="F26" i="338"/>
  <c r="G25" i="338"/>
  <c r="F25" i="338"/>
  <c r="G24" i="338"/>
  <c r="F24" i="338"/>
  <c r="G23" i="338"/>
  <c r="F23" i="338"/>
  <c r="G22" i="338"/>
  <c r="F22" i="338"/>
  <c r="G21" i="338"/>
  <c r="F21" i="338"/>
  <c r="G20" i="338"/>
  <c r="F20" i="338"/>
  <c r="G19" i="338"/>
  <c r="F19" i="338"/>
  <c r="G18" i="338"/>
  <c r="F18" i="338"/>
  <c r="G17" i="338"/>
  <c r="F17" i="338"/>
  <c r="G16" i="338"/>
  <c r="F16" i="338"/>
  <c r="G13" i="338"/>
  <c r="F13" i="338"/>
  <c r="F10" i="338"/>
  <c r="G39" i="322"/>
  <c r="F39" i="322"/>
  <c r="G38" i="322"/>
  <c r="F38" i="322"/>
  <c r="G37" i="322"/>
  <c r="F37" i="322"/>
  <c r="G36" i="322"/>
  <c r="F36" i="322"/>
  <c r="G35" i="322"/>
  <c r="F35" i="322"/>
  <c r="G34" i="322"/>
  <c r="F34" i="322"/>
  <c r="G33" i="322"/>
  <c r="F33" i="322"/>
  <c r="G32" i="322"/>
  <c r="F32" i="322"/>
  <c r="G31" i="322"/>
  <c r="F31" i="322"/>
  <c r="G30" i="322"/>
  <c r="F30" i="322"/>
  <c r="G29" i="322"/>
  <c r="F29" i="322"/>
  <c r="G28" i="322"/>
  <c r="F28" i="322"/>
  <c r="G27" i="322"/>
  <c r="F27" i="322"/>
  <c r="G26" i="322"/>
  <c r="F26" i="322"/>
  <c r="G25" i="322"/>
  <c r="F25" i="322"/>
  <c r="G24" i="322"/>
  <c r="F24" i="322"/>
  <c r="G23" i="322"/>
  <c r="F23" i="322"/>
  <c r="G22" i="322"/>
  <c r="F22" i="322"/>
  <c r="G21" i="322"/>
  <c r="F21" i="322"/>
  <c r="G20" i="322"/>
  <c r="F20" i="322"/>
  <c r="G19" i="322"/>
  <c r="F19" i="322"/>
  <c r="G18" i="322"/>
  <c r="F18" i="322"/>
  <c r="G17" i="322"/>
  <c r="F17" i="322"/>
  <c r="G16" i="322"/>
  <c r="F16" i="322"/>
  <c r="G15" i="322"/>
  <c r="F15" i="322"/>
  <c r="G14" i="322"/>
  <c r="F14" i="322"/>
  <c r="G13" i="322"/>
  <c r="F13" i="322"/>
  <c r="G12" i="322"/>
  <c r="F12" i="322"/>
  <c r="G11" i="322"/>
  <c r="F11" i="322"/>
  <c r="G10" i="322"/>
  <c r="F10" i="322"/>
  <c r="G9" i="322"/>
  <c r="F9" i="322"/>
  <c r="F39" i="418"/>
  <c r="F38" i="418"/>
  <c r="F37" i="418"/>
  <c r="F36" i="418"/>
  <c r="F35" i="418"/>
  <c r="F34" i="418"/>
  <c r="F33" i="418"/>
  <c r="F32" i="418"/>
  <c r="F31" i="418"/>
  <c r="F30" i="418"/>
  <c r="F29" i="418"/>
  <c r="F28" i="418"/>
  <c r="F27" i="418"/>
  <c r="F26" i="418"/>
  <c r="F25" i="418"/>
  <c r="F24" i="418"/>
  <c r="F23" i="418"/>
  <c r="F22" i="418"/>
  <c r="F21" i="418"/>
  <c r="F19" i="418"/>
  <c r="F18" i="418"/>
  <c r="F17" i="418"/>
  <c r="F16" i="418"/>
  <c r="F15" i="418"/>
  <c r="F14" i="418"/>
  <c r="F13" i="418"/>
  <c r="F12" i="418"/>
  <c r="F10" i="418"/>
  <c r="F9" i="418"/>
  <c r="G39" i="157"/>
  <c r="F39" i="157"/>
  <c r="G38" i="157"/>
  <c r="F38" i="157"/>
  <c r="G37" i="157"/>
  <c r="F37" i="157"/>
  <c r="G36" i="157"/>
  <c r="F36" i="157"/>
  <c r="G35" i="157"/>
  <c r="F35" i="157"/>
  <c r="G34" i="157"/>
  <c r="F34" i="157"/>
  <c r="G33" i="157"/>
  <c r="F33" i="157"/>
  <c r="G32" i="157"/>
  <c r="F32" i="157"/>
  <c r="G31" i="157"/>
  <c r="F31" i="157"/>
  <c r="G30" i="157"/>
  <c r="F30" i="157"/>
  <c r="G29" i="157"/>
  <c r="F29" i="157"/>
  <c r="G28" i="157"/>
  <c r="F28" i="157"/>
  <c r="G27" i="157"/>
  <c r="F27" i="157"/>
  <c r="G26" i="157"/>
  <c r="F26" i="157"/>
  <c r="G25" i="157"/>
  <c r="F25" i="157"/>
  <c r="G24" i="157"/>
  <c r="F24" i="157"/>
  <c r="G23" i="157"/>
  <c r="F23" i="157"/>
  <c r="G22" i="157"/>
  <c r="F22" i="157"/>
  <c r="G21" i="157"/>
  <c r="F21" i="157"/>
  <c r="G20" i="157"/>
  <c r="F20" i="157"/>
  <c r="G19" i="157"/>
  <c r="F19" i="157"/>
  <c r="G18" i="157"/>
  <c r="F18" i="157"/>
  <c r="G17" i="157"/>
  <c r="F17" i="157"/>
  <c r="G16" i="157"/>
  <c r="F16" i="157"/>
  <c r="G15" i="157"/>
  <c r="F15" i="157"/>
  <c r="G14" i="157"/>
  <c r="F14" i="157"/>
  <c r="G13" i="157"/>
  <c r="F13" i="157"/>
  <c r="G12" i="157"/>
  <c r="F12" i="157"/>
  <c r="G11" i="157"/>
  <c r="F11" i="157"/>
  <c r="G10" i="157"/>
  <c r="F10" i="157"/>
  <c r="G9" i="157"/>
  <c r="F9" i="157"/>
  <c r="G39" i="164"/>
  <c r="F39" i="164"/>
  <c r="G38" i="164"/>
  <c r="F38" i="164"/>
  <c r="G37" i="164"/>
  <c r="F37" i="164"/>
  <c r="G36" i="164"/>
  <c r="F36" i="164"/>
  <c r="G35" i="164"/>
  <c r="F35" i="164"/>
  <c r="G34" i="164"/>
  <c r="F34" i="164"/>
  <c r="G33" i="164"/>
  <c r="F33" i="164"/>
  <c r="G32" i="164"/>
  <c r="F32" i="164"/>
  <c r="G31" i="164"/>
  <c r="F31" i="164"/>
  <c r="G30" i="164"/>
  <c r="F30" i="164"/>
  <c r="G29" i="164"/>
  <c r="F29" i="164"/>
  <c r="G28" i="164"/>
  <c r="F28" i="164"/>
  <c r="G27" i="164"/>
  <c r="F27" i="164"/>
  <c r="G26" i="164"/>
  <c r="F26" i="164"/>
  <c r="G25" i="164"/>
  <c r="F25" i="164"/>
  <c r="G24" i="164"/>
  <c r="F24" i="164"/>
  <c r="G23" i="164"/>
  <c r="F23" i="164"/>
  <c r="G22" i="164"/>
  <c r="F22" i="164"/>
  <c r="G21" i="164"/>
  <c r="F21" i="164"/>
  <c r="G20" i="164"/>
  <c r="F20" i="164"/>
  <c r="G19" i="164"/>
  <c r="F19" i="164"/>
  <c r="G18" i="164"/>
  <c r="F18" i="164"/>
  <c r="G17" i="164"/>
  <c r="F17" i="164"/>
  <c r="G16" i="164"/>
  <c r="F16" i="164"/>
  <c r="G15" i="164"/>
  <c r="F15" i="164"/>
  <c r="G14" i="164"/>
  <c r="F14" i="164"/>
  <c r="G13" i="164"/>
  <c r="F13" i="164"/>
  <c r="G12" i="164"/>
  <c r="F12" i="164"/>
  <c r="G11" i="164"/>
  <c r="F11" i="164"/>
  <c r="G10" i="164"/>
  <c r="F10" i="164"/>
  <c r="G9" i="164"/>
  <c r="F9" i="164"/>
  <c r="G39" i="396"/>
  <c r="F39" i="396"/>
  <c r="G38" i="396"/>
  <c r="F38" i="396"/>
  <c r="G37" i="396"/>
  <c r="F37" i="396"/>
  <c r="G36" i="396"/>
  <c r="F36" i="396"/>
  <c r="G35" i="396"/>
  <c r="F35" i="396"/>
  <c r="G34" i="396"/>
  <c r="F34" i="396"/>
  <c r="G33" i="396"/>
  <c r="F33" i="396"/>
  <c r="G32" i="396"/>
  <c r="F32" i="396"/>
  <c r="G31" i="396"/>
  <c r="F31" i="396"/>
  <c r="G30" i="396"/>
  <c r="F30" i="396"/>
  <c r="G29" i="396"/>
  <c r="F29" i="396"/>
  <c r="G28" i="396"/>
  <c r="F28" i="396"/>
  <c r="G27" i="396"/>
  <c r="F27" i="396"/>
  <c r="G26" i="396"/>
  <c r="F26" i="396"/>
  <c r="G25" i="396"/>
  <c r="F25" i="396"/>
  <c r="G24" i="396"/>
  <c r="F24" i="396"/>
  <c r="G23" i="396"/>
  <c r="F23" i="396"/>
  <c r="G22" i="396"/>
  <c r="F22" i="396"/>
  <c r="G21" i="396"/>
  <c r="F21" i="396"/>
  <c r="G20" i="396"/>
  <c r="F20" i="396"/>
  <c r="G19" i="396"/>
  <c r="F19" i="396"/>
  <c r="G18" i="396"/>
  <c r="F18" i="396"/>
  <c r="G17" i="396"/>
  <c r="F17" i="396"/>
  <c r="G16" i="396"/>
  <c r="F16" i="396"/>
  <c r="G15" i="396"/>
  <c r="F15" i="396"/>
  <c r="G14" i="396"/>
  <c r="F14" i="396"/>
  <c r="G13" i="396"/>
  <c r="F13" i="396"/>
  <c r="G12" i="396"/>
  <c r="F12" i="396"/>
  <c r="G11" i="396"/>
  <c r="F11" i="396"/>
  <c r="G10" i="396"/>
  <c r="F10" i="396"/>
  <c r="G9" i="396"/>
  <c r="F9" i="396"/>
  <c r="G39" i="299"/>
  <c r="F39" i="299"/>
  <c r="G38" i="299"/>
  <c r="F38" i="299"/>
  <c r="G37" i="299"/>
  <c r="F37" i="299"/>
  <c r="G36" i="299"/>
  <c r="F36" i="299"/>
  <c r="G35" i="299"/>
  <c r="F35" i="299"/>
  <c r="G34" i="299"/>
  <c r="G33" i="299"/>
  <c r="F33" i="299"/>
  <c r="G32" i="299"/>
  <c r="F32" i="299"/>
  <c r="G31" i="299"/>
  <c r="F31" i="299"/>
  <c r="G30" i="299"/>
  <c r="F30" i="299"/>
  <c r="G29" i="299"/>
  <c r="F29" i="299"/>
  <c r="G28" i="299"/>
  <c r="F28" i="299"/>
  <c r="G27" i="299"/>
  <c r="F27" i="299"/>
  <c r="G26" i="299"/>
  <c r="F26" i="299"/>
  <c r="G25" i="299"/>
  <c r="F25" i="299"/>
  <c r="G24" i="299"/>
  <c r="F24" i="299"/>
  <c r="G23" i="299"/>
  <c r="F23" i="299"/>
  <c r="G22" i="299"/>
  <c r="F22" i="299"/>
  <c r="G21" i="299"/>
  <c r="F21" i="299"/>
  <c r="G20" i="299"/>
  <c r="F20" i="299"/>
  <c r="G19" i="299"/>
  <c r="F19" i="299"/>
  <c r="G18" i="299"/>
  <c r="F18" i="299"/>
  <c r="G17" i="299"/>
  <c r="F17" i="299"/>
  <c r="G16" i="299"/>
  <c r="F16" i="299"/>
  <c r="G15" i="299"/>
  <c r="F15" i="299"/>
  <c r="G14" i="299"/>
  <c r="F14" i="299"/>
  <c r="G13" i="299"/>
  <c r="F13" i="299"/>
  <c r="G12" i="299"/>
  <c r="F12" i="299"/>
  <c r="G11" i="299"/>
  <c r="F11" i="299"/>
  <c r="G10" i="299"/>
  <c r="F10" i="299"/>
  <c r="G9" i="299"/>
  <c r="F9" i="299"/>
  <c r="G39" i="346"/>
  <c r="F39" i="346"/>
  <c r="G38" i="346"/>
  <c r="F38" i="346"/>
  <c r="G37" i="346"/>
  <c r="F37" i="346"/>
  <c r="G36" i="346"/>
  <c r="F36" i="346"/>
  <c r="G35" i="346"/>
  <c r="F35" i="346"/>
  <c r="G34" i="346"/>
  <c r="F34" i="346"/>
  <c r="G33" i="346"/>
  <c r="F33" i="346"/>
  <c r="G32" i="346"/>
  <c r="F32" i="346"/>
  <c r="G31" i="346"/>
  <c r="F31" i="346"/>
  <c r="G30" i="346"/>
  <c r="F30" i="346"/>
  <c r="G29" i="346"/>
  <c r="F29" i="346"/>
  <c r="G28" i="346"/>
  <c r="F28" i="346"/>
  <c r="G27" i="346"/>
  <c r="F27" i="346"/>
  <c r="G26" i="346"/>
  <c r="F26" i="346"/>
  <c r="G25" i="346"/>
  <c r="F25" i="346"/>
  <c r="G24" i="346"/>
  <c r="F24" i="346"/>
  <c r="G23" i="346"/>
  <c r="F23" i="346"/>
  <c r="G22" i="346"/>
  <c r="F22" i="346"/>
  <c r="G21" i="346"/>
  <c r="F21" i="346"/>
  <c r="G20" i="346"/>
  <c r="F20" i="346"/>
  <c r="G19" i="346"/>
  <c r="F19" i="346"/>
  <c r="G18" i="346"/>
  <c r="F18" i="346"/>
  <c r="G17" i="346"/>
  <c r="F17" i="346"/>
  <c r="G16" i="346"/>
  <c r="F16" i="346"/>
  <c r="G15" i="346"/>
  <c r="F15" i="346"/>
  <c r="G14" i="346"/>
  <c r="F14" i="346"/>
  <c r="G13" i="346"/>
  <c r="F13" i="346"/>
  <c r="G12" i="346"/>
  <c r="F12" i="346"/>
  <c r="G11" i="346"/>
  <c r="F11" i="346"/>
  <c r="G10" i="346"/>
  <c r="F10" i="346"/>
  <c r="G9" i="346"/>
  <c r="F9" i="346"/>
  <c r="G39" i="357"/>
  <c r="F39" i="357"/>
  <c r="G38" i="357"/>
  <c r="F38" i="357"/>
  <c r="G37" i="357"/>
  <c r="F37" i="357"/>
  <c r="G36" i="357"/>
  <c r="F36" i="357"/>
  <c r="G35" i="357"/>
  <c r="F35" i="357"/>
  <c r="G34" i="357"/>
  <c r="F34" i="357"/>
  <c r="G33" i="357"/>
  <c r="F33" i="357"/>
  <c r="G32" i="357"/>
  <c r="F32" i="357"/>
  <c r="G31" i="357"/>
  <c r="F31" i="357"/>
  <c r="G30" i="357"/>
  <c r="F30" i="357"/>
  <c r="G29" i="357"/>
  <c r="F29" i="357"/>
  <c r="G28" i="357"/>
  <c r="F28" i="357"/>
  <c r="G27" i="357"/>
  <c r="F27" i="357"/>
  <c r="G26" i="357"/>
  <c r="F26" i="357"/>
  <c r="G25" i="357"/>
  <c r="F25" i="357"/>
  <c r="G24" i="357"/>
  <c r="F24" i="357"/>
  <c r="G23" i="357"/>
  <c r="F23" i="357"/>
  <c r="G22" i="357"/>
  <c r="F22" i="357"/>
  <c r="G21" i="357"/>
  <c r="F21" i="357"/>
  <c r="G20" i="357"/>
  <c r="F20" i="357"/>
  <c r="G19" i="357"/>
  <c r="F19" i="357"/>
  <c r="G18" i="357"/>
  <c r="F18" i="357"/>
  <c r="G17" i="357"/>
  <c r="F17" i="357"/>
  <c r="G16" i="357"/>
  <c r="F16" i="357"/>
  <c r="G15" i="357"/>
  <c r="F15" i="357"/>
  <c r="G14" i="357"/>
  <c r="F14" i="357"/>
  <c r="G13" i="357"/>
  <c r="F13" i="357"/>
  <c r="G12" i="357"/>
  <c r="F12" i="357"/>
  <c r="G11" i="357"/>
  <c r="F11" i="357"/>
  <c r="G10" i="357"/>
  <c r="F10" i="357"/>
  <c r="G9" i="357"/>
  <c r="F9" i="357"/>
  <c r="G39" i="349"/>
  <c r="F39" i="349"/>
  <c r="G38" i="349"/>
  <c r="F38" i="349"/>
  <c r="G37" i="349"/>
  <c r="F37" i="349"/>
  <c r="G36" i="349"/>
  <c r="F36" i="349"/>
  <c r="G35" i="349"/>
  <c r="F35" i="349"/>
  <c r="G34" i="349"/>
  <c r="F34" i="349"/>
  <c r="G33" i="349"/>
  <c r="F33" i="349"/>
  <c r="G32" i="349"/>
  <c r="F32" i="349"/>
  <c r="G31" i="349"/>
  <c r="F31" i="349"/>
  <c r="G30" i="349"/>
  <c r="F30" i="349"/>
  <c r="G29" i="349"/>
  <c r="F29" i="349"/>
  <c r="G28" i="349"/>
  <c r="F28" i="349"/>
  <c r="G27" i="349"/>
  <c r="F27" i="349"/>
  <c r="G26" i="349"/>
  <c r="F26" i="349"/>
  <c r="G25" i="349"/>
  <c r="F25" i="349"/>
  <c r="G24" i="349"/>
  <c r="F24" i="349"/>
  <c r="G23" i="349"/>
  <c r="F23" i="349"/>
  <c r="G22" i="349"/>
  <c r="F22" i="349"/>
  <c r="G21" i="349"/>
  <c r="F21" i="349"/>
  <c r="G20" i="349"/>
  <c r="F20" i="349"/>
  <c r="G19" i="349"/>
  <c r="F19" i="349"/>
  <c r="G18" i="349"/>
  <c r="F18" i="349"/>
  <c r="G17" i="349"/>
  <c r="F17" i="349"/>
  <c r="G16" i="349"/>
  <c r="F16" i="349"/>
  <c r="G15" i="349"/>
  <c r="F15" i="349"/>
  <c r="G14" i="349"/>
  <c r="F14" i="349"/>
  <c r="G13" i="349"/>
  <c r="F13" i="349"/>
  <c r="G12" i="349"/>
  <c r="F12" i="349"/>
  <c r="G11" i="349"/>
  <c r="F11" i="349"/>
  <c r="G10" i="349"/>
  <c r="F10" i="349"/>
  <c r="G9" i="349"/>
  <c r="F9" i="349"/>
  <c r="G39" i="340"/>
  <c r="F39" i="340"/>
  <c r="G38" i="340"/>
  <c r="F38" i="340"/>
  <c r="G37" i="340"/>
  <c r="F37" i="340"/>
  <c r="G36" i="340"/>
  <c r="F36" i="340"/>
  <c r="G35" i="340"/>
  <c r="F35" i="340"/>
  <c r="G34" i="340"/>
  <c r="F34" i="340"/>
  <c r="G33" i="340"/>
  <c r="F33" i="340"/>
  <c r="G32" i="340"/>
  <c r="F32" i="340"/>
  <c r="G31" i="340"/>
  <c r="F31" i="340"/>
  <c r="G30" i="340"/>
  <c r="F30" i="340"/>
  <c r="G29" i="340"/>
  <c r="F29" i="340"/>
  <c r="G28" i="340"/>
  <c r="F28" i="340"/>
  <c r="G27" i="340"/>
  <c r="F27" i="340"/>
  <c r="G26" i="340"/>
  <c r="F26" i="340"/>
  <c r="G25" i="340"/>
  <c r="F25" i="340"/>
  <c r="G24" i="340"/>
  <c r="F24" i="340"/>
  <c r="G23" i="340"/>
  <c r="F23" i="340"/>
  <c r="G22" i="340"/>
  <c r="F22" i="340"/>
  <c r="G21" i="340"/>
  <c r="F21" i="340"/>
  <c r="G20" i="340"/>
  <c r="F20" i="340"/>
  <c r="G19" i="340"/>
  <c r="F19" i="340"/>
  <c r="G18" i="340"/>
  <c r="F18" i="340"/>
  <c r="G17" i="340"/>
  <c r="F17" i="340"/>
  <c r="G16" i="340"/>
  <c r="F16" i="340"/>
  <c r="G15" i="340"/>
  <c r="F15" i="340"/>
  <c r="G14" i="340"/>
  <c r="F14" i="340"/>
  <c r="G13" i="340"/>
  <c r="F13" i="340"/>
  <c r="G12" i="340"/>
  <c r="F12" i="340"/>
  <c r="G11" i="340"/>
  <c r="F11" i="340"/>
  <c r="G10" i="340"/>
  <c r="F10" i="340"/>
  <c r="G9" i="340"/>
  <c r="F9" i="340"/>
  <c r="F39" i="159"/>
  <c r="F38" i="159"/>
  <c r="F37" i="159"/>
  <c r="F36" i="159"/>
  <c r="F35" i="159"/>
  <c r="F34" i="159"/>
  <c r="F33" i="159"/>
  <c r="F32" i="159"/>
  <c r="F31" i="159"/>
  <c r="F30" i="159"/>
  <c r="F29" i="159"/>
  <c r="F28" i="159"/>
  <c r="F27" i="159"/>
  <c r="F26" i="159"/>
  <c r="F25" i="159"/>
  <c r="F24" i="159"/>
  <c r="F23" i="159"/>
  <c r="F22" i="159"/>
  <c r="F21" i="159"/>
  <c r="F20" i="159"/>
  <c r="F19" i="159"/>
  <c r="F18" i="159"/>
  <c r="F17" i="159"/>
  <c r="F16" i="159"/>
  <c r="F15" i="159"/>
  <c r="F14" i="159"/>
  <c r="F13" i="159"/>
  <c r="F12" i="159"/>
  <c r="F11" i="159"/>
  <c r="F10" i="159"/>
  <c r="F9" i="159"/>
  <c r="F39" i="149"/>
  <c r="F38" i="149"/>
  <c r="F37" i="149"/>
  <c r="F36" i="149"/>
  <c r="F35" i="149"/>
  <c r="F34" i="149"/>
  <c r="F33" i="149"/>
  <c r="F32" i="149"/>
  <c r="F31" i="149"/>
  <c r="F30" i="149"/>
  <c r="F29" i="149"/>
  <c r="F28" i="149"/>
  <c r="F27" i="149"/>
  <c r="F26" i="149"/>
  <c r="F25" i="149"/>
  <c r="F24" i="149"/>
  <c r="F23" i="149"/>
  <c r="F22" i="149"/>
  <c r="F21" i="149"/>
  <c r="F20" i="149"/>
  <c r="F19" i="149"/>
  <c r="F18" i="149"/>
  <c r="F17" i="149"/>
  <c r="F15" i="149"/>
  <c r="F14" i="149"/>
  <c r="F13" i="149"/>
  <c r="F12" i="149"/>
  <c r="F10" i="149"/>
  <c r="F39" i="417"/>
  <c r="F38" i="417"/>
  <c r="F37" i="417"/>
  <c r="F36" i="417"/>
  <c r="F35" i="417"/>
  <c r="F34" i="417"/>
  <c r="F33" i="417"/>
  <c r="F32" i="417"/>
  <c r="F31" i="417"/>
  <c r="F30" i="417"/>
  <c r="F29" i="417"/>
  <c r="F28" i="417"/>
  <c r="F27" i="417"/>
  <c r="F26" i="417"/>
  <c r="F25" i="417"/>
  <c r="F24" i="417"/>
  <c r="F23" i="417"/>
  <c r="F22" i="417"/>
  <c r="F21" i="417"/>
  <c r="F20" i="417"/>
  <c r="F19" i="417"/>
  <c r="F18" i="417"/>
  <c r="F17" i="417"/>
  <c r="F16" i="417"/>
  <c r="F15" i="417"/>
  <c r="F14" i="417"/>
  <c r="F13" i="417"/>
  <c r="F12" i="417"/>
  <c r="F10" i="417"/>
  <c r="F9" i="417"/>
  <c r="G39" i="285"/>
  <c r="F39" i="285"/>
  <c r="G38" i="285"/>
  <c r="F38" i="285"/>
  <c r="G37" i="285"/>
  <c r="F37" i="285"/>
  <c r="G36" i="285"/>
  <c r="F36" i="285"/>
  <c r="G35" i="285"/>
  <c r="F35" i="285"/>
  <c r="G34" i="285"/>
  <c r="F34" i="285"/>
  <c r="G33" i="285"/>
  <c r="F33" i="285"/>
  <c r="G32" i="285"/>
  <c r="F32" i="285"/>
  <c r="G31" i="285"/>
  <c r="F31" i="285"/>
  <c r="G30" i="285"/>
  <c r="F30" i="285"/>
  <c r="G29" i="285"/>
  <c r="F29" i="285"/>
  <c r="G28" i="285"/>
  <c r="F28" i="285"/>
  <c r="G27" i="285"/>
  <c r="F27" i="285"/>
  <c r="G26" i="285"/>
  <c r="F26" i="285"/>
  <c r="G25" i="285"/>
  <c r="F25" i="285"/>
  <c r="G24" i="285"/>
  <c r="F24" i="285"/>
  <c r="G23" i="285"/>
  <c r="F23" i="285"/>
  <c r="G22" i="285"/>
  <c r="F22" i="285"/>
  <c r="G21" i="285"/>
  <c r="F21" i="285"/>
  <c r="G20" i="285"/>
  <c r="F20" i="285"/>
  <c r="G19" i="285"/>
  <c r="F19" i="285"/>
  <c r="G18" i="285"/>
  <c r="F18" i="285"/>
  <c r="G17" i="285"/>
  <c r="F17" i="285"/>
  <c r="G16" i="285"/>
  <c r="F16" i="285"/>
  <c r="G15" i="285"/>
  <c r="F15" i="285"/>
  <c r="G14" i="285"/>
  <c r="F14" i="285"/>
  <c r="G13" i="285"/>
  <c r="F13" i="285"/>
  <c r="G12" i="285"/>
  <c r="F12" i="285"/>
  <c r="G11" i="285"/>
  <c r="F11" i="285"/>
  <c r="G10" i="285"/>
  <c r="F10" i="285"/>
  <c r="G9" i="285"/>
  <c r="F9" i="285"/>
  <c r="G39" i="424"/>
  <c r="F39" i="424"/>
  <c r="G38" i="424"/>
  <c r="F38" i="424"/>
  <c r="G37" i="424"/>
  <c r="F37" i="424"/>
  <c r="G36" i="424"/>
  <c r="F36" i="424"/>
  <c r="G35" i="424"/>
  <c r="F35" i="424"/>
  <c r="G34" i="424"/>
  <c r="F34" i="424"/>
  <c r="G33" i="424"/>
  <c r="F33" i="424"/>
  <c r="G32" i="424"/>
  <c r="F32" i="424"/>
  <c r="G31" i="424"/>
  <c r="F31" i="424"/>
  <c r="G30" i="424"/>
  <c r="F30" i="424"/>
  <c r="G29" i="424"/>
  <c r="F29" i="424"/>
  <c r="G28" i="424"/>
  <c r="F28" i="424"/>
  <c r="G27" i="424"/>
  <c r="F27" i="424"/>
  <c r="G26" i="424"/>
  <c r="F26" i="424"/>
  <c r="G25" i="424"/>
  <c r="F25" i="424"/>
  <c r="G24" i="424"/>
  <c r="F24" i="424"/>
  <c r="G23" i="424"/>
  <c r="F23" i="424"/>
  <c r="G22" i="424"/>
  <c r="F22" i="424"/>
  <c r="G21" i="424"/>
  <c r="F21" i="424"/>
  <c r="G20" i="424"/>
  <c r="F20" i="424"/>
  <c r="G19" i="424"/>
  <c r="F19" i="424"/>
  <c r="G18" i="424"/>
  <c r="F18" i="424"/>
  <c r="G17" i="424"/>
  <c r="F17" i="424"/>
  <c r="G16" i="424"/>
  <c r="F16" i="424"/>
  <c r="G15" i="424"/>
  <c r="F15" i="424"/>
  <c r="G14" i="424"/>
  <c r="F14" i="424"/>
  <c r="G13" i="424"/>
  <c r="F13" i="424"/>
  <c r="G12" i="424"/>
  <c r="F12" i="424"/>
  <c r="G11" i="424"/>
  <c r="F11" i="424"/>
  <c r="G10" i="424"/>
  <c r="F10" i="424"/>
  <c r="G9" i="424"/>
  <c r="F9" i="424"/>
  <c r="G39" i="420"/>
  <c r="F39" i="420"/>
  <c r="G38" i="420"/>
  <c r="F38" i="420"/>
  <c r="G37" i="420"/>
  <c r="F37" i="420"/>
  <c r="G36" i="420"/>
  <c r="F36" i="420"/>
  <c r="G35" i="420"/>
  <c r="F35" i="420"/>
  <c r="G34" i="420"/>
  <c r="F34" i="420"/>
  <c r="G33" i="420"/>
  <c r="F33" i="420"/>
  <c r="G32" i="420"/>
  <c r="F32" i="420"/>
  <c r="G31" i="420"/>
  <c r="F31" i="420"/>
  <c r="G30" i="420"/>
  <c r="F30" i="420"/>
  <c r="G29" i="420"/>
  <c r="F29" i="420"/>
  <c r="G28" i="420"/>
  <c r="F28" i="420"/>
  <c r="G27" i="420"/>
  <c r="F27" i="420"/>
  <c r="G26" i="420"/>
  <c r="F26" i="420"/>
  <c r="G25" i="420"/>
  <c r="F25" i="420"/>
  <c r="G24" i="420"/>
  <c r="F24" i="420"/>
  <c r="G23" i="420"/>
  <c r="F23" i="420"/>
  <c r="G22" i="420"/>
  <c r="F22" i="420"/>
  <c r="G21" i="420"/>
  <c r="F21" i="420"/>
  <c r="G20" i="420"/>
  <c r="F20" i="420"/>
  <c r="G19" i="420"/>
  <c r="F19" i="420"/>
  <c r="G18" i="420"/>
  <c r="F18" i="420"/>
  <c r="G17" i="420"/>
  <c r="F17" i="420"/>
  <c r="G16" i="420"/>
  <c r="F16" i="420"/>
  <c r="G15" i="420"/>
  <c r="F15" i="420"/>
  <c r="G14" i="420"/>
  <c r="F14" i="420"/>
  <c r="G13" i="420"/>
  <c r="F13" i="420"/>
  <c r="G12" i="420"/>
  <c r="F12" i="420"/>
  <c r="G11" i="420"/>
  <c r="F11" i="420"/>
  <c r="G10" i="420"/>
  <c r="F10" i="420"/>
  <c r="G9" i="420"/>
  <c r="F9" i="420"/>
  <c r="G39" i="317"/>
  <c r="F39" i="317"/>
  <c r="G38" i="317"/>
  <c r="F38" i="317"/>
  <c r="G37" i="317"/>
  <c r="F37" i="317"/>
  <c r="G36" i="317"/>
  <c r="F36" i="317"/>
  <c r="G35" i="317"/>
  <c r="F35" i="317"/>
  <c r="G34" i="317"/>
  <c r="F34" i="317"/>
  <c r="G33" i="317"/>
  <c r="F33" i="317"/>
  <c r="G32" i="317"/>
  <c r="F32" i="317"/>
  <c r="G31" i="317"/>
  <c r="F31" i="317"/>
  <c r="G30" i="317"/>
  <c r="F30" i="317"/>
  <c r="G29" i="317"/>
  <c r="F29" i="317"/>
  <c r="G28" i="317"/>
  <c r="F28" i="317"/>
  <c r="G27" i="317"/>
  <c r="F27" i="317"/>
  <c r="G26" i="317"/>
  <c r="F26" i="317"/>
  <c r="G25" i="317"/>
  <c r="F25" i="317"/>
  <c r="G24" i="317"/>
  <c r="F24" i="317"/>
  <c r="G23" i="317"/>
  <c r="F23" i="317"/>
  <c r="G18" i="317"/>
  <c r="F18" i="317"/>
  <c r="G14" i="317"/>
  <c r="F14" i="317"/>
  <c r="G13" i="317"/>
  <c r="F13" i="317"/>
  <c r="G39" i="178"/>
  <c r="F39" i="178"/>
  <c r="G38" i="178"/>
  <c r="F38" i="178"/>
  <c r="G37" i="178"/>
  <c r="F37" i="178"/>
  <c r="G36" i="178"/>
  <c r="F36" i="178"/>
  <c r="G35" i="178"/>
  <c r="F35" i="178"/>
  <c r="G34" i="178"/>
  <c r="F34" i="178"/>
  <c r="G33" i="178"/>
  <c r="F33" i="178"/>
  <c r="G32" i="178"/>
  <c r="F32" i="178"/>
  <c r="G31" i="178"/>
  <c r="F31" i="178"/>
  <c r="G30" i="178"/>
  <c r="F30" i="178"/>
  <c r="G29" i="178"/>
  <c r="F29" i="178"/>
  <c r="G28" i="178"/>
  <c r="F28" i="178"/>
  <c r="G27" i="178"/>
  <c r="F27" i="178"/>
  <c r="G26" i="178"/>
  <c r="F26" i="178"/>
  <c r="G25" i="178"/>
  <c r="F25" i="178"/>
  <c r="G24" i="178"/>
  <c r="F24" i="178"/>
  <c r="G23" i="178"/>
  <c r="F23" i="178"/>
  <c r="G22" i="178"/>
  <c r="F22" i="178"/>
  <c r="G21" i="178"/>
  <c r="F21" i="178"/>
  <c r="G20" i="178"/>
  <c r="F20" i="178"/>
  <c r="G19" i="178"/>
  <c r="F19" i="178"/>
  <c r="G18" i="178"/>
  <c r="F18" i="178"/>
  <c r="G17" i="178"/>
  <c r="F17" i="178"/>
  <c r="G16" i="178"/>
  <c r="F16" i="178"/>
  <c r="G15" i="178"/>
  <c r="F15" i="178"/>
  <c r="G14" i="178"/>
  <c r="F14" i="178"/>
  <c r="G13" i="178"/>
  <c r="F13" i="178"/>
  <c r="G12" i="178"/>
  <c r="F12" i="178"/>
  <c r="G11" i="178"/>
  <c r="F11" i="178"/>
  <c r="G10" i="178"/>
  <c r="F10" i="178"/>
  <c r="G9" i="178"/>
  <c r="F9" i="178"/>
  <c r="G39" i="380"/>
  <c r="F39" i="380"/>
  <c r="G38" i="380"/>
  <c r="F38" i="380"/>
  <c r="G37" i="380"/>
  <c r="F37" i="380"/>
  <c r="G36" i="380"/>
  <c r="F36" i="380"/>
  <c r="G35" i="380"/>
  <c r="F35" i="380"/>
  <c r="G34" i="380"/>
  <c r="F34" i="380"/>
  <c r="G33" i="380"/>
  <c r="F33" i="380"/>
  <c r="G32" i="380"/>
  <c r="F32" i="380"/>
  <c r="G31" i="380"/>
  <c r="F31" i="380"/>
  <c r="G30" i="380"/>
  <c r="F30" i="380"/>
  <c r="G29" i="380"/>
  <c r="F29" i="380"/>
  <c r="G28" i="380"/>
  <c r="F28" i="380"/>
  <c r="G27" i="380"/>
  <c r="F27" i="380"/>
  <c r="G26" i="380"/>
  <c r="F26" i="380"/>
  <c r="G25" i="380"/>
  <c r="F25" i="380"/>
  <c r="G24" i="380"/>
  <c r="F24" i="380"/>
  <c r="G23" i="380"/>
  <c r="F23" i="380"/>
  <c r="G22" i="380"/>
  <c r="F22" i="380"/>
  <c r="G21" i="380"/>
  <c r="F21" i="380"/>
  <c r="G20" i="380"/>
  <c r="F20" i="380"/>
  <c r="G19" i="380"/>
  <c r="F19" i="380"/>
  <c r="G18" i="380"/>
  <c r="F18" i="380"/>
  <c r="G17" i="380"/>
  <c r="F17" i="380"/>
  <c r="G16" i="380"/>
  <c r="F16" i="380"/>
  <c r="G15" i="380"/>
  <c r="F15" i="380"/>
  <c r="G14" i="380"/>
  <c r="F14" i="380"/>
  <c r="G13" i="380"/>
  <c r="F13" i="380"/>
  <c r="G12" i="380"/>
  <c r="F12" i="380"/>
  <c r="G11" i="380"/>
  <c r="F11" i="380"/>
  <c r="G10" i="380"/>
  <c r="F10" i="380"/>
  <c r="G9" i="380"/>
  <c r="F9" i="380"/>
  <c r="G39" i="363"/>
  <c r="F39" i="363"/>
  <c r="G38" i="363"/>
  <c r="F38" i="363"/>
  <c r="G37" i="363"/>
  <c r="F37" i="363"/>
  <c r="G36" i="363"/>
  <c r="F36" i="363"/>
  <c r="G35" i="363"/>
  <c r="F35" i="363"/>
  <c r="G34" i="363"/>
  <c r="F34" i="363"/>
  <c r="G33" i="363"/>
  <c r="F33" i="363"/>
  <c r="G32" i="363"/>
  <c r="F32" i="363"/>
  <c r="G31" i="363"/>
  <c r="F31" i="363"/>
  <c r="G30" i="363"/>
  <c r="F30" i="363"/>
  <c r="G29" i="363"/>
  <c r="F29" i="363"/>
  <c r="G28" i="363"/>
  <c r="F28" i="363"/>
  <c r="G27" i="363"/>
  <c r="F27" i="363"/>
  <c r="G26" i="363"/>
  <c r="F26" i="363"/>
  <c r="G25" i="363"/>
  <c r="F25" i="363"/>
  <c r="G24" i="363"/>
  <c r="F24" i="363"/>
  <c r="G23" i="363"/>
  <c r="F23" i="363"/>
  <c r="G39" i="292"/>
  <c r="F39" i="292"/>
  <c r="G38" i="292"/>
  <c r="F38" i="292"/>
  <c r="G37" i="292"/>
  <c r="F37" i="292"/>
  <c r="G36" i="292"/>
  <c r="F36" i="292"/>
  <c r="G35" i="292"/>
  <c r="F35" i="292"/>
  <c r="G34" i="292"/>
  <c r="F34" i="292"/>
  <c r="G33" i="292"/>
  <c r="F33" i="292"/>
  <c r="G32" i="292"/>
  <c r="F32" i="292"/>
  <c r="G31" i="292"/>
  <c r="F31" i="292"/>
  <c r="G30" i="292"/>
  <c r="F30" i="292"/>
  <c r="G29" i="292"/>
  <c r="F29" i="292"/>
  <c r="G28" i="292"/>
  <c r="F28" i="292"/>
  <c r="G27" i="292"/>
  <c r="F27" i="292"/>
  <c r="G26" i="292"/>
  <c r="F26" i="292"/>
  <c r="G25" i="292"/>
  <c r="F25" i="292"/>
  <c r="G24" i="292"/>
  <c r="F24" i="292"/>
  <c r="G23" i="292"/>
  <c r="F23" i="292"/>
  <c r="G22" i="292"/>
  <c r="F22" i="292"/>
  <c r="G21" i="292"/>
  <c r="F21" i="292"/>
  <c r="G20" i="292"/>
  <c r="F20" i="292"/>
  <c r="G19" i="292"/>
  <c r="F19" i="292"/>
  <c r="G18" i="292"/>
  <c r="F18" i="292"/>
  <c r="G17" i="292"/>
  <c r="F17" i="292"/>
  <c r="G16" i="292"/>
  <c r="F16" i="292"/>
  <c r="G15" i="292"/>
  <c r="F15" i="292"/>
  <c r="G14" i="292"/>
  <c r="F14" i="292"/>
  <c r="G13" i="292"/>
  <c r="F13" i="292"/>
  <c r="G12" i="292"/>
  <c r="F12" i="292"/>
  <c r="G11" i="292"/>
  <c r="F11" i="292"/>
  <c r="G10" i="292"/>
  <c r="F10" i="292"/>
  <c r="G9" i="292"/>
  <c r="F9" i="292"/>
  <c r="F9" i="443"/>
  <c r="G39" i="443"/>
  <c r="F39" i="443"/>
  <c r="G38" i="443"/>
  <c r="F38" i="443"/>
  <c r="G37" i="443"/>
  <c r="F37" i="443"/>
  <c r="G36" i="443"/>
  <c r="F36" i="443"/>
  <c r="G35" i="443"/>
  <c r="F35" i="443"/>
  <c r="G34" i="443"/>
  <c r="F34" i="443"/>
  <c r="G33" i="443"/>
  <c r="F33" i="443"/>
  <c r="G32" i="443"/>
  <c r="F32" i="443"/>
  <c r="G31" i="443"/>
  <c r="F31" i="443"/>
  <c r="G30" i="443"/>
  <c r="F30" i="443"/>
  <c r="G29" i="443"/>
  <c r="F29" i="443"/>
  <c r="G28" i="443"/>
  <c r="F28" i="443"/>
  <c r="G27" i="443"/>
  <c r="F27" i="443"/>
  <c r="G26" i="443"/>
  <c r="F26" i="443"/>
  <c r="G25" i="443"/>
  <c r="F25" i="443"/>
  <c r="G24" i="443"/>
  <c r="F24" i="443"/>
  <c r="G23" i="443"/>
  <c r="F23" i="443"/>
  <c r="G22" i="443"/>
  <c r="F22" i="443"/>
  <c r="G21" i="443"/>
  <c r="F21" i="443"/>
  <c r="G20" i="443"/>
  <c r="F20" i="443"/>
  <c r="G19" i="443"/>
  <c r="F19" i="443"/>
  <c r="G18" i="443"/>
  <c r="F18" i="443"/>
  <c r="G17" i="443"/>
  <c r="F17" i="443"/>
  <c r="G16" i="443"/>
  <c r="F16" i="443"/>
  <c r="G15" i="443"/>
  <c r="F15" i="443"/>
  <c r="G14" i="443"/>
  <c r="F14" i="443"/>
  <c r="G13" i="443"/>
  <c r="F13" i="443"/>
  <c r="G12" i="443"/>
  <c r="F12" i="443"/>
  <c r="G11" i="443"/>
  <c r="F11" i="443"/>
  <c r="G10" i="443"/>
  <c r="F10" i="443"/>
  <c r="G9" i="443"/>
  <c r="G39" i="263"/>
  <c r="F39" i="263"/>
  <c r="G38" i="263"/>
  <c r="F38" i="263"/>
  <c r="G37" i="263"/>
  <c r="F37" i="263"/>
  <c r="G36" i="263"/>
  <c r="F36" i="263"/>
  <c r="G35" i="263"/>
  <c r="F35" i="263"/>
  <c r="G34" i="263"/>
  <c r="F34" i="263"/>
  <c r="G33" i="263"/>
  <c r="F33" i="263"/>
  <c r="G32" i="263"/>
  <c r="F32" i="263"/>
  <c r="G31" i="263"/>
  <c r="F31" i="263"/>
  <c r="G30" i="263"/>
  <c r="F30" i="263"/>
  <c r="G29" i="263"/>
  <c r="F29" i="263"/>
  <c r="G28" i="263"/>
  <c r="F28" i="263"/>
  <c r="G27" i="263"/>
  <c r="F27" i="263"/>
  <c r="G26" i="263"/>
  <c r="F26" i="263"/>
  <c r="G25" i="263"/>
  <c r="F25" i="263"/>
  <c r="G24" i="263"/>
  <c r="F24" i="263"/>
  <c r="G23" i="263"/>
  <c r="F23" i="263"/>
  <c r="G22" i="263"/>
  <c r="F22" i="263"/>
  <c r="G21" i="263"/>
  <c r="F21" i="263"/>
  <c r="G20" i="263"/>
  <c r="F20" i="263"/>
  <c r="G19" i="263"/>
  <c r="F19" i="263"/>
  <c r="G18" i="263"/>
  <c r="F18" i="263"/>
  <c r="G17" i="263"/>
  <c r="F17" i="263"/>
  <c r="G16" i="263"/>
  <c r="F16" i="263"/>
  <c r="G15" i="263"/>
  <c r="F15" i="263"/>
  <c r="G14" i="263"/>
  <c r="F14" i="263"/>
  <c r="G13" i="263"/>
  <c r="F13" i="263"/>
  <c r="G12" i="263"/>
  <c r="F12" i="263"/>
  <c r="G11" i="263"/>
  <c r="F11" i="263"/>
  <c r="G10" i="263"/>
  <c r="F10" i="263"/>
  <c r="G9" i="263"/>
  <c r="F9" i="263"/>
  <c r="G10" i="284"/>
  <c r="G11" i="284"/>
  <c r="G12" i="284"/>
  <c r="G13" i="284"/>
  <c r="G14" i="284"/>
  <c r="G15" i="284"/>
  <c r="G16" i="284"/>
  <c r="G17" i="284"/>
  <c r="G18" i="284"/>
  <c r="G19" i="284"/>
  <c r="G20" i="284"/>
  <c r="G21" i="284"/>
  <c r="G22" i="284"/>
  <c r="G23" i="284"/>
  <c r="G24" i="284"/>
  <c r="G25" i="284"/>
  <c r="G26" i="284"/>
  <c r="G27" i="284"/>
  <c r="G28" i="284"/>
  <c r="G29" i="284"/>
  <c r="G30" i="284"/>
  <c r="G31" i="284"/>
  <c r="G32" i="284"/>
  <c r="G33" i="284"/>
  <c r="G34" i="284"/>
  <c r="G35" i="284"/>
  <c r="G36" i="284"/>
  <c r="G37" i="284"/>
  <c r="G38" i="284"/>
  <c r="G39" i="284"/>
  <c r="G9" i="284"/>
  <c r="F10" i="284"/>
  <c r="F11" i="284"/>
  <c r="F12" i="284"/>
  <c r="F13" i="284"/>
  <c r="F14" i="284"/>
  <c r="F15" i="284"/>
  <c r="F16" i="284"/>
  <c r="F17" i="284"/>
  <c r="F18" i="284"/>
  <c r="F19" i="284"/>
  <c r="F20" i="284"/>
  <c r="F21" i="284"/>
  <c r="F22" i="284"/>
  <c r="F23" i="284"/>
  <c r="F24" i="284"/>
  <c r="F25" i="284"/>
  <c r="F26" i="284"/>
  <c r="F27" i="284"/>
  <c r="F28" i="284"/>
  <c r="F29" i="284"/>
  <c r="F30" i="284"/>
  <c r="F31" i="284"/>
  <c r="F32" i="284"/>
  <c r="F33" i="284"/>
  <c r="F34" i="284"/>
  <c r="F35" i="284"/>
  <c r="F36" i="284"/>
  <c r="F37" i="284"/>
  <c r="F38" i="284"/>
  <c r="F39" i="284"/>
  <c r="F9" i="284"/>
  <c r="G22" i="442"/>
  <c r="F22" i="442"/>
  <c r="F22" i="460"/>
  <c r="F22" i="169"/>
  <c r="F22" i="419"/>
  <c r="G22" i="363"/>
  <c r="F22" i="363"/>
  <c r="G22" i="317"/>
  <c r="F22" i="317"/>
  <c r="G21" i="317"/>
  <c r="F21" i="317"/>
  <c r="G21" i="442"/>
  <c r="F21" i="442"/>
  <c r="F21" i="460"/>
  <c r="F21" i="169"/>
  <c r="F21" i="419"/>
  <c r="G21" i="363"/>
  <c r="F21" i="363"/>
  <c r="H9" i="284" l="1"/>
  <c r="H10" i="284"/>
  <c r="G40" i="348"/>
  <c r="G20" i="363"/>
  <c r="F20" i="418"/>
  <c r="G20" i="317"/>
  <c r="G19" i="317"/>
  <c r="F19" i="317"/>
  <c r="G19" i="442"/>
  <c r="F19" i="442"/>
  <c r="F19" i="460"/>
  <c r="F19" i="419"/>
  <c r="F19" i="363"/>
  <c r="F18" i="419"/>
  <c r="F18" i="363"/>
  <c r="F17" i="169"/>
  <c r="G17" i="317"/>
  <c r="F17" i="317"/>
  <c r="G17" i="363"/>
  <c r="F17" i="460"/>
  <c r="G16" i="442"/>
  <c r="F16" i="442"/>
  <c r="F16" i="169"/>
  <c r="G16" i="363"/>
  <c r="F16" i="149"/>
  <c r="G16" i="317"/>
  <c r="F16" i="317"/>
  <c r="F19" i="169" l="1"/>
  <c r="F16" i="363"/>
  <c r="F16" i="419"/>
  <c r="F16" i="170"/>
  <c r="F17" i="363"/>
  <c r="F17" i="419"/>
  <c r="G18" i="363"/>
  <c r="F18" i="169"/>
  <c r="F18" i="460"/>
  <c r="G19" i="363"/>
  <c r="F20" i="363"/>
  <c r="F20" i="419"/>
  <c r="F20" i="460"/>
  <c r="F17" i="170"/>
  <c r="F20" i="317"/>
  <c r="F20" i="169"/>
  <c r="G15" i="338"/>
  <c r="F15" i="338"/>
  <c r="G15" i="317"/>
  <c r="F15" i="317"/>
  <c r="G15" i="442"/>
  <c r="F15" i="442"/>
  <c r="F15" i="363" l="1"/>
  <c r="F15" i="419"/>
  <c r="F15" i="170"/>
  <c r="G15" i="363"/>
  <c r="F15" i="169"/>
  <c r="G14" i="338"/>
  <c r="F14" i="338"/>
  <c r="F14" i="170"/>
  <c r="F14" i="169"/>
  <c r="F14" i="419"/>
  <c r="G14" i="363"/>
  <c r="F14" i="363"/>
  <c r="F13" i="169" l="1"/>
  <c r="G13" i="363"/>
  <c r="F13" i="363" l="1"/>
  <c r="F13" i="419"/>
  <c r="F13" i="170"/>
  <c r="G12" i="338"/>
  <c r="F12" i="338"/>
  <c r="G12" i="317"/>
  <c r="F12" i="317"/>
  <c r="F12" i="363" l="1"/>
  <c r="G12" i="363"/>
  <c r="F12" i="169"/>
  <c r="F12" i="419"/>
  <c r="F12" i="170"/>
  <c r="G11" i="338"/>
  <c r="F11" i="338"/>
  <c r="F11" i="170"/>
  <c r="F11" i="169"/>
  <c r="F11" i="419"/>
  <c r="G11" i="317"/>
  <c r="G11" i="363"/>
  <c r="F11" i="363"/>
  <c r="F11" i="418"/>
  <c r="F11" i="149"/>
  <c r="F11" i="417"/>
  <c r="F11" i="317" l="1"/>
  <c r="G10" i="338"/>
  <c r="G10" i="317"/>
  <c r="F10" i="317"/>
  <c r="F10" i="363" l="1"/>
  <c r="F10" i="419"/>
  <c r="F10" i="170"/>
  <c r="G10" i="363"/>
  <c r="F10" i="169"/>
  <c r="F9" i="170" l="1"/>
  <c r="F9" i="169"/>
  <c r="F9" i="419"/>
  <c r="G9" i="363"/>
  <c r="F9" i="363"/>
  <c r="G9" i="338"/>
  <c r="F9" i="338"/>
  <c r="G9" i="317"/>
  <c r="F9" i="317"/>
  <c r="R9" i="460"/>
  <c r="G14" i="460"/>
  <c r="G16" i="460"/>
  <c r="G18" i="460"/>
  <c r="G20" i="460"/>
  <c r="G22" i="460"/>
  <c r="G26" i="460"/>
  <c r="G28" i="460"/>
  <c r="G36" i="460"/>
  <c r="G38" i="460"/>
  <c r="P9" i="460"/>
  <c r="R19" i="170"/>
  <c r="R20" i="170"/>
  <c r="R21" i="170"/>
  <c r="R22" i="170"/>
  <c r="R23" i="170"/>
  <c r="R24" i="170"/>
  <c r="R25" i="170"/>
  <c r="R26" i="170"/>
  <c r="R27" i="170"/>
  <c r="R28" i="170"/>
  <c r="R29" i="170"/>
  <c r="R30" i="170"/>
  <c r="R31" i="170"/>
  <c r="R32" i="170"/>
  <c r="R33" i="170"/>
  <c r="R34" i="170"/>
  <c r="R35" i="170"/>
  <c r="R36" i="170"/>
  <c r="R37" i="170"/>
  <c r="R38" i="170"/>
  <c r="R39" i="170"/>
  <c r="R9" i="170"/>
  <c r="G10" i="170"/>
  <c r="G12" i="170"/>
  <c r="G14" i="170"/>
  <c r="G16" i="170"/>
  <c r="G18" i="170"/>
  <c r="P19" i="170"/>
  <c r="P20" i="170"/>
  <c r="P21" i="170"/>
  <c r="P22" i="170"/>
  <c r="P23" i="170"/>
  <c r="P24" i="170"/>
  <c r="P25" i="170"/>
  <c r="P26" i="170"/>
  <c r="P27" i="170"/>
  <c r="P28" i="170"/>
  <c r="P29" i="170"/>
  <c r="P30" i="170"/>
  <c r="P31" i="170"/>
  <c r="P32" i="170"/>
  <c r="P33" i="170"/>
  <c r="P34" i="170"/>
  <c r="P35" i="170"/>
  <c r="P36" i="170"/>
  <c r="P37" i="170"/>
  <c r="P38" i="170"/>
  <c r="P39" i="170"/>
  <c r="P9" i="170"/>
  <c r="R9" i="169"/>
  <c r="G10" i="169"/>
  <c r="G12" i="169"/>
  <c r="G14" i="169"/>
  <c r="G16" i="169"/>
  <c r="G18" i="169"/>
  <c r="G20" i="169"/>
  <c r="G22" i="169"/>
  <c r="G26" i="169"/>
  <c r="G30" i="169"/>
  <c r="G32" i="169"/>
  <c r="G34" i="169"/>
  <c r="G38" i="169"/>
  <c r="P9" i="169"/>
  <c r="R9" i="419"/>
  <c r="G10" i="419"/>
  <c r="G12" i="419"/>
  <c r="G14" i="419"/>
  <c r="G16" i="419"/>
  <c r="G18" i="419"/>
  <c r="G20" i="419"/>
  <c r="G22" i="419"/>
  <c r="G24" i="419"/>
  <c r="G26" i="419"/>
  <c r="G34" i="419"/>
  <c r="G38" i="419"/>
  <c r="P9" i="419"/>
  <c r="G9" i="419" s="1"/>
  <c r="R9" i="159"/>
  <c r="G10" i="159"/>
  <c r="G12" i="159"/>
  <c r="G14" i="159"/>
  <c r="G16" i="159"/>
  <c r="G18" i="159"/>
  <c r="G20" i="159"/>
  <c r="G22" i="159"/>
  <c r="G24" i="159"/>
  <c r="G26" i="159"/>
  <c r="G28" i="159"/>
  <c r="G32" i="159"/>
  <c r="G34" i="159"/>
  <c r="G38" i="159"/>
  <c r="P9" i="159"/>
  <c r="G9" i="159" s="1"/>
  <c r="G25" i="418"/>
  <c r="R9" i="418"/>
  <c r="G10" i="418"/>
  <c r="G12" i="418"/>
  <c r="G14" i="418"/>
  <c r="G16" i="418"/>
  <c r="G18" i="418"/>
  <c r="G20" i="418"/>
  <c r="G22" i="418"/>
  <c r="G24" i="418"/>
  <c r="G26" i="418"/>
  <c r="G28" i="418"/>
  <c r="G36" i="418"/>
  <c r="G38" i="418"/>
  <c r="P9" i="418"/>
  <c r="R39" i="149"/>
  <c r="R9" i="149"/>
  <c r="G10" i="149"/>
  <c r="G12" i="149"/>
  <c r="G14" i="149"/>
  <c r="G16" i="149"/>
  <c r="G18" i="149"/>
  <c r="G20" i="149"/>
  <c r="G22" i="149"/>
  <c r="G24" i="149"/>
  <c r="G26" i="149"/>
  <c r="G28" i="149"/>
  <c r="G30" i="149"/>
  <c r="G34" i="149"/>
  <c r="G36" i="149"/>
  <c r="G38" i="149"/>
  <c r="P39" i="149"/>
  <c r="P9" i="149"/>
  <c r="G9" i="149" s="1"/>
  <c r="F9" i="149"/>
  <c r="G11" i="417"/>
  <c r="G13" i="417"/>
  <c r="G15" i="417"/>
  <c r="G17" i="417"/>
  <c r="G19" i="417"/>
  <c r="G21" i="417"/>
  <c r="G23" i="417"/>
  <c r="G27" i="417"/>
  <c r="G29" i="417"/>
  <c r="G31" i="417"/>
  <c r="G33" i="417"/>
  <c r="G35" i="417"/>
  <c r="G37" i="417"/>
  <c r="G39" i="417"/>
  <c r="G9" i="460" l="1"/>
  <c r="G9" i="170"/>
  <c r="G38" i="170"/>
  <c r="G36" i="170"/>
  <c r="G34" i="170"/>
  <c r="G32" i="170"/>
  <c r="G30" i="170"/>
  <c r="G28" i="170"/>
  <c r="G26" i="170"/>
  <c r="G24" i="170"/>
  <c r="G22" i="170"/>
  <c r="G20" i="170"/>
  <c r="G12" i="460"/>
  <c r="G10" i="460"/>
  <c r="G9" i="169"/>
  <c r="G9" i="418"/>
  <c r="G36" i="169"/>
  <c r="G36" i="419"/>
  <c r="G36" i="159"/>
  <c r="G34" i="418"/>
  <c r="G34" i="460"/>
  <c r="G32" i="460"/>
  <c r="G32" i="419"/>
  <c r="G32" i="418"/>
  <c r="G32" i="149"/>
  <c r="G30" i="419"/>
  <c r="G30" i="460"/>
  <c r="G30" i="159"/>
  <c r="G30" i="418"/>
  <c r="G28" i="169"/>
  <c r="G28" i="419"/>
  <c r="G39" i="159"/>
  <c r="G37" i="159"/>
  <c r="G35" i="159"/>
  <c r="G33" i="159"/>
  <c r="G31" i="159"/>
  <c r="G29" i="159"/>
  <c r="G27" i="159"/>
  <c r="G23" i="159"/>
  <c r="G39" i="419"/>
  <c r="G37" i="419"/>
  <c r="G35" i="419"/>
  <c r="G33" i="419"/>
  <c r="G31" i="419"/>
  <c r="G29" i="419"/>
  <c r="G27" i="419"/>
  <c r="G21" i="419"/>
  <c r="G19" i="419"/>
  <c r="G17" i="419"/>
  <c r="G15" i="419"/>
  <c r="G13" i="419"/>
  <c r="G11" i="419"/>
  <c r="G39" i="169"/>
  <c r="G37" i="169"/>
  <c r="G35" i="169"/>
  <c r="G33" i="169"/>
  <c r="G31" i="169"/>
  <c r="G29" i="169"/>
  <c r="G27" i="169"/>
  <c r="G21" i="169"/>
  <c r="G19" i="169"/>
  <c r="G17" i="169"/>
  <c r="G15" i="169"/>
  <c r="G13" i="169"/>
  <c r="G11" i="169"/>
  <c r="G39" i="170"/>
  <c r="G37" i="170"/>
  <c r="G35" i="170"/>
  <c r="G33" i="170"/>
  <c r="G31" i="170"/>
  <c r="G29" i="170"/>
  <c r="G27" i="170"/>
  <c r="G25" i="170"/>
  <c r="G23" i="170"/>
  <c r="G21" i="170"/>
  <c r="G19" i="170"/>
  <c r="G17" i="170"/>
  <c r="G15" i="170"/>
  <c r="G13" i="170"/>
  <c r="G11" i="170"/>
  <c r="G39" i="460"/>
  <c r="G37" i="460"/>
  <c r="G35" i="460"/>
  <c r="G33" i="460"/>
  <c r="G31" i="460"/>
  <c r="G29" i="460"/>
  <c r="G27" i="460"/>
  <c r="G21" i="460"/>
  <c r="G19" i="460"/>
  <c r="G17" i="460"/>
  <c r="G15" i="460"/>
  <c r="G13" i="460"/>
  <c r="G11" i="460"/>
  <c r="G9" i="417"/>
  <c r="G38" i="417"/>
  <c r="G36" i="417"/>
  <c r="G34" i="417"/>
  <c r="G32" i="417"/>
  <c r="G30" i="417"/>
  <c r="G28" i="417"/>
  <c r="G26" i="417"/>
  <c r="G22" i="417"/>
  <c r="G20" i="417"/>
  <c r="G18" i="417"/>
  <c r="G16" i="417"/>
  <c r="G14" i="417"/>
  <c r="G12" i="417"/>
  <c r="G10" i="417"/>
  <c r="G25" i="417"/>
  <c r="G39" i="149"/>
  <c r="G37" i="149"/>
  <c r="G35" i="149"/>
  <c r="G33" i="149"/>
  <c r="G31" i="149"/>
  <c r="G29" i="149"/>
  <c r="G27" i="149"/>
  <c r="G21" i="149"/>
  <c r="G19" i="149"/>
  <c r="G17" i="149"/>
  <c r="G15" i="149"/>
  <c r="G13" i="149"/>
  <c r="G11" i="149"/>
  <c r="G39" i="418"/>
  <c r="G37" i="418"/>
  <c r="G35" i="418"/>
  <c r="G33" i="418"/>
  <c r="G31" i="418"/>
  <c r="G29" i="418"/>
  <c r="G27" i="418"/>
  <c r="G21" i="418"/>
  <c r="G19" i="418"/>
  <c r="G17" i="418"/>
  <c r="G15" i="418"/>
  <c r="G13" i="418"/>
  <c r="G11" i="418"/>
  <c r="G21" i="159"/>
  <c r="G19" i="159"/>
  <c r="G17" i="159"/>
  <c r="G13" i="159"/>
  <c r="G11" i="159"/>
  <c r="G25" i="159"/>
  <c r="G25" i="169"/>
  <c r="G25" i="460"/>
  <c r="G25" i="419"/>
  <c r="G25" i="149"/>
  <c r="G24" i="460"/>
  <c r="G24" i="169"/>
  <c r="G24" i="417"/>
  <c r="G23" i="418"/>
  <c r="G23" i="149"/>
  <c r="G23" i="460"/>
  <c r="G23" i="169"/>
  <c r="G23" i="419"/>
  <c r="G15" i="159"/>
  <c r="R40" i="184"/>
  <c r="Q40" i="184"/>
  <c r="P40" i="184"/>
  <c r="O40" i="184"/>
  <c r="R40" i="183"/>
  <c r="Q40" i="183"/>
  <c r="P40" i="183"/>
  <c r="O40" i="183"/>
  <c r="R40" i="405"/>
  <c r="Q40" i="405"/>
  <c r="P40" i="405"/>
  <c r="O40" i="405"/>
  <c r="R40" i="382"/>
  <c r="Q40" i="382"/>
  <c r="P40" i="382"/>
  <c r="O40" i="382"/>
  <c r="R40" i="381"/>
  <c r="Q40" i="381"/>
  <c r="P40" i="381"/>
  <c r="O40" i="381"/>
  <c r="R40" i="374"/>
  <c r="Q40" i="374"/>
  <c r="P40" i="374"/>
  <c r="O40" i="374"/>
  <c r="R40" i="397"/>
  <c r="Q40" i="397"/>
  <c r="P40" i="397"/>
  <c r="O40" i="397"/>
  <c r="R40" i="385"/>
  <c r="Q40" i="385"/>
  <c r="P40" i="385"/>
  <c r="O40" i="385"/>
  <c r="R40" i="371"/>
  <c r="Q40" i="371"/>
  <c r="P40" i="371"/>
  <c r="O40" i="371"/>
  <c r="R40" i="369"/>
  <c r="Q40" i="369"/>
  <c r="P40" i="369"/>
  <c r="O40" i="369"/>
  <c r="R40" i="368"/>
  <c r="Q40" i="368"/>
  <c r="P40" i="368"/>
  <c r="O40" i="368"/>
  <c r="R40" i="456"/>
  <c r="Q40" i="456"/>
  <c r="P40" i="456"/>
  <c r="O40" i="456"/>
  <c r="R40" i="367"/>
  <c r="Q40" i="367"/>
  <c r="P40" i="367"/>
  <c r="O40" i="367"/>
  <c r="R40" i="425"/>
  <c r="Q40" i="425"/>
  <c r="P40" i="425"/>
  <c r="O40" i="425"/>
  <c r="R40" i="366"/>
  <c r="Q40" i="366"/>
  <c r="P40" i="366"/>
  <c r="O40" i="366"/>
  <c r="R40" i="348"/>
  <c r="Q40" i="348"/>
  <c r="P40" i="348"/>
  <c r="O40" i="348"/>
  <c r="R40" i="347"/>
  <c r="Q40" i="347"/>
  <c r="P40" i="347"/>
  <c r="O40" i="347"/>
  <c r="R40" i="163"/>
  <c r="Q40" i="163"/>
  <c r="P40" i="163"/>
  <c r="O40" i="163"/>
  <c r="R40" i="291"/>
  <c r="Q40" i="291"/>
  <c r="P40" i="291"/>
  <c r="O40" i="291"/>
  <c r="R40" i="288"/>
  <c r="Q40" i="288"/>
  <c r="P40" i="288"/>
  <c r="O40" i="288"/>
  <c r="R40" i="290"/>
  <c r="Q40" i="290"/>
  <c r="P40" i="290"/>
  <c r="O40" i="290"/>
  <c r="R40" i="289"/>
  <c r="Q40" i="289"/>
  <c r="P40" i="289"/>
  <c r="O40" i="289"/>
  <c r="R40" i="173"/>
  <c r="Q40" i="173"/>
  <c r="P40" i="173"/>
  <c r="O40" i="173"/>
  <c r="R40" i="451"/>
  <c r="Q40" i="451"/>
  <c r="P40" i="451"/>
  <c r="O40" i="451"/>
  <c r="R40" i="160"/>
  <c r="Q40" i="160"/>
  <c r="P40" i="160"/>
  <c r="O40" i="160"/>
  <c r="R40" i="334"/>
  <c r="Q40" i="334"/>
  <c r="P40" i="334"/>
  <c r="O40" i="334"/>
  <c r="R40" i="460"/>
  <c r="Q40" i="460"/>
  <c r="P40" i="460"/>
  <c r="O40" i="460"/>
  <c r="R40" i="170"/>
  <c r="Q40" i="170"/>
  <c r="P40" i="170"/>
  <c r="O40" i="170"/>
  <c r="R40" i="169"/>
  <c r="Q40" i="169"/>
  <c r="P40" i="169"/>
  <c r="O40" i="169"/>
  <c r="R40" i="165"/>
  <c r="Q40" i="165"/>
  <c r="P40" i="165"/>
  <c r="O40" i="165"/>
  <c r="R40" i="342"/>
  <c r="Q40" i="342"/>
  <c r="P40" i="342"/>
  <c r="O40" i="342"/>
  <c r="R40" i="315"/>
  <c r="Q40" i="315"/>
  <c r="P40" i="315"/>
  <c r="O40" i="315"/>
  <c r="R40" i="419"/>
  <c r="Q40" i="419"/>
  <c r="P40" i="419"/>
  <c r="O40" i="419"/>
  <c r="R40" i="316"/>
  <c r="Q40" i="316"/>
  <c r="P40" i="316"/>
  <c r="O40" i="316"/>
  <c r="R40" i="309"/>
  <c r="Q40" i="309"/>
  <c r="P40" i="309"/>
  <c r="O40" i="309"/>
  <c r="R40" i="359"/>
  <c r="Q40" i="359"/>
  <c r="P40" i="359"/>
  <c r="O40" i="359"/>
  <c r="R40" i="358"/>
  <c r="Q40" i="358"/>
  <c r="P40" i="358"/>
  <c r="O40" i="358"/>
  <c r="R40" i="356"/>
  <c r="Q40" i="356"/>
  <c r="P40" i="356"/>
  <c r="O40" i="356"/>
  <c r="R40" i="442"/>
  <c r="Q40" i="442"/>
  <c r="P40" i="442"/>
  <c r="O40" i="442"/>
  <c r="R40" i="361"/>
  <c r="Q40" i="361"/>
  <c r="P40" i="361"/>
  <c r="O40" i="361"/>
  <c r="R40" i="270"/>
  <c r="Q40" i="270"/>
  <c r="P40" i="270"/>
  <c r="O40" i="270"/>
  <c r="R40" i="269"/>
  <c r="Q40" i="269"/>
  <c r="P40" i="269"/>
  <c r="O40" i="269"/>
  <c r="R40" i="266"/>
  <c r="Q40" i="266"/>
  <c r="P40" i="266"/>
  <c r="O40" i="266"/>
  <c r="R40" i="311"/>
  <c r="Q40" i="311"/>
  <c r="P40" i="311"/>
  <c r="O40" i="311"/>
  <c r="R40" i="333"/>
  <c r="Q40" i="333"/>
  <c r="P40" i="333"/>
  <c r="O40" i="333"/>
  <c r="R40" i="339"/>
  <c r="Q40" i="339"/>
  <c r="P40" i="339"/>
  <c r="O40" i="339"/>
  <c r="R40" i="332"/>
  <c r="Q40" i="332"/>
  <c r="P40" i="332"/>
  <c r="O40" i="332"/>
  <c r="R40" i="338"/>
  <c r="Q40" i="338"/>
  <c r="P40" i="338"/>
  <c r="O40" i="338"/>
  <c r="R40" i="322"/>
  <c r="Q40" i="322"/>
  <c r="P40" i="322"/>
  <c r="O40" i="322"/>
  <c r="R40" i="418"/>
  <c r="Q40" i="418"/>
  <c r="P40" i="418"/>
  <c r="O40" i="418"/>
  <c r="R40" i="157"/>
  <c r="Q40" i="157"/>
  <c r="P40" i="157"/>
  <c r="O40" i="157"/>
  <c r="R40" i="164"/>
  <c r="Q40" i="164"/>
  <c r="P40" i="164"/>
  <c r="O40" i="164"/>
  <c r="R40" i="396"/>
  <c r="Q40" i="396"/>
  <c r="P40" i="396"/>
  <c r="O40" i="396"/>
  <c r="R40" i="299"/>
  <c r="Q40" i="299"/>
  <c r="P40" i="299"/>
  <c r="O40" i="299"/>
  <c r="R40" i="346"/>
  <c r="Q40" i="346"/>
  <c r="P40" i="346"/>
  <c r="O40" i="346"/>
  <c r="R40" i="357"/>
  <c r="Q40" i="357"/>
  <c r="P40" i="357"/>
  <c r="O40" i="357"/>
  <c r="R40" i="349"/>
  <c r="Q40" i="349"/>
  <c r="P40" i="349"/>
  <c r="O40" i="349"/>
  <c r="R40" i="340"/>
  <c r="Q40" i="340"/>
  <c r="P40" i="340"/>
  <c r="O40" i="340"/>
  <c r="R40" i="159"/>
  <c r="Q40" i="159"/>
  <c r="P40" i="159"/>
  <c r="O40" i="159"/>
  <c r="R40" i="149"/>
  <c r="Q40" i="149"/>
  <c r="P40" i="149"/>
  <c r="O40" i="149"/>
  <c r="R40" i="417"/>
  <c r="Q40" i="417"/>
  <c r="P40" i="417"/>
  <c r="O40" i="417"/>
  <c r="R40" i="285"/>
  <c r="Q40" i="285"/>
  <c r="P40" i="285"/>
  <c r="O40" i="285"/>
  <c r="R40" i="424"/>
  <c r="Q40" i="424"/>
  <c r="P40" i="424"/>
  <c r="O40" i="424"/>
  <c r="R40" i="420"/>
  <c r="Q40" i="420"/>
  <c r="P40" i="420"/>
  <c r="O40" i="420"/>
  <c r="R40" i="317"/>
  <c r="Q40" i="317"/>
  <c r="P40" i="317"/>
  <c r="O40" i="317"/>
  <c r="R40" i="178"/>
  <c r="Q40" i="178"/>
  <c r="P40" i="178"/>
  <c r="O40" i="178"/>
  <c r="R40" i="380"/>
  <c r="Q40" i="380"/>
  <c r="P40" i="380"/>
  <c r="O40" i="380"/>
  <c r="R40" i="363"/>
  <c r="Q40" i="363"/>
  <c r="P40" i="363"/>
  <c r="O40" i="363"/>
  <c r="R40" i="292"/>
  <c r="Q40" i="292"/>
  <c r="P40" i="292"/>
  <c r="O40" i="292"/>
  <c r="R40" i="443"/>
  <c r="Q40" i="443"/>
  <c r="P40" i="443"/>
  <c r="O40" i="443"/>
  <c r="R40" i="263" l="1"/>
  <c r="Q40" i="263"/>
  <c r="P40" i="263"/>
  <c r="O40" i="263"/>
  <c r="R40" i="284"/>
  <c r="Q40" i="284"/>
  <c r="P40" i="284"/>
  <c r="O40" i="284"/>
  <c r="M5" i="367" l="1"/>
  <c r="D14" i="334" l="1"/>
  <c r="L175" i="53" l="1"/>
  <c r="L176" i="53"/>
  <c r="L177" i="53"/>
  <c r="L74" i="341" l="1"/>
  <c r="D74" i="341"/>
  <c r="B74" i="341"/>
  <c r="B177" i="53" s="1"/>
  <c r="L40" i="461"/>
  <c r="K40" i="461"/>
  <c r="J40" i="461"/>
  <c r="I40" i="461"/>
  <c r="D40" i="461"/>
  <c r="F74" i="341" s="1"/>
  <c r="E39" i="461"/>
  <c r="B39" i="461"/>
  <c r="E38" i="461"/>
  <c r="B38" i="461"/>
  <c r="E37" i="461"/>
  <c r="B37" i="461"/>
  <c r="E36" i="461"/>
  <c r="B36" i="461"/>
  <c r="E35" i="461"/>
  <c r="B35" i="461"/>
  <c r="E34" i="461"/>
  <c r="B34" i="461"/>
  <c r="E33" i="461"/>
  <c r="B33" i="461"/>
  <c r="E32" i="461"/>
  <c r="B32" i="461"/>
  <c r="E31" i="461"/>
  <c r="B31" i="461"/>
  <c r="E30" i="461"/>
  <c r="B30" i="461"/>
  <c r="E29" i="461"/>
  <c r="B29" i="461"/>
  <c r="E28" i="461"/>
  <c r="B28" i="461"/>
  <c r="E27" i="461"/>
  <c r="B27" i="461"/>
  <c r="E26" i="461"/>
  <c r="B26" i="461"/>
  <c r="E25" i="461"/>
  <c r="B25" i="461"/>
  <c r="E24" i="461"/>
  <c r="B24" i="461"/>
  <c r="E23" i="461"/>
  <c r="B23" i="461"/>
  <c r="E22" i="461"/>
  <c r="B22" i="461"/>
  <c r="E21" i="461"/>
  <c r="B21" i="461"/>
  <c r="E20" i="461"/>
  <c r="B20" i="461"/>
  <c r="E19" i="461"/>
  <c r="B19" i="461"/>
  <c r="E18" i="461"/>
  <c r="B18" i="461"/>
  <c r="E17" i="461"/>
  <c r="B17" i="461"/>
  <c r="E16" i="461"/>
  <c r="B16" i="461"/>
  <c r="E15" i="461"/>
  <c r="B15" i="461"/>
  <c r="E14" i="461"/>
  <c r="B14" i="461"/>
  <c r="E13" i="461"/>
  <c r="B13" i="461"/>
  <c r="E12" i="461"/>
  <c r="B12" i="461"/>
  <c r="E11" i="461"/>
  <c r="B11" i="461"/>
  <c r="E10" i="461"/>
  <c r="B10" i="461"/>
  <c r="F9" i="461"/>
  <c r="F38" i="461" s="1"/>
  <c r="E9" i="461"/>
  <c r="B9" i="461"/>
  <c r="D8" i="461"/>
  <c r="D41" i="461" s="1"/>
  <c r="I5" i="461"/>
  <c r="G5" i="461"/>
  <c r="F5" i="461"/>
  <c r="E5" i="461"/>
  <c r="D5" i="461"/>
  <c r="C5" i="461"/>
  <c r="B5" i="461"/>
  <c r="C4" i="461"/>
  <c r="F177" i="53" l="1"/>
  <c r="G210" i="354"/>
  <c r="E210" i="354"/>
  <c r="D177" i="53"/>
  <c r="E40" i="461"/>
  <c r="H74" i="341" s="1"/>
  <c r="G9" i="461"/>
  <c r="F10" i="461"/>
  <c r="F11" i="461"/>
  <c r="F12" i="461"/>
  <c r="F13" i="461"/>
  <c r="F14" i="461"/>
  <c r="F15" i="461"/>
  <c r="F16" i="461"/>
  <c r="F17" i="461"/>
  <c r="F18" i="461"/>
  <c r="F19" i="461"/>
  <c r="F20" i="461"/>
  <c r="F21" i="461"/>
  <c r="F22" i="461"/>
  <c r="F23" i="461"/>
  <c r="F24" i="461"/>
  <c r="F25" i="461"/>
  <c r="F26" i="461"/>
  <c r="F27" i="461"/>
  <c r="F28" i="461"/>
  <c r="F29" i="461"/>
  <c r="F30" i="461"/>
  <c r="F31" i="461"/>
  <c r="F32" i="461"/>
  <c r="F33" i="461"/>
  <c r="F34" i="461"/>
  <c r="F35" i="461"/>
  <c r="F36" i="461"/>
  <c r="F37" i="461"/>
  <c r="H177" i="53" l="1"/>
  <c r="J177" i="53" s="1"/>
  <c r="M177" i="53" s="1"/>
  <c r="I210" i="354"/>
  <c r="K210" i="354" s="1"/>
  <c r="J74" i="341"/>
  <c r="M74" i="341" s="1"/>
  <c r="H9" i="461"/>
  <c r="G10" i="461"/>
  <c r="M9" i="461"/>
  <c r="E41" i="461"/>
  <c r="G41" i="461" s="1"/>
  <c r="E8" i="461"/>
  <c r="F39" i="461" s="1"/>
  <c r="H10" i="461" l="1"/>
  <c r="G11" i="461"/>
  <c r="M10" i="461"/>
  <c r="H11" i="461" l="1"/>
  <c r="G12" i="461"/>
  <c r="M11" i="461"/>
  <c r="H12" i="461" l="1"/>
  <c r="G13" i="461"/>
  <c r="M12" i="461"/>
  <c r="H13" i="461" l="1"/>
  <c r="G14" i="461"/>
  <c r="M13" i="461"/>
  <c r="H14" i="461" l="1"/>
  <c r="G15" i="461"/>
  <c r="M14" i="461"/>
  <c r="H15" i="461" l="1"/>
  <c r="G16" i="461"/>
  <c r="M15" i="461"/>
  <c r="B110" i="53"/>
  <c r="D10" i="240"/>
  <c r="D11" i="240"/>
  <c r="D12" i="240"/>
  <c r="D13" i="240"/>
  <c r="D14" i="240"/>
  <c r="D15" i="240"/>
  <c r="D16" i="240"/>
  <c r="D17" i="240"/>
  <c r="D18" i="240"/>
  <c r="D19" i="240"/>
  <c r="D20" i="240"/>
  <c r="D21" i="240"/>
  <c r="D22" i="240"/>
  <c r="D23" i="240"/>
  <c r="D24" i="240"/>
  <c r="D25" i="240"/>
  <c r="D26" i="240"/>
  <c r="D27" i="240"/>
  <c r="D28" i="240"/>
  <c r="D29" i="240"/>
  <c r="D30" i="240"/>
  <c r="D31" i="240"/>
  <c r="D32" i="240"/>
  <c r="D33" i="240"/>
  <c r="D34" i="240"/>
  <c r="D35" i="240"/>
  <c r="D36" i="240"/>
  <c r="D37" i="240"/>
  <c r="D38" i="240"/>
  <c r="D39" i="240"/>
  <c r="D9" i="240"/>
  <c r="N40" i="240"/>
  <c r="M40" i="240"/>
  <c r="H16" i="461" l="1"/>
  <c r="G17" i="461"/>
  <c r="M16" i="461"/>
  <c r="H17" i="461" l="1"/>
  <c r="G18" i="461"/>
  <c r="M17" i="461"/>
  <c r="H18" i="461" l="1"/>
  <c r="G19" i="461"/>
  <c r="M18" i="461"/>
  <c r="H19" i="461" l="1"/>
  <c r="G20" i="461"/>
  <c r="M19" i="461"/>
  <c r="H20" i="461" l="1"/>
  <c r="G21" i="461"/>
  <c r="M20" i="461"/>
  <c r="H21" i="461" l="1"/>
  <c r="G22" i="461"/>
  <c r="M21" i="461"/>
  <c r="H22" i="461" l="1"/>
  <c r="G23" i="461"/>
  <c r="M22" i="461"/>
  <c r="H23" i="461" l="1"/>
  <c r="G24" i="461"/>
  <c r="M23" i="461"/>
  <c r="H24" i="461" l="1"/>
  <c r="G25" i="461"/>
  <c r="M24" i="461"/>
  <c r="H25" i="461" l="1"/>
  <c r="G26" i="461"/>
  <c r="M25" i="461"/>
  <c r="H26" i="461" l="1"/>
  <c r="G27" i="461"/>
  <c r="M26" i="461"/>
  <c r="H27" i="461" l="1"/>
  <c r="G28" i="461"/>
  <c r="M27" i="461"/>
  <c r="H28" i="461" l="1"/>
  <c r="G29" i="461"/>
  <c r="M28" i="461"/>
  <c r="H29" i="461" l="1"/>
  <c r="G30" i="461"/>
  <c r="M29" i="461"/>
  <c r="H30" i="461" l="1"/>
  <c r="G31" i="461"/>
  <c r="M30" i="461"/>
  <c r="H31" i="461" l="1"/>
  <c r="G32" i="461"/>
  <c r="M31" i="461"/>
  <c r="H32" i="461" l="1"/>
  <c r="G33" i="461"/>
  <c r="M32" i="461"/>
  <c r="D10" i="294"/>
  <c r="D11" i="294"/>
  <c r="D12" i="294"/>
  <c r="D13" i="294"/>
  <c r="D14" i="294"/>
  <c r="D15" i="294"/>
  <c r="D16" i="294"/>
  <c r="D17" i="294"/>
  <c r="D18" i="294"/>
  <c r="D19" i="294"/>
  <c r="D20" i="294"/>
  <c r="D21" i="294"/>
  <c r="D22" i="294"/>
  <c r="D23" i="294"/>
  <c r="D24" i="294"/>
  <c r="D25" i="294"/>
  <c r="D26" i="294"/>
  <c r="D27" i="294"/>
  <c r="D28" i="294"/>
  <c r="D29" i="294"/>
  <c r="D30" i="294"/>
  <c r="D31" i="294"/>
  <c r="D32" i="294"/>
  <c r="D33" i="294"/>
  <c r="D34" i="294"/>
  <c r="D35" i="294"/>
  <c r="D36" i="294"/>
  <c r="D37" i="294"/>
  <c r="D38" i="294"/>
  <c r="D39" i="294"/>
  <c r="D9" i="294"/>
  <c r="N40" i="294"/>
  <c r="M40" i="294"/>
  <c r="H33" i="461" l="1"/>
  <c r="G34" i="461"/>
  <c r="M33" i="461"/>
  <c r="H34" i="461" l="1"/>
  <c r="G35" i="461"/>
  <c r="M34" i="461"/>
  <c r="H35" i="461" l="1"/>
  <c r="G36" i="461"/>
  <c r="M35" i="461"/>
  <c r="H36" i="461" l="1"/>
  <c r="G37" i="461"/>
  <c r="M36" i="461"/>
  <c r="H37" i="461" l="1"/>
  <c r="G38" i="461"/>
  <c r="M37" i="461"/>
  <c r="H38" i="461" l="1"/>
  <c r="G39" i="461"/>
  <c r="M38" i="461"/>
  <c r="G40" i="461" l="1"/>
  <c r="H39" i="461"/>
  <c r="M39" i="461"/>
  <c r="E40" i="53"/>
  <c r="E75" i="354" s="1"/>
  <c r="B40" i="53"/>
  <c r="C4" i="460"/>
  <c r="F58" i="460"/>
  <c r="J46" i="460"/>
  <c r="E40" i="460"/>
  <c r="G40" i="53" s="1"/>
  <c r="G75" i="354" s="1"/>
  <c r="D39" i="460"/>
  <c r="B39" i="460"/>
  <c r="D38" i="460"/>
  <c r="B38" i="460"/>
  <c r="D37" i="460"/>
  <c r="B37" i="460"/>
  <c r="D36" i="460"/>
  <c r="B36" i="460"/>
  <c r="D35" i="460"/>
  <c r="B35" i="460"/>
  <c r="D34" i="460"/>
  <c r="B34" i="460"/>
  <c r="D33" i="460"/>
  <c r="B33" i="460"/>
  <c r="D32" i="460"/>
  <c r="B32" i="460"/>
  <c r="D31" i="460"/>
  <c r="B31" i="460"/>
  <c r="D30" i="460"/>
  <c r="B30" i="460"/>
  <c r="D29" i="460"/>
  <c r="B29" i="460"/>
  <c r="D28" i="460"/>
  <c r="B28" i="460"/>
  <c r="D27" i="460"/>
  <c r="B27" i="460"/>
  <c r="D26" i="460"/>
  <c r="B26" i="460"/>
  <c r="D25" i="460"/>
  <c r="B25" i="460"/>
  <c r="D24" i="460"/>
  <c r="B24" i="460"/>
  <c r="D23" i="460"/>
  <c r="B23" i="460"/>
  <c r="D22" i="460"/>
  <c r="B22" i="460"/>
  <c r="D21" i="460"/>
  <c r="B21" i="460"/>
  <c r="D20" i="460"/>
  <c r="B20" i="460"/>
  <c r="D19" i="460"/>
  <c r="B19" i="460"/>
  <c r="D18" i="460"/>
  <c r="B18" i="460"/>
  <c r="D17" i="460"/>
  <c r="B17" i="460"/>
  <c r="D16" i="460"/>
  <c r="B16" i="460"/>
  <c r="D15" i="460"/>
  <c r="B15" i="460"/>
  <c r="D14" i="460"/>
  <c r="B14" i="460"/>
  <c r="D13" i="460"/>
  <c r="B13" i="460"/>
  <c r="D12" i="460"/>
  <c r="B12" i="460"/>
  <c r="D11" i="460"/>
  <c r="B11" i="460"/>
  <c r="D10" i="460"/>
  <c r="B10" i="460"/>
  <c r="D9" i="460"/>
  <c r="B9" i="460"/>
  <c r="J8" i="460"/>
  <c r="J9" i="460" s="1"/>
  <c r="E8" i="460"/>
  <c r="I7" i="460"/>
  <c r="K7" i="460" s="1"/>
  <c r="M7" i="460" s="1"/>
  <c r="M5" i="460"/>
  <c r="I5" i="460"/>
  <c r="H5" i="460"/>
  <c r="G5" i="460"/>
  <c r="F5" i="460"/>
  <c r="E5" i="460"/>
  <c r="D5" i="460"/>
  <c r="C5" i="460"/>
  <c r="B5" i="460"/>
  <c r="D40" i="460" l="1"/>
  <c r="F40" i="53" s="1"/>
  <c r="D40" i="53"/>
  <c r="E41" i="460"/>
  <c r="S9" i="460"/>
  <c r="J10" i="460"/>
  <c r="I39" i="460"/>
  <c r="I38" i="460"/>
  <c r="I37" i="460"/>
  <c r="I36" i="460"/>
  <c r="I35" i="460"/>
  <c r="I34" i="460"/>
  <c r="I33" i="460"/>
  <c r="I32" i="460"/>
  <c r="I31" i="460"/>
  <c r="I30" i="460"/>
  <c r="I29" i="460"/>
  <c r="I28" i="460"/>
  <c r="I27" i="460"/>
  <c r="I26" i="460"/>
  <c r="I25" i="460"/>
  <c r="I24" i="460"/>
  <c r="I23" i="460"/>
  <c r="I22" i="460"/>
  <c r="I21" i="460"/>
  <c r="I20" i="460"/>
  <c r="I19" i="460"/>
  <c r="I18" i="460"/>
  <c r="I17" i="460"/>
  <c r="I16" i="460"/>
  <c r="I15" i="460"/>
  <c r="I14" i="460"/>
  <c r="I9" i="460"/>
  <c r="K9" i="460"/>
  <c r="H10" i="460"/>
  <c r="I11" i="460"/>
  <c r="H12" i="460"/>
  <c r="I13" i="460"/>
  <c r="H14" i="460"/>
  <c r="H16" i="460"/>
  <c r="H18" i="460"/>
  <c r="H20" i="460"/>
  <c r="H22" i="460"/>
  <c r="H24" i="460"/>
  <c r="H26" i="460"/>
  <c r="H28" i="460"/>
  <c r="H30" i="460"/>
  <c r="H32" i="460"/>
  <c r="H34" i="460"/>
  <c r="H36" i="460"/>
  <c r="H38" i="460"/>
  <c r="G40" i="460"/>
  <c r="I40" i="53" s="1"/>
  <c r="D8" i="460"/>
  <c r="F40" i="460"/>
  <c r="H9" i="460"/>
  <c r="L9" i="460" s="1"/>
  <c r="I10" i="460"/>
  <c r="H11" i="460"/>
  <c r="I12" i="460"/>
  <c r="H13" i="460"/>
  <c r="H15" i="460"/>
  <c r="H17" i="460"/>
  <c r="H19" i="460"/>
  <c r="H21" i="460"/>
  <c r="H23" i="460"/>
  <c r="H25" i="460"/>
  <c r="H27" i="460"/>
  <c r="H29" i="460"/>
  <c r="H31" i="460"/>
  <c r="H33" i="460"/>
  <c r="H35" i="460"/>
  <c r="H37" i="460"/>
  <c r="H39" i="460"/>
  <c r="D41" i="460" l="1"/>
  <c r="K40" i="53"/>
  <c r="I75" i="354"/>
  <c r="K75" i="354" s="1"/>
  <c r="F41" i="460"/>
  <c r="H40" i="53"/>
  <c r="G41" i="460"/>
  <c r="K41" i="460" s="1"/>
  <c r="G8" i="460"/>
  <c r="K10" i="460"/>
  <c r="M9" i="460"/>
  <c r="J11" i="460"/>
  <c r="S10" i="460"/>
  <c r="L10" i="460"/>
  <c r="J41" i="460" l="1"/>
  <c r="H75" i="354"/>
  <c r="J40" i="53"/>
  <c r="S11" i="460"/>
  <c r="L11" i="460"/>
  <c r="J12" i="460"/>
  <c r="M10" i="460"/>
  <c r="K11" i="460"/>
  <c r="K12" i="460" l="1"/>
  <c r="M11" i="460"/>
  <c r="J13" i="460"/>
  <c r="S12" i="460"/>
  <c r="L12" i="460"/>
  <c r="J14" i="460" l="1"/>
  <c r="L13" i="460"/>
  <c r="S13" i="460"/>
  <c r="M12" i="460"/>
  <c r="K13" i="460"/>
  <c r="K14" i="460" l="1"/>
  <c r="M13" i="460"/>
  <c r="S14" i="460"/>
  <c r="J15" i="460"/>
  <c r="L14" i="460"/>
  <c r="K15" i="460" l="1"/>
  <c r="M14" i="460"/>
  <c r="J16" i="460"/>
  <c r="L15" i="460"/>
  <c r="S15" i="460"/>
  <c r="E8" i="357"/>
  <c r="H9" i="357"/>
  <c r="S16" i="460" l="1"/>
  <c r="J17" i="460"/>
  <c r="L16" i="460"/>
  <c r="K16" i="460"/>
  <c r="M15" i="460"/>
  <c r="K17" i="460" l="1"/>
  <c r="M16" i="460"/>
  <c r="J18" i="460"/>
  <c r="L17" i="460"/>
  <c r="S17" i="460"/>
  <c r="M5" i="263"/>
  <c r="S18" i="460" l="1"/>
  <c r="J19" i="460"/>
  <c r="L18" i="460"/>
  <c r="K18" i="460"/>
  <c r="M17" i="460"/>
  <c r="L73" i="341"/>
  <c r="D73" i="341"/>
  <c r="B73" i="341"/>
  <c r="B176" i="53" s="1"/>
  <c r="L40" i="459"/>
  <c r="K40" i="459"/>
  <c r="J40" i="459"/>
  <c r="I40" i="459"/>
  <c r="D40" i="459"/>
  <c r="F73" i="341" s="1"/>
  <c r="E39" i="459"/>
  <c r="B39" i="459"/>
  <c r="E38" i="459"/>
  <c r="B38" i="459"/>
  <c r="E37" i="459"/>
  <c r="B37" i="459"/>
  <c r="E36" i="459"/>
  <c r="B36" i="459"/>
  <c r="E35" i="459"/>
  <c r="B35" i="459"/>
  <c r="E34" i="459"/>
  <c r="B34" i="459"/>
  <c r="E33" i="459"/>
  <c r="B33" i="459"/>
  <c r="E32" i="459"/>
  <c r="B32" i="459"/>
  <c r="E31" i="459"/>
  <c r="B31" i="459"/>
  <c r="E30" i="459"/>
  <c r="B30" i="459"/>
  <c r="E29" i="459"/>
  <c r="B29" i="459"/>
  <c r="E28" i="459"/>
  <c r="B28" i="459"/>
  <c r="E27" i="459"/>
  <c r="B27" i="459"/>
  <c r="E26" i="459"/>
  <c r="B26" i="459"/>
  <c r="E25" i="459"/>
  <c r="B25" i="459"/>
  <c r="E24" i="459"/>
  <c r="B24" i="459"/>
  <c r="E23" i="459"/>
  <c r="B23" i="459"/>
  <c r="E22" i="459"/>
  <c r="B22" i="459"/>
  <c r="E21" i="459"/>
  <c r="B21" i="459"/>
  <c r="E20" i="459"/>
  <c r="B20" i="459"/>
  <c r="E19" i="459"/>
  <c r="B19" i="459"/>
  <c r="E18" i="459"/>
  <c r="B18" i="459"/>
  <c r="E17" i="459"/>
  <c r="B17" i="459"/>
  <c r="E16" i="459"/>
  <c r="B16" i="459"/>
  <c r="E15" i="459"/>
  <c r="B15" i="459"/>
  <c r="E14" i="459"/>
  <c r="B14" i="459"/>
  <c r="E13" i="459"/>
  <c r="B13" i="459"/>
  <c r="E12" i="459"/>
  <c r="B12" i="459"/>
  <c r="E11" i="459"/>
  <c r="B11" i="459"/>
  <c r="E10" i="459"/>
  <c r="B10" i="459"/>
  <c r="F9" i="459"/>
  <c r="F38" i="459" s="1"/>
  <c r="E9" i="459"/>
  <c r="B9" i="459"/>
  <c r="D8" i="459"/>
  <c r="D41" i="459" s="1"/>
  <c r="I5" i="459"/>
  <c r="G5" i="459"/>
  <c r="F5" i="459"/>
  <c r="E5" i="459"/>
  <c r="D5" i="459"/>
  <c r="C5" i="459"/>
  <c r="B5" i="459"/>
  <c r="C4" i="459"/>
  <c r="E209" i="354" l="1"/>
  <c r="D176" i="53"/>
  <c r="G209" i="354"/>
  <c r="F176" i="53"/>
  <c r="K19" i="460"/>
  <c r="M18" i="460"/>
  <c r="J20" i="460"/>
  <c r="L19" i="460"/>
  <c r="S19" i="460"/>
  <c r="E40" i="459"/>
  <c r="H73" i="341" s="1"/>
  <c r="G9" i="459"/>
  <c r="F10" i="459"/>
  <c r="F11" i="459"/>
  <c r="F12" i="459"/>
  <c r="F13" i="459"/>
  <c r="F14" i="459"/>
  <c r="F15" i="459"/>
  <c r="F16" i="459"/>
  <c r="F17" i="459"/>
  <c r="F18" i="459"/>
  <c r="F19" i="459"/>
  <c r="F20" i="459"/>
  <c r="F21" i="459"/>
  <c r="F22" i="459"/>
  <c r="F23" i="459"/>
  <c r="F24" i="459"/>
  <c r="F25" i="459"/>
  <c r="F26" i="459"/>
  <c r="F27" i="459"/>
  <c r="F28" i="459"/>
  <c r="F29" i="459"/>
  <c r="F30" i="459"/>
  <c r="F31" i="459"/>
  <c r="F32" i="459"/>
  <c r="F33" i="459"/>
  <c r="F34" i="459"/>
  <c r="F35" i="459"/>
  <c r="F36" i="459"/>
  <c r="F37" i="459"/>
  <c r="E8" i="459" l="1"/>
  <c r="F39" i="459" s="1"/>
  <c r="I209" i="354"/>
  <c r="K209" i="354" s="1"/>
  <c r="H176" i="53"/>
  <c r="J176" i="53" s="1"/>
  <c r="M176" i="53" s="1"/>
  <c r="J73" i="341"/>
  <c r="M73" i="341" s="1"/>
  <c r="E41" i="459"/>
  <c r="G41" i="459" s="1"/>
  <c r="S20" i="460"/>
  <c r="J21" i="460"/>
  <c r="L20" i="460"/>
  <c r="K20" i="460"/>
  <c r="M19" i="460"/>
  <c r="H9" i="459"/>
  <c r="G10" i="459"/>
  <c r="M9" i="459"/>
  <c r="L143" i="53"/>
  <c r="L41" i="341"/>
  <c r="D41" i="341"/>
  <c r="D145" i="53" s="1"/>
  <c r="B41" i="341"/>
  <c r="L40" i="458"/>
  <c r="K40" i="458"/>
  <c r="J40" i="458"/>
  <c r="I40" i="458"/>
  <c r="D40" i="458"/>
  <c r="F41" i="341" s="1"/>
  <c r="B39" i="458"/>
  <c r="B38" i="458"/>
  <c r="B37" i="458"/>
  <c r="B36" i="458"/>
  <c r="B35" i="458"/>
  <c r="B34" i="458"/>
  <c r="B33" i="458"/>
  <c r="B32" i="458"/>
  <c r="B31" i="458"/>
  <c r="B30" i="458"/>
  <c r="B29" i="458"/>
  <c r="B28" i="458"/>
  <c r="B27" i="458"/>
  <c r="B26" i="458"/>
  <c r="B25" i="458"/>
  <c r="B24" i="458"/>
  <c r="B23" i="458"/>
  <c r="B22" i="458"/>
  <c r="B21" i="458"/>
  <c r="B20" i="458"/>
  <c r="B19" i="458"/>
  <c r="B18" i="458"/>
  <c r="B17" i="458"/>
  <c r="B16" i="458"/>
  <c r="B15" i="458"/>
  <c r="B14" i="458"/>
  <c r="B13" i="458"/>
  <c r="B12" i="458"/>
  <c r="B11" i="458"/>
  <c r="B10" i="458"/>
  <c r="B9" i="458"/>
  <c r="D8" i="458"/>
  <c r="I5" i="458"/>
  <c r="G5" i="458"/>
  <c r="F5" i="458"/>
  <c r="E5" i="458"/>
  <c r="D5" i="458"/>
  <c r="C5" i="458"/>
  <c r="B5" i="458"/>
  <c r="C4" i="458"/>
  <c r="B143" i="53" l="1"/>
  <c r="B145" i="53"/>
  <c r="G208" i="354"/>
  <c r="F145" i="53"/>
  <c r="D41" i="458"/>
  <c r="K21" i="460"/>
  <c r="M20" i="460"/>
  <c r="J22" i="460"/>
  <c r="L21" i="460"/>
  <c r="S21" i="460"/>
  <c r="D143" i="53"/>
  <c r="E208" i="354"/>
  <c r="H10" i="459"/>
  <c r="G11" i="459"/>
  <c r="M10" i="459"/>
  <c r="F143" i="53"/>
  <c r="E40" i="458"/>
  <c r="H41" i="341" s="1"/>
  <c r="H145" i="53" s="1"/>
  <c r="J145" i="53" l="1"/>
  <c r="M145" i="53" s="1"/>
  <c r="E8" i="458"/>
  <c r="F39" i="458" s="1"/>
  <c r="E41" i="458"/>
  <c r="G41" i="458" s="1"/>
  <c r="S22" i="460"/>
  <c r="J23" i="460"/>
  <c r="L22" i="460"/>
  <c r="K22" i="460"/>
  <c r="M21" i="460"/>
  <c r="H143" i="53"/>
  <c r="I208" i="354"/>
  <c r="J41" i="341"/>
  <c r="M41" i="341" s="1"/>
  <c r="H11" i="459"/>
  <c r="G12" i="459"/>
  <c r="M11" i="459"/>
  <c r="J143" i="53"/>
  <c r="M143" i="53" s="1"/>
  <c r="M9" i="458"/>
  <c r="K208" i="354" l="1"/>
  <c r="L208" i="354"/>
  <c r="K23" i="460"/>
  <c r="M22" i="460"/>
  <c r="J24" i="460"/>
  <c r="L23" i="460"/>
  <c r="S23" i="460"/>
  <c r="H12" i="459"/>
  <c r="G13" i="459"/>
  <c r="M12" i="459"/>
  <c r="M10" i="458"/>
  <c r="S24" i="460" l="1"/>
  <c r="J25" i="460"/>
  <c r="L24" i="460"/>
  <c r="K24" i="460"/>
  <c r="M23" i="460"/>
  <c r="H13" i="459"/>
  <c r="G14" i="459"/>
  <c r="M13" i="459"/>
  <c r="M11" i="458"/>
  <c r="K25" i="460" l="1"/>
  <c r="M24" i="460"/>
  <c r="J26" i="460"/>
  <c r="L25" i="460"/>
  <c r="S25" i="460"/>
  <c r="H14" i="459"/>
  <c r="G15" i="459"/>
  <c r="M14" i="459"/>
  <c r="M12" i="458"/>
  <c r="S26" i="460" l="1"/>
  <c r="J27" i="460"/>
  <c r="L26" i="460"/>
  <c r="K26" i="460"/>
  <c r="M25" i="460"/>
  <c r="H15" i="459"/>
  <c r="G16" i="459"/>
  <c r="M15" i="459"/>
  <c r="M13" i="458"/>
  <c r="L72" i="341"/>
  <c r="D72" i="341"/>
  <c r="B72" i="341"/>
  <c r="B175" i="53" s="1"/>
  <c r="L40" i="457"/>
  <c r="K40" i="457"/>
  <c r="J40" i="457"/>
  <c r="I40" i="457"/>
  <c r="D40" i="457"/>
  <c r="F72" i="341" s="1"/>
  <c r="E39" i="457"/>
  <c r="B39" i="457"/>
  <c r="E38" i="457"/>
  <c r="B38" i="457"/>
  <c r="E37" i="457"/>
  <c r="B37" i="457"/>
  <c r="E36" i="457"/>
  <c r="B36" i="457"/>
  <c r="E35" i="457"/>
  <c r="B35" i="457"/>
  <c r="E34" i="457"/>
  <c r="B34" i="457"/>
  <c r="E33" i="457"/>
  <c r="B33" i="457"/>
  <c r="E32" i="457"/>
  <c r="B32" i="457"/>
  <c r="E31" i="457"/>
  <c r="B31" i="457"/>
  <c r="E30" i="457"/>
  <c r="B30" i="457"/>
  <c r="E29" i="457"/>
  <c r="B29" i="457"/>
  <c r="E28" i="457"/>
  <c r="B28" i="457"/>
  <c r="E27" i="457"/>
  <c r="B27" i="457"/>
  <c r="E26" i="457"/>
  <c r="B26" i="457"/>
  <c r="E25" i="457"/>
  <c r="B25" i="457"/>
  <c r="E24" i="457"/>
  <c r="B24" i="457"/>
  <c r="E23" i="457"/>
  <c r="B23" i="457"/>
  <c r="E22" i="457"/>
  <c r="B22" i="457"/>
  <c r="E21" i="457"/>
  <c r="B21" i="457"/>
  <c r="E20" i="457"/>
  <c r="B20" i="457"/>
  <c r="E19" i="457"/>
  <c r="B19" i="457"/>
  <c r="E18" i="457"/>
  <c r="B18" i="457"/>
  <c r="E17" i="457"/>
  <c r="B17" i="457"/>
  <c r="E16" i="457"/>
  <c r="B16" i="457"/>
  <c r="E15" i="457"/>
  <c r="B15" i="457"/>
  <c r="E14" i="457"/>
  <c r="B14" i="457"/>
  <c r="E13" i="457"/>
  <c r="B13" i="457"/>
  <c r="E12" i="457"/>
  <c r="B12" i="457"/>
  <c r="E11" i="457"/>
  <c r="B11" i="457"/>
  <c r="E10" i="457"/>
  <c r="B10" i="457"/>
  <c r="F9" i="457"/>
  <c r="F38" i="457" s="1"/>
  <c r="E9" i="457"/>
  <c r="B9" i="457"/>
  <c r="D8" i="457"/>
  <c r="I5" i="457"/>
  <c r="G5" i="457"/>
  <c r="F5" i="457"/>
  <c r="E5" i="457"/>
  <c r="D5" i="457"/>
  <c r="C5" i="457"/>
  <c r="B5" i="457"/>
  <c r="C4" i="457"/>
  <c r="E207" i="354" l="1"/>
  <c r="D175" i="53"/>
  <c r="D41" i="457"/>
  <c r="G207" i="354"/>
  <c r="F175" i="53"/>
  <c r="K27" i="460"/>
  <c r="M26" i="460"/>
  <c r="J28" i="460"/>
  <c r="L27" i="460"/>
  <c r="S27" i="460"/>
  <c r="H16" i="459"/>
  <c r="G17" i="459"/>
  <c r="M16" i="459"/>
  <c r="M14" i="458"/>
  <c r="E40" i="457"/>
  <c r="E8" i="457" s="1"/>
  <c r="F39" i="457" s="1"/>
  <c r="G9" i="457"/>
  <c r="F10" i="457"/>
  <c r="F11" i="457"/>
  <c r="F12" i="457"/>
  <c r="F13" i="457"/>
  <c r="F14" i="457"/>
  <c r="F15" i="457"/>
  <c r="F16" i="457"/>
  <c r="F17" i="457"/>
  <c r="F18" i="457"/>
  <c r="F19" i="457"/>
  <c r="F20" i="457"/>
  <c r="F21" i="457"/>
  <c r="F22" i="457"/>
  <c r="F23" i="457"/>
  <c r="F24" i="457"/>
  <c r="F25" i="457"/>
  <c r="F26" i="457"/>
  <c r="F27" i="457"/>
  <c r="F28" i="457"/>
  <c r="F29" i="457"/>
  <c r="F30" i="457"/>
  <c r="F31" i="457"/>
  <c r="F32" i="457"/>
  <c r="F33" i="457"/>
  <c r="F34" i="457"/>
  <c r="F35" i="457"/>
  <c r="F36" i="457"/>
  <c r="F37" i="457"/>
  <c r="S28" i="460" l="1"/>
  <c r="J29" i="460"/>
  <c r="L28" i="460"/>
  <c r="K28" i="460"/>
  <c r="M27" i="460"/>
  <c r="H17" i="459"/>
  <c r="G18" i="459"/>
  <c r="M17" i="459"/>
  <c r="M15" i="458"/>
  <c r="E41" i="457"/>
  <c r="G41" i="457" s="1"/>
  <c r="H72" i="341"/>
  <c r="H175" i="53" s="1"/>
  <c r="J175" i="53" s="1"/>
  <c r="M175" i="53" s="1"/>
  <c r="H9" i="457"/>
  <c r="G10" i="457"/>
  <c r="M9" i="457"/>
  <c r="K29" i="460" l="1"/>
  <c r="M28" i="460"/>
  <c r="J30" i="460"/>
  <c r="L29" i="460"/>
  <c r="S29" i="460"/>
  <c r="J72" i="341"/>
  <c r="M72" i="341" s="1"/>
  <c r="I207" i="354"/>
  <c r="H18" i="459"/>
  <c r="G19" i="459"/>
  <c r="M18" i="459"/>
  <c r="M16" i="458"/>
  <c r="H10" i="457"/>
  <c r="G11" i="457"/>
  <c r="M10" i="457"/>
  <c r="K207" i="354" l="1"/>
  <c r="L207" i="354"/>
  <c r="S30" i="460"/>
  <c r="J31" i="460"/>
  <c r="L30" i="460"/>
  <c r="K30" i="460"/>
  <c r="M29" i="460"/>
  <c r="H19" i="459"/>
  <c r="G20" i="459"/>
  <c r="M19" i="459"/>
  <c r="M17" i="458"/>
  <c r="H11" i="457"/>
  <c r="G12" i="457"/>
  <c r="M11" i="457"/>
  <c r="K31" i="460" l="1"/>
  <c r="M30" i="460"/>
  <c r="J32" i="460"/>
  <c r="L31" i="460"/>
  <c r="S31" i="460"/>
  <c r="H20" i="459"/>
  <c r="G21" i="459"/>
  <c r="M20" i="459"/>
  <c r="M18" i="458"/>
  <c r="H12" i="457"/>
  <c r="G13" i="457"/>
  <c r="M12" i="457"/>
  <c r="S32" i="460" l="1"/>
  <c r="J33" i="460"/>
  <c r="L32" i="460"/>
  <c r="K32" i="460"/>
  <c r="M31" i="460"/>
  <c r="H21" i="459"/>
  <c r="G22" i="459"/>
  <c r="M21" i="459"/>
  <c r="M19" i="458"/>
  <c r="H13" i="457"/>
  <c r="G14" i="457"/>
  <c r="M13" i="457"/>
  <c r="K33" i="460" l="1"/>
  <c r="M32" i="460"/>
  <c r="J34" i="460"/>
  <c r="L33" i="460"/>
  <c r="S33" i="460"/>
  <c r="H22" i="459"/>
  <c r="G23" i="459"/>
  <c r="M22" i="459"/>
  <c r="M20" i="458"/>
  <c r="H14" i="457"/>
  <c r="G15" i="457"/>
  <c r="M14" i="457"/>
  <c r="C4" i="285"/>
  <c r="S34" i="460" l="1"/>
  <c r="J35" i="460"/>
  <c r="L34" i="460"/>
  <c r="K34" i="460"/>
  <c r="M33" i="460"/>
  <c r="H23" i="459"/>
  <c r="G24" i="459"/>
  <c r="M23" i="459"/>
  <c r="M21" i="458"/>
  <c r="H15" i="457"/>
  <c r="G16" i="457"/>
  <c r="M15" i="457"/>
  <c r="E80" i="53"/>
  <c r="E69" i="354" s="1"/>
  <c r="C80" i="53"/>
  <c r="B80" i="53"/>
  <c r="K35" i="460" l="1"/>
  <c r="M34" i="460"/>
  <c r="J36" i="460"/>
  <c r="L35" i="460"/>
  <c r="S35" i="460"/>
  <c r="H24" i="459"/>
  <c r="G25" i="459"/>
  <c r="M24" i="459"/>
  <c r="M22" i="458"/>
  <c r="H16" i="457"/>
  <c r="G17" i="457"/>
  <c r="M16" i="457"/>
  <c r="S36" i="460" l="1"/>
  <c r="J37" i="460"/>
  <c r="L36" i="460"/>
  <c r="K36" i="460"/>
  <c r="M35" i="460"/>
  <c r="H25" i="459"/>
  <c r="G26" i="459"/>
  <c r="M25" i="459"/>
  <c r="M23" i="458"/>
  <c r="H17" i="457"/>
  <c r="G18" i="457"/>
  <c r="M17" i="457"/>
  <c r="J46" i="456"/>
  <c r="E40" i="456"/>
  <c r="G80" i="53" s="1"/>
  <c r="G69" i="354" s="1"/>
  <c r="D39" i="456"/>
  <c r="B39" i="456"/>
  <c r="D38" i="456"/>
  <c r="B38" i="456"/>
  <c r="D37" i="456"/>
  <c r="B37" i="456"/>
  <c r="D36" i="456"/>
  <c r="B36" i="456"/>
  <c r="D35" i="456"/>
  <c r="B35" i="456"/>
  <c r="D34" i="456"/>
  <c r="B34" i="456"/>
  <c r="D33" i="456"/>
  <c r="B33" i="456"/>
  <c r="D32" i="456"/>
  <c r="B32" i="456"/>
  <c r="D31" i="456"/>
  <c r="B31" i="456"/>
  <c r="D30" i="456"/>
  <c r="B30" i="456"/>
  <c r="D29" i="456"/>
  <c r="B29" i="456"/>
  <c r="D28" i="456"/>
  <c r="B28" i="456"/>
  <c r="D27" i="456"/>
  <c r="B27" i="456"/>
  <c r="D26" i="456"/>
  <c r="B26" i="456"/>
  <c r="B25" i="456"/>
  <c r="D24" i="456"/>
  <c r="B24" i="456"/>
  <c r="D23" i="456"/>
  <c r="B23" i="456"/>
  <c r="D22" i="456"/>
  <c r="B22" i="456"/>
  <c r="D21" i="456"/>
  <c r="B21" i="456"/>
  <c r="D20" i="456"/>
  <c r="B20" i="456"/>
  <c r="D19" i="456"/>
  <c r="B19" i="456"/>
  <c r="D18" i="456"/>
  <c r="B18" i="456"/>
  <c r="D17" i="456"/>
  <c r="B17" i="456"/>
  <c r="D16" i="456"/>
  <c r="B16" i="456"/>
  <c r="D15" i="456"/>
  <c r="B15" i="456"/>
  <c r="D14" i="456"/>
  <c r="B14" i="456"/>
  <c r="D13" i="456"/>
  <c r="B13" i="456"/>
  <c r="D12" i="456"/>
  <c r="B12" i="456"/>
  <c r="D11" i="456"/>
  <c r="B11" i="456"/>
  <c r="H37" i="456"/>
  <c r="D10" i="456"/>
  <c r="B10" i="456"/>
  <c r="D9" i="456"/>
  <c r="B9" i="456"/>
  <c r="J8" i="456"/>
  <c r="D8" i="456" s="1"/>
  <c r="E8" i="456"/>
  <c r="E41" i="456" s="1"/>
  <c r="I7" i="456"/>
  <c r="K7" i="456" s="1"/>
  <c r="M7" i="456" s="1"/>
  <c r="M5" i="456"/>
  <c r="I5" i="456"/>
  <c r="H5" i="456"/>
  <c r="G5" i="456"/>
  <c r="F5" i="456"/>
  <c r="E5" i="456"/>
  <c r="D5" i="456"/>
  <c r="C5" i="456"/>
  <c r="B5" i="456"/>
  <c r="C4" i="456"/>
  <c r="K37" i="460" l="1"/>
  <c r="M36" i="460"/>
  <c r="J38" i="460"/>
  <c r="L37" i="460"/>
  <c r="S37" i="460"/>
  <c r="H26" i="459"/>
  <c r="G27" i="459"/>
  <c r="M26" i="459"/>
  <c r="M24" i="458"/>
  <c r="H18" i="457"/>
  <c r="G19" i="457"/>
  <c r="M18" i="457"/>
  <c r="J9" i="456"/>
  <c r="S9" i="456" s="1"/>
  <c r="D80" i="53"/>
  <c r="D40" i="456"/>
  <c r="F80" i="53" s="1"/>
  <c r="I39" i="456"/>
  <c r="I37" i="456"/>
  <c r="I35" i="456"/>
  <c r="I33" i="456"/>
  <c r="I31" i="456"/>
  <c r="I29" i="456"/>
  <c r="I27" i="456"/>
  <c r="I25" i="456"/>
  <c r="I24" i="456"/>
  <c r="I22" i="456"/>
  <c r="I20" i="456"/>
  <c r="I19" i="456"/>
  <c r="I17" i="456"/>
  <c r="I9" i="456"/>
  <c r="K9" i="456"/>
  <c r="H10" i="456"/>
  <c r="I11" i="456"/>
  <c r="H12" i="456"/>
  <c r="I13" i="456"/>
  <c r="H14" i="456"/>
  <c r="I15" i="456"/>
  <c r="H16" i="456"/>
  <c r="H19" i="456"/>
  <c r="H22" i="456"/>
  <c r="I23" i="456"/>
  <c r="H25" i="456"/>
  <c r="I26" i="456"/>
  <c r="H29" i="456"/>
  <c r="I30" i="456"/>
  <c r="H33" i="456"/>
  <c r="I34" i="456"/>
  <c r="I38" i="456"/>
  <c r="G40" i="456"/>
  <c r="F40" i="456"/>
  <c r="H38" i="456"/>
  <c r="H36" i="456"/>
  <c r="H34" i="456"/>
  <c r="H32" i="456"/>
  <c r="H30" i="456"/>
  <c r="H28" i="456"/>
  <c r="H26" i="456"/>
  <c r="H23" i="456"/>
  <c r="H21" i="456"/>
  <c r="H18" i="456"/>
  <c r="H9" i="456"/>
  <c r="I10" i="456"/>
  <c r="H11" i="456"/>
  <c r="I12" i="456"/>
  <c r="H13" i="456"/>
  <c r="I14" i="456"/>
  <c r="H15" i="456"/>
  <c r="I16" i="456"/>
  <c r="H17" i="456"/>
  <c r="I18" i="456"/>
  <c r="H20" i="456"/>
  <c r="I21" i="456"/>
  <c r="H24" i="456"/>
  <c r="H27" i="456"/>
  <c r="I28" i="456"/>
  <c r="H31" i="456"/>
  <c r="I32" i="456"/>
  <c r="H35" i="456"/>
  <c r="I36" i="456"/>
  <c r="H39" i="456"/>
  <c r="S38" i="460" l="1"/>
  <c r="J39" i="460"/>
  <c r="L38" i="460"/>
  <c r="K38" i="460"/>
  <c r="M37" i="460"/>
  <c r="L9" i="456"/>
  <c r="H27" i="459"/>
  <c r="G28" i="459"/>
  <c r="M27" i="459"/>
  <c r="J10" i="456"/>
  <c r="S10" i="456" s="1"/>
  <c r="M25" i="458"/>
  <c r="F41" i="456"/>
  <c r="H80" i="53"/>
  <c r="G41" i="456"/>
  <c r="K41" i="456" s="1"/>
  <c r="I80" i="53"/>
  <c r="D41" i="456"/>
  <c r="H19" i="457"/>
  <c r="G20" i="457"/>
  <c r="M19" i="457"/>
  <c r="K10" i="456"/>
  <c r="M9" i="456"/>
  <c r="J11" i="456" l="1"/>
  <c r="S11" i="456" s="1"/>
  <c r="L10" i="456"/>
  <c r="K39" i="460"/>
  <c r="M38" i="460"/>
  <c r="J40" i="460"/>
  <c r="L39" i="460"/>
  <c r="S39" i="460"/>
  <c r="K80" i="53"/>
  <c r="I69" i="354"/>
  <c r="K69" i="354" s="1"/>
  <c r="J80" i="53"/>
  <c r="H69" i="354"/>
  <c r="H28" i="459"/>
  <c r="G29" i="459"/>
  <c r="M28" i="459"/>
  <c r="M26" i="458"/>
  <c r="H20" i="457"/>
  <c r="G21" i="457"/>
  <c r="M20" i="457"/>
  <c r="J41" i="456"/>
  <c r="L11" i="456"/>
  <c r="M10" i="456"/>
  <c r="K11" i="456"/>
  <c r="L144" i="53"/>
  <c r="L40" i="341"/>
  <c r="J43" i="341"/>
  <c r="L43" i="341"/>
  <c r="D40" i="341"/>
  <c r="B40" i="341"/>
  <c r="B144" i="53" s="1"/>
  <c r="L40" i="455"/>
  <c r="K40" i="455"/>
  <c r="J40" i="455"/>
  <c r="I40" i="455"/>
  <c r="D40" i="455"/>
  <c r="F40" i="341" s="1"/>
  <c r="E39" i="455"/>
  <c r="B39" i="455"/>
  <c r="E38" i="455"/>
  <c r="B38" i="455"/>
  <c r="E37" i="455"/>
  <c r="B37" i="455"/>
  <c r="E36" i="455"/>
  <c r="B36" i="455"/>
  <c r="E35" i="455"/>
  <c r="B35" i="455"/>
  <c r="E34" i="455"/>
  <c r="B34" i="455"/>
  <c r="E33" i="455"/>
  <c r="B33" i="455"/>
  <c r="E32" i="455"/>
  <c r="B32" i="455"/>
  <c r="E31" i="455"/>
  <c r="B31" i="455"/>
  <c r="E30" i="455"/>
  <c r="B30" i="455"/>
  <c r="E29" i="455"/>
  <c r="B29" i="455"/>
  <c r="E28" i="455"/>
  <c r="B28" i="455"/>
  <c r="E27" i="455"/>
  <c r="B27" i="455"/>
  <c r="E26" i="455"/>
  <c r="B26" i="455"/>
  <c r="E25" i="455"/>
  <c r="B25" i="455"/>
  <c r="E24" i="455"/>
  <c r="B24" i="455"/>
  <c r="E23" i="455"/>
  <c r="B23" i="455"/>
  <c r="E22" i="455"/>
  <c r="B22" i="455"/>
  <c r="E21" i="455"/>
  <c r="B21" i="455"/>
  <c r="E20" i="455"/>
  <c r="B20" i="455"/>
  <c r="E19" i="455"/>
  <c r="B19" i="455"/>
  <c r="E18" i="455"/>
  <c r="B18" i="455"/>
  <c r="E17" i="455"/>
  <c r="B17" i="455"/>
  <c r="E16" i="455"/>
  <c r="B16" i="455"/>
  <c r="E15" i="455"/>
  <c r="B15" i="455"/>
  <c r="E14" i="455"/>
  <c r="B14" i="455"/>
  <c r="E13" i="455"/>
  <c r="B13" i="455"/>
  <c r="E12" i="455"/>
  <c r="B12" i="455"/>
  <c r="E11" i="455"/>
  <c r="B11" i="455"/>
  <c r="E10" i="455"/>
  <c r="B10" i="455"/>
  <c r="F9" i="455"/>
  <c r="F38" i="455" s="1"/>
  <c r="E9" i="455"/>
  <c r="B9" i="455"/>
  <c r="D8" i="455"/>
  <c r="D41" i="455" s="1"/>
  <c r="I5" i="455"/>
  <c r="G5" i="455"/>
  <c r="F5" i="455"/>
  <c r="E5" i="455"/>
  <c r="D5" i="455"/>
  <c r="C5" i="455"/>
  <c r="B5" i="455"/>
  <c r="C4" i="455"/>
  <c r="L142" i="53"/>
  <c r="L39" i="341"/>
  <c r="D39" i="341"/>
  <c r="B39" i="341"/>
  <c r="B142" i="53" s="1"/>
  <c r="L40" i="454"/>
  <c r="K40" i="454"/>
  <c r="J40" i="454"/>
  <c r="I40" i="454"/>
  <c r="D40" i="454"/>
  <c r="F39" i="341" s="1"/>
  <c r="B39" i="454"/>
  <c r="B38" i="454"/>
  <c r="B37" i="454"/>
  <c r="B36" i="454"/>
  <c r="B35" i="454"/>
  <c r="B34" i="454"/>
  <c r="B33" i="454"/>
  <c r="B32" i="454"/>
  <c r="B31" i="454"/>
  <c r="B30" i="454"/>
  <c r="B29" i="454"/>
  <c r="B28" i="454"/>
  <c r="B27" i="454"/>
  <c r="B26" i="454"/>
  <c r="B25" i="454"/>
  <c r="B24" i="454"/>
  <c r="B23" i="454"/>
  <c r="B22" i="454"/>
  <c r="B21" i="454"/>
  <c r="B20" i="454"/>
  <c r="B19" i="454"/>
  <c r="B18" i="454"/>
  <c r="B17" i="454"/>
  <c r="B16" i="454"/>
  <c r="B15" i="454"/>
  <c r="B14" i="454"/>
  <c r="B13" i="454"/>
  <c r="B12" i="454"/>
  <c r="B11" i="454"/>
  <c r="B10" i="454"/>
  <c r="B9" i="454"/>
  <c r="D8" i="454"/>
  <c r="I5" i="454"/>
  <c r="G5" i="454"/>
  <c r="F5" i="454"/>
  <c r="E5" i="454"/>
  <c r="D5" i="454"/>
  <c r="C5" i="454"/>
  <c r="B5" i="454"/>
  <c r="C4" i="454"/>
  <c r="D41" i="454" l="1"/>
  <c r="J12" i="456"/>
  <c r="M39" i="460"/>
  <c r="K40" i="460"/>
  <c r="D144" i="53"/>
  <c r="E206" i="354"/>
  <c r="F142" i="53"/>
  <c r="G205" i="354"/>
  <c r="D142" i="53"/>
  <c r="E205" i="354"/>
  <c r="F144" i="53"/>
  <c r="G206" i="354"/>
  <c r="H29" i="459"/>
  <c r="G30" i="459"/>
  <c r="M29" i="459"/>
  <c r="M27" i="458"/>
  <c r="H21" i="457"/>
  <c r="G22" i="457"/>
  <c r="M21" i="457"/>
  <c r="M43" i="341"/>
  <c r="K12" i="456"/>
  <c r="M11" i="456"/>
  <c r="J13" i="456"/>
  <c r="S12" i="456"/>
  <c r="L12" i="456"/>
  <c r="E40" i="455"/>
  <c r="H40" i="341" s="1"/>
  <c r="G9" i="455"/>
  <c r="E40" i="454"/>
  <c r="H39" i="341" s="1"/>
  <c r="I205" i="354" s="1"/>
  <c r="F10" i="455"/>
  <c r="F11" i="455"/>
  <c r="F12" i="455"/>
  <c r="F13" i="455"/>
  <c r="F14" i="455"/>
  <c r="F15" i="455"/>
  <c r="F16" i="455"/>
  <c r="F17" i="455"/>
  <c r="F18" i="455"/>
  <c r="F19" i="455"/>
  <c r="F20" i="455"/>
  <c r="F21" i="455"/>
  <c r="F22" i="455"/>
  <c r="F23" i="455"/>
  <c r="F24" i="455"/>
  <c r="F25" i="455"/>
  <c r="F26" i="455"/>
  <c r="F27" i="455"/>
  <c r="F28" i="455"/>
  <c r="F29" i="455"/>
  <c r="F30" i="455"/>
  <c r="F31" i="455"/>
  <c r="F32" i="455"/>
  <c r="F33" i="455"/>
  <c r="F34" i="455"/>
  <c r="F35" i="455"/>
  <c r="F36" i="455"/>
  <c r="F37" i="455"/>
  <c r="K205" i="354" l="1"/>
  <c r="L205" i="354"/>
  <c r="H144" i="53"/>
  <c r="J144" i="53" s="1"/>
  <c r="M144" i="53" s="1"/>
  <c r="I206" i="354"/>
  <c r="H30" i="459"/>
  <c r="G31" i="459"/>
  <c r="M30" i="459"/>
  <c r="M28" i="458"/>
  <c r="H22" i="457"/>
  <c r="G23" i="457"/>
  <c r="M22" i="457"/>
  <c r="E41" i="454"/>
  <c r="G41" i="454" s="1"/>
  <c r="E8" i="454"/>
  <c r="F39" i="454" s="1"/>
  <c r="S13" i="456"/>
  <c r="L13" i="456"/>
  <c r="J14" i="456"/>
  <c r="M12" i="456"/>
  <c r="K13" i="456"/>
  <c r="J40" i="341"/>
  <c r="M40" i="341" s="1"/>
  <c r="E41" i="455"/>
  <c r="G41" i="455" s="1"/>
  <c r="E8" i="455"/>
  <c r="F39" i="455" s="1"/>
  <c r="J39" i="341"/>
  <c r="M39" i="341" s="1"/>
  <c r="H142" i="53"/>
  <c r="J142" i="53" s="1"/>
  <c r="M142" i="53" s="1"/>
  <c r="H9" i="455"/>
  <c r="G10" i="455"/>
  <c r="M9" i="455"/>
  <c r="M9" i="454"/>
  <c r="K206" i="354" l="1"/>
  <c r="L206" i="354"/>
  <c r="H31" i="459"/>
  <c r="G32" i="459"/>
  <c r="M31" i="459"/>
  <c r="M29" i="458"/>
  <c r="H23" i="457"/>
  <c r="G24" i="457"/>
  <c r="M23" i="457"/>
  <c r="K14" i="456"/>
  <c r="M13" i="456"/>
  <c r="J15" i="456"/>
  <c r="S14" i="456"/>
  <c r="L14" i="456"/>
  <c r="H10" i="455"/>
  <c r="G11" i="455"/>
  <c r="M10" i="455"/>
  <c r="M10" i="454"/>
  <c r="H32" i="459" l="1"/>
  <c r="G33" i="459"/>
  <c r="M32" i="459"/>
  <c r="M30" i="458"/>
  <c r="H24" i="457"/>
  <c r="G25" i="457"/>
  <c r="M24" i="457"/>
  <c r="S15" i="456"/>
  <c r="L15" i="456"/>
  <c r="J16" i="456"/>
  <c r="M14" i="456"/>
  <c r="K15" i="456"/>
  <c r="H11" i="455"/>
  <c r="G12" i="455"/>
  <c r="M11" i="455"/>
  <c r="M11" i="454"/>
  <c r="H33" i="459" l="1"/>
  <c r="G34" i="459"/>
  <c r="M33" i="459"/>
  <c r="M31" i="458"/>
  <c r="H25" i="457"/>
  <c r="G26" i="457"/>
  <c r="M25" i="457"/>
  <c r="K16" i="456"/>
  <c r="M15" i="456"/>
  <c r="J17" i="456"/>
  <c r="S16" i="456"/>
  <c r="L16" i="456"/>
  <c r="H12" i="455"/>
  <c r="G13" i="455"/>
  <c r="M12" i="455"/>
  <c r="M12" i="454"/>
  <c r="H34" i="459" l="1"/>
  <c r="G35" i="459"/>
  <c r="M34" i="459"/>
  <c r="M32" i="458"/>
  <c r="H26" i="457"/>
  <c r="G27" i="457"/>
  <c r="M26" i="457"/>
  <c r="J18" i="456"/>
  <c r="L17" i="456"/>
  <c r="S17" i="456"/>
  <c r="K17" i="456"/>
  <c r="M16" i="456"/>
  <c r="H13" i="455"/>
  <c r="G14" i="455"/>
  <c r="M13" i="455"/>
  <c r="M13" i="454"/>
  <c r="L201" i="53"/>
  <c r="L202" i="53"/>
  <c r="D88" i="341"/>
  <c r="B88" i="341"/>
  <c r="B202" i="53" s="1"/>
  <c r="L40" i="453"/>
  <c r="K40" i="453"/>
  <c r="J40" i="453"/>
  <c r="I40" i="453"/>
  <c r="D40" i="453"/>
  <c r="E39" i="453"/>
  <c r="B39" i="453"/>
  <c r="E38" i="453"/>
  <c r="B38" i="453"/>
  <c r="E37" i="453"/>
  <c r="B37" i="453"/>
  <c r="E36" i="453"/>
  <c r="B36" i="453"/>
  <c r="E35" i="453"/>
  <c r="B35" i="453"/>
  <c r="E34" i="453"/>
  <c r="B34" i="453"/>
  <c r="E33" i="453"/>
  <c r="B33" i="453"/>
  <c r="E32" i="453"/>
  <c r="B32" i="453"/>
  <c r="E31" i="453"/>
  <c r="B31" i="453"/>
  <c r="E30" i="453"/>
  <c r="B30" i="453"/>
  <c r="E29" i="453"/>
  <c r="B29" i="453"/>
  <c r="E28" i="453"/>
  <c r="B28" i="453"/>
  <c r="E27" i="453"/>
  <c r="B27" i="453"/>
  <c r="E26" i="453"/>
  <c r="B26" i="453"/>
  <c r="E25" i="453"/>
  <c r="B25" i="453"/>
  <c r="E24" i="453"/>
  <c r="B24" i="453"/>
  <c r="E23" i="453"/>
  <c r="B23" i="453"/>
  <c r="E22" i="453"/>
  <c r="B22" i="453"/>
  <c r="E21" i="453"/>
  <c r="B21" i="453"/>
  <c r="E20" i="453"/>
  <c r="B20" i="453"/>
  <c r="E19" i="453"/>
  <c r="B19" i="453"/>
  <c r="E18" i="453"/>
  <c r="B18" i="453"/>
  <c r="E17" i="453"/>
  <c r="B17" i="453"/>
  <c r="E16" i="453"/>
  <c r="B16" i="453"/>
  <c r="E15" i="453"/>
  <c r="B15" i="453"/>
  <c r="E14" i="453"/>
  <c r="B14" i="453"/>
  <c r="E13" i="453"/>
  <c r="B13" i="453"/>
  <c r="E12" i="453"/>
  <c r="B12" i="453"/>
  <c r="E11" i="453"/>
  <c r="B11" i="453"/>
  <c r="E10" i="453"/>
  <c r="B10" i="453"/>
  <c r="F9" i="453"/>
  <c r="F38" i="453" s="1"/>
  <c r="E9" i="453"/>
  <c r="B9" i="453"/>
  <c r="D8" i="453"/>
  <c r="I5" i="453"/>
  <c r="G5" i="453"/>
  <c r="F5" i="453"/>
  <c r="E5" i="453"/>
  <c r="D5" i="453"/>
  <c r="C5" i="453"/>
  <c r="B5" i="453"/>
  <c r="C4" i="453"/>
  <c r="L87" i="341"/>
  <c r="L88" i="341"/>
  <c r="D87" i="341"/>
  <c r="B87" i="341"/>
  <c r="B201" i="53" s="1"/>
  <c r="L40" i="452"/>
  <c r="K40" i="452"/>
  <c r="J40" i="452"/>
  <c r="I40" i="452"/>
  <c r="D40" i="452"/>
  <c r="F87" i="341" s="1"/>
  <c r="E39" i="452"/>
  <c r="B39" i="452"/>
  <c r="E38" i="452"/>
  <c r="B38" i="452"/>
  <c r="E37" i="452"/>
  <c r="B37" i="452"/>
  <c r="E36" i="452"/>
  <c r="B36" i="452"/>
  <c r="E35" i="452"/>
  <c r="B35" i="452"/>
  <c r="E34" i="452"/>
  <c r="B34" i="452"/>
  <c r="E33" i="452"/>
  <c r="B33" i="452"/>
  <c r="E32" i="452"/>
  <c r="B32" i="452"/>
  <c r="E31" i="452"/>
  <c r="B31" i="452"/>
  <c r="E30" i="452"/>
  <c r="B30" i="452"/>
  <c r="E29" i="452"/>
  <c r="B29" i="452"/>
  <c r="E28" i="452"/>
  <c r="B28" i="452"/>
  <c r="E27" i="452"/>
  <c r="B27" i="452"/>
  <c r="E26" i="452"/>
  <c r="B26" i="452"/>
  <c r="E25" i="452"/>
  <c r="B25" i="452"/>
  <c r="E24" i="452"/>
  <c r="B24" i="452"/>
  <c r="E23" i="452"/>
  <c r="B23" i="452"/>
  <c r="E22" i="452"/>
  <c r="B22" i="452"/>
  <c r="E21" i="452"/>
  <c r="B21" i="452"/>
  <c r="E20" i="452"/>
  <c r="B20" i="452"/>
  <c r="E19" i="452"/>
  <c r="B19" i="452"/>
  <c r="E18" i="452"/>
  <c r="B18" i="452"/>
  <c r="E17" i="452"/>
  <c r="B17" i="452"/>
  <c r="E16" i="452"/>
  <c r="B16" i="452"/>
  <c r="E15" i="452"/>
  <c r="B15" i="452"/>
  <c r="E14" i="452"/>
  <c r="B14" i="452"/>
  <c r="E13" i="452"/>
  <c r="B13" i="452"/>
  <c r="E12" i="452"/>
  <c r="B12" i="452"/>
  <c r="E11" i="452"/>
  <c r="B11" i="452"/>
  <c r="E10" i="452"/>
  <c r="B10" i="452"/>
  <c r="F9" i="452"/>
  <c r="F38" i="452" s="1"/>
  <c r="E9" i="452"/>
  <c r="B9" i="452"/>
  <c r="D8" i="452"/>
  <c r="I5" i="452"/>
  <c r="G5" i="452"/>
  <c r="F5" i="452"/>
  <c r="E5" i="452"/>
  <c r="D5" i="452"/>
  <c r="C5" i="452"/>
  <c r="B5" i="452"/>
  <c r="C4" i="452"/>
  <c r="D201" i="53" l="1"/>
  <c r="E203" i="354"/>
  <c r="D202" i="53"/>
  <c r="E204" i="354"/>
  <c r="F201" i="53"/>
  <c r="G203" i="354"/>
  <c r="H35" i="459"/>
  <c r="G36" i="459"/>
  <c r="M35" i="459"/>
  <c r="M33" i="458"/>
  <c r="H27" i="457"/>
  <c r="G28" i="457"/>
  <c r="M27" i="457"/>
  <c r="M17" i="456"/>
  <c r="K18" i="456"/>
  <c r="S18" i="456"/>
  <c r="L18" i="456"/>
  <c r="J19" i="456"/>
  <c r="H14" i="455"/>
  <c r="G15" i="455"/>
  <c r="M14" i="455"/>
  <c r="D41" i="453"/>
  <c r="M14" i="454"/>
  <c r="E40" i="453"/>
  <c r="E41" i="453" s="1"/>
  <c r="F88" i="341"/>
  <c r="G204" i="354" s="1"/>
  <c r="G9" i="453"/>
  <c r="E40" i="452"/>
  <c r="E41" i="452" s="1"/>
  <c r="F10" i="453"/>
  <c r="F11" i="453"/>
  <c r="F12" i="453"/>
  <c r="F13" i="453"/>
  <c r="F14" i="453"/>
  <c r="F15" i="453"/>
  <c r="F16" i="453"/>
  <c r="F17" i="453"/>
  <c r="F18" i="453"/>
  <c r="F19" i="453"/>
  <c r="F20" i="453"/>
  <c r="F21" i="453"/>
  <c r="F22" i="453"/>
  <c r="F23" i="453"/>
  <c r="F24" i="453"/>
  <c r="F25" i="453"/>
  <c r="F26" i="453"/>
  <c r="F27" i="453"/>
  <c r="F28" i="453"/>
  <c r="F29" i="453"/>
  <c r="F30" i="453"/>
  <c r="F31" i="453"/>
  <c r="F32" i="453"/>
  <c r="F33" i="453"/>
  <c r="F34" i="453"/>
  <c r="F35" i="453"/>
  <c r="F36" i="453"/>
  <c r="F37" i="453"/>
  <c r="D41" i="452"/>
  <c r="G9" i="452"/>
  <c r="F10" i="452"/>
  <c r="F11" i="452"/>
  <c r="F12" i="452"/>
  <c r="F13" i="452"/>
  <c r="F14" i="452"/>
  <c r="F15" i="452"/>
  <c r="F16" i="452"/>
  <c r="F17" i="452"/>
  <c r="F18" i="452"/>
  <c r="F19" i="452"/>
  <c r="F20" i="452"/>
  <c r="F21" i="452"/>
  <c r="F22" i="452"/>
  <c r="F23" i="452"/>
  <c r="F24" i="452"/>
  <c r="F25" i="452"/>
  <c r="F26" i="452"/>
  <c r="F27" i="452"/>
  <c r="F28" i="452"/>
  <c r="F29" i="452"/>
  <c r="F30" i="452"/>
  <c r="F31" i="452"/>
  <c r="F32" i="452"/>
  <c r="F33" i="452"/>
  <c r="F34" i="452"/>
  <c r="F35" i="452"/>
  <c r="F36" i="452"/>
  <c r="F37" i="452"/>
  <c r="G41" i="453" l="1"/>
  <c r="H36" i="459"/>
  <c r="G37" i="459"/>
  <c r="M36" i="459"/>
  <c r="M34" i="458"/>
  <c r="H28" i="457"/>
  <c r="G29" i="457"/>
  <c r="M28" i="457"/>
  <c r="S19" i="456"/>
  <c r="J20" i="456"/>
  <c r="L19" i="456"/>
  <c r="K19" i="456"/>
  <c r="M18" i="456"/>
  <c r="H15" i="455"/>
  <c r="G16" i="455"/>
  <c r="M15" i="455"/>
  <c r="M15" i="454"/>
  <c r="H88" i="341"/>
  <c r="J88" i="341" s="1"/>
  <c r="M88" i="341" s="1"/>
  <c r="E8" i="453"/>
  <c r="F39" i="453" s="1"/>
  <c r="F202" i="53"/>
  <c r="H87" i="341"/>
  <c r="I203" i="354" s="1"/>
  <c r="E8" i="452"/>
  <c r="F39" i="452" s="1"/>
  <c r="H9" i="453"/>
  <c r="M9" i="453"/>
  <c r="G10" i="453"/>
  <c r="G41" i="452"/>
  <c r="H9" i="452"/>
  <c r="M9" i="452"/>
  <c r="G10" i="452"/>
  <c r="K203" i="354" l="1"/>
  <c r="L203" i="354"/>
  <c r="H202" i="53"/>
  <c r="J202" i="53" s="1"/>
  <c r="M202" i="53" s="1"/>
  <c r="I204" i="354"/>
  <c r="H37" i="459"/>
  <c r="G38" i="459"/>
  <c r="M37" i="459"/>
  <c r="M35" i="458"/>
  <c r="H29" i="457"/>
  <c r="G30" i="457"/>
  <c r="M29" i="457"/>
  <c r="K20" i="456"/>
  <c r="M19" i="456"/>
  <c r="J21" i="456"/>
  <c r="L20" i="456"/>
  <c r="S20" i="456"/>
  <c r="H16" i="455"/>
  <c r="G17" i="455"/>
  <c r="M16" i="455"/>
  <c r="M16" i="454"/>
  <c r="J87" i="341"/>
  <c r="M87" i="341" s="1"/>
  <c r="H201" i="53"/>
  <c r="J201" i="53" s="1"/>
  <c r="M201" i="53" s="1"/>
  <c r="H10" i="453"/>
  <c r="M10" i="453"/>
  <c r="G11" i="453"/>
  <c r="H10" i="452"/>
  <c r="M10" i="452"/>
  <c r="G11" i="452"/>
  <c r="K204" i="354" l="1"/>
  <c r="L204" i="354"/>
  <c r="H38" i="459"/>
  <c r="G39" i="459"/>
  <c r="M38" i="459"/>
  <c r="M36" i="458"/>
  <c r="H30" i="457"/>
  <c r="G31" i="457"/>
  <c r="M30" i="457"/>
  <c r="S21" i="456"/>
  <c r="L21" i="456"/>
  <c r="J22" i="456"/>
  <c r="M20" i="456"/>
  <c r="K21" i="456"/>
  <c r="H17" i="455"/>
  <c r="G18" i="455"/>
  <c r="M17" i="455"/>
  <c r="M17" i="454"/>
  <c r="H11" i="453"/>
  <c r="M11" i="453"/>
  <c r="G12" i="453"/>
  <c r="H11" i="452"/>
  <c r="M11" i="452"/>
  <c r="G12" i="452"/>
  <c r="G40" i="459" l="1"/>
  <c r="H39" i="459"/>
  <c r="M39" i="459"/>
  <c r="M37" i="458"/>
  <c r="H31" i="457"/>
  <c r="G32" i="457"/>
  <c r="M31" i="457"/>
  <c r="K22" i="456"/>
  <c r="M21" i="456"/>
  <c r="J23" i="456"/>
  <c r="S22" i="456"/>
  <c r="L22" i="456"/>
  <c r="H18" i="455"/>
  <c r="G19" i="455"/>
  <c r="M18" i="455"/>
  <c r="M18" i="454"/>
  <c r="H12" i="453"/>
  <c r="M12" i="453"/>
  <c r="G13" i="453"/>
  <c r="H12" i="452"/>
  <c r="M12" i="452"/>
  <c r="G13" i="452"/>
  <c r="B111" i="53"/>
  <c r="C4" i="240"/>
  <c r="M38" i="458" l="1"/>
  <c r="H32" i="457"/>
  <c r="G33" i="457"/>
  <c r="M32" i="457"/>
  <c r="S23" i="456"/>
  <c r="L23" i="456"/>
  <c r="J24" i="456"/>
  <c r="M22" i="456"/>
  <c r="K23" i="456"/>
  <c r="H19" i="455"/>
  <c r="G20" i="455"/>
  <c r="M19" i="455"/>
  <c r="M19" i="454"/>
  <c r="H13" i="453"/>
  <c r="M13" i="453"/>
  <c r="G14" i="453"/>
  <c r="H13" i="452"/>
  <c r="M13" i="452"/>
  <c r="G14" i="452"/>
  <c r="G15" i="452" s="1"/>
  <c r="G40" i="458" l="1"/>
  <c r="M39" i="458"/>
  <c r="H33" i="457"/>
  <c r="G34" i="457"/>
  <c r="M33" i="457"/>
  <c r="K24" i="456"/>
  <c r="M23" i="456"/>
  <c r="J25" i="456"/>
  <c r="L24" i="456"/>
  <c r="S24" i="456"/>
  <c r="H20" i="455"/>
  <c r="G21" i="455"/>
  <c r="M20" i="455"/>
  <c r="M20" i="454"/>
  <c r="H14" i="453"/>
  <c r="M14" i="453"/>
  <c r="G15" i="453"/>
  <c r="H14" i="452"/>
  <c r="M14" i="452"/>
  <c r="H34" i="457" l="1"/>
  <c r="G35" i="457"/>
  <c r="M34" i="457"/>
  <c r="J26" i="456"/>
  <c r="S25" i="456"/>
  <c r="L25" i="456"/>
  <c r="K25" i="456"/>
  <c r="M24" i="456"/>
  <c r="H21" i="455"/>
  <c r="G22" i="455"/>
  <c r="M21" i="455"/>
  <c r="M21" i="454"/>
  <c r="H15" i="453"/>
  <c r="M15" i="453"/>
  <c r="G16" i="453"/>
  <c r="H15" i="452"/>
  <c r="M15" i="452"/>
  <c r="G16" i="452"/>
  <c r="H35" i="457" l="1"/>
  <c r="G36" i="457"/>
  <c r="M35" i="457"/>
  <c r="M25" i="456"/>
  <c r="K26" i="456"/>
  <c r="S26" i="456"/>
  <c r="L26" i="456"/>
  <c r="J27" i="456"/>
  <c r="H22" i="455"/>
  <c r="G23" i="455"/>
  <c r="M22" i="455"/>
  <c r="M22" i="454"/>
  <c r="H16" i="453"/>
  <c r="M16" i="453"/>
  <c r="G17" i="453"/>
  <c r="H16" i="452"/>
  <c r="M16" i="452"/>
  <c r="G17" i="452"/>
  <c r="H36" i="457" l="1"/>
  <c r="G37" i="457"/>
  <c r="M36" i="457"/>
  <c r="J28" i="456"/>
  <c r="L27" i="456"/>
  <c r="S27" i="456"/>
  <c r="K27" i="456"/>
  <c r="M26" i="456"/>
  <c r="H23" i="455"/>
  <c r="G24" i="455"/>
  <c r="M23" i="455"/>
  <c r="M23" i="454"/>
  <c r="H17" i="453"/>
  <c r="M17" i="453"/>
  <c r="G18" i="453"/>
  <c r="H17" i="452"/>
  <c r="M17" i="452"/>
  <c r="G18" i="452"/>
  <c r="H37" i="457" l="1"/>
  <c r="G38" i="457"/>
  <c r="M37" i="457"/>
  <c r="S28" i="456"/>
  <c r="L28" i="456"/>
  <c r="J29" i="456"/>
  <c r="M27" i="456"/>
  <c r="K28" i="456"/>
  <c r="H24" i="455"/>
  <c r="G25" i="455"/>
  <c r="M24" i="455"/>
  <c r="M24" i="454"/>
  <c r="H18" i="453"/>
  <c r="M18" i="453"/>
  <c r="G19" i="453"/>
  <c r="H18" i="452"/>
  <c r="M18" i="452"/>
  <c r="G19" i="452"/>
  <c r="H38" i="457" l="1"/>
  <c r="G39" i="457"/>
  <c r="M38" i="457"/>
  <c r="K29" i="456"/>
  <c r="M28" i="456"/>
  <c r="J30" i="456"/>
  <c r="S29" i="456"/>
  <c r="L29" i="456"/>
  <c r="H25" i="455"/>
  <c r="G26" i="455"/>
  <c r="M25" i="455"/>
  <c r="M25" i="454"/>
  <c r="H19" i="453"/>
  <c r="M19" i="453"/>
  <c r="G20" i="453"/>
  <c r="H19" i="452"/>
  <c r="M19" i="452"/>
  <c r="G20" i="452"/>
  <c r="G40" i="457" l="1"/>
  <c r="H39" i="457"/>
  <c r="M39" i="457"/>
  <c r="S30" i="456"/>
  <c r="L30" i="456"/>
  <c r="J31" i="456"/>
  <c r="M29" i="456"/>
  <c r="K30" i="456"/>
  <c r="H26" i="455"/>
  <c r="G27" i="455"/>
  <c r="M26" i="455"/>
  <c r="M26" i="454"/>
  <c r="H20" i="453"/>
  <c r="M20" i="453"/>
  <c r="G21" i="453"/>
  <c r="H20" i="452"/>
  <c r="M20" i="452"/>
  <c r="G21" i="452"/>
  <c r="K31" i="456" l="1"/>
  <c r="M30" i="456"/>
  <c r="J32" i="456"/>
  <c r="L31" i="456"/>
  <c r="S31" i="456"/>
  <c r="H27" i="455"/>
  <c r="G28" i="455"/>
  <c r="M27" i="455"/>
  <c r="M27" i="454"/>
  <c r="H21" i="453"/>
  <c r="M21" i="453"/>
  <c r="G22" i="453"/>
  <c r="H21" i="452"/>
  <c r="M21" i="452"/>
  <c r="G22" i="452"/>
  <c r="S32" i="456" l="1"/>
  <c r="L32" i="456"/>
  <c r="J33" i="456"/>
  <c r="M31" i="456"/>
  <c r="K32" i="456"/>
  <c r="H28" i="455"/>
  <c r="G29" i="455"/>
  <c r="M28" i="455"/>
  <c r="M28" i="454"/>
  <c r="H22" i="453"/>
  <c r="M22" i="453"/>
  <c r="G23" i="453"/>
  <c r="H22" i="452"/>
  <c r="M22" i="452"/>
  <c r="G23" i="452"/>
  <c r="S41" i="208"/>
  <c r="K33" i="456" l="1"/>
  <c r="M32" i="456"/>
  <c r="J34" i="456"/>
  <c r="S33" i="456"/>
  <c r="L33" i="456"/>
  <c r="H29" i="455"/>
  <c r="G30" i="455"/>
  <c r="M29" i="455"/>
  <c r="M29" i="454"/>
  <c r="H23" i="453"/>
  <c r="M23" i="453"/>
  <c r="G24" i="453"/>
  <c r="H23" i="452"/>
  <c r="M23" i="452"/>
  <c r="G24" i="452"/>
  <c r="S34" i="456" l="1"/>
  <c r="L34" i="456"/>
  <c r="J35" i="456"/>
  <c r="M33" i="456"/>
  <c r="K34" i="456"/>
  <c r="H30" i="455"/>
  <c r="G31" i="455"/>
  <c r="M30" i="455"/>
  <c r="M30" i="454"/>
  <c r="H24" i="453"/>
  <c r="M24" i="453"/>
  <c r="G25" i="453"/>
  <c r="H24" i="452"/>
  <c r="M24" i="452"/>
  <c r="G25" i="452"/>
  <c r="H24" i="347"/>
  <c r="H25" i="347"/>
  <c r="J36" i="456" l="1"/>
  <c r="L35" i="456"/>
  <c r="S35" i="456"/>
  <c r="K35" i="456"/>
  <c r="M34" i="456"/>
  <c r="H31" i="455"/>
  <c r="G32" i="455"/>
  <c r="M31" i="455"/>
  <c r="M31" i="454"/>
  <c r="H25" i="453"/>
  <c r="M25" i="453"/>
  <c r="G26" i="453"/>
  <c r="H25" i="452"/>
  <c r="M25" i="452"/>
  <c r="G26" i="452"/>
  <c r="F10" i="307"/>
  <c r="F11" i="307"/>
  <c r="F12" i="307"/>
  <c r="F13" i="307"/>
  <c r="F14" i="307"/>
  <c r="F15" i="307"/>
  <c r="F16" i="307"/>
  <c r="F17" i="307"/>
  <c r="F18" i="307"/>
  <c r="F19" i="307"/>
  <c r="F20" i="307"/>
  <c r="F21" i="307"/>
  <c r="F22" i="307"/>
  <c r="F23" i="307"/>
  <c r="F24" i="307"/>
  <c r="F25" i="307"/>
  <c r="F26" i="307"/>
  <c r="F27" i="307"/>
  <c r="F28" i="307"/>
  <c r="F29" i="307"/>
  <c r="F30" i="307"/>
  <c r="F31" i="307"/>
  <c r="F32" i="307"/>
  <c r="F33" i="307"/>
  <c r="F34" i="307"/>
  <c r="F35" i="307"/>
  <c r="F36" i="307"/>
  <c r="F37" i="307"/>
  <c r="F38" i="307"/>
  <c r="F39" i="307"/>
  <c r="F9" i="307"/>
  <c r="O41" i="307"/>
  <c r="O40" i="253"/>
  <c r="M35" i="456" l="1"/>
  <c r="K36" i="456"/>
  <c r="S36" i="456"/>
  <c r="L36" i="456"/>
  <c r="J37" i="456"/>
  <c r="H32" i="455"/>
  <c r="G33" i="455"/>
  <c r="M32" i="455"/>
  <c r="M32" i="454"/>
  <c r="H26" i="453"/>
  <c r="M26" i="453"/>
  <c r="G27" i="453"/>
  <c r="H26" i="452"/>
  <c r="M26" i="452"/>
  <c r="G27" i="452"/>
  <c r="O40" i="251"/>
  <c r="O40" i="255"/>
  <c r="K37" i="456" l="1"/>
  <c r="M36" i="456"/>
  <c r="J38" i="456"/>
  <c r="S37" i="456"/>
  <c r="L37" i="456"/>
  <c r="H33" i="455"/>
  <c r="G34" i="455"/>
  <c r="M33" i="455"/>
  <c r="M33" i="454"/>
  <c r="H27" i="453"/>
  <c r="M27" i="453"/>
  <c r="G28" i="453"/>
  <c r="H27" i="452"/>
  <c r="M27" i="452"/>
  <c r="G28" i="452"/>
  <c r="F40" i="183"/>
  <c r="F41" i="183" s="1"/>
  <c r="M37" i="456" l="1"/>
  <c r="K38" i="456"/>
  <c r="S38" i="456"/>
  <c r="L38" i="456"/>
  <c r="J39" i="456"/>
  <c r="H34" i="455"/>
  <c r="G35" i="455"/>
  <c r="M34" i="455"/>
  <c r="M34" i="454"/>
  <c r="H28" i="453"/>
  <c r="M28" i="453"/>
  <c r="G29" i="453"/>
  <c r="H28" i="452"/>
  <c r="M28" i="452"/>
  <c r="G29" i="452"/>
  <c r="J40" i="456" l="1"/>
  <c r="L39" i="456"/>
  <c r="S39" i="456"/>
  <c r="K39" i="456"/>
  <c r="M38" i="456"/>
  <c r="H35" i="455"/>
  <c r="G36" i="455"/>
  <c r="M35" i="455"/>
  <c r="M35" i="454"/>
  <c r="H29" i="453"/>
  <c r="M29" i="453"/>
  <c r="G30" i="453"/>
  <c r="H29" i="452"/>
  <c r="M29" i="452"/>
  <c r="G30" i="452"/>
  <c r="L111" i="354"/>
  <c r="L123" i="354"/>
  <c r="D27" i="323"/>
  <c r="D28" i="323"/>
  <c r="D24" i="343"/>
  <c r="D25" i="343"/>
  <c r="D26" i="343"/>
  <c r="D27" i="343"/>
  <c r="D28" i="343"/>
  <c r="D26" i="388"/>
  <c r="D27" i="388"/>
  <c r="D28" i="388"/>
  <c r="M39" i="456" l="1"/>
  <c r="K40" i="456"/>
  <c r="H36" i="455"/>
  <c r="G37" i="455"/>
  <c r="M36" i="455"/>
  <c r="M36" i="454"/>
  <c r="H30" i="453"/>
  <c r="M30" i="453"/>
  <c r="G31" i="453"/>
  <c r="H30" i="452"/>
  <c r="G31" i="452"/>
  <c r="M30" i="452"/>
  <c r="E18" i="421"/>
  <c r="E17" i="421"/>
  <c r="F108" i="421"/>
  <c r="F107" i="421"/>
  <c r="F106" i="421"/>
  <c r="F105" i="421"/>
  <c r="F104" i="421"/>
  <c r="F102" i="421"/>
  <c r="F101" i="421"/>
  <c r="F100" i="421"/>
  <c r="F99" i="421"/>
  <c r="F98" i="421"/>
  <c r="F97" i="421"/>
  <c r="F96" i="421"/>
  <c r="F95" i="421"/>
  <c r="F94" i="421"/>
  <c r="F93" i="421"/>
  <c r="F92" i="421"/>
  <c r="F91" i="421"/>
  <c r="F90" i="421"/>
  <c r="F89" i="421"/>
  <c r="F88" i="421"/>
  <c r="F86" i="421"/>
  <c r="F84" i="421"/>
  <c r="F83" i="421"/>
  <c r="F82" i="421"/>
  <c r="F81" i="421"/>
  <c r="F80" i="421"/>
  <c r="F79" i="421"/>
  <c r="F78" i="421"/>
  <c r="F77" i="421"/>
  <c r="F76" i="421"/>
  <c r="F75" i="421"/>
  <c r="F73" i="421"/>
  <c r="F70" i="421"/>
  <c r="F69" i="421"/>
  <c r="F65" i="421"/>
  <c r="F64" i="421"/>
  <c r="F63" i="421"/>
  <c r="F62" i="421"/>
  <c r="F61" i="421"/>
  <c r="F60" i="421"/>
  <c r="F59" i="421"/>
  <c r="F58" i="421"/>
  <c r="F56" i="421"/>
  <c r="F55" i="421"/>
  <c r="F54" i="421"/>
  <c r="F53" i="421"/>
  <c r="F52" i="421"/>
  <c r="F51" i="421"/>
  <c r="F50" i="421"/>
  <c r="F48" i="421"/>
  <c r="F45" i="421"/>
  <c r="F43" i="421"/>
  <c r="F42" i="421"/>
  <c r="F40" i="421"/>
  <c r="F39" i="421"/>
  <c r="F38" i="421"/>
  <c r="F37" i="421"/>
  <c r="F36" i="421"/>
  <c r="F34" i="421"/>
  <c r="F33" i="421"/>
  <c r="F32" i="421"/>
  <c r="F31" i="421"/>
  <c r="F30" i="421"/>
  <c r="F29" i="421"/>
  <c r="F27" i="421"/>
  <c r="F26" i="421"/>
  <c r="F25" i="421"/>
  <c r="F23" i="421"/>
  <c r="F22" i="421"/>
  <c r="F21" i="421"/>
  <c r="F20" i="421"/>
  <c r="F19" i="421"/>
  <c r="F17" i="421"/>
  <c r="H37" i="455" l="1"/>
  <c r="G38" i="455"/>
  <c r="M37" i="455"/>
  <c r="M37" i="454"/>
  <c r="H31" i="453"/>
  <c r="G32" i="453"/>
  <c r="M31" i="453"/>
  <c r="H31" i="452"/>
  <c r="G32" i="452"/>
  <c r="M31" i="452"/>
  <c r="G48" i="421"/>
  <c r="H38" i="455" l="1"/>
  <c r="G39" i="455"/>
  <c r="M38" i="455"/>
  <c r="M38" i="454"/>
  <c r="H32" i="453"/>
  <c r="G33" i="453"/>
  <c r="M32" i="453"/>
  <c r="H32" i="452"/>
  <c r="G33" i="452"/>
  <c r="M32" i="452"/>
  <c r="F85" i="355"/>
  <c r="F57" i="355"/>
  <c r="F55" i="355"/>
  <c r="F47" i="355"/>
  <c r="F35" i="355"/>
  <c r="F25" i="355"/>
  <c r="F100" i="355"/>
  <c r="G21" i="355"/>
  <c r="G40" i="455" l="1"/>
  <c r="H39" i="455"/>
  <c r="M39" i="455"/>
  <c r="M39" i="454"/>
  <c r="G40" i="454"/>
  <c r="H33" i="453"/>
  <c r="G34" i="453"/>
  <c r="M33" i="453"/>
  <c r="H33" i="452"/>
  <c r="G34" i="452"/>
  <c r="M33" i="452"/>
  <c r="F28" i="355"/>
  <c r="G83" i="355"/>
  <c r="H34" i="453" l="1"/>
  <c r="G35" i="453"/>
  <c r="M34" i="453"/>
  <c r="H34" i="452"/>
  <c r="G35" i="452"/>
  <c r="M34" i="452"/>
  <c r="E75" i="53"/>
  <c r="E74" i="354" s="1"/>
  <c r="B75" i="53"/>
  <c r="C4" i="451"/>
  <c r="J46" i="451"/>
  <c r="F40" i="451"/>
  <c r="F41" i="451" s="1"/>
  <c r="D40" i="451"/>
  <c r="F75" i="53" s="1"/>
  <c r="H39" i="451"/>
  <c r="E39" i="451"/>
  <c r="B39" i="451"/>
  <c r="H38" i="451"/>
  <c r="E38" i="451"/>
  <c r="B38" i="451"/>
  <c r="H37" i="451"/>
  <c r="B37" i="451"/>
  <c r="H36" i="451"/>
  <c r="E36" i="451"/>
  <c r="B36" i="451"/>
  <c r="H35" i="451"/>
  <c r="E35" i="451"/>
  <c r="B35" i="451"/>
  <c r="H34" i="451"/>
  <c r="E34" i="451"/>
  <c r="B34" i="451"/>
  <c r="H33" i="451"/>
  <c r="E33" i="451"/>
  <c r="B33" i="451"/>
  <c r="H32" i="451"/>
  <c r="E32" i="451"/>
  <c r="B32" i="451"/>
  <c r="H31" i="451"/>
  <c r="E31" i="451"/>
  <c r="B31" i="451"/>
  <c r="H30" i="451"/>
  <c r="E30" i="451"/>
  <c r="B30" i="451"/>
  <c r="H29" i="451"/>
  <c r="E29" i="451"/>
  <c r="B29" i="451"/>
  <c r="H28" i="451"/>
  <c r="E28" i="451"/>
  <c r="B28" i="451"/>
  <c r="H27" i="451"/>
  <c r="E27" i="451"/>
  <c r="B27" i="451"/>
  <c r="H26" i="451"/>
  <c r="E26" i="451"/>
  <c r="B26" i="451"/>
  <c r="H25" i="451"/>
  <c r="E25" i="451"/>
  <c r="B25" i="451"/>
  <c r="H24" i="451"/>
  <c r="E24" i="451"/>
  <c r="B24" i="451"/>
  <c r="H23" i="451"/>
  <c r="E23" i="451"/>
  <c r="B23" i="451"/>
  <c r="H22" i="451"/>
  <c r="E22" i="451"/>
  <c r="B22" i="451"/>
  <c r="H21" i="451"/>
  <c r="E21" i="451"/>
  <c r="B21" i="451"/>
  <c r="H20" i="451"/>
  <c r="E20" i="451"/>
  <c r="B20" i="451"/>
  <c r="H19" i="451"/>
  <c r="E19" i="451"/>
  <c r="B19" i="451"/>
  <c r="H18" i="451"/>
  <c r="E18" i="451"/>
  <c r="B18" i="451"/>
  <c r="H17" i="451"/>
  <c r="E17" i="451"/>
  <c r="B17" i="451"/>
  <c r="H16" i="451"/>
  <c r="E16" i="451"/>
  <c r="B16" i="451"/>
  <c r="H15" i="451"/>
  <c r="E15" i="451"/>
  <c r="B15" i="451"/>
  <c r="H14" i="451"/>
  <c r="E14" i="451"/>
  <c r="B14" i="451"/>
  <c r="H13" i="451"/>
  <c r="E13" i="451"/>
  <c r="B13" i="451"/>
  <c r="H12" i="451"/>
  <c r="E12" i="451"/>
  <c r="B12" i="451"/>
  <c r="H11" i="451"/>
  <c r="E11" i="451"/>
  <c r="B11" i="451"/>
  <c r="H10" i="451"/>
  <c r="E10" i="451"/>
  <c r="B10" i="451"/>
  <c r="H9" i="451"/>
  <c r="E9" i="451"/>
  <c r="B9" i="451"/>
  <c r="J8" i="451"/>
  <c r="J9" i="451" s="1"/>
  <c r="J10" i="451" s="1"/>
  <c r="E8" i="451"/>
  <c r="M7" i="451"/>
  <c r="I7" i="451"/>
  <c r="M5" i="451"/>
  <c r="I5" i="451"/>
  <c r="H5" i="451"/>
  <c r="G5" i="451"/>
  <c r="F5" i="451"/>
  <c r="E5" i="451"/>
  <c r="D5" i="451"/>
  <c r="C5" i="451"/>
  <c r="B5" i="451"/>
  <c r="H35" i="453" l="1"/>
  <c r="G36" i="453"/>
  <c r="M35" i="453"/>
  <c r="D75" i="53"/>
  <c r="H75" i="53"/>
  <c r="D8" i="451"/>
  <c r="D41" i="451" s="1"/>
  <c r="J41" i="451" s="1"/>
  <c r="F8" i="451"/>
  <c r="I39" i="451"/>
  <c r="H35" i="452"/>
  <c r="G36" i="452"/>
  <c r="M35" i="452"/>
  <c r="S10" i="451"/>
  <c r="J11" i="451"/>
  <c r="L10" i="451"/>
  <c r="S9" i="451"/>
  <c r="E40" i="451"/>
  <c r="G75" i="53" s="1"/>
  <c r="K9" i="451"/>
  <c r="L9" i="451"/>
  <c r="I37" i="451"/>
  <c r="E41" i="451"/>
  <c r="G40" i="451"/>
  <c r="I75" i="53" s="1"/>
  <c r="I74" i="354" s="1"/>
  <c r="I36" i="451"/>
  <c r="I35" i="451"/>
  <c r="I34" i="451"/>
  <c r="I33" i="451"/>
  <c r="I32" i="451"/>
  <c r="I31" i="451"/>
  <c r="I30" i="451"/>
  <c r="I29" i="451"/>
  <c r="I28" i="451"/>
  <c r="I27" i="451"/>
  <c r="I26" i="451"/>
  <c r="I25" i="451"/>
  <c r="I24" i="451"/>
  <c r="I23" i="451"/>
  <c r="I22" i="451"/>
  <c r="I21" i="451"/>
  <c r="I20" i="451"/>
  <c r="I19" i="451"/>
  <c r="I18" i="451"/>
  <c r="I17" i="451"/>
  <c r="I16" i="451"/>
  <c r="I15" i="451"/>
  <c r="I14" i="451"/>
  <c r="I9" i="451"/>
  <c r="I10" i="451"/>
  <c r="I11" i="451"/>
  <c r="I12" i="451"/>
  <c r="I13" i="451"/>
  <c r="I38" i="451"/>
  <c r="F93" i="355"/>
  <c r="H74" i="354" l="1"/>
  <c r="J75" i="53"/>
  <c r="H36" i="453"/>
  <c r="G37" i="453"/>
  <c r="M36" i="453"/>
  <c r="H36" i="452"/>
  <c r="G37" i="452"/>
  <c r="M36" i="452"/>
  <c r="K75" i="53"/>
  <c r="E83" i="355" s="1"/>
  <c r="H83" i="355" s="1"/>
  <c r="G74" i="354"/>
  <c r="K74" i="354" s="1"/>
  <c r="G41" i="451"/>
  <c r="K41" i="451" s="1"/>
  <c r="G8" i="451"/>
  <c r="K10" i="451"/>
  <c r="M9" i="451"/>
  <c r="J12" i="451"/>
  <c r="L11" i="451"/>
  <c r="S11" i="451"/>
  <c r="F98" i="355"/>
  <c r="F86" i="355"/>
  <c r="F80" i="355"/>
  <c r="H37" i="453" l="1"/>
  <c r="G38" i="453"/>
  <c r="M37" i="453"/>
  <c r="H37" i="452"/>
  <c r="G38" i="452"/>
  <c r="M37" i="452"/>
  <c r="S12" i="451"/>
  <c r="J13" i="451"/>
  <c r="L12" i="451"/>
  <c r="K11" i="451"/>
  <c r="M10" i="451"/>
  <c r="F24" i="355"/>
  <c r="H38" i="453" l="1"/>
  <c r="G39" i="453"/>
  <c r="M38" i="453"/>
  <c r="H38" i="452"/>
  <c r="G39" i="452"/>
  <c r="M38" i="452"/>
  <c r="K12" i="451"/>
  <c r="M11" i="451"/>
  <c r="S13" i="451"/>
  <c r="L13" i="451"/>
  <c r="J14" i="451"/>
  <c r="G40" i="453" l="1"/>
  <c r="H39" i="453"/>
  <c r="M39" i="453"/>
  <c r="G40" i="452"/>
  <c r="H39" i="452"/>
  <c r="M39" i="452"/>
  <c r="J15" i="451"/>
  <c r="L14" i="451"/>
  <c r="S14" i="451"/>
  <c r="K13" i="451"/>
  <c r="M12" i="451"/>
  <c r="K14" i="451" l="1"/>
  <c r="M13" i="451"/>
  <c r="S15" i="451"/>
  <c r="J16" i="451"/>
  <c r="L15" i="451"/>
  <c r="F73" i="355"/>
  <c r="F72" i="355"/>
  <c r="F71" i="355"/>
  <c r="F67" i="355"/>
  <c r="F26" i="355"/>
  <c r="F20" i="355"/>
  <c r="J17" i="451" l="1"/>
  <c r="L16" i="451"/>
  <c r="S16" i="451"/>
  <c r="K15" i="451"/>
  <c r="M14" i="451"/>
  <c r="K16" i="451" l="1"/>
  <c r="M15" i="451"/>
  <c r="S17" i="451"/>
  <c r="L17" i="451"/>
  <c r="J18" i="451"/>
  <c r="G23" i="355"/>
  <c r="G20" i="355"/>
  <c r="C19" i="355"/>
  <c r="C20" i="355"/>
  <c r="C21" i="355"/>
  <c r="C22" i="355"/>
  <c r="C23" i="355"/>
  <c r="C24" i="355"/>
  <c r="C25" i="355"/>
  <c r="C26" i="355"/>
  <c r="C27" i="355"/>
  <c r="C28" i="355"/>
  <c r="C29" i="355"/>
  <c r="C30" i="355"/>
  <c r="C31" i="355"/>
  <c r="C32" i="355"/>
  <c r="C33" i="355"/>
  <c r="C34" i="355"/>
  <c r="C35" i="355"/>
  <c r="C36" i="355"/>
  <c r="C37" i="355"/>
  <c r="C38" i="355"/>
  <c r="C39" i="355"/>
  <c r="C40" i="355"/>
  <c r="C41" i="355"/>
  <c r="C42" i="355"/>
  <c r="C43" i="355"/>
  <c r="C44" i="355"/>
  <c r="C45" i="355"/>
  <c r="C46" i="355"/>
  <c r="C47" i="355"/>
  <c r="C48" i="355"/>
  <c r="C49" i="355"/>
  <c r="C50" i="355"/>
  <c r="C51" i="355"/>
  <c r="C52" i="355"/>
  <c r="C53" i="355"/>
  <c r="C54" i="355"/>
  <c r="C55" i="355"/>
  <c r="C56" i="355"/>
  <c r="C57" i="355"/>
  <c r="C58" i="355"/>
  <c r="C59" i="355"/>
  <c r="C60" i="355"/>
  <c r="C61" i="355"/>
  <c r="C62" i="355"/>
  <c r="C63" i="355"/>
  <c r="C64" i="355"/>
  <c r="C65" i="355"/>
  <c r="C66" i="355"/>
  <c r="C67" i="355"/>
  <c r="C68" i="355"/>
  <c r="C69" i="355"/>
  <c r="C70" i="355"/>
  <c r="C71" i="355"/>
  <c r="C72" i="355"/>
  <c r="C73" i="355"/>
  <c r="C74" i="355"/>
  <c r="C75" i="355"/>
  <c r="C76" i="355"/>
  <c r="C77" i="355"/>
  <c r="C78" i="355"/>
  <c r="C79" i="355"/>
  <c r="C80" i="355"/>
  <c r="C81" i="355"/>
  <c r="C82" i="355"/>
  <c r="C84" i="355"/>
  <c r="C85" i="355"/>
  <c r="C86" i="355"/>
  <c r="C87" i="355"/>
  <c r="C88" i="355"/>
  <c r="C89" i="355"/>
  <c r="C90" i="355"/>
  <c r="C91" i="355"/>
  <c r="C92" i="355"/>
  <c r="C93" i="355"/>
  <c r="C94" i="355"/>
  <c r="C95" i="355"/>
  <c r="C96" i="355"/>
  <c r="C97" i="355"/>
  <c r="C98" i="355"/>
  <c r="C99" i="355"/>
  <c r="C100" i="355"/>
  <c r="C101" i="355"/>
  <c r="C102" i="355"/>
  <c r="C103" i="355"/>
  <c r="C104" i="355"/>
  <c r="C105" i="355"/>
  <c r="C106" i="355"/>
  <c r="C107" i="355"/>
  <c r="C108" i="355"/>
  <c r="C109" i="355"/>
  <c r="C110" i="355"/>
  <c r="C111" i="355"/>
  <c r="C112" i="355"/>
  <c r="C18" i="355"/>
  <c r="C117" i="355"/>
  <c r="B117" i="355"/>
  <c r="C116" i="355"/>
  <c r="B116" i="355"/>
  <c r="C115" i="355"/>
  <c r="B115" i="355"/>
  <c r="C114" i="355"/>
  <c r="B114" i="355"/>
  <c r="C113" i="355"/>
  <c r="B113" i="355"/>
  <c r="B21" i="355"/>
  <c r="B22" i="355"/>
  <c r="B23" i="355"/>
  <c r="B24" i="355"/>
  <c r="B25" i="355"/>
  <c r="B26" i="355"/>
  <c r="B27" i="355"/>
  <c r="B28" i="355"/>
  <c r="B29" i="355"/>
  <c r="B30" i="355"/>
  <c r="B31" i="355"/>
  <c r="B32" i="355"/>
  <c r="B33" i="355"/>
  <c r="B34" i="355"/>
  <c r="B35" i="355"/>
  <c r="B36" i="355"/>
  <c r="B37" i="355"/>
  <c r="B38" i="355"/>
  <c r="B39" i="355"/>
  <c r="B40" i="355"/>
  <c r="B41" i="355"/>
  <c r="B42" i="355"/>
  <c r="B43" i="355"/>
  <c r="B44" i="355"/>
  <c r="B45" i="355"/>
  <c r="B46" i="355"/>
  <c r="B47" i="355"/>
  <c r="B48" i="355"/>
  <c r="B49" i="355"/>
  <c r="B50" i="355"/>
  <c r="B51" i="355"/>
  <c r="B52" i="355"/>
  <c r="B53" i="355"/>
  <c r="B54" i="355"/>
  <c r="B55" i="355"/>
  <c r="B56" i="355"/>
  <c r="B57" i="355"/>
  <c r="B58" i="355"/>
  <c r="B59" i="355"/>
  <c r="B60" i="355"/>
  <c r="B61" i="355"/>
  <c r="B62" i="355"/>
  <c r="B63" i="355"/>
  <c r="B64" i="355"/>
  <c r="B65" i="355"/>
  <c r="B66" i="355"/>
  <c r="B67" i="355"/>
  <c r="B68" i="355"/>
  <c r="B69" i="355"/>
  <c r="B70" i="355"/>
  <c r="B71" i="355"/>
  <c r="B72" i="355"/>
  <c r="B73" i="355"/>
  <c r="B74" i="355"/>
  <c r="B76" i="355"/>
  <c r="B77" i="355"/>
  <c r="B78" i="355"/>
  <c r="B79" i="355"/>
  <c r="B80" i="355"/>
  <c r="B81" i="355"/>
  <c r="B82" i="355"/>
  <c r="B84" i="355"/>
  <c r="B85" i="355"/>
  <c r="B86" i="355"/>
  <c r="B90" i="355"/>
  <c r="B91" i="355"/>
  <c r="B92" i="355"/>
  <c r="B93" i="355"/>
  <c r="B94" i="355"/>
  <c r="B95" i="355"/>
  <c r="B96" i="355"/>
  <c r="B97" i="355"/>
  <c r="B98" i="355"/>
  <c r="B99" i="355"/>
  <c r="B100" i="355"/>
  <c r="B101" i="355"/>
  <c r="B102" i="355"/>
  <c r="B103" i="355"/>
  <c r="B104" i="355"/>
  <c r="B105" i="355"/>
  <c r="B106" i="355"/>
  <c r="B107" i="355"/>
  <c r="B108" i="355"/>
  <c r="B109" i="355"/>
  <c r="B110" i="355"/>
  <c r="B111" i="355"/>
  <c r="B112" i="355"/>
  <c r="B19" i="355"/>
  <c r="B20" i="355"/>
  <c r="B18" i="355"/>
  <c r="J19" i="451" l="1"/>
  <c r="L18" i="451"/>
  <c r="S18" i="451"/>
  <c r="K17" i="451"/>
  <c r="M16" i="451"/>
  <c r="N18" i="421"/>
  <c r="N28" i="421"/>
  <c r="N35" i="421"/>
  <c r="N41" i="421"/>
  <c r="N44" i="421"/>
  <c r="N47" i="421"/>
  <c r="N49" i="421"/>
  <c r="N57" i="421"/>
  <c r="N66" i="421"/>
  <c r="N67" i="421"/>
  <c r="N68" i="421"/>
  <c r="N71" i="421"/>
  <c r="N72" i="421"/>
  <c r="N85" i="421"/>
  <c r="N87" i="421"/>
  <c r="N103" i="421"/>
  <c r="S19" i="451" l="1"/>
  <c r="J20" i="451"/>
  <c r="L19" i="451"/>
  <c r="K18" i="451"/>
  <c r="M17" i="451"/>
  <c r="G107" i="354"/>
  <c r="C105" i="421"/>
  <c r="D105" i="421"/>
  <c r="C106" i="421"/>
  <c r="D106" i="421"/>
  <c r="C107" i="421"/>
  <c r="D107" i="421"/>
  <c r="C108" i="421"/>
  <c r="D108" i="421"/>
  <c r="B105" i="421"/>
  <c r="B106" i="421"/>
  <c r="B107" i="421"/>
  <c r="B108" i="421"/>
  <c r="D18" i="421"/>
  <c r="D19" i="421"/>
  <c r="D20" i="421"/>
  <c r="D21" i="421"/>
  <c r="D22" i="421"/>
  <c r="D23" i="421"/>
  <c r="D24" i="421"/>
  <c r="D25" i="421"/>
  <c r="D26" i="421"/>
  <c r="D27" i="421"/>
  <c r="D28" i="421"/>
  <c r="D29" i="421"/>
  <c r="D30" i="421"/>
  <c r="D31" i="421"/>
  <c r="D32" i="421"/>
  <c r="D33" i="421"/>
  <c r="D34" i="421"/>
  <c r="D35" i="421"/>
  <c r="D36" i="421"/>
  <c r="D37" i="421"/>
  <c r="D38" i="421"/>
  <c r="D39" i="421"/>
  <c r="D40" i="421"/>
  <c r="D41" i="421"/>
  <c r="D42" i="421"/>
  <c r="D43" i="421"/>
  <c r="D44" i="421"/>
  <c r="D45" i="421"/>
  <c r="D46" i="421"/>
  <c r="D47" i="421"/>
  <c r="D48" i="421"/>
  <c r="D49" i="421"/>
  <c r="D50" i="421"/>
  <c r="D51" i="421"/>
  <c r="D52" i="421"/>
  <c r="D53" i="421"/>
  <c r="D54" i="421"/>
  <c r="D55" i="421"/>
  <c r="D56" i="421"/>
  <c r="D57" i="421"/>
  <c r="D58" i="421"/>
  <c r="D59" i="421"/>
  <c r="D60" i="421"/>
  <c r="D61" i="421"/>
  <c r="D62" i="421"/>
  <c r="D63" i="421"/>
  <c r="D64" i="421"/>
  <c r="D65" i="421"/>
  <c r="D66" i="421"/>
  <c r="D67" i="421"/>
  <c r="D68" i="421"/>
  <c r="D69" i="421"/>
  <c r="D70" i="421"/>
  <c r="D71" i="421"/>
  <c r="D72" i="421"/>
  <c r="D73" i="421"/>
  <c r="D74" i="421"/>
  <c r="D75" i="421"/>
  <c r="D76" i="421"/>
  <c r="D77" i="421"/>
  <c r="D78" i="421"/>
  <c r="D79" i="421"/>
  <c r="D80" i="421"/>
  <c r="D81" i="421"/>
  <c r="D82" i="421"/>
  <c r="D83" i="421"/>
  <c r="D84" i="421"/>
  <c r="D85" i="421"/>
  <c r="D86" i="421"/>
  <c r="D87" i="421"/>
  <c r="D88" i="421"/>
  <c r="D89" i="421"/>
  <c r="D90" i="421"/>
  <c r="D91" i="421"/>
  <c r="D92" i="421"/>
  <c r="D93" i="421"/>
  <c r="D94" i="421"/>
  <c r="D95" i="421"/>
  <c r="D96" i="421"/>
  <c r="D97" i="421"/>
  <c r="D98" i="421"/>
  <c r="D99" i="421"/>
  <c r="D100" i="421"/>
  <c r="D101" i="421"/>
  <c r="D102" i="421"/>
  <c r="D103" i="421"/>
  <c r="D104" i="421"/>
  <c r="C18" i="421"/>
  <c r="C19" i="421"/>
  <c r="C20" i="421"/>
  <c r="C21" i="421"/>
  <c r="C22" i="421"/>
  <c r="C23" i="421"/>
  <c r="C24" i="421"/>
  <c r="C25" i="421"/>
  <c r="C26" i="421"/>
  <c r="C27" i="421"/>
  <c r="C28" i="421"/>
  <c r="C29" i="421"/>
  <c r="C30" i="421"/>
  <c r="C31" i="421"/>
  <c r="C32" i="421"/>
  <c r="C33" i="421"/>
  <c r="C34" i="421"/>
  <c r="C35" i="421"/>
  <c r="C36" i="421"/>
  <c r="C37" i="421"/>
  <c r="C38" i="421"/>
  <c r="C39" i="421"/>
  <c r="C40" i="421"/>
  <c r="C41" i="421"/>
  <c r="C42" i="421"/>
  <c r="C43" i="421"/>
  <c r="C44" i="421"/>
  <c r="C45" i="421"/>
  <c r="C46" i="421"/>
  <c r="C47" i="421"/>
  <c r="C48" i="421"/>
  <c r="C49" i="421"/>
  <c r="C50" i="421"/>
  <c r="C51" i="421"/>
  <c r="C52" i="421"/>
  <c r="C53" i="421"/>
  <c r="C54" i="421"/>
  <c r="C55" i="421"/>
  <c r="C56" i="421"/>
  <c r="C57" i="421"/>
  <c r="C58" i="421"/>
  <c r="C59" i="421"/>
  <c r="C60" i="421"/>
  <c r="C61" i="421"/>
  <c r="C62" i="421"/>
  <c r="C63" i="421"/>
  <c r="C64" i="421"/>
  <c r="C65" i="421"/>
  <c r="C66" i="421"/>
  <c r="C67" i="421"/>
  <c r="C68" i="421"/>
  <c r="C69" i="421"/>
  <c r="C70" i="421"/>
  <c r="C71" i="421"/>
  <c r="C72" i="421"/>
  <c r="C73" i="421"/>
  <c r="C74" i="421"/>
  <c r="C75" i="421"/>
  <c r="C76" i="421"/>
  <c r="C77" i="421"/>
  <c r="C78" i="421"/>
  <c r="C79" i="421"/>
  <c r="C80" i="421"/>
  <c r="C81" i="421"/>
  <c r="C82" i="421"/>
  <c r="C83" i="421"/>
  <c r="C84" i="421"/>
  <c r="C85" i="421"/>
  <c r="C86" i="421"/>
  <c r="C87" i="421"/>
  <c r="C88" i="421"/>
  <c r="C89" i="421"/>
  <c r="C90" i="421"/>
  <c r="C91" i="421"/>
  <c r="C92" i="421"/>
  <c r="C93" i="421"/>
  <c r="C94" i="421"/>
  <c r="C95" i="421"/>
  <c r="C96" i="421"/>
  <c r="C97" i="421"/>
  <c r="C98" i="421"/>
  <c r="C99" i="421"/>
  <c r="C100" i="421"/>
  <c r="C101" i="421"/>
  <c r="C102" i="421"/>
  <c r="C103" i="421"/>
  <c r="C104" i="421"/>
  <c r="C17" i="421"/>
  <c r="B18" i="421"/>
  <c r="B19" i="421"/>
  <c r="B20" i="421"/>
  <c r="B21" i="421"/>
  <c r="B22" i="421"/>
  <c r="B23" i="421"/>
  <c r="B24" i="421"/>
  <c r="B25" i="421"/>
  <c r="B26" i="421"/>
  <c r="B27" i="421"/>
  <c r="B28" i="421"/>
  <c r="B29" i="421"/>
  <c r="B30" i="421"/>
  <c r="B31" i="421"/>
  <c r="B32" i="421"/>
  <c r="B33" i="421"/>
  <c r="B34" i="421"/>
  <c r="B35" i="421"/>
  <c r="B36" i="421"/>
  <c r="B37" i="421"/>
  <c r="B38" i="421"/>
  <c r="B39" i="421"/>
  <c r="B40" i="421"/>
  <c r="B41" i="421"/>
  <c r="B42" i="421"/>
  <c r="B43" i="421"/>
  <c r="B44" i="421"/>
  <c r="B45" i="421"/>
  <c r="B46" i="421"/>
  <c r="B47" i="421"/>
  <c r="B48" i="421"/>
  <c r="B49" i="421"/>
  <c r="B50" i="421"/>
  <c r="B51" i="421"/>
  <c r="B52" i="421"/>
  <c r="B53" i="421"/>
  <c r="B54" i="421"/>
  <c r="B55" i="421"/>
  <c r="B56" i="421"/>
  <c r="B57" i="421"/>
  <c r="B58" i="421"/>
  <c r="B59" i="421"/>
  <c r="B60" i="421"/>
  <c r="B61" i="421"/>
  <c r="B62" i="421"/>
  <c r="B63" i="421"/>
  <c r="B64" i="421"/>
  <c r="B65" i="421"/>
  <c r="B66" i="421"/>
  <c r="B67" i="421"/>
  <c r="B68" i="421"/>
  <c r="B69" i="421"/>
  <c r="B70" i="421"/>
  <c r="B71" i="421"/>
  <c r="B72" i="421"/>
  <c r="B73" i="421"/>
  <c r="B76" i="421"/>
  <c r="B77" i="421"/>
  <c r="B78" i="421"/>
  <c r="B79" i="421"/>
  <c r="B80" i="421"/>
  <c r="B81" i="421"/>
  <c r="B82" i="421"/>
  <c r="B83" i="421"/>
  <c r="B84" i="421"/>
  <c r="B85" i="421"/>
  <c r="B86" i="421"/>
  <c r="B87" i="421"/>
  <c r="B88" i="421"/>
  <c r="B89" i="421"/>
  <c r="B90" i="421"/>
  <c r="B91" i="421"/>
  <c r="B92" i="421"/>
  <c r="B93" i="421"/>
  <c r="B94" i="421"/>
  <c r="B95" i="421"/>
  <c r="B96" i="421"/>
  <c r="B97" i="421"/>
  <c r="B98" i="421"/>
  <c r="B99" i="421"/>
  <c r="B100" i="421"/>
  <c r="B101" i="421"/>
  <c r="B102" i="421"/>
  <c r="B103" i="421"/>
  <c r="B104" i="421"/>
  <c r="B17" i="421"/>
  <c r="K19" i="451" l="1"/>
  <c r="M18" i="451"/>
  <c r="J21" i="451"/>
  <c r="L20" i="451"/>
  <c r="S20" i="451"/>
  <c r="S21" i="451" l="1"/>
  <c r="L21" i="451"/>
  <c r="J22" i="451"/>
  <c r="K20" i="451"/>
  <c r="M19" i="451"/>
  <c r="K21" i="451" l="1"/>
  <c r="M20" i="451"/>
  <c r="J23" i="451"/>
  <c r="L22" i="451"/>
  <c r="S22" i="451"/>
  <c r="S23" i="451" l="1"/>
  <c r="J24" i="451"/>
  <c r="L23" i="451"/>
  <c r="K22" i="451"/>
  <c r="M21" i="451"/>
  <c r="K23" i="451" l="1"/>
  <c r="M22" i="451"/>
  <c r="J25" i="451"/>
  <c r="L24" i="451"/>
  <c r="S24" i="451"/>
  <c r="S25" i="451" l="1"/>
  <c r="J26" i="451"/>
  <c r="L25" i="451"/>
  <c r="K24" i="451"/>
  <c r="M23" i="451"/>
  <c r="K25" i="451" l="1"/>
  <c r="M24" i="451"/>
  <c r="J27" i="451"/>
  <c r="L26" i="451"/>
  <c r="S26" i="451"/>
  <c r="S27" i="451" l="1"/>
  <c r="J28" i="451"/>
  <c r="L27" i="451"/>
  <c r="K26" i="451"/>
  <c r="M25" i="451"/>
  <c r="K27" i="451" l="1"/>
  <c r="M26" i="451"/>
  <c r="J29" i="451"/>
  <c r="L28" i="451"/>
  <c r="S28" i="451"/>
  <c r="S29" i="451" l="1"/>
  <c r="J30" i="451"/>
  <c r="L29" i="451"/>
  <c r="K28" i="451"/>
  <c r="M27" i="451"/>
  <c r="K29" i="451" l="1"/>
  <c r="M28" i="451"/>
  <c r="J31" i="451"/>
  <c r="L30" i="451"/>
  <c r="S30" i="451"/>
  <c r="S31" i="451" l="1"/>
  <c r="J32" i="451"/>
  <c r="L31" i="451"/>
  <c r="K30" i="451"/>
  <c r="M29" i="451"/>
  <c r="K31" i="451" l="1"/>
  <c r="M30" i="451"/>
  <c r="J33" i="451"/>
  <c r="L32" i="451"/>
  <c r="S32" i="451"/>
  <c r="S33" i="451" l="1"/>
  <c r="J34" i="451"/>
  <c r="L33" i="451"/>
  <c r="K32" i="451"/>
  <c r="M31" i="451"/>
  <c r="K33" i="451" l="1"/>
  <c r="M32" i="451"/>
  <c r="J35" i="451"/>
  <c r="L34" i="451"/>
  <c r="S34" i="451"/>
  <c r="S35" i="451" l="1"/>
  <c r="J36" i="451"/>
  <c r="L35" i="451"/>
  <c r="K34" i="451"/>
  <c r="M33" i="451"/>
  <c r="K35" i="451" l="1"/>
  <c r="M34" i="451"/>
  <c r="J37" i="451"/>
  <c r="L36" i="451"/>
  <c r="S36" i="451"/>
  <c r="J38" i="451" l="1"/>
  <c r="S37" i="451"/>
  <c r="L37" i="451"/>
  <c r="K36" i="451"/>
  <c r="M35" i="451"/>
  <c r="M36" i="451" l="1"/>
  <c r="K37" i="451"/>
  <c r="J39" i="451"/>
  <c r="S38" i="451"/>
  <c r="L38" i="451"/>
  <c r="K38" i="451" l="1"/>
  <c r="M37" i="451"/>
  <c r="S39" i="451"/>
  <c r="L39" i="451"/>
  <c r="J40" i="451"/>
  <c r="L38" i="341"/>
  <c r="L141" i="53"/>
  <c r="D141" i="53"/>
  <c r="D38" i="341" s="1"/>
  <c r="E201" i="354" s="1"/>
  <c r="B141" i="53"/>
  <c r="B38" i="341" s="1"/>
  <c r="L40" i="450"/>
  <c r="K40" i="450"/>
  <c r="J40" i="450"/>
  <c r="I40" i="450"/>
  <c r="B39" i="450"/>
  <c r="B38" i="450"/>
  <c r="B37" i="450"/>
  <c r="B36" i="450"/>
  <c r="B35" i="450"/>
  <c r="B34" i="450"/>
  <c r="B33" i="450"/>
  <c r="B32" i="450"/>
  <c r="B31" i="450"/>
  <c r="B30" i="450"/>
  <c r="B29" i="450"/>
  <c r="B28" i="450"/>
  <c r="B27" i="450"/>
  <c r="B26" i="450"/>
  <c r="B25" i="450"/>
  <c r="B24" i="450"/>
  <c r="B23" i="450"/>
  <c r="B22" i="450"/>
  <c r="B21" i="450"/>
  <c r="D40" i="450"/>
  <c r="F141" i="53" s="1"/>
  <c r="F38" i="341" s="1"/>
  <c r="G201" i="354" s="1"/>
  <c r="B20" i="450"/>
  <c r="B19" i="450"/>
  <c r="B18" i="450"/>
  <c r="B17" i="450"/>
  <c r="B16" i="450"/>
  <c r="B15" i="450"/>
  <c r="B14" i="450"/>
  <c r="B13" i="450"/>
  <c r="B12" i="450"/>
  <c r="B11" i="450"/>
  <c r="B10" i="450"/>
  <c r="B9" i="450"/>
  <c r="D8" i="450"/>
  <c r="I5" i="450"/>
  <c r="G5" i="450"/>
  <c r="F5" i="450"/>
  <c r="E5" i="450"/>
  <c r="D5" i="450"/>
  <c r="C5" i="450"/>
  <c r="B5" i="450"/>
  <c r="C4" i="450"/>
  <c r="K39" i="451" l="1"/>
  <c r="M38" i="451"/>
  <c r="E40" i="450"/>
  <c r="H141" i="53" s="1"/>
  <c r="D41" i="450"/>
  <c r="M9" i="450"/>
  <c r="E41" i="450" l="1"/>
  <c r="K40" i="451"/>
  <c r="M39" i="451"/>
  <c r="J141" i="53"/>
  <c r="M141" i="53" s="1"/>
  <c r="H38" i="341"/>
  <c r="E8" i="450"/>
  <c r="F39" i="450" s="1"/>
  <c r="G41" i="450"/>
  <c r="M10" i="450"/>
  <c r="I201" i="354" l="1"/>
  <c r="J38" i="341"/>
  <c r="M38" i="341" s="1"/>
  <c r="M11" i="450"/>
  <c r="K201" i="354" l="1"/>
  <c r="N108" i="421" s="1"/>
  <c r="L201" i="354"/>
  <c r="G108" i="421"/>
  <c r="P108" i="421" s="1"/>
  <c r="M12" i="450"/>
  <c r="M13" i="450" l="1"/>
  <c r="M14" i="450" l="1"/>
  <c r="M15" i="450" l="1"/>
  <c r="M16" i="450" l="1"/>
  <c r="M17" i="450" l="1"/>
  <c r="M18" i="450" l="1"/>
  <c r="M19" i="450" l="1"/>
  <c r="M20" i="450" l="1"/>
  <c r="M21" i="450" l="1"/>
  <c r="M22" i="450" l="1"/>
  <c r="M23" i="450" l="1"/>
  <c r="M24" i="450" l="1"/>
  <c r="M25" i="450" l="1"/>
  <c r="M26" i="450" l="1"/>
  <c r="M27" i="450" l="1"/>
  <c r="M28" i="450" l="1"/>
  <c r="M29" i="450" l="1"/>
  <c r="M30" i="450" l="1"/>
  <c r="L174" i="53"/>
  <c r="L71" i="341"/>
  <c r="D71" i="341"/>
  <c r="B71" i="341"/>
  <c r="B174" i="53" s="1"/>
  <c r="L40" i="449"/>
  <c r="K40" i="449"/>
  <c r="J40" i="449"/>
  <c r="I40" i="449"/>
  <c r="D40" i="449"/>
  <c r="F71" i="341" s="1"/>
  <c r="E39" i="449"/>
  <c r="B39" i="449"/>
  <c r="E38" i="449"/>
  <c r="B38" i="449"/>
  <c r="E37" i="449"/>
  <c r="B37" i="449"/>
  <c r="E36" i="449"/>
  <c r="B36" i="449"/>
  <c r="E35" i="449"/>
  <c r="B35" i="449"/>
  <c r="E34" i="449"/>
  <c r="B34" i="449"/>
  <c r="E33" i="449"/>
  <c r="B33" i="449"/>
  <c r="E32" i="449"/>
  <c r="B32" i="449"/>
  <c r="E31" i="449"/>
  <c r="B31" i="449"/>
  <c r="E30" i="449"/>
  <c r="B30" i="449"/>
  <c r="E29" i="449"/>
  <c r="B29" i="449"/>
  <c r="E28" i="449"/>
  <c r="B28" i="449"/>
  <c r="E27" i="449"/>
  <c r="B27" i="449"/>
  <c r="E26" i="449"/>
  <c r="B26" i="449"/>
  <c r="E25" i="449"/>
  <c r="B25" i="449"/>
  <c r="E24" i="449"/>
  <c r="B24" i="449"/>
  <c r="E23" i="449"/>
  <c r="B23" i="449"/>
  <c r="E22" i="449"/>
  <c r="B22" i="449"/>
  <c r="E21" i="449"/>
  <c r="B21" i="449"/>
  <c r="E20" i="449"/>
  <c r="B20" i="449"/>
  <c r="E19" i="449"/>
  <c r="B19" i="449"/>
  <c r="E18" i="449"/>
  <c r="B18" i="449"/>
  <c r="E17" i="449"/>
  <c r="B17" i="449"/>
  <c r="E16" i="449"/>
  <c r="B16" i="449"/>
  <c r="E15" i="449"/>
  <c r="B15" i="449"/>
  <c r="E14" i="449"/>
  <c r="B14" i="449"/>
  <c r="E13" i="449"/>
  <c r="B13" i="449"/>
  <c r="E12" i="449"/>
  <c r="B12" i="449"/>
  <c r="E11" i="449"/>
  <c r="B11" i="449"/>
  <c r="E10" i="449"/>
  <c r="B10" i="449"/>
  <c r="F9" i="449"/>
  <c r="F38" i="449" s="1"/>
  <c r="E9" i="449"/>
  <c r="B9" i="449"/>
  <c r="D8" i="449"/>
  <c r="I5" i="449"/>
  <c r="G5" i="449"/>
  <c r="F5" i="449"/>
  <c r="E5" i="449"/>
  <c r="D5" i="449"/>
  <c r="C5" i="449"/>
  <c r="B5" i="449"/>
  <c r="C4" i="449"/>
  <c r="D41" i="449" l="1"/>
  <c r="D174" i="53"/>
  <c r="E200" i="354"/>
  <c r="F174" i="53"/>
  <c r="G200" i="354"/>
  <c r="M31" i="450"/>
  <c r="E40" i="449"/>
  <c r="G9" i="449"/>
  <c r="F10" i="449"/>
  <c r="F11" i="449"/>
  <c r="F12" i="449"/>
  <c r="F13" i="449"/>
  <c r="F14" i="449"/>
  <c r="F15" i="449"/>
  <c r="F16" i="449"/>
  <c r="F17" i="449"/>
  <c r="F18" i="449"/>
  <c r="F19" i="449"/>
  <c r="F20" i="449"/>
  <c r="F21" i="449"/>
  <c r="F22" i="449"/>
  <c r="F23" i="449"/>
  <c r="F24" i="449"/>
  <c r="F25" i="449"/>
  <c r="F26" i="449"/>
  <c r="F27" i="449"/>
  <c r="F28" i="449"/>
  <c r="F29" i="449"/>
  <c r="F30" i="449"/>
  <c r="F31" i="449"/>
  <c r="F32" i="449"/>
  <c r="F33" i="449"/>
  <c r="F34" i="449"/>
  <c r="F35" i="449"/>
  <c r="F36" i="449"/>
  <c r="F37" i="449"/>
  <c r="M32" i="450" l="1"/>
  <c r="H71" i="341"/>
  <c r="I200" i="354" s="1"/>
  <c r="E8" i="449"/>
  <c r="F39" i="449" s="1"/>
  <c r="E41" i="449"/>
  <c r="G41" i="449" s="1"/>
  <c r="H9" i="449"/>
  <c r="M9" i="449"/>
  <c r="G10" i="449"/>
  <c r="K200" i="354" l="1"/>
  <c r="N107" i="421" s="1"/>
  <c r="L200" i="354"/>
  <c r="G107" i="421"/>
  <c r="P107" i="421" s="1"/>
  <c r="M33" i="450"/>
  <c r="H174" i="53"/>
  <c r="J174" i="53" s="1"/>
  <c r="M174" i="53" s="1"/>
  <c r="J71" i="341"/>
  <c r="M71" i="341" s="1"/>
  <c r="H10" i="449"/>
  <c r="M10" i="449"/>
  <c r="G11" i="449"/>
  <c r="M34" i="450" l="1"/>
  <c r="H11" i="449"/>
  <c r="M11" i="449"/>
  <c r="G12" i="449"/>
  <c r="M35" i="450" l="1"/>
  <c r="H12" i="449"/>
  <c r="M12" i="449"/>
  <c r="G13" i="449"/>
  <c r="M36" i="450" l="1"/>
  <c r="H13" i="449"/>
  <c r="M13" i="449"/>
  <c r="G14" i="449"/>
  <c r="M37" i="450" l="1"/>
  <c r="H14" i="449"/>
  <c r="M14" i="449"/>
  <c r="G15" i="449"/>
  <c r="M38" i="450" l="1"/>
  <c r="H15" i="449"/>
  <c r="M15" i="449"/>
  <c r="G16" i="449"/>
  <c r="G40" i="450" l="1"/>
  <c r="M39" i="450"/>
  <c r="H16" i="449"/>
  <c r="M16" i="449"/>
  <c r="G17" i="449"/>
  <c r="H17" i="449" l="1"/>
  <c r="M17" i="449"/>
  <c r="G18" i="449"/>
  <c r="H18" i="449" l="1"/>
  <c r="M18" i="449"/>
  <c r="G19" i="449"/>
  <c r="H19" i="449" l="1"/>
  <c r="M19" i="449"/>
  <c r="G20" i="449"/>
  <c r="H20" i="449" l="1"/>
  <c r="M20" i="449"/>
  <c r="G21" i="449"/>
  <c r="H21" i="449" l="1"/>
  <c r="M21" i="449"/>
  <c r="G22" i="449"/>
  <c r="L221" i="53"/>
  <c r="L107" i="341"/>
  <c r="D107" i="341"/>
  <c r="E199" i="354" s="1"/>
  <c r="B107" i="341"/>
  <c r="B221" i="53" s="1"/>
  <c r="L40" i="448"/>
  <c r="K40" i="448"/>
  <c r="J40" i="448"/>
  <c r="I40" i="448"/>
  <c r="D40" i="448"/>
  <c r="E39" i="448"/>
  <c r="B39" i="448"/>
  <c r="E38" i="448"/>
  <c r="B38" i="448"/>
  <c r="E37" i="448"/>
  <c r="B37" i="448"/>
  <c r="E36" i="448"/>
  <c r="B36" i="448"/>
  <c r="E35" i="448"/>
  <c r="B35" i="448"/>
  <c r="E34" i="448"/>
  <c r="B34" i="448"/>
  <c r="E33" i="448"/>
  <c r="B33" i="448"/>
  <c r="E32" i="448"/>
  <c r="B32" i="448"/>
  <c r="E31" i="448"/>
  <c r="B31" i="448"/>
  <c r="E30" i="448"/>
  <c r="B30" i="448"/>
  <c r="E29" i="448"/>
  <c r="B29" i="448"/>
  <c r="E28" i="448"/>
  <c r="B28" i="448"/>
  <c r="E27" i="448"/>
  <c r="B27" i="448"/>
  <c r="E26" i="448"/>
  <c r="B26" i="448"/>
  <c r="E25" i="448"/>
  <c r="B25" i="448"/>
  <c r="E24" i="448"/>
  <c r="B24" i="448"/>
  <c r="E23" i="448"/>
  <c r="B23" i="448"/>
  <c r="E22" i="448"/>
  <c r="B22" i="448"/>
  <c r="E21" i="448"/>
  <c r="B21" i="448"/>
  <c r="E20" i="448"/>
  <c r="B20" i="448"/>
  <c r="E19" i="448"/>
  <c r="B19" i="448"/>
  <c r="E18" i="448"/>
  <c r="B18" i="448"/>
  <c r="E17" i="448"/>
  <c r="B17" i="448"/>
  <c r="E16" i="448"/>
  <c r="B16" i="448"/>
  <c r="E15" i="448"/>
  <c r="B15" i="448"/>
  <c r="E14" i="448"/>
  <c r="B14" i="448"/>
  <c r="E13" i="448"/>
  <c r="B13" i="448"/>
  <c r="E12" i="448"/>
  <c r="B12" i="448"/>
  <c r="E11" i="448"/>
  <c r="B11" i="448"/>
  <c r="E10" i="448"/>
  <c r="B10" i="448"/>
  <c r="F9" i="448"/>
  <c r="F38" i="448" s="1"/>
  <c r="E9" i="448"/>
  <c r="B9" i="448"/>
  <c r="D8" i="448"/>
  <c r="I5" i="448"/>
  <c r="G5" i="448"/>
  <c r="F5" i="448"/>
  <c r="E5" i="448"/>
  <c r="D5" i="448"/>
  <c r="C5" i="448"/>
  <c r="B5" i="448"/>
  <c r="C4" i="448"/>
  <c r="H22" i="449" l="1"/>
  <c r="M22" i="449"/>
  <c r="G23" i="449"/>
  <c r="D221" i="53"/>
  <c r="D41" i="448"/>
  <c r="F107" i="341"/>
  <c r="E40" i="448"/>
  <c r="H107" i="341" s="1"/>
  <c r="G9" i="448"/>
  <c r="F10" i="448"/>
  <c r="F11" i="448"/>
  <c r="F12" i="448"/>
  <c r="F13" i="448"/>
  <c r="F14" i="448"/>
  <c r="F15" i="448"/>
  <c r="F16" i="448"/>
  <c r="F17" i="448"/>
  <c r="F18" i="448"/>
  <c r="F19" i="448"/>
  <c r="F20" i="448"/>
  <c r="F21" i="448"/>
  <c r="F22" i="448"/>
  <c r="F23" i="448"/>
  <c r="F24" i="448"/>
  <c r="F25" i="448"/>
  <c r="F26" i="448"/>
  <c r="F27" i="448"/>
  <c r="F28" i="448"/>
  <c r="F29" i="448"/>
  <c r="F30" i="448"/>
  <c r="F31" i="448"/>
  <c r="F32" i="448"/>
  <c r="F33" i="448"/>
  <c r="F34" i="448"/>
  <c r="F35" i="448"/>
  <c r="F36" i="448"/>
  <c r="F37" i="448"/>
  <c r="H23" i="449" l="1"/>
  <c r="M23" i="449"/>
  <c r="G24" i="449"/>
  <c r="I199" i="354"/>
  <c r="H221" i="53"/>
  <c r="G199" i="354"/>
  <c r="K199" i="354" s="1"/>
  <c r="N106" i="421" s="1"/>
  <c r="F221" i="53"/>
  <c r="J221" i="53" s="1"/>
  <c r="M221" i="53" s="1"/>
  <c r="J107" i="341"/>
  <c r="M107" i="341" s="1"/>
  <c r="H9" i="448"/>
  <c r="G10" i="448"/>
  <c r="M9" i="448"/>
  <c r="E41" i="448"/>
  <c r="G41" i="448" s="1"/>
  <c r="E8" i="448"/>
  <c r="F39" i="448" s="1"/>
  <c r="G106" i="421" l="1"/>
  <c r="P106" i="421" s="1"/>
  <c r="H24" i="449"/>
  <c r="M24" i="449"/>
  <c r="G25" i="449"/>
  <c r="H10" i="448"/>
  <c r="G11" i="448"/>
  <c r="M10" i="448"/>
  <c r="H25" i="449" l="1"/>
  <c r="M25" i="449"/>
  <c r="G26" i="449"/>
  <c r="H11" i="448"/>
  <c r="G12" i="448"/>
  <c r="M11" i="448"/>
  <c r="H26" i="449" l="1"/>
  <c r="M26" i="449"/>
  <c r="G27" i="449"/>
  <c r="H12" i="448"/>
  <c r="G13" i="448"/>
  <c r="M12" i="448"/>
  <c r="H27" i="449" l="1"/>
  <c r="M27" i="449"/>
  <c r="G28" i="449"/>
  <c r="H13" i="448"/>
  <c r="G14" i="448"/>
  <c r="M13" i="448"/>
  <c r="H28" i="449" l="1"/>
  <c r="M28" i="449"/>
  <c r="G29" i="449"/>
  <c r="H14" i="448"/>
  <c r="G15" i="448"/>
  <c r="M14" i="448"/>
  <c r="H29" i="449" l="1"/>
  <c r="M29" i="449"/>
  <c r="G30" i="449"/>
  <c r="H15" i="448"/>
  <c r="G16" i="448"/>
  <c r="M15" i="448"/>
  <c r="H30" i="449" l="1"/>
  <c r="G31" i="449"/>
  <c r="M30" i="449"/>
  <c r="H16" i="448"/>
  <c r="G17" i="448"/>
  <c r="M16" i="448"/>
  <c r="H31" i="449" l="1"/>
  <c r="G32" i="449"/>
  <c r="M31" i="449"/>
  <c r="H17" i="448"/>
  <c r="G18" i="448"/>
  <c r="M17" i="448"/>
  <c r="H32" i="449" l="1"/>
  <c r="G33" i="449"/>
  <c r="M32" i="449"/>
  <c r="H18" i="448"/>
  <c r="G19" i="448"/>
  <c r="M18" i="448"/>
  <c r="H33" i="449" l="1"/>
  <c r="G34" i="449"/>
  <c r="M33" i="449"/>
  <c r="H19" i="448"/>
  <c r="G20" i="448"/>
  <c r="M19" i="448"/>
  <c r="H34" i="449" l="1"/>
  <c r="G35" i="449"/>
  <c r="M34" i="449"/>
  <c r="H20" i="448"/>
  <c r="G21" i="448"/>
  <c r="M20" i="448"/>
  <c r="H35" i="449" l="1"/>
  <c r="G36" i="449"/>
  <c r="M35" i="449"/>
  <c r="H21" i="448"/>
  <c r="G22" i="448"/>
  <c r="M21" i="448"/>
  <c r="H36" i="449" l="1"/>
  <c r="G37" i="449"/>
  <c r="M36" i="449"/>
  <c r="H22" i="448"/>
  <c r="G23" i="448"/>
  <c r="M22" i="448"/>
  <c r="H37" i="449" l="1"/>
  <c r="G38" i="449"/>
  <c r="M37" i="449"/>
  <c r="H23" i="448"/>
  <c r="G24" i="448"/>
  <c r="M23" i="448"/>
  <c r="H38" i="449" l="1"/>
  <c r="G39" i="449"/>
  <c r="M38" i="449"/>
  <c r="H24" i="448"/>
  <c r="G25" i="448"/>
  <c r="M24" i="448"/>
  <c r="G40" i="449" l="1"/>
  <c r="H39" i="449"/>
  <c r="M39" i="449"/>
  <c r="H25" i="448"/>
  <c r="G26" i="448"/>
  <c r="M25" i="448"/>
  <c r="H26" i="448" l="1"/>
  <c r="G27" i="448"/>
  <c r="M26" i="448"/>
  <c r="H27" i="448" l="1"/>
  <c r="G28" i="448"/>
  <c r="M27" i="448"/>
  <c r="H28" i="448" l="1"/>
  <c r="G29" i="448"/>
  <c r="M28" i="448"/>
  <c r="H29" i="448" l="1"/>
  <c r="G30" i="448"/>
  <c r="M29" i="448"/>
  <c r="L86" i="341"/>
  <c r="L200" i="53"/>
  <c r="D200" i="53"/>
  <c r="D86" i="341" s="1"/>
  <c r="E198" i="354" s="1"/>
  <c r="B200" i="53"/>
  <c r="B86" i="341" s="1"/>
  <c r="L40" i="447"/>
  <c r="K40" i="447"/>
  <c r="J40" i="447"/>
  <c r="I40" i="447"/>
  <c r="E39" i="447"/>
  <c r="B39" i="447"/>
  <c r="E38" i="447"/>
  <c r="B38" i="447"/>
  <c r="E37" i="447"/>
  <c r="B37" i="447"/>
  <c r="E36" i="447"/>
  <c r="B36" i="447"/>
  <c r="E35" i="447"/>
  <c r="B35" i="447"/>
  <c r="E34" i="447"/>
  <c r="B34" i="447"/>
  <c r="E33" i="447"/>
  <c r="B33" i="447"/>
  <c r="E32" i="447"/>
  <c r="B32" i="447"/>
  <c r="E31" i="447"/>
  <c r="B31" i="447"/>
  <c r="E30" i="447"/>
  <c r="B30" i="447"/>
  <c r="E29" i="447"/>
  <c r="B29" i="447"/>
  <c r="E28" i="447"/>
  <c r="B28" i="447"/>
  <c r="E27" i="447"/>
  <c r="B27" i="447"/>
  <c r="E26" i="447"/>
  <c r="B26" i="447"/>
  <c r="E25" i="447"/>
  <c r="B25" i="447"/>
  <c r="E24" i="447"/>
  <c r="B24" i="447"/>
  <c r="E23" i="447"/>
  <c r="B23" i="447"/>
  <c r="E22" i="447"/>
  <c r="B22" i="447"/>
  <c r="E21" i="447"/>
  <c r="B21" i="447"/>
  <c r="E20" i="447"/>
  <c r="B20" i="447"/>
  <c r="E19" i="447"/>
  <c r="B19" i="447"/>
  <c r="E18" i="447"/>
  <c r="B18" i="447"/>
  <c r="E17" i="447"/>
  <c r="B17" i="447"/>
  <c r="E16" i="447"/>
  <c r="D40" i="447"/>
  <c r="F200" i="53" s="1"/>
  <c r="F86" i="341" s="1"/>
  <c r="G198" i="354" s="1"/>
  <c r="B16" i="447"/>
  <c r="E15" i="447"/>
  <c r="B15" i="447"/>
  <c r="E14" i="447"/>
  <c r="B14" i="447"/>
  <c r="E13" i="447"/>
  <c r="B13" i="447"/>
  <c r="E12" i="447"/>
  <c r="B12" i="447"/>
  <c r="E11" i="447"/>
  <c r="B11" i="447"/>
  <c r="E10" i="447"/>
  <c r="B10" i="447"/>
  <c r="F9" i="447"/>
  <c r="E9" i="447"/>
  <c r="G9" i="447" s="1"/>
  <c r="B9" i="447"/>
  <c r="D8" i="447"/>
  <c r="I5" i="447"/>
  <c r="G5" i="447"/>
  <c r="F5" i="447"/>
  <c r="E5" i="447"/>
  <c r="D5" i="447"/>
  <c r="C5" i="447"/>
  <c r="B5" i="447"/>
  <c r="C4" i="447"/>
  <c r="H30" i="448" l="1"/>
  <c r="G31" i="448"/>
  <c r="M30" i="448"/>
  <c r="E40" i="447"/>
  <c r="H200" i="53" s="1"/>
  <c r="H86" i="341" s="1"/>
  <c r="D41" i="447"/>
  <c r="F38" i="447"/>
  <c r="F37" i="447"/>
  <c r="F36" i="447"/>
  <c r="F35" i="447"/>
  <c r="F34" i="447"/>
  <c r="F33" i="447"/>
  <c r="F32" i="447"/>
  <c r="F31" i="447"/>
  <c r="F30" i="447"/>
  <c r="F29" i="447"/>
  <c r="F28" i="447"/>
  <c r="F27" i="447"/>
  <c r="F26" i="447"/>
  <c r="F25" i="447"/>
  <c r="F24" i="447"/>
  <c r="F23" i="447"/>
  <c r="F22" i="447"/>
  <c r="F21" i="447"/>
  <c r="F20" i="447"/>
  <c r="F19" i="447"/>
  <c r="F18" i="447"/>
  <c r="F17" i="447"/>
  <c r="F16" i="447"/>
  <c r="F10" i="447"/>
  <c r="F11" i="447"/>
  <c r="F12" i="447"/>
  <c r="F13" i="447"/>
  <c r="F14" i="447"/>
  <c r="F15" i="447"/>
  <c r="G10" i="447"/>
  <c r="M9" i="447"/>
  <c r="H9" i="447"/>
  <c r="J86" i="341" l="1"/>
  <c r="M86" i="341" s="1"/>
  <c r="I198" i="354"/>
  <c r="E8" i="447"/>
  <c r="F39" i="447" s="1"/>
  <c r="J200" i="53"/>
  <c r="M200" i="53" s="1"/>
  <c r="H31" i="448"/>
  <c r="G32" i="448"/>
  <c r="M31" i="448"/>
  <c r="E41" i="447"/>
  <c r="G41" i="447" s="1"/>
  <c r="G11" i="447"/>
  <c r="M10" i="447"/>
  <c r="H10" i="447"/>
  <c r="K198" i="354" l="1"/>
  <c r="N105" i="421" s="1"/>
  <c r="L198" i="354"/>
  <c r="G105" i="421"/>
  <c r="P105" i="421" s="1"/>
  <c r="H32" i="448"/>
  <c r="G33" i="448"/>
  <c r="M32" i="448"/>
  <c r="G12" i="447"/>
  <c r="M11" i="447"/>
  <c r="H11" i="447"/>
  <c r="H33" i="448" l="1"/>
  <c r="G34" i="448"/>
  <c r="M33" i="448"/>
  <c r="G13" i="447"/>
  <c r="M12" i="447"/>
  <c r="H12" i="447"/>
  <c r="H34" i="448" l="1"/>
  <c r="G35" i="448"/>
  <c r="M34" i="448"/>
  <c r="G14" i="447"/>
  <c r="M13" i="447"/>
  <c r="H13" i="447"/>
  <c r="H35" i="448" l="1"/>
  <c r="G36" i="448"/>
  <c r="M35" i="448"/>
  <c r="G15" i="447"/>
  <c r="M14" i="447"/>
  <c r="H14" i="447"/>
  <c r="H36" i="448" l="1"/>
  <c r="G37" i="448"/>
  <c r="M36" i="448"/>
  <c r="M15" i="447"/>
  <c r="G16" i="447"/>
  <c r="H15" i="447"/>
  <c r="H37" i="448" l="1"/>
  <c r="G38" i="448"/>
  <c r="M37" i="448"/>
  <c r="H16" i="447"/>
  <c r="G17" i="447"/>
  <c r="M16" i="447"/>
  <c r="H38" i="448" l="1"/>
  <c r="G39" i="448"/>
  <c r="M38" i="448"/>
  <c r="H17" i="447"/>
  <c r="G18" i="447"/>
  <c r="M17" i="447"/>
  <c r="G40" i="448" l="1"/>
  <c r="H39" i="448"/>
  <c r="M39" i="448"/>
  <c r="H18" i="447"/>
  <c r="G19" i="447"/>
  <c r="M18" i="447"/>
  <c r="H19" i="447" l="1"/>
  <c r="G20" i="447"/>
  <c r="M19" i="447"/>
  <c r="L15" i="341"/>
  <c r="L122" i="53"/>
  <c r="D122" i="53"/>
  <c r="D15" i="341" s="1"/>
  <c r="B122" i="53"/>
  <c r="B15" i="341" s="1"/>
  <c r="N40" i="446"/>
  <c r="M40" i="446"/>
  <c r="L40" i="446"/>
  <c r="K40" i="446"/>
  <c r="J40" i="446"/>
  <c r="I40" i="446"/>
  <c r="E39" i="446"/>
  <c r="D39" i="446"/>
  <c r="B39" i="446"/>
  <c r="E38" i="446"/>
  <c r="D38" i="446"/>
  <c r="B38" i="446"/>
  <c r="E37" i="446"/>
  <c r="D37" i="446"/>
  <c r="B37" i="446"/>
  <c r="E36" i="446"/>
  <c r="D36" i="446"/>
  <c r="B36" i="446"/>
  <c r="E35" i="446"/>
  <c r="D35" i="446"/>
  <c r="B35" i="446"/>
  <c r="E34" i="446"/>
  <c r="D34" i="446"/>
  <c r="B34" i="446"/>
  <c r="E33" i="446"/>
  <c r="D33" i="446"/>
  <c r="B33" i="446"/>
  <c r="E32" i="446"/>
  <c r="D32" i="446"/>
  <c r="B32" i="446"/>
  <c r="E31" i="446"/>
  <c r="D31" i="446"/>
  <c r="B31" i="446"/>
  <c r="E30" i="446"/>
  <c r="D30" i="446"/>
  <c r="B30" i="446"/>
  <c r="E29" i="446"/>
  <c r="D29" i="446"/>
  <c r="B29" i="446"/>
  <c r="E28" i="446"/>
  <c r="D28" i="446"/>
  <c r="B28" i="446"/>
  <c r="E27" i="446"/>
  <c r="D27" i="446"/>
  <c r="B27" i="446"/>
  <c r="E26" i="446"/>
  <c r="D26" i="446"/>
  <c r="B26" i="446"/>
  <c r="E25" i="446"/>
  <c r="D25" i="446"/>
  <c r="B25" i="446"/>
  <c r="E24" i="446"/>
  <c r="D24" i="446"/>
  <c r="B24" i="446"/>
  <c r="E23" i="446"/>
  <c r="D23" i="446"/>
  <c r="B23" i="446"/>
  <c r="E22" i="446"/>
  <c r="D22" i="446"/>
  <c r="B22" i="446"/>
  <c r="E21" i="446"/>
  <c r="D21" i="446"/>
  <c r="B21" i="446"/>
  <c r="E20" i="446"/>
  <c r="D20" i="446"/>
  <c r="B20" i="446"/>
  <c r="E19" i="446"/>
  <c r="D19" i="446"/>
  <c r="B19" i="446"/>
  <c r="E18" i="446"/>
  <c r="D18" i="446"/>
  <c r="B18" i="446"/>
  <c r="E17" i="446"/>
  <c r="D17" i="446"/>
  <c r="B17" i="446"/>
  <c r="E16" i="446"/>
  <c r="D16" i="446"/>
  <c r="B16" i="446"/>
  <c r="E15" i="446"/>
  <c r="D15" i="446"/>
  <c r="B15" i="446"/>
  <c r="E14" i="446"/>
  <c r="D14" i="446"/>
  <c r="B14" i="446"/>
  <c r="E13" i="446"/>
  <c r="D13" i="446"/>
  <c r="B13" i="446"/>
  <c r="E12" i="446"/>
  <c r="D12" i="446"/>
  <c r="B12" i="446"/>
  <c r="E11" i="446"/>
  <c r="D11" i="446"/>
  <c r="B11" i="446"/>
  <c r="E10" i="446"/>
  <c r="D10" i="446"/>
  <c r="B10" i="446"/>
  <c r="F9" i="446"/>
  <c r="E9" i="446"/>
  <c r="D9" i="446"/>
  <c r="B9" i="446"/>
  <c r="D8" i="446"/>
  <c r="I5" i="446"/>
  <c r="H5" i="446"/>
  <c r="G5" i="446"/>
  <c r="F5" i="446"/>
  <c r="E5" i="446"/>
  <c r="D5" i="446"/>
  <c r="C5" i="446"/>
  <c r="B5" i="446"/>
  <c r="C4" i="446"/>
  <c r="H20" i="447" l="1"/>
  <c r="G21" i="447"/>
  <c r="M20" i="447"/>
  <c r="G9" i="446"/>
  <c r="D40" i="446"/>
  <c r="F38" i="446"/>
  <c r="F36" i="446"/>
  <c r="F34" i="446"/>
  <c r="F32" i="446"/>
  <c r="F30" i="446"/>
  <c r="F28" i="446"/>
  <c r="F26" i="446"/>
  <c r="F24" i="446"/>
  <c r="F22" i="446"/>
  <c r="F20" i="446"/>
  <c r="F18" i="446"/>
  <c r="F16" i="446"/>
  <c r="F14" i="446"/>
  <c r="F12" i="446"/>
  <c r="F10" i="446"/>
  <c r="F39" i="446"/>
  <c r="F37" i="446"/>
  <c r="F35" i="446"/>
  <c r="F33" i="446"/>
  <c r="F11" i="446"/>
  <c r="F13" i="446"/>
  <c r="F15" i="446"/>
  <c r="F17" i="446"/>
  <c r="F19" i="446"/>
  <c r="F21" i="446"/>
  <c r="F23" i="446"/>
  <c r="F25" i="446"/>
  <c r="F27" i="446"/>
  <c r="F29" i="446"/>
  <c r="F31" i="446"/>
  <c r="E40" i="446"/>
  <c r="H122" i="53" s="1"/>
  <c r="H15" i="341" s="1"/>
  <c r="L37" i="341"/>
  <c r="L140" i="53"/>
  <c r="D140" i="53"/>
  <c r="D37" i="341" s="1"/>
  <c r="E197" i="354" s="1"/>
  <c r="B140" i="53"/>
  <c r="B37" i="341" s="1"/>
  <c r="L40" i="445"/>
  <c r="K40" i="445"/>
  <c r="J40" i="445"/>
  <c r="I40" i="445"/>
  <c r="D40" i="445"/>
  <c r="F140" i="53" s="1"/>
  <c r="F37" i="341" s="1"/>
  <c r="G197" i="354" s="1"/>
  <c r="E39" i="445"/>
  <c r="B39" i="445"/>
  <c r="E38" i="445"/>
  <c r="B38" i="445"/>
  <c r="E37" i="445"/>
  <c r="B37" i="445"/>
  <c r="E36" i="445"/>
  <c r="B36" i="445"/>
  <c r="E35" i="445"/>
  <c r="B35" i="445"/>
  <c r="E34" i="445"/>
  <c r="B34" i="445"/>
  <c r="E33" i="445"/>
  <c r="B33" i="445"/>
  <c r="E32" i="445"/>
  <c r="B32" i="445"/>
  <c r="E31" i="445"/>
  <c r="B31" i="445"/>
  <c r="E30" i="445"/>
  <c r="B30" i="445"/>
  <c r="E29" i="445"/>
  <c r="B29" i="445"/>
  <c r="E28" i="445"/>
  <c r="B28" i="445"/>
  <c r="E27" i="445"/>
  <c r="B27" i="445"/>
  <c r="E26" i="445"/>
  <c r="B26" i="445"/>
  <c r="E25" i="445"/>
  <c r="B25" i="445"/>
  <c r="E24" i="445"/>
  <c r="B24" i="445"/>
  <c r="E23" i="445"/>
  <c r="B23" i="445"/>
  <c r="E22" i="445"/>
  <c r="B22" i="445"/>
  <c r="E21" i="445"/>
  <c r="B21" i="445"/>
  <c r="E20" i="445"/>
  <c r="B20" i="445"/>
  <c r="E19" i="445"/>
  <c r="B19" i="445"/>
  <c r="E18" i="445"/>
  <c r="B18" i="445"/>
  <c r="E17" i="445"/>
  <c r="B17" i="445"/>
  <c r="E16" i="445"/>
  <c r="B16" i="445"/>
  <c r="E15" i="445"/>
  <c r="B15" i="445"/>
  <c r="E14" i="445"/>
  <c r="B14" i="445"/>
  <c r="E13" i="445"/>
  <c r="B13" i="445"/>
  <c r="E12" i="445"/>
  <c r="B12" i="445"/>
  <c r="E11" i="445"/>
  <c r="B11" i="445"/>
  <c r="E10" i="445"/>
  <c r="B10" i="445"/>
  <c r="F9" i="445"/>
  <c r="E9" i="445"/>
  <c r="B9" i="445"/>
  <c r="D8" i="445"/>
  <c r="I5" i="445"/>
  <c r="G5" i="445"/>
  <c r="F5" i="445"/>
  <c r="E5" i="445"/>
  <c r="D5" i="445"/>
  <c r="C5" i="445"/>
  <c r="B5" i="445"/>
  <c r="C4" i="445"/>
  <c r="D41" i="445" l="1"/>
  <c r="H21" i="447"/>
  <c r="G22" i="447"/>
  <c r="M21" i="447"/>
  <c r="D41" i="446"/>
  <c r="F122" i="53"/>
  <c r="E41" i="446"/>
  <c r="E8" i="446"/>
  <c r="E40" i="445"/>
  <c r="H140" i="53" s="1"/>
  <c r="H37" i="341" s="1"/>
  <c r="I197" i="354" s="1"/>
  <c r="O9" i="446"/>
  <c r="G10" i="446"/>
  <c r="H9" i="446"/>
  <c r="F38" i="445"/>
  <c r="F37" i="445"/>
  <c r="F36" i="445"/>
  <c r="F35" i="445"/>
  <c r="F34" i="445"/>
  <c r="F33" i="445"/>
  <c r="F32" i="445"/>
  <c r="F10" i="445"/>
  <c r="F11" i="445"/>
  <c r="F12" i="445"/>
  <c r="F13" i="445"/>
  <c r="F14" i="445"/>
  <c r="F15" i="445"/>
  <c r="F16" i="445"/>
  <c r="F17" i="445"/>
  <c r="F18" i="445"/>
  <c r="F19" i="445"/>
  <c r="F20" i="445"/>
  <c r="F21" i="445"/>
  <c r="F22" i="445"/>
  <c r="F23" i="445"/>
  <c r="F24" i="445"/>
  <c r="F25" i="445"/>
  <c r="F26" i="445"/>
  <c r="F27" i="445"/>
  <c r="F28" i="445"/>
  <c r="F29" i="445"/>
  <c r="F30" i="445"/>
  <c r="F31" i="445"/>
  <c r="G9" i="445"/>
  <c r="K197" i="354" l="1"/>
  <c r="N104" i="421" s="1"/>
  <c r="L197" i="354"/>
  <c r="G41" i="446"/>
  <c r="E41" i="445"/>
  <c r="G41" i="445" s="1"/>
  <c r="J37" i="341"/>
  <c r="M37" i="341" s="1"/>
  <c r="H22" i="447"/>
  <c r="G23" i="447"/>
  <c r="M22" i="447"/>
  <c r="J122" i="53"/>
  <c r="M122" i="53" s="1"/>
  <c r="F15" i="341"/>
  <c r="J15" i="341" s="1"/>
  <c r="M15" i="341" s="1"/>
  <c r="G11" i="446"/>
  <c r="H10" i="446"/>
  <c r="O10" i="446"/>
  <c r="E8" i="445"/>
  <c r="F39" i="445" s="1"/>
  <c r="J140" i="53"/>
  <c r="M140" i="53" s="1"/>
  <c r="G10" i="445"/>
  <c r="M9" i="445"/>
  <c r="H9" i="445"/>
  <c r="H23" i="447" l="1"/>
  <c r="G24" i="447"/>
  <c r="M23" i="447"/>
  <c r="O11" i="446"/>
  <c r="G12" i="446"/>
  <c r="H11" i="446"/>
  <c r="G11" i="445"/>
  <c r="M10" i="445"/>
  <c r="H10" i="445"/>
  <c r="H24" i="447" l="1"/>
  <c r="G25" i="447"/>
  <c r="M24" i="447"/>
  <c r="G13" i="446"/>
  <c r="H12" i="446"/>
  <c r="O12" i="446"/>
  <c r="G12" i="445"/>
  <c r="M11" i="445"/>
  <c r="H11" i="445"/>
  <c r="H25" i="447" l="1"/>
  <c r="G26" i="447"/>
  <c r="M25" i="447"/>
  <c r="O13" i="446"/>
  <c r="G14" i="446"/>
  <c r="H13" i="446"/>
  <c r="G13" i="445"/>
  <c r="M12" i="445"/>
  <c r="H12" i="445"/>
  <c r="J8" i="443"/>
  <c r="H26" i="447" l="1"/>
  <c r="G27" i="447"/>
  <c r="M26" i="447"/>
  <c r="G15" i="446"/>
  <c r="H14" i="446"/>
  <c r="O14" i="446"/>
  <c r="G14" i="445"/>
  <c r="M13" i="445"/>
  <c r="H13" i="445"/>
  <c r="C4" i="338"/>
  <c r="H27" i="447" l="1"/>
  <c r="G28" i="447"/>
  <c r="M27" i="447"/>
  <c r="O15" i="446"/>
  <c r="G16" i="446"/>
  <c r="H15" i="446"/>
  <c r="G15" i="445"/>
  <c r="M14" i="445"/>
  <c r="H14" i="445"/>
  <c r="L70" i="341"/>
  <c r="H28" i="447" l="1"/>
  <c r="G29" i="447"/>
  <c r="M28" i="447"/>
  <c r="G17" i="446"/>
  <c r="H16" i="446"/>
  <c r="O16" i="446"/>
  <c r="G16" i="445"/>
  <c r="M15" i="445"/>
  <c r="H15" i="445"/>
  <c r="L173" i="53"/>
  <c r="D173" i="53"/>
  <c r="D70" i="341" s="1"/>
  <c r="E196" i="354" s="1"/>
  <c r="B173" i="53"/>
  <c r="B70" i="341" s="1"/>
  <c r="L40" i="444"/>
  <c r="K40" i="444"/>
  <c r="J40" i="444"/>
  <c r="I40" i="444"/>
  <c r="D40" i="444"/>
  <c r="F173" i="53" s="1"/>
  <c r="F70" i="341" s="1"/>
  <c r="G196" i="354" s="1"/>
  <c r="E39" i="444"/>
  <c r="B39" i="444"/>
  <c r="E38" i="444"/>
  <c r="B38" i="444"/>
  <c r="E37" i="444"/>
  <c r="B37" i="444"/>
  <c r="E36" i="444"/>
  <c r="B36" i="444"/>
  <c r="E35" i="444"/>
  <c r="B35" i="444"/>
  <c r="E34" i="444"/>
  <c r="B34" i="444"/>
  <c r="E33" i="444"/>
  <c r="B33" i="444"/>
  <c r="E32" i="444"/>
  <c r="B32" i="444"/>
  <c r="E31" i="444"/>
  <c r="B31" i="444"/>
  <c r="E30" i="444"/>
  <c r="B30" i="444"/>
  <c r="E29" i="444"/>
  <c r="B29" i="444"/>
  <c r="E28" i="444"/>
  <c r="B28" i="444"/>
  <c r="E27" i="444"/>
  <c r="B27" i="444"/>
  <c r="E26" i="444"/>
  <c r="B26" i="444"/>
  <c r="E25" i="444"/>
  <c r="B25" i="444"/>
  <c r="E24" i="444"/>
  <c r="B24" i="444"/>
  <c r="E23" i="444"/>
  <c r="B23" i="444"/>
  <c r="E22" i="444"/>
  <c r="B22" i="444"/>
  <c r="E21" i="444"/>
  <c r="B21" i="444"/>
  <c r="E20" i="444"/>
  <c r="B20" i="444"/>
  <c r="E19" i="444"/>
  <c r="B19" i="444"/>
  <c r="E18" i="444"/>
  <c r="B18" i="444"/>
  <c r="E17" i="444"/>
  <c r="B17" i="444"/>
  <c r="E16" i="444"/>
  <c r="B16" i="444"/>
  <c r="E15" i="444"/>
  <c r="B15" i="444"/>
  <c r="E14" i="444"/>
  <c r="B14" i="444"/>
  <c r="E13" i="444"/>
  <c r="B13" i="444"/>
  <c r="E12" i="444"/>
  <c r="B12" i="444"/>
  <c r="E11" i="444"/>
  <c r="B11" i="444"/>
  <c r="E10" i="444"/>
  <c r="B10" i="444"/>
  <c r="F9" i="444"/>
  <c r="F38" i="444" s="1"/>
  <c r="E9" i="444"/>
  <c r="B9" i="444"/>
  <c r="D8" i="444"/>
  <c r="I5" i="444"/>
  <c r="G5" i="444"/>
  <c r="F5" i="444"/>
  <c r="E5" i="444"/>
  <c r="D5" i="444"/>
  <c r="C5" i="444"/>
  <c r="B5" i="444"/>
  <c r="C4" i="444"/>
  <c r="D41" i="444" l="1"/>
  <c r="H29" i="447"/>
  <c r="G30" i="447"/>
  <c r="M29" i="447"/>
  <c r="O17" i="446"/>
  <c r="G18" i="446"/>
  <c r="H17" i="446"/>
  <c r="G17" i="445"/>
  <c r="M16" i="445"/>
  <c r="H16" i="445"/>
  <c r="E40" i="444"/>
  <c r="H173" i="53" s="1"/>
  <c r="H70" i="341" s="1"/>
  <c r="G9" i="444"/>
  <c r="F10" i="444"/>
  <c r="F11" i="444"/>
  <c r="F12" i="444"/>
  <c r="F13" i="444"/>
  <c r="F14" i="444"/>
  <c r="F15" i="444"/>
  <c r="F16" i="444"/>
  <c r="F17" i="444"/>
  <c r="F18" i="444"/>
  <c r="F19" i="444"/>
  <c r="F20" i="444"/>
  <c r="F21" i="444"/>
  <c r="F22" i="444"/>
  <c r="F23" i="444"/>
  <c r="F24" i="444"/>
  <c r="F25" i="444"/>
  <c r="F26" i="444"/>
  <c r="F27" i="444"/>
  <c r="F28" i="444"/>
  <c r="F29" i="444"/>
  <c r="F30" i="444"/>
  <c r="F31" i="444"/>
  <c r="F32" i="444"/>
  <c r="F33" i="444"/>
  <c r="F34" i="444"/>
  <c r="F35" i="444"/>
  <c r="F36" i="444"/>
  <c r="F37" i="444"/>
  <c r="J70" i="341" l="1"/>
  <c r="M70" i="341" s="1"/>
  <c r="I196" i="354"/>
  <c r="K196" i="354" s="1"/>
  <c r="H30" i="447"/>
  <c r="G31" i="447"/>
  <c r="M30" i="447"/>
  <c r="G19" i="446"/>
  <c r="H18" i="446"/>
  <c r="O18" i="446"/>
  <c r="G18" i="445"/>
  <c r="M17" i="445"/>
  <c r="H17" i="445"/>
  <c r="J173" i="53"/>
  <c r="M173" i="53" s="1"/>
  <c r="H9" i="444"/>
  <c r="G10" i="444"/>
  <c r="M9" i="444"/>
  <c r="E41" i="444"/>
  <c r="G41" i="444" s="1"/>
  <c r="E8" i="444"/>
  <c r="F39" i="444" s="1"/>
  <c r="H31" i="447" l="1"/>
  <c r="G32" i="447"/>
  <c r="M31" i="447"/>
  <c r="O19" i="446"/>
  <c r="G20" i="446"/>
  <c r="H19" i="446"/>
  <c r="G19" i="445"/>
  <c r="M18" i="445"/>
  <c r="H18" i="445"/>
  <c r="H10" i="444"/>
  <c r="G11" i="444"/>
  <c r="M10" i="444"/>
  <c r="H32" i="447" l="1"/>
  <c r="G33" i="447"/>
  <c r="M32" i="447"/>
  <c r="G21" i="446"/>
  <c r="H20" i="446"/>
  <c r="O20" i="446"/>
  <c r="G20" i="445"/>
  <c r="M19" i="445"/>
  <c r="H19" i="445"/>
  <c r="H11" i="444"/>
  <c r="G12" i="444"/>
  <c r="M11" i="444"/>
  <c r="H33" i="447" l="1"/>
  <c r="G34" i="447"/>
  <c r="M33" i="447"/>
  <c r="O21" i="446"/>
  <c r="G22" i="446"/>
  <c r="H21" i="446"/>
  <c r="G21" i="445"/>
  <c r="M20" i="445"/>
  <c r="H20" i="445"/>
  <c r="H12" i="444"/>
  <c r="G13" i="444"/>
  <c r="M12" i="444"/>
  <c r="H34" i="447" l="1"/>
  <c r="G35" i="447"/>
  <c r="M34" i="447"/>
  <c r="G23" i="446"/>
  <c r="H22" i="446"/>
  <c r="O22" i="446"/>
  <c r="G22" i="445"/>
  <c r="M21" i="445"/>
  <c r="H21" i="445"/>
  <c r="H13" i="444"/>
  <c r="G14" i="444"/>
  <c r="M13" i="444"/>
  <c r="H35" i="447" l="1"/>
  <c r="G36" i="447"/>
  <c r="M35" i="447"/>
  <c r="O23" i="446"/>
  <c r="G24" i="446"/>
  <c r="H23" i="446"/>
  <c r="G23" i="445"/>
  <c r="M22" i="445"/>
  <c r="H22" i="445"/>
  <c r="H14" i="444"/>
  <c r="G15" i="444"/>
  <c r="M14" i="444"/>
  <c r="H36" i="447" l="1"/>
  <c r="G37" i="447"/>
  <c r="M36" i="447"/>
  <c r="G25" i="446"/>
  <c r="H24" i="446"/>
  <c r="O24" i="446"/>
  <c r="G24" i="445"/>
  <c r="M23" i="445"/>
  <c r="H23" i="445"/>
  <c r="H15" i="444"/>
  <c r="G16" i="444"/>
  <c r="M15" i="444"/>
  <c r="H37" i="447" l="1"/>
  <c r="G38" i="447"/>
  <c r="M37" i="447"/>
  <c r="O25" i="446"/>
  <c r="G26" i="446"/>
  <c r="H25" i="446"/>
  <c r="G25" i="445"/>
  <c r="M24" i="445"/>
  <c r="H24" i="445"/>
  <c r="H16" i="444"/>
  <c r="G17" i="444"/>
  <c r="M16" i="444"/>
  <c r="H38" i="447" l="1"/>
  <c r="G39" i="447"/>
  <c r="M38" i="447"/>
  <c r="G27" i="446"/>
  <c r="H26" i="446"/>
  <c r="O26" i="446"/>
  <c r="G26" i="445"/>
  <c r="M25" i="445"/>
  <c r="H25" i="445"/>
  <c r="H17" i="444"/>
  <c r="G18" i="444"/>
  <c r="M17" i="444"/>
  <c r="G40" i="447" l="1"/>
  <c r="H39" i="447"/>
  <c r="M39" i="447"/>
  <c r="O27" i="446"/>
  <c r="G28" i="446"/>
  <c r="H27" i="446"/>
  <c r="G27" i="445"/>
  <c r="M26" i="445"/>
  <c r="H26" i="445"/>
  <c r="H18" i="444"/>
  <c r="G19" i="444"/>
  <c r="M18" i="444"/>
  <c r="G29" i="446" l="1"/>
  <c r="H28" i="446"/>
  <c r="O28" i="446"/>
  <c r="G28" i="445"/>
  <c r="M27" i="445"/>
  <c r="H27" i="445"/>
  <c r="H19" i="444"/>
  <c r="G20" i="444"/>
  <c r="M19" i="444"/>
  <c r="E9" i="53"/>
  <c r="E66" i="354" s="1"/>
  <c r="D9" i="53"/>
  <c r="B9" i="53"/>
  <c r="C4" i="443"/>
  <c r="J46" i="443"/>
  <c r="E40" i="443"/>
  <c r="G9" i="53" s="1"/>
  <c r="G66" i="354" s="1"/>
  <c r="D39" i="443"/>
  <c r="B39" i="443"/>
  <c r="D38" i="443"/>
  <c r="B38" i="443"/>
  <c r="D37" i="443"/>
  <c r="B37" i="443"/>
  <c r="D36" i="443"/>
  <c r="B36" i="443"/>
  <c r="D35" i="443"/>
  <c r="B35" i="443"/>
  <c r="D34" i="443"/>
  <c r="B34" i="443"/>
  <c r="D33" i="443"/>
  <c r="B33" i="443"/>
  <c r="D32" i="443"/>
  <c r="B32" i="443"/>
  <c r="D31" i="443"/>
  <c r="B31" i="443"/>
  <c r="D30" i="443"/>
  <c r="B30" i="443"/>
  <c r="D29" i="443"/>
  <c r="B29" i="443"/>
  <c r="D28" i="443"/>
  <c r="B28" i="443"/>
  <c r="D27" i="443"/>
  <c r="B27" i="443"/>
  <c r="D26" i="443"/>
  <c r="B26" i="443"/>
  <c r="D25" i="443"/>
  <c r="B25" i="443"/>
  <c r="D24" i="443"/>
  <c r="B24" i="443"/>
  <c r="D23" i="443"/>
  <c r="B23" i="443"/>
  <c r="D22" i="443"/>
  <c r="B22" i="443"/>
  <c r="D21" i="443"/>
  <c r="B21" i="443"/>
  <c r="D20" i="443"/>
  <c r="B20" i="443"/>
  <c r="D19" i="443"/>
  <c r="B19" i="443"/>
  <c r="D18" i="443"/>
  <c r="B18" i="443"/>
  <c r="G40" i="443"/>
  <c r="I9" i="53" s="1"/>
  <c r="I66" i="354" s="1"/>
  <c r="D17" i="443"/>
  <c r="B17" i="443"/>
  <c r="D16" i="443"/>
  <c r="B16" i="443"/>
  <c r="I15" i="443"/>
  <c r="H15" i="443"/>
  <c r="D15" i="443"/>
  <c r="B15" i="443"/>
  <c r="I14" i="443"/>
  <c r="H14" i="443"/>
  <c r="D14" i="443"/>
  <c r="B14" i="443"/>
  <c r="I13" i="443"/>
  <c r="H13" i="443"/>
  <c r="D13" i="443"/>
  <c r="B13" i="443"/>
  <c r="I12" i="443"/>
  <c r="H12" i="443"/>
  <c r="D12" i="443"/>
  <c r="B12" i="443"/>
  <c r="I11" i="443"/>
  <c r="H11" i="443"/>
  <c r="D11" i="443"/>
  <c r="B11" i="443"/>
  <c r="I10" i="443"/>
  <c r="H10" i="443"/>
  <c r="D10" i="443"/>
  <c r="B10" i="443"/>
  <c r="K9" i="443"/>
  <c r="K10" i="443" s="1"/>
  <c r="I9" i="443"/>
  <c r="H9" i="443"/>
  <c r="D9" i="443"/>
  <c r="J9" i="443" s="1"/>
  <c r="B9" i="443"/>
  <c r="E8" i="443"/>
  <c r="D8" i="443"/>
  <c r="I7" i="443"/>
  <c r="K7" i="443" s="1"/>
  <c r="M7" i="443" s="1"/>
  <c r="M5" i="443"/>
  <c r="I5" i="443"/>
  <c r="H5" i="443"/>
  <c r="G5" i="443"/>
  <c r="F5" i="443"/>
  <c r="E5" i="443"/>
  <c r="D5" i="443"/>
  <c r="C5" i="443"/>
  <c r="B5" i="443"/>
  <c r="O29" i="446" l="1"/>
  <c r="G30" i="446"/>
  <c r="H29" i="446"/>
  <c r="G29" i="445"/>
  <c r="M28" i="445"/>
  <c r="H28" i="445"/>
  <c r="K66" i="354"/>
  <c r="H20" i="444"/>
  <c r="G21" i="444"/>
  <c r="M20" i="444"/>
  <c r="D40" i="443"/>
  <c r="F9" i="53" s="1"/>
  <c r="E41" i="443"/>
  <c r="K9" i="53"/>
  <c r="M10" i="443"/>
  <c r="K11" i="443"/>
  <c r="G41" i="443"/>
  <c r="G8" i="443"/>
  <c r="K41" i="443"/>
  <c r="S9" i="443"/>
  <c r="L9" i="443"/>
  <c r="J10" i="443"/>
  <c r="M9" i="443"/>
  <c r="F40" i="443"/>
  <c r="H9" i="53" s="1"/>
  <c r="H38" i="443"/>
  <c r="H36" i="443"/>
  <c r="H34" i="443"/>
  <c r="H32" i="443"/>
  <c r="H30" i="443"/>
  <c r="H28" i="443"/>
  <c r="H26" i="443"/>
  <c r="H24" i="443"/>
  <c r="H22" i="443"/>
  <c r="H20" i="443"/>
  <c r="H18" i="443"/>
  <c r="H16" i="443"/>
  <c r="I17" i="443"/>
  <c r="I18" i="443"/>
  <c r="H21" i="443"/>
  <c r="I22" i="443"/>
  <c r="H25" i="443"/>
  <c r="I26" i="443"/>
  <c r="H29" i="443"/>
  <c r="I30" i="443"/>
  <c r="H33" i="443"/>
  <c r="I34" i="443"/>
  <c r="H37" i="443"/>
  <c r="I38" i="443"/>
  <c r="I39" i="443"/>
  <c r="I37" i="443"/>
  <c r="I35" i="443"/>
  <c r="I33" i="443"/>
  <c r="I31" i="443"/>
  <c r="I29" i="443"/>
  <c r="I27" i="443"/>
  <c r="I25" i="443"/>
  <c r="I23" i="443"/>
  <c r="I21" i="443"/>
  <c r="I19" i="443"/>
  <c r="I16" i="443"/>
  <c r="H17" i="443"/>
  <c r="H19" i="443"/>
  <c r="I20" i="443"/>
  <c r="H23" i="443"/>
  <c r="I24" i="443"/>
  <c r="H27" i="443"/>
  <c r="I28" i="443"/>
  <c r="H31" i="443"/>
  <c r="I32" i="443"/>
  <c r="H35" i="443"/>
  <c r="I36" i="443"/>
  <c r="H39" i="443"/>
  <c r="H66" i="354" l="1"/>
  <c r="E76" i="355"/>
  <c r="G31" i="446"/>
  <c r="H30" i="446"/>
  <c r="O30" i="446"/>
  <c r="G30" i="445"/>
  <c r="M29" i="445"/>
  <c r="H29" i="445"/>
  <c r="H21" i="444"/>
  <c r="G22" i="444"/>
  <c r="M21" i="444"/>
  <c r="J9" i="53"/>
  <c r="D41" i="443"/>
  <c r="J11" i="443"/>
  <c r="S10" i="443"/>
  <c r="L10" i="443"/>
  <c r="K12" i="443"/>
  <c r="M11" i="443"/>
  <c r="F41" i="443"/>
  <c r="J41" i="443" s="1"/>
  <c r="F8" i="443"/>
  <c r="O31" i="446" l="1"/>
  <c r="G32" i="446"/>
  <c r="H31" i="446"/>
  <c r="G31" i="445"/>
  <c r="M30" i="445"/>
  <c r="H30" i="445"/>
  <c r="H22" i="444"/>
  <c r="G23" i="444"/>
  <c r="M22" i="444"/>
  <c r="M12" i="443"/>
  <c r="K13" i="443"/>
  <c r="S11" i="443"/>
  <c r="L11" i="443"/>
  <c r="J12" i="443"/>
  <c r="G33" i="446" l="1"/>
  <c r="H32" i="446"/>
  <c r="O32" i="446"/>
  <c r="G32" i="445"/>
  <c r="M31" i="445"/>
  <c r="H31" i="445"/>
  <c r="H23" i="444"/>
  <c r="G24" i="444"/>
  <c r="M23" i="444"/>
  <c r="K14" i="443"/>
  <c r="M13" i="443"/>
  <c r="J13" i="443"/>
  <c r="S12" i="443"/>
  <c r="L12" i="443"/>
  <c r="O33" i="446" l="1"/>
  <c r="G34" i="446"/>
  <c r="H33" i="446"/>
  <c r="G33" i="445"/>
  <c r="M32" i="445"/>
  <c r="H32" i="445"/>
  <c r="H24" i="444"/>
  <c r="G25" i="444"/>
  <c r="M24" i="444"/>
  <c r="S13" i="443"/>
  <c r="L13" i="443"/>
  <c r="J14" i="443"/>
  <c r="M14" i="443"/>
  <c r="K15" i="443"/>
  <c r="G35" i="446" l="1"/>
  <c r="H34" i="446"/>
  <c r="O34" i="446"/>
  <c r="G34" i="445"/>
  <c r="M33" i="445"/>
  <c r="H33" i="445"/>
  <c r="H25" i="444"/>
  <c r="G26" i="444"/>
  <c r="M25" i="444"/>
  <c r="K16" i="443"/>
  <c r="M15" i="443"/>
  <c r="J15" i="443"/>
  <c r="S14" i="443"/>
  <c r="L14" i="443"/>
  <c r="O35" i="446" l="1"/>
  <c r="G36" i="446"/>
  <c r="H35" i="446"/>
  <c r="G35" i="445"/>
  <c r="M34" i="445"/>
  <c r="H34" i="445"/>
  <c r="H26" i="444"/>
  <c r="G27" i="444"/>
  <c r="M26" i="444"/>
  <c r="S15" i="443"/>
  <c r="L15" i="443"/>
  <c r="J16" i="443"/>
  <c r="K17" i="443"/>
  <c r="M16" i="443"/>
  <c r="G37" i="446" l="1"/>
  <c r="H36" i="446"/>
  <c r="O36" i="446"/>
  <c r="G36" i="445"/>
  <c r="M35" i="445"/>
  <c r="H35" i="445"/>
  <c r="H27" i="444"/>
  <c r="G28" i="444"/>
  <c r="M27" i="444"/>
  <c r="M17" i="443"/>
  <c r="K18" i="443"/>
  <c r="J17" i="443"/>
  <c r="S16" i="443"/>
  <c r="L16" i="443"/>
  <c r="O37" i="446" l="1"/>
  <c r="G38" i="446"/>
  <c r="H37" i="446"/>
  <c r="G37" i="445"/>
  <c r="M36" i="445"/>
  <c r="H36" i="445"/>
  <c r="H28" i="444"/>
  <c r="G29" i="444"/>
  <c r="M28" i="444"/>
  <c r="K19" i="443"/>
  <c r="M18" i="443"/>
  <c r="J18" i="443"/>
  <c r="S17" i="443"/>
  <c r="L17" i="443"/>
  <c r="G39" i="446" l="1"/>
  <c r="H38" i="446"/>
  <c r="O38" i="446"/>
  <c r="G38" i="445"/>
  <c r="M37" i="445"/>
  <c r="H37" i="445"/>
  <c r="H29" i="444"/>
  <c r="G30" i="444"/>
  <c r="M29" i="444"/>
  <c r="S18" i="443"/>
  <c r="L18" i="443"/>
  <c r="J19" i="443"/>
  <c r="M19" i="443"/>
  <c r="K20" i="443"/>
  <c r="O39" i="446" l="1"/>
  <c r="G40" i="446"/>
  <c r="H39" i="446"/>
  <c r="G39" i="445"/>
  <c r="M38" i="445"/>
  <c r="H38" i="445"/>
  <c r="H30" i="444"/>
  <c r="G31" i="444"/>
  <c r="M30" i="444"/>
  <c r="K21" i="443"/>
  <c r="M20" i="443"/>
  <c r="J20" i="443"/>
  <c r="L19" i="443"/>
  <c r="S19" i="443"/>
  <c r="M39" i="445" l="1"/>
  <c r="G40" i="445"/>
  <c r="H39" i="445"/>
  <c r="H31" i="444"/>
  <c r="G32" i="444"/>
  <c r="M31" i="444"/>
  <c r="S20" i="443"/>
  <c r="L20" i="443"/>
  <c r="J21" i="443"/>
  <c r="M21" i="443"/>
  <c r="K22" i="443"/>
  <c r="H32" i="444" l="1"/>
  <c r="G33" i="444"/>
  <c r="M32" i="444"/>
  <c r="K23" i="443"/>
  <c r="M22" i="443"/>
  <c r="J22" i="443"/>
  <c r="S21" i="443"/>
  <c r="L21" i="443"/>
  <c r="H33" i="444" l="1"/>
  <c r="G34" i="444"/>
  <c r="M33" i="444"/>
  <c r="S22" i="443"/>
  <c r="L22" i="443"/>
  <c r="J23" i="443"/>
  <c r="M23" i="443"/>
  <c r="K24" i="443"/>
  <c r="H34" i="444" l="1"/>
  <c r="G35" i="444"/>
  <c r="M34" i="444"/>
  <c r="K25" i="443"/>
  <c r="M24" i="443"/>
  <c r="J24" i="443"/>
  <c r="L23" i="443"/>
  <c r="S23" i="443"/>
  <c r="H35" i="444" l="1"/>
  <c r="G36" i="444"/>
  <c r="M35" i="444"/>
  <c r="S24" i="443"/>
  <c r="L24" i="443"/>
  <c r="J25" i="443"/>
  <c r="M25" i="443"/>
  <c r="K26" i="443"/>
  <c r="H36" i="444" l="1"/>
  <c r="G37" i="444"/>
  <c r="M36" i="444"/>
  <c r="K27" i="443"/>
  <c r="M26" i="443"/>
  <c r="J26" i="443"/>
  <c r="S25" i="443"/>
  <c r="L25" i="443"/>
  <c r="H37" i="444" l="1"/>
  <c r="G38" i="444"/>
  <c r="M37" i="444"/>
  <c r="S26" i="443"/>
  <c r="L26" i="443"/>
  <c r="J27" i="443"/>
  <c r="M27" i="443"/>
  <c r="K28" i="443"/>
  <c r="H38" i="444" l="1"/>
  <c r="G39" i="444"/>
  <c r="M38" i="444"/>
  <c r="K29" i="443"/>
  <c r="M28" i="443"/>
  <c r="J28" i="443"/>
  <c r="L27" i="443"/>
  <c r="S27" i="443"/>
  <c r="G40" i="444" l="1"/>
  <c r="H39" i="444"/>
  <c r="M39" i="444"/>
  <c r="S28" i="443"/>
  <c r="L28" i="443"/>
  <c r="J29" i="443"/>
  <c r="M29" i="443"/>
  <c r="K30" i="443"/>
  <c r="K31" i="443" l="1"/>
  <c r="M30" i="443"/>
  <c r="J30" i="443"/>
  <c r="S29" i="443"/>
  <c r="L29" i="443"/>
  <c r="S30" i="443" l="1"/>
  <c r="L30" i="443"/>
  <c r="J31" i="443"/>
  <c r="M31" i="443"/>
  <c r="K32" i="443"/>
  <c r="K33" i="443" l="1"/>
  <c r="M32" i="443"/>
  <c r="J32" i="443"/>
  <c r="L31" i="443"/>
  <c r="S31" i="443"/>
  <c r="S32" i="443" l="1"/>
  <c r="L32" i="443"/>
  <c r="J33" i="443"/>
  <c r="M33" i="443"/>
  <c r="K34" i="443"/>
  <c r="K35" i="443" l="1"/>
  <c r="M34" i="443"/>
  <c r="J34" i="443"/>
  <c r="S33" i="443"/>
  <c r="L33" i="443"/>
  <c r="S34" i="443" l="1"/>
  <c r="L34" i="443"/>
  <c r="J35" i="443"/>
  <c r="M35" i="443"/>
  <c r="K36" i="443"/>
  <c r="K37" i="443" l="1"/>
  <c r="M36" i="443"/>
  <c r="J36" i="443"/>
  <c r="L35" i="443"/>
  <c r="S35" i="443"/>
  <c r="S36" i="443" l="1"/>
  <c r="L36" i="443"/>
  <c r="J37" i="443"/>
  <c r="M37" i="443"/>
  <c r="K38" i="443"/>
  <c r="K39" i="443" l="1"/>
  <c r="M38" i="443"/>
  <c r="J38" i="443"/>
  <c r="S37" i="443"/>
  <c r="L37" i="443"/>
  <c r="S38" i="443" l="1"/>
  <c r="L38" i="443"/>
  <c r="J39" i="443"/>
  <c r="M39" i="443"/>
  <c r="K40" i="443"/>
  <c r="J40" i="443" l="1"/>
  <c r="L39" i="443"/>
  <c r="S39" i="443"/>
  <c r="C4" i="178" l="1"/>
  <c r="L40" i="253" l="1"/>
  <c r="M40" i="253"/>
  <c r="N40" i="253"/>
  <c r="K40" i="430" l="1"/>
  <c r="I35" i="284" l="1"/>
  <c r="E10" i="430" l="1"/>
  <c r="E11" i="430"/>
  <c r="E12" i="430"/>
  <c r="E13" i="430"/>
  <c r="E14" i="430"/>
  <c r="E15" i="430"/>
  <c r="E16" i="430"/>
  <c r="E17" i="430"/>
  <c r="E18" i="430"/>
  <c r="E19" i="430"/>
  <c r="E20" i="430"/>
  <c r="E21" i="430"/>
  <c r="E22" i="430"/>
  <c r="E23" i="430"/>
  <c r="E24" i="430"/>
  <c r="E25" i="430"/>
  <c r="E26" i="430"/>
  <c r="E27" i="430"/>
  <c r="E28" i="430"/>
  <c r="E29" i="430"/>
  <c r="E30" i="430"/>
  <c r="E31" i="430"/>
  <c r="E32" i="430"/>
  <c r="E33" i="430"/>
  <c r="E34" i="430"/>
  <c r="E35" i="430"/>
  <c r="E36" i="430"/>
  <c r="E37" i="430"/>
  <c r="E38" i="430"/>
  <c r="E39" i="430"/>
  <c r="E9" i="430"/>
  <c r="E10" i="389"/>
  <c r="E11" i="389"/>
  <c r="E12" i="389"/>
  <c r="E13" i="389"/>
  <c r="E14" i="389"/>
  <c r="E15" i="389"/>
  <c r="E16" i="389"/>
  <c r="E17" i="389"/>
  <c r="E18" i="389"/>
  <c r="E19" i="389"/>
  <c r="E20" i="389"/>
  <c r="E21" i="389"/>
  <c r="E22" i="389"/>
  <c r="E23" i="389"/>
  <c r="E24" i="389"/>
  <c r="E25" i="389"/>
  <c r="E26" i="389"/>
  <c r="E27" i="389"/>
  <c r="E28" i="389"/>
  <c r="E29" i="389"/>
  <c r="E30" i="389"/>
  <c r="E31" i="389"/>
  <c r="E32" i="389"/>
  <c r="E33" i="389"/>
  <c r="E34" i="389"/>
  <c r="E35" i="389"/>
  <c r="E36" i="389"/>
  <c r="E37" i="389"/>
  <c r="E38" i="389"/>
  <c r="E39" i="389"/>
  <c r="E9" i="389"/>
  <c r="M5" i="357" l="1"/>
  <c r="K40" i="343" l="1"/>
  <c r="E10" i="343" l="1"/>
  <c r="E11" i="343"/>
  <c r="E12" i="343"/>
  <c r="E13" i="343"/>
  <c r="E14" i="343"/>
  <c r="E15" i="343"/>
  <c r="E16" i="343"/>
  <c r="E17" i="343"/>
  <c r="E18" i="343"/>
  <c r="E19" i="343"/>
  <c r="E20" i="343"/>
  <c r="E21" i="343"/>
  <c r="E22" i="343"/>
  <c r="E23" i="343"/>
  <c r="E24" i="343"/>
  <c r="E25" i="343"/>
  <c r="E26" i="343"/>
  <c r="E27" i="343"/>
  <c r="E28" i="343"/>
  <c r="E29" i="343"/>
  <c r="E30" i="343"/>
  <c r="E31" i="343"/>
  <c r="E32" i="343"/>
  <c r="E33" i="343"/>
  <c r="E34" i="343"/>
  <c r="E35" i="343"/>
  <c r="E36" i="343"/>
  <c r="E37" i="343"/>
  <c r="E38" i="343"/>
  <c r="E39" i="343"/>
  <c r="E9" i="343"/>
  <c r="E58" i="53" l="1"/>
  <c r="E93" i="354" s="1"/>
  <c r="B58" i="53"/>
  <c r="J46" i="442"/>
  <c r="G40" i="442"/>
  <c r="G41" i="442" s="1"/>
  <c r="F40" i="442"/>
  <c r="F41" i="442" s="1"/>
  <c r="E40" i="442"/>
  <c r="G58" i="53" s="1"/>
  <c r="G93" i="354" s="1"/>
  <c r="I39" i="442"/>
  <c r="H39" i="442"/>
  <c r="D39" i="442"/>
  <c r="B39" i="442"/>
  <c r="I38" i="442"/>
  <c r="H38" i="442"/>
  <c r="D38" i="442"/>
  <c r="B38" i="442"/>
  <c r="I37" i="442"/>
  <c r="H37" i="442"/>
  <c r="D37" i="442"/>
  <c r="B37" i="442"/>
  <c r="I36" i="442"/>
  <c r="H36" i="442"/>
  <c r="D36" i="442"/>
  <c r="B36" i="442"/>
  <c r="I35" i="442"/>
  <c r="H35" i="442"/>
  <c r="D35" i="442"/>
  <c r="B35" i="442"/>
  <c r="I34" i="442"/>
  <c r="H34" i="442"/>
  <c r="D34" i="442"/>
  <c r="B34" i="442"/>
  <c r="I33" i="442"/>
  <c r="H33" i="442"/>
  <c r="D33" i="442"/>
  <c r="B33" i="442"/>
  <c r="I32" i="442"/>
  <c r="H32" i="442"/>
  <c r="D32" i="442"/>
  <c r="B32" i="442"/>
  <c r="I31" i="442"/>
  <c r="H31" i="442"/>
  <c r="D31" i="442"/>
  <c r="B31" i="442"/>
  <c r="I30" i="442"/>
  <c r="H30" i="442"/>
  <c r="D30" i="442"/>
  <c r="B30" i="442"/>
  <c r="I29" i="442"/>
  <c r="H29" i="442"/>
  <c r="D29" i="442"/>
  <c r="B29" i="442"/>
  <c r="I28" i="442"/>
  <c r="H28" i="442"/>
  <c r="D28" i="442"/>
  <c r="B28" i="442"/>
  <c r="I27" i="442"/>
  <c r="H27" i="442"/>
  <c r="D27" i="442"/>
  <c r="B27" i="442"/>
  <c r="I26" i="442"/>
  <c r="H26" i="442"/>
  <c r="D26" i="442"/>
  <c r="B26" i="442"/>
  <c r="I25" i="442"/>
  <c r="H25" i="442"/>
  <c r="D25" i="442"/>
  <c r="B25" i="442"/>
  <c r="I24" i="442"/>
  <c r="H24" i="442"/>
  <c r="D24" i="442"/>
  <c r="B24" i="442"/>
  <c r="I23" i="442"/>
  <c r="H23" i="442"/>
  <c r="D23" i="442"/>
  <c r="B23" i="442"/>
  <c r="I22" i="442"/>
  <c r="H22" i="442"/>
  <c r="D22" i="442"/>
  <c r="B22" i="442"/>
  <c r="I21" i="442"/>
  <c r="H21" i="442"/>
  <c r="D21" i="442"/>
  <c r="B21" i="442"/>
  <c r="I20" i="442"/>
  <c r="H20" i="442"/>
  <c r="D20" i="442"/>
  <c r="B20" i="442"/>
  <c r="I19" i="442"/>
  <c r="H19" i="442"/>
  <c r="D19" i="442"/>
  <c r="B19" i="442"/>
  <c r="I18" i="442"/>
  <c r="H18" i="442"/>
  <c r="D18" i="442"/>
  <c r="B18" i="442"/>
  <c r="I17" i="442"/>
  <c r="H17" i="442"/>
  <c r="D17" i="442"/>
  <c r="B17" i="442"/>
  <c r="I16" i="442"/>
  <c r="H16" i="442"/>
  <c r="D16" i="442"/>
  <c r="B16" i="442"/>
  <c r="I15" i="442"/>
  <c r="H15" i="442"/>
  <c r="D15" i="442"/>
  <c r="B15" i="442"/>
  <c r="I14" i="442"/>
  <c r="H14" i="442"/>
  <c r="D14" i="442"/>
  <c r="B14" i="442"/>
  <c r="I13" i="442"/>
  <c r="H13" i="442"/>
  <c r="D13" i="442"/>
  <c r="B13" i="442"/>
  <c r="I12" i="442"/>
  <c r="H12" i="442"/>
  <c r="D12" i="442"/>
  <c r="B12" i="442"/>
  <c r="I11" i="442"/>
  <c r="H11" i="442"/>
  <c r="D11" i="442"/>
  <c r="B11" i="442"/>
  <c r="I10" i="442"/>
  <c r="H10" i="442"/>
  <c r="D10" i="442"/>
  <c r="B10" i="442"/>
  <c r="K9" i="442"/>
  <c r="I9" i="442"/>
  <c r="H9" i="442"/>
  <c r="D9" i="442"/>
  <c r="B9" i="442"/>
  <c r="J8" i="442"/>
  <c r="D8" i="442" s="1"/>
  <c r="E8" i="442"/>
  <c r="I7" i="442"/>
  <c r="K7" i="442" s="1"/>
  <c r="M7" i="442" s="1"/>
  <c r="M5" i="442"/>
  <c r="I5" i="442"/>
  <c r="H5" i="442"/>
  <c r="G5" i="442"/>
  <c r="F5" i="442"/>
  <c r="E5" i="442"/>
  <c r="D5" i="442"/>
  <c r="C5" i="442"/>
  <c r="B5" i="442"/>
  <c r="C4" i="442"/>
  <c r="J9" i="442" l="1"/>
  <c r="J10" i="442" s="1"/>
  <c r="M9" i="442"/>
  <c r="D58" i="53"/>
  <c r="E41" i="442"/>
  <c r="K41" i="442" s="1"/>
  <c r="D40" i="442"/>
  <c r="F58" i="53" s="1"/>
  <c r="H58" i="53"/>
  <c r="I58" i="53"/>
  <c r="K10" i="442"/>
  <c r="S9" i="442" l="1"/>
  <c r="L9" i="442"/>
  <c r="H93" i="354"/>
  <c r="K58" i="53"/>
  <c r="I93" i="354"/>
  <c r="K93" i="354" s="1"/>
  <c r="D41" i="442"/>
  <c r="J41" i="442" s="1"/>
  <c r="J58" i="53"/>
  <c r="K11" i="442"/>
  <c r="M10" i="442"/>
  <c r="S10" i="442"/>
  <c r="L10" i="442"/>
  <c r="J11" i="442"/>
  <c r="E101" i="355" l="1"/>
  <c r="F101" i="355" s="1"/>
  <c r="J12" i="442"/>
  <c r="S11" i="442"/>
  <c r="L11" i="442"/>
  <c r="M11" i="442"/>
  <c r="K12" i="442"/>
  <c r="L69" i="341"/>
  <c r="L172" i="53"/>
  <c r="D172" i="53"/>
  <c r="D69" i="341" s="1"/>
  <c r="E195" i="354" s="1"/>
  <c r="B172" i="53"/>
  <c r="B69" i="341" s="1"/>
  <c r="L40" i="441"/>
  <c r="K40" i="441"/>
  <c r="J40" i="441"/>
  <c r="I40" i="441"/>
  <c r="D40" i="441"/>
  <c r="F172" i="53" s="1"/>
  <c r="F69" i="341" s="1"/>
  <c r="G195" i="354" s="1"/>
  <c r="E39" i="441"/>
  <c r="B39" i="441"/>
  <c r="E38" i="441"/>
  <c r="B38" i="441"/>
  <c r="E37" i="441"/>
  <c r="B37" i="441"/>
  <c r="E36" i="441"/>
  <c r="B36" i="441"/>
  <c r="E35" i="441"/>
  <c r="B35" i="441"/>
  <c r="E34" i="441"/>
  <c r="B34" i="441"/>
  <c r="E33" i="441"/>
  <c r="B33" i="441"/>
  <c r="E32" i="441"/>
  <c r="B32" i="441"/>
  <c r="E31" i="441"/>
  <c r="B31" i="441"/>
  <c r="E30" i="441"/>
  <c r="B30" i="441"/>
  <c r="E29" i="441"/>
  <c r="B29" i="441"/>
  <c r="E28" i="441"/>
  <c r="B28" i="441"/>
  <c r="E27" i="441"/>
  <c r="B27" i="441"/>
  <c r="E26" i="441"/>
  <c r="B26" i="441"/>
  <c r="E25" i="441"/>
  <c r="B25" i="441"/>
  <c r="E24" i="441"/>
  <c r="B24" i="441"/>
  <c r="E23" i="441"/>
  <c r="B23" i="441"/>
  <c r="E22" i="441"/>
  <c r="B22" i="441"/>
  <c r="E21" i="441"/>
  <c r="B21" i="441"/>
  <c r="E20" i="441"/>
  <c r="B20" i="441"/>
  <c r="E19" i="441"/>
  <c r="B19" i="441"/>
  <c r="E18" i="441"/>
  <c r="B18" i="441"/>
  <c r="E17" i="441"/>
  <c r="B17" i="441"/>
  <c r="E16" i="441"/>
  <c r="B16" i="441"/>
  <c r="E15" i="441"/>
  <c r="B15" i="441"/>
  <c r="E14" i="441"/>
  <c r="B14" i="441"/>
  <c r="E13" i="441"/>
  <c r="B13" i="441"/>
  <c r="E12" i="441"/>
  <c r="B12" i="441"/>
  <c r="E11" i="441"/>
  <c r="B11" i="441"/>
  <c r="E10" i="441"/>
  <c r="B10" i="441"/>
  <c r="F9" i="441"/>
  <c r="F38" i="441" s="1"/>
  <c r="E9" i="441"/>
  <c r="B9" i="441"/>
  <c r="D8" i="441"/>
  <c r="I5" i="441"/>
  <c r="G5" i="441"/>
  <c r="F5" i="441"/>
  <c r="E5" i="441"/>
  <c r="D5" i="441"/>
  <c r="C5" i="441"/>
  <c r="B5" i="441"/>
  <c r="C4" i="441"/>
  <c r="E40" i="441" l="1"/>
  <c r="E41" i="441" s="1"/>
  <c r="K13" i="442"/>
  <c r="M12" i="442"/>
  <c r="S12" i="442"/>
  <c r="L12" i="442"/>
  <c r="J13" i="442"/>
  <c r="D41" i="441"/>
  <c r="G9" i="441"/>
  <c r="F10" i="441"/>
  <c r="F11" i="441"/>
  <c r="F12" i="441"/>
  <c r="F13" i="441"/>
  <c r="F14" i="441"/>
  <c r="F15" i="441"/>
  <c r="F16" i="441"/>
  <c r="F17" i="441"/>
  <c r="F18" i="441"/>
  <c r="F19" i="441"/>
  <c r="F20" i="441"/>
  <c r="F21" i="441"/>
  <c r="F22" i="441"/>
  <c r="F23" i="441"/>
  <c r="F24" i="441"/>
  <c r="F25" i="441"/>
  <c r="F26" i="441"/>
  <c r="F27" i="441"/>
  <c r="F28" i="441"/>
  <c r="F29" i="441"/>
  <c r="F30" i="441"/>
  <c r="F31" i="441"/>
  <c r="F32" i="441"/>
  <c r="F33" i="441"/>
  <c r="F34" i="441"/>
  <c r="F35" i="441"/>
  <c r="F36" i="441"/>
  <c r="F37" i="441"/>
  <c r="G41" i="441" l="1"/>
  <c r="J14" i="442"/>
  <c r="S13" i="442"/>
  <c r="L13" i="442"/>
  <c r="M13" i="442"/>
  <c r="K14" i="442"/>
  <c r="H172" i="53"/>
  <c r="E8" i="441"/>
  <c r="F39" i="441" s="1"/>
  <c r="H9" i="441"/>
  <c r="M9" i="441"/>
  <c r="G10" i="441"/>
  <c r="J8" i="425"/>
  <c r="H69" i="341" l="1"/>
  <c r="J172" i="53"/>
  <c r="M172" i="53" s="1"/>
  <c r="K15" i="442"/>
  <c r="M14" i="442"/>
  <c r="S14" i="442"/>
  <c r="L14" i="442"/>
  <c r="J15" i="442"/>
  <c r="H10" i="441"/>
  <c r="M10" i="441"/>
  <c r="G11" i="441"/>
  <c r="J69" i="341" l="1"/>
  <c r="M69" i="341" s="1"/>
  <c r="I195" i="354"/>
  <c r="J16" i="442"/>
  <c r="S15" i="442"/>
  <c r="L15" i="442"/>
  <c r="M15" i="442"/>
  <c r="K16" i="442"/>
  <c r="H11" i="441"/>
  <c r="M11" i="441"/>
  <c r="G12" i="441"/>
  <c r="K195" i="354" l="1"/>
  <c r="N102" i="421" s="1"/>
  <c r="L195" i="354"/>
  <c r="K17" i="442"/>
  <c r="M16" i="442"/>
  <c r="S16" i="442"/>
  <c r="L16" i="442"/>
  <c r="J17" i="442"/>
  <c r="H12" i="441"/>
  <c r="M12" i="441"/>
  <c r="G13" i="441"/>
  <c r="J18" i="442" l="1"/>
  <c r="S17" i="442"/>
  <c r="L17" i="442"/>
  <c r="M17" i="442"/>
  <c r="K18" i="442"/>
  <c r="H13" i="441"/>
  <c r="M13" i="441"/>
  <c r="G14" i="441"/>
  <c r="K19" i="442" l="1"/>
  <c r="M18" i="442"/>
  <c r="S18" i="442"/>
  <c r="L18" i="442"/>
  <c r="J19" i="442"/>
  <c r="H14" i="441"/>
  <c r="M14" i="441"/>
  <c r="G15" i="441"/>
  <c r="J20" i="442" l="1"/>
  <c r="S19" i="442"/>
  <c r="L19" i="442"/>
  <c r="M19" i="442"/>
  <c r="K20" i="442"/>
  <c r="H15" i="441"/>
  <c r="M15" i="441"/>
  <c r="G16" i="441"/>
  <c r="K21" i="442" l="1"/>
  <c r="M20" i="442"/>
  <c r="S20" i="442"/>
  <c r="L20" i="442"/>
  <c r="J21" i="442"/>
  <c r="H16" i="441"/>
  <c r="M16" i="441"/>
  <c r="G17" i="441"/>
  <c r="J22" i="442" l="1"/>
  <c r="S21" i="442"/>
  <c r="L21" i="442"/>
  <c r="M21" i="442"/>
  <c r="K22" i="442"/>
  <c r="H17" i="441"/>
  <c r="M17" i="441"/>
  <c r="G18" i="441"/>
  <c r="K23" i="442" l="1"/>
  <c r="M22" i="442"/>
  <c r="S22" i="442"/>
  <c r="L22" i="442"/>
  <c r="J23" i="442"/>
  <c r="H18" i="441"/>
  <c r="M18" i="441"/>
  <c r="G19" i="441"/>
  <c r="J24" i="442" l="1"/>
  <c r="S23" i="442"/>
  <c r="L23" i="442"/>
  <c r="M23" i="442"/>
  <c r="K24" i="442"/>
  <c r="H19" i="441"/>
  <c r="M19" i="441"/>
  <c r="G20" i="441"/>
  <c r="K25" i="442" l="1"/>
  <c r="M24" i="442"/>
  <c r="S24" i="442"/>
  <c r="L24" i="442"/>
  <c r="J25" i="442"/>
  <c r="H20" i="441"/>
  <c r="M20" i="441"/>
  <c r="G21" i="441"/>
  <c r="J26" i="442" l="1"/>
  <c r="S25" i="442"/>
  <c r="L25" i="442"/>
  <c r="M25" i="442"/>
  <c r="K26" i="442"/>
  <c r="H21" i="441"/>
  <c r="M21" i="441"/>
  <c r="G22" i="441"/>
  <c r="L40" i="377"/>
  <c r="E10" i="377"/>
  <c r="E11" i="377"/>
  <c r="E12" i="377"/>
  <c r="E13" i="377"/>
  <c r="E14" i="377"/>
  <c r="E15" i="377"/>
  <c r="E16" i="377"/>
  <c r="E17" i="377"/>
  <c r="E18" i="377"/>
  <c r="E19" i="377"/>
  <c r="E20" i="377"/>
  <c r="E21" i="377"/>
  <c r="E22" i="377"/>
  <c r="E23" i="377"/>
  <c r="E24" i="377"/>
  <c r="E25" i="377"/>
  <c r="E26" i="377"/>
  <c r="E27" i="377"/>
  <c r="E28" i="377"/>
  <c r="E29" i="377"/>
  <c r="E30" i="377"/>
  <c r="E31" i="377"/>
  <c r="E32" i="377"/>
  <c r="E33" i="377"/>
  <c r="E34" i="377"/>
  <c r="E35" i="377"/>
  <c r="E36" i="377"/>
  <c r="E37" i="377"/>
  <c r="E38" i="377"/>
  <c r="E39" i="377"/>
  <c r="E9" i="377"/>
  <c r="K27" i="442" l="1"/>
  <c r="M26" i="442"/>
  <c r="S26" i="442"/>
  <c r="L26" i="442"/>
  <c r="J27" i="442"/>
  <c r="H22" i="441"/>
  <c r="M22" i="441"/>
  <c r="G23" i="441"/>
  <c r="E37" i="212"/>
  <c r="K40" i="212"/>
  <c r="J28" i="442" l="1"/>
  <c r="S27" i="442"/>
  <c r="L27" i="442"/>
  <c r="M27" i="442"/>
  <c r="K28" i="442"/>
  <c r="H23" i="441"/>
  <c r="M23" i="441"/>
  <c r="G24" i="441"/>
  <c r="K29" i="442" l="1"/>
  <c r="M28" i="442"/>
  <c r="S28" i="442"/>
  <c r="L28" i="442"/>
  <c r="J29" i="442"/>
  <c r="H24" i="441"/>
  <c r="M24" i="441"/>
  <c r="G25" i="441"/>
  <c r="L62" i="341"/>
  <c r="L63" i="341"/>
  <c r="L64" i="341"/>
  <c r="L65" i="341"/>
  <c r="L66" i="341"/>
  <c r="L67" i="341"/>
  <c r="L68" i="341"/>
  <c r="D171" i="53"/>
  <c r="D68" i="341" s="1"/>
  <c r="E194" i="354" s="1"/>
  <c r="B171" i="53"/>
  <c r="B68" i="341" s="1"/>
  <c r="L40" i="440"/>
  <c r="K40" i="440"/>
  <c r="J40" i="440"/>
  <c r="I40" i="440"/>
  <c r="D40" i="440"/>
  <c r="F171" i="53" s="1"/>
  <c r="F68" i="341" s="1"/>
  <c r="G194" i="354" s="1"/>
  <c r="B39" i="440"/>
  <c r="B38" i="440"/>
  <c r="B37" i="440"/>
  <c r="B36" i="440"/>
  <c r="B35" i="440"/>
  <c r="B34" i="440"/>
  <c r="B33" i="440"/>
  <c r="B32" i="440"/>
  <c r="B31" i="440"/>
  <c r="B30" i="440"/>
  <c r="B29" i="440"/>
  <c r="B28" i="440"/>
  <c r="B27" i="440"/>
  <c r="B26" i="440"/>
  <c r="B25" i="440"/>
  <c r="B24" i="440"/>
  <c r="B23" i="440"/>
  <c r="B22" i="440"/>
  <c r="B21" i="440"/>
  <c r="B20" i="440"/>
  <c r="B19" i="440"/>
  <c r="B18" i="440"/>
  <c r="B17" i="440"/>
  <c r="B16" i="440"/>
  <c r="B15" i="440"/>
  <c r="B14" i="440"/>
  <c r="B13" i="440"/>
  <c r="B12" i="440"/>
  <c r="B11" i="440"/>
  <c r="B10" i="440"/>
  <c r="B9" i="440"/>
  <c r="D8" i="440"/>
  <c r="D41" i="440" s="1"/>
  <c r="I5" i="440"/>
  <c r="G5" i="440"/>
  <c r="F5" i="440"/>
  <c r="E5" i="440"/>
  <c r="D5" i="440"/>
  <c r="C5" i="440"/>
  <c r="B5" i="440"/>
  <c r="C4" i="440"/>
  <c r="D170" i="53"/>
  <c r="D67" i="341" s="1"/>
  <c r="E193" i="354" s="1"/>
  <c r="B170" i="53"/>
  <c r="B67" i="341" s="1"/>
  <c r="M40" i="439"/>
  <c r="L40" i="439"/>
  <c r="K40" i="439"/>
  <c r="J40" i="439"/>
  <c r="I40" i="439"/>
  <c r="B39" i="439"/>
  <c r="B38" i="439"/>
  <c r="B37" i="439"/>
  <c r="B36" i="439"/>
  <c r="B35" i="439"/>
  <c r="B34" i="439"/>
  <c r="B33" i="439"/>
  <c r="B32" i="439"/>
  <c r="B31" i="439"/>
  <c r="B30" i="439"/>
  <c r="B29" i="439"/>
  <c r="B28" i="439"/>
  <c r="B27" i="439"/>
  <c r="B26" i="439"/>
  <c r="B25" i="439"/>
  <c r="B24" i="439"/>
  <c r="B23" i="439"/>
  <c r="B22" i="439"/>
  <c r="B21" i="439"/>
  <c r="B20" i="439"/>
  <c r="B19" i="439"/>
  <c r="B18" i="439"/>
  <c r="B17" i="439"/>
  <c r="B16" i="439"/>
  <c r="B15" i="439"/>
  <c r="B14" i="439"/>
  <c r="B13" i="439"/>
  <c r="B12" i="439"/>
  <c r="B11" i="439"/>
  <c r="B10" i="439"/>
  <c r="B9" i="439"/>
  <c r="D8" i="439"/>
  <c r="I5" i="439"/>
  <c r="G5" i="439"/>
  <c r="F5" i="439"/>
  <c r="E5" i="439"/>
  <c r="D5" i="439"/>
  <c r="C5" i="439"/>
  <c r="B5" i="439"/>
  <c r="C4" i="439"/>
  <c r="D169" i="53"/>
  <c r="D66" i="341" s="1"/>
  <c r="E192" i="354" s="1"/>
  <c r="B169" i="53"/>
  <c r="B66" i="341" s="1"/>
  <c r="L40" i="438"/>
  <c r="K40" i="438"/>
  <c r="J40" i="438"/>
  <c r="I40" i="438"/>
  <c r="D40" i="438"/>
  <c r="F169" i="53" s="1"/>
  <c r="F66" i="341" s="1"/>
  <c r="G192" i="354" s="1"/>
  <c r="E39" i="438"/>
  <c r="B39" i="438"/>
  <c r="E38" i="438"/>
  <c r="B38" i="438"/>
  <c r="E37" i="438"/>
  <c r="B37" i="438"/>
  <c r="E36" i="438"/>
  <c r="B36" i="438"/>
  <c r="E35" i="438"/>
  <c r="B35" i="438"/>
  <c r="E34" i="438"/>
  <c r="B34" i="438"/>
  <c r="E33" i="438"/>
  <c r="B33" i="438"/>
  <c r="E32" i="438"/>
  <c r="B32" i="438"/>
  <c r="E31" i="438"/>
  <c r="B31" i="438"/>
  <c r="E30" i="438"/>
  <c r="B30" i="438"/>
  <c r="E29" i="438"/>
  <c r="B29" i="438"/>
  <c r="E28" i="438"/>
  <c r="B28" i="438"/>
  <c r="E27" i="438"/>
  <c r="B27" i="438"/>
  <c r="E26" i="438"/>
  <c r="B26" i="438"/>
  <c r="E25" i="438"/>
  <c r="B25" i="438"/>
  <c r="E24" i="438"/>
  <c r="B24" i="438"/>
  <c r="E23" i="438"/>
  <c r="B23" i="438"/>
  <c r="E22" i="438"/>
  <c r="B22" i="438"/>
  <c r="E21" i="438"/>
  <c r="B21" i="438"/>
  <c r="E20" i="438"/>
  <c r="B20" i="438"/>
  <c r="E19" i="438"/>
  <c r="B19" i="438"/>
  <c r="E18" i="438"/>
  <c r="B18" i="438"/>
  <c r="E17" i="438"/>
  <c r="B17" i="438"/>
  <c r="E16" i="438"/>
  <c r="B16" i="438"/>
  <c r="E15" i="438"/>
  <c r="B15" i="438"/>
  <c r="E14" i="438"/>
  <c r="B14" i="438"/>
  <c r="E13" i="438"/>
  <c r="B13" i="438"/>
  <c r="E12" i="438"/>
  <c r="B12" i="438"/>
  <c r="E11" i="438"/>
  <c r="B11" i="438"/>
  <c r="E10" i="438"/>
  <c r="B10" i="438"/>
  <c r="F9" i="438"/>
  <c r="F38" i="438" s="1"/>
  <c r="E9" i="438"/>
  <c r="G9" i="438" s="1"/>
  <c r="B9" i="438"/>
  <c r="D8" i="438"/>
  <c r="I5" i="438"/>
  <c r="H5" i="438"/>
  <c r="G5" i="438"/>
  <c r="F5" i="438"/>
  <c r="E5" i="438"/>
  <c r="D5" i="438"/>
  <c r="C5" i="438"/>
  <c r="B5" i="438"/>
  <c r="C4" i="438"/>
  <c r="G10" i="438" l="1"/>
  <c r="G11" i="438" s="1"/>
  <c r="G12" i="438" s="1"/>
  <c r="J30" i="442"/>
  <c r="S29" i="442"/>
  <c r="L29" i="442"/>
  <c r="M29" i="442"/>
  <c r="K30" i="442"/>
  <c r="H25" i="441"/>
  <c r="M25" i="441"/>
  <c r="G26" i="441"/>
  <c r="E40" i="438"/>
  <c r="E41" i="438" s="1"/>
  <c r="E40" i="440"/>
  <c r="H171" i="53" s="1"/>
  <c r="H68" i="341" s="1"/>
  <c r="I194" i="354" s="1"/>
  <c r="D40" i="439"/>
  <c r="E40" i="439"/>
  <c r="H170" i="53" s="1"/>
  <c r="H67" i="341" s="1"/>
  <c r="I193" i="354" s="1"/>
  <c r="L193" i="354" s="1"/>
  <c r="D41" i="438"/>
  <c r="F10" i="438"/>
  <c r="F11" i="438"/>
  <c r="F12" i="438"/>
  <c r="F13" i="438"/>
  <c r="F14" i="438"/>
  <c r="F15" i="438"/>
  <c r="F16" i="438"/>
  <c r="F17" i="438"/>
  <c r="F18" i="438"/>
  <c r="F19" i="438"/>
  <c r="F20" i="438"/>
  <c r="F21" i="438"/>
  <c r="F22" i="438"/>
  <c r="F23" i="438"/>
  <c r="F24" i="438"/>
  <c r="F25" i="438"/>
  <c r="F26" i="438"/>
  <c r="F27" i="438"/>
  <c r="F28" i="438"/>
  <c r="F29" i="438"/>
  <c r="F30" i="438"/>
  <c r="F31" i="438"/>
  <c r="F32" i="438"/>
  <c r="F33" i="438"/>
  <c r="F34" i="438"/>
  <c r="F35" i="438"/>
  <c r="F36" i="438"/>
  <c r="F37" i="438"/>
  <c r="D168" i="53"/>
  <c r="D65" i="341" s="1"/>
  <c r="E191" i="354" s="1"/>
  <c r="B168" i="53"/>
  <c r="B65" i="341" s="1"/>
  <c r="L40" i="437"/>
  <c r="K40" i="437"/>
  <c r="J40" i="437"/>
  <c r="I40" i="437"/>
  <c r="D40" i="437"/>
  <c r="F168" i="53" s="1"/>
  <c r="F65" i="341" s="1"/>
  <c r="E39" i="437"/>
  <c r="B39" i="437"/>
  <c r="E38" i="437"/>
  <c r="B38" i="437"/>
  <c r="E37" i="437"/>
  <c r="B37" i="437"/>
  <c r="E36" i="437"/>
  <c r="B36" i="437"/>
  <c r="E35" i="437"/>
  <c r="B35" i="437"/>
  <c r="E34" i="437"/>
  <c r="B34" i="437"/>
  <c r="E33" i="437"/>
  <c r="B33" i="437"/>
  <c r="E32" i="437"/>
  <c r="B32" i="437"/>
  <c r="E31" i="437"/>
  <c r="B31" i="437"/>
  <c r="E30" i="437"/>
  <c r="B30" i="437"/>
  <c r="E29" i="437"/>
  <c r="B29" i="437"/>
  <c r="E28" i="437"/>
  <c r="B28" i="437"/>
  <c r="E27" i="437"/>
  <c r="B27" i="437"/>
  <c r="E26" i="437"/>
  <c r="B26" i="437"/>
  <c r="E25" i="437"/>
  <c r="B25" i="437"/>
  <c r="E24" i="437"/>
  <c r="B24" i="437"/>
  <c r="E23" i="437"/>
  <c r="B23" i="437"/>
  <c r="E22" i="437"/>
  <c r="B22" i="437"/>
  <c r="E21" i="437"/>
  <c r="B21" i="437"/>
  <c r="E20" i="437"/>
  <c r="B20" i="437"/>
  <c r="E19" i="437"/>
  <c r="B19" i="437"/>
  <c r="E18" i="437"/>
  <c r="B18" i="437"/>
  <c r="E17" i="437"/>
  <c r="B17" i="437"/>
  <c r="E16" i="437"/>
  <c r="B16" i="437"/>
  <c r="E15" i="437"/>
  <c r="B15" i="437"/>
  <c r="E14" i="437"/>
  <c r="B14" i="437"/>
  <c r="E13" i="437"/>
  <c r="B13" i="437"/>
  <c r="E12" i="437"/>
  <c r="B12" i="437"/>
  <c r="E11" i="437"/>
  <c r="B11" i="437"/>
  <c r="E10" i="437"/>
  <c r="B10" i="437"/>
  <c r="F9" i="437"/>
  <c r="F38" i="437" s="1"/>
  <c r="E9" i="437"/>
  <c r="B9" i="437"/>
  <c r="D8" i="437"/>
  <c r="I5" i="437"/>
  <c r="G5" i="437"/>
  <c r="F5" i="437"/>
  <c r="E5" i="437"/>
  <c r="D5" i="437"/>
  <c r="C5" i="437"/>
  <c r="B5" i="437"/>
  <c r="C4" i="437"/>
  <c r="D167" i="53"/>
  <c r="D64" i="341" s="1"/>
  <c r="E190" i="354" s="1"/>
  <c r="B167" i="53"/>
  <c r="B64" i="341" s="1"/>
  <c r="K40" i="436"/>
  <c r="J40" i="436"/>
  <c r="I40" i="436"/>
  <c r="D40" i="436"/>
  <c r="F167" i="53" s="1"/>
  <c r="F64" i="341" s="1"/>
  <c r="E39" i="436"/>
  <c r="B39" i="436"/>
  <c r="E38" i="436"/>
  <c r="B38" i="436"/>
  <c r="E37" i="436"/>
  <c r="B37" i="436"/>
  <c r="E36" i="436"/>
  <c r="B36" i="436"/>
  <c r="E35" i="436"/>
  <c r="B35" i="436"/>
  <c r="E34" i="436"/>
  <c r="B34" i="436"/>
  <c r="E33" i="436"/>
  <c r="B33" i="436"/>
  <c r="E32" i="436"/>
  <c r="B32" i="436"/>
  <c r="E31" i="436"/>
  <c r="B31" i="436"/>
  <c r="E30" i="436"/>
  <c r="B30" i="436"/>
  <c r="E29" i="436"/>
  <c r="B29" i="436"/>
  <c r="E28" i="436"/>
  <c r="B28" i="436"/>
  <c r="E27" i="436"/>
  <c r="B27" i="436"/>
  <c r="E26" i="436"/>
  <c r="B26" i="436"/>
  <c r="E25" i="436"/>
  <c r="B25" i="436"/>
  <c r="E24" i="436"/>
  <c r="B24" i="436"/>
  <c r="E23" i="436"/>
  <c r="B23" i="436"/>
  <c r="E22" i="436"/>
  <c r="B22" i="436"/>
  <c r="E21" i="436"/>
  <c r="B21" i="436"/>
  <c r="E20" i="436"/>
  <c r="B20" i="436"/>
  <c r="E19" i="436"/>
  <c r="B19" i="436"/>
  <c r="E18" i="436"/>
  <c r="B18" i="436"/>
  <c r="E17" i="436"/>
  <c r="B17" i="436"/>
  <c r="E16" i="436"/>
  <c r="B16" i="436"/>
  <c r="E15" i="436"/>
  <c r="B15" i="436"/>
  <c r="E14" i="436"/>
  <c r="B14" i="436"/>
  <c r="E13" i="436"/>
  <c r="B13" i="436"/>
  <c r="E12" i="436"/>
  <c r="B12" i="436"/>
  <c r="E11" i="436"/>
  <c r="B11" i="436"/>
  <c r="E10" i="436"/>
  <c r="B10" i="436"/>
  <c r="F9" i="436"/>
  <c r="E9" i="436"/>
  <c r="B9" i="436"/>
  <c r="D8" i="436"/>
  <c r="I5" i="436"/>
  <c r="H5" i="436"/>
  <c r="G5" i="436"/>
  <c r="F5" i="436"/>
  <c r="E5" i="436"/>
  <c r="D5" i="436"/>
  <c r="C5" i="436"/>
  <c r="B5" i="436"/>
  <c r="C4" i="436"/>
  <c r="D166" i="53"/>
  <c r="D63" i="341" s="1"/>
  <c r="E189" i="354" s="1"/>
  <c r="B166" i="53"/>
  <c r="B63" i="341" s="1"/>
  <c r="C4" i="435"/>
  <c r="K40" i="435"/>
  <c r="J40" i="435"/>
  <c r="I40" i="435"/>
  <c r="D40" i="435"/>
  <c r="F166" i="53" s="1"/>
  <c r="F63" i="341" s="1"/>
  <c r="E39" i="435"/>
  <c r="B39" i="435"/>
  <c r="E38" i="435"/>
  <c r="B38" i="435"/>
  <c r="E37" i="435"/>
  <c r="B37" i="435"/>
  <c r="E36" i="435"/>
  <c r="B36" i="435"/>
  <c r="E35" i="435"/>
  <c r="B35" i="435"/>
  <c r="E34" i="435"/>
  <c r="B34" i="435"/>
  <c r="E33" i="435"/>
  <c r="B33" i="435"/>
  <c r="E32" i="435"/>
  <c r="B32" i="435"/>
  <c r="E31" i="435"/>
  <c r="B31" i="435"/>
  <c r="E30" i="435"/>
  <c r="B30" i="435"/>
  <c r="E29" i="435"/>
  <c r="B29" i="435"/>
  <c r="E28" i="435"/>
  <c r="B28" i="435"/>
  <c r="E27" i="435"/>
  <c r="B27" i="435"/>
  <c r="E26" i="435"/>
  <c r="B26" i="435"/>
  <c r="E25" i="435"/>
  <c r="B25" i="435"/>
  <c r="E24" i="435"/>
  <c r="B24" i="435"/>
  <c r="E23" i="435"/>
  <c r="B23" i="435"/>
  <c r="E22" i="435"/>
  <c r="B22" i="435"/>
  <c r="E21" i="435"/>
  <c r="B21" i="435"/>
  <c r="E20" i="435"/>
  <c r="B20" i="435"/>
  <c r="E19" i="435"/>
  <c r="B19" i="435"/>
  <c r="E18" i="435"/>
  <c r="B18" i="435"/>
  <c r="E17" i="435"/>
  <c r="B17" i="435"/>
  <c r="E16" i="435"/>
  <c r="B16" i="435"/>
  <c r="E15" i="435"/>
  <c r="B15" i="435"/>
  <c r="E14" i="435"/>
  <c r="B14" i="435"/>
  <c r="E13" i="435"/>
  <c r="B13" i="435"/>
  <c r="E12" i="435"/>
  <c r="B12" i="435"/>
  <c r="E11" i="435"/>
  <c r="B11" i="435"/>
  <c r="E10" i="435"/>
  <c r="B10" i="435"/>
  <c r="F9" i="435"/>
  <c r="F39" i="435" s="1"/>
  <c r="E9" i="435"/>
  <c r="B9" i="435"/>
  <c r="D8" i="435"/>
  <c r="I5" i="435"/>
  <c r="H5" i="435"/>
  <c r="G5" i="435"/>
  <c r="F5" i="435"/>
  <c r="E5" i="435"/>
  <c r="D5" i="435"/>
  <c r="C5" i="435"/>
  <c r="B5" i="435"/>
  <c r="L165" i="53"/>
  <c r="L166" i="53"/>
  <c r="L167" i="53"/>
  <c r="L168" i="53"/>
  <c r="L169" i="53"/>
  <c r="L170" i="53"/>
  <c r="L171" i="53"/>
  <c r="D165" i="53"/>
  <c r="D62" i="341" s="1"/>
  <c r="E188" i="354" s="1"/>
  <c r="B165" i="53"/>
  <c r="B62" i="341" s="1"/>
  <c r="N40" i="434"/>
  <c r="M40" i="434"/>
  <c r="L40" i="434"/>
  <c r="K40" i="434"/>
  <c r="J40" i="434"/>
  <c r="I40" i="434"/>
  <c r="B39" i="434"/>
  <c r="B38" i="434"/>
  <c r="B37" i="434"/>
  <c r="B36" i="434"/>
  <c r="B35" i="434"/>
  <c r="B34" i="434"/>
  <c r="B33" i="434"/>
  <c r="B32" i="434"/>
  <c r="B31" i="434"/>
  <c r="B30" i="434"/>
  <c r="B29" i="434"/>
  <c r="B28" i="434"/>
  <c r="B27" i="434"/>
  <c r="B26" i="434"/>
  <c r="B25" i="434"/>
  <c r="B24" i="434"/>
  <c r="B23" i="434"/>
  <c r="B22" i="434"/>
  <c r="B21" i="434"/>
  <c r="B20" i="434"/>
  <c r="B19" i="434"/>
  <c r="B18" i="434"/>
  <c r="B17" i="434"/>
  <c r="B16" i="434"/>
  <c r="B15" i="434"/>
  <c r="B14" i="434"/>
  <c r="B13" i="434"/>
  <c r="B12" i="434"/>
  <c r="B11" i="434"/>
  <c r="B10" i="434"/>
  <c r="B9" i="434"/>
  <c r="D8" i="434"/>
  <c r="I5" i="434"/>
  <c r="H5" i="434"/>
  <c r="G5" i="434"/>
  <c r="F5" i="434"/>
  <c r="E5" i="434"/>
  <c r="D5" i="434"/>
  <c r="C5" i="434"/>
  <c r="B5" i="434"/>
  <c r="C4" i="434"/>
  <c r="D41" i="437" l="1"/>
  <c r="D41" i="436"/>
  <c r="K194" i="354"/>
  <c r="N101" i="421" s="1"/>
  <c r="L194" i="354"/>
  <c r="D41" i="435"/>
  <c r="K31" i="442"/>
  <c r="M30" i="442"/>
  <c r="S30" i="442"/>
  <c r="L30" i="442"/>
  <c r="J31" i="442"/>
  <c r="H26" i="441"/>
  <c r="M26" i="441"/>
  <c r="G27" i="441"/>
  <c r="J171" i="53"/>
  <c r="M171" i="53" s="1"/>
  <c r="G41" i="438"/>
  <c r="E8" i="440"/>
  <c r="F39" i="440" s="1"/>
  <c r="J68" i="341"/>
  <c r="M68" i="341" s="1"/>
  <c r="H169" i="53"/>
  <c r="E8" i="438"/>
  <c r="F39" i="438" s="1"/>
  <c r="E41" i="440"/>
  <c r="G41" i="440" s="1"/>
  <c r="G190" i="354"/>
  <c r="G189" i="354"/>
  <c r="G191" i="354"/>
  <c r="D40" i="434"/>
  <c r="F165" i="53" s="1"/>
  <c r="F62" i="341" s="1"/>
  <c r="D41" i="439"/>
  <c r="F170" i="53"/>
  <c r="M9" i="440"/>
  <c r="N9" i="439"/>
  <c r="E41" i="439"/>
  <c r="G41" i="439" s="1"/>
  <c r="E8" i="439"/>
  <c r="F39" i="439" s="1"/>
  <c r="H9" i="438"/>
  <c r="M9" i="438"/>
  <c r="E40" i="437"/>
  <c r="H168" i="53" s="1"/>
  <c r="G9" i="437"/>
  <c r="E40" i="435"/>
  <c r="H166" i="53" s="1"/>
  <c r="E40" i="436"/>
  <c r="H167" i="53" s="1"/>
  <c r="F10" i="437"/>
  <c r="F11" i="437"/>
  <c r="F12" i="437"/>
  <c r="F13" i="437"/>
  <c r="F14" i="437"/>
  <c r="F15" i="437"/>
  <c r="F16" i="437"/>
  <c r="F17" i="437"/>
  <c r="F18" i="437"/>
  <c r="F19" i="437"/>
  <c r="F20" i="437"/>
  <c r="F21" i="437"/>
  <c r="F22" i="437"/>
  <c r="F23" i="437"/>
  <c r="F24" i="437"/>
  <c r="F25" i="437"/>
  <c r="F26" i="437"/>
  <c r="F27" i="437"/>
  <c r="F28" i="437"/>
  <c r="F29" i="437"/>
  <c r="F30" i="437"/>
  <c r="F31" i="437"/>
  <c r="F32" i="437"/>
  <c r="F33" i="437"/>
  <c r="F34" i="437"/>
  <c r="F35" i="437"/>
  <c r="F36" i="437"/>
  <c r="F37" i="437"/>
  <c r="F38" i="436"/>
  <c r="F37" i="436"/>
  <c r="F36" i="436"/>
  <c r="F35" i="436"/>
  <c r="F34" i="436"/>
  <c r="F33" i="436"/>
  <c r="F10" i="436"/>
  <c r="F11" i="436"/>
  <c r="F12" i="436"/>
  <c r="F13" i="436"/>
  <c r="F14" i="436"/>
  <c r="F15" i="436"/>
  <c r="F16" i="436"/>
  <c r="F17" i="436"/>
  <c r="F18" i="436"/>
  <c r="F19" i="436"/>
  <c r="F20" i="436"/>
  <c r="F21" i="436"/>
  <c r="F22" i="436"/>
  <c r="F23" i="436"/>
  <c r="F24" i="436"/>
  <c r="F25" i="436"/>
  <c r="F26" i="436"/>
  <c r="F27" i="436"/>
  <c r="F28" i="436"/>
  <c r="F29" i="436"/>
  <c r="F30" i="436"/>
  <c r="F31" i="436"/>
  <c r="F32" i="436"/>
  <c r="E41" i="436"/>
  <c r="G9" i="436"/>
  <c r="E40" i="434"/>
  <c r="H165" i="53" s="1"/>
  <c r="G9" i="435"/>
  <c r="F10" i="435"/>
  <c r="F11" i="435"/>
  <c r="F12" i="435"/>
  <c r="F13" i="435"/>
  <c r="F14" i="435"/>
  <c r="F15" i="435"/>
  <c r="F16" i="435"/>
  <c r="F17" i="435"/>
  <c r="F18" i="435"/>
  <c r="F19" i="435"/>
  <c r="F20" i="435"/>
  <c r="F21" i="435"/>
  <c r="F22" i="435"/>
  <c r="F23" i="435"/>
  <c r="F24" i="435"/>
  <c r="F25" i="435"/>
  <c r="F26" i="435"/>
  <c r="F27" i="435"/>
  <c r="F28" i="435"/>
  <c r="F29" i="435"/>
  <c r="F30" i="435"/>
  <c r="F31" i="435"/>
  <c r="F32" i="435"/>
  <c r="F33" i="435"/>
  <c r="F34" i="435"/>
  <c r="F35" i="435"/>
  <c r="F36" i="435"/>
  <c r="F37" i="435"/>
  <c r="F38" i="435"/>
  <c r="H62" i="341" l="1"/>
  <c r="I188" i="354" s="1"/>
  <c r="L188" i="354" s="1"/>
  <c r="G41" i="436"/>
  <c r="J32" i="442"/>
  <c r="S31" i="442"/>
  <c r="L31" i="442"/>
  <c r="M31" i="442"/>
  <c r="K32" i="442"/>
  <c r="H27" i="441"/>
  <c r="M27" i="441"/>
  <c r="G28" i="441"/>
  <c r="E41" i="434"/>
  <c r="D41" i="434"/>
  <c r="H66" i="341"/>
  <c r="J169" i="53"/>
  <c r="M169" i="53" s="1"/>
  <c r="J167" i="53"/>
  <c r="M167" i="53" s="1"/>
  <c r="H64" i="341"/>
  <c r="J170" i="53"/>
  <c r="M170" i="53" s="1"/>
  <c r="F67" i="341"/>
  <c r="E8" i="435"/>
  <c r="J168" i="53"/>
  <c r="M168" i="53" s="1"/>
  <c r="H65" i="341"/>
  <c r="E41" i="435"/>
  <c r="G41" i="435" s="1"/>
  <c r="J166" i="53"/>
  <c r="M166" i="53" s="1"/>
  <c r="H63" i="341"/>
  <c r="J62" i="341"/>
  <c r="M62" i="341" s="1"/>
  <c r="G188" i="354"/>
  <c r="J165" i="53"/>
  <c r="M165" i="53" s="1"/>
  <c r="M10" i="440"/>
  <c r="E8" i="437"/>
  <c r="F39" i="437" s="1"/>
  <c r="N10" i="439"/>
  <c r="H10" i="438"/>
  <c r="M10" i="438"/>
  <c r="E8" i="434"/>
  <c r="E8" i="436"/>
  <c r="F39" i="436" s="1"/>
  <c r="E41" i="437"/>
  <c r="G41" i="437" s="1"/>
  <c r="H9" i="437"/>
  <c r="G10" i="437"/>
  <c r="M9" i="437"/>
  <c r="G10" i="436"/>
  <c r="L9" i="436"/>
  <c r="H9" i="436"/>
  <c r="H9" i="435"/>
  <c r="G10" i="435"/>
  <c r="L9" i="435"/>
  <c r="O9" i="434"/>
  <c r="K188" i="354" l="1"/>
  <c r="N95" i="421" s="1"/>
  <c r="G41" i="434"/>
  <c r="K33" i="442"/>
  <c r="M32" i="442"/>
  <c r="S32" i="442"/>
  <c r="L32" i="442"/>
  <c r="J33" i="442"/>
  <c r="H28" i="441"/>
  <c r="M28" i="441"/>
  <c r="G29" i="441"/>
  <c r="I192" i="354"/>
  <c r="K192" i="354" s="1"/>
  <c r="J66" i="341"/>
  <c r="M66" i="341" s="1"/>
  <c r="I190" i="354"/>
  <c r="J64" i="341"/>
  <c r="M64" i="341" s="1"/>
  <c r="G193" i="354"/>
  <c r="K193" i="354" s="1"/>
  <c r="N100" i="421" s="1"/>
  <c r="J67" i="341"/>
  <c r="M67" i="341" s="1"/>
  <c r="I191" i="354"/>
  <c r="K191" i="354" s="1"/>
  <c r="N98" i="421" s="1"/>
  <c r="J65" i="341"/>
  <c r="M65" i="341" s="1"/>
  <c r="I189" i="354"/>
  <c r="J63" i="341"/>
  <c r="M63" i="341" s="1"/>
  <c r="M11" i="440"/>
  <c r="N11" i="439"/>
  <c r="H11" i="438"/>
  <c r="M11" i="438"/>
  <c r="H10" i="437"/>
  <c r="G11" i="437"/>
  <c r="M10" i="437"/>
  <c r="G11" i="436"/>
  <c r="L10" i="436"/>
  <c r="H10" i="436"/>
  <c r="H10" i="435"/>
  <c r="G11" i="435"/>
  <c r="L10" i="435"/>
  <c r="O10" i="434"/>
  <c r="N99" i="421" l="1"/>
  <c r="K189" i="354"/>
  <c r="N96" i="421" s="1"/>
  <c r="L189" i="354"/>
  <c r="L191" i="354"/>
  <c r="K190" i="354"/>
  <c r="N97" i="421" s="1"/>
  <c r="L190" i="354"/>
  <c r="L192" i="354"/>
  <c r="J34" i="442"/>
  <c r="S33" i="442"/>
  <c r="L33" i="442"/>
  <c r="M33" i="442"/>
  <c r="K34" i="442"/>
  <c r="H29" i="441"/>
  <c r="M29" i="441"/>
  <c r="G30" i="441"/>
  <c r="M12" i="440"/>
  <c r="N12" i="439"/>
  <c r="H12" i="438"/>
  <c r="M12" i="438"/>
  <c r="G13" i="438"/>
  <c r="H11" i="437"/>
  <c r="G12" i="437"/>
  <c r="M11" i="437"/>
  <c r="G12" i="436"/>
  <c r="L11" i="436"/>
  <c r="H11" i="436"/>
  <c r="H11" i="435"/>
  <c r="G12" i="435"/>
  <c r="L11" i="435"/>
  <c r="O11" i="434"/>
  <c r="L40" i="391"/>
  <c r="K35" i="442" l="1"/>
  <c r="M34" i="442"/>
  <c r="S34" i="442"/>
  <c r="L34" i="442"/>
  <c r="J35" i="442"/>
  <c r="H30" i="441"/>
  <c r="G31" i="441"/>
  <c r="M30" i="441"/>
  <c r="M13" i="440"/>
  <c r="N13" i="439"/>
  <c r="H13" i="438"/>
  <c r="M13" i="438"/>
  <c r="G14" i="438"/>
  <c r="G15" i="438" s="1"/>
  <c r="G16" i="438" s="1"/>
  <c r="H12" i="437"/>
  <c r="G13" i="437"/>
  <c r="M12" i="437"/>
  <c r="G13" i="436"/>
  <c r="L12" i="436"/>
  <c r="H12" i="436"/>
  <c r="H12" i="435"/>
  <c r="G13" i="435"/>
  <c r="L12" i="435"/>
  <c r="O12" i="434"/>
  <c r="J36" i="442" l="1"/>
  <c r="S35" i="442"/>
  <c r="L35" i="442"/>
  <c r="M35" i="442"/>
  <c r="K36" i="442"/>
  <c r="H31" i="441"/>
  <c r="G32" i="441"/>
  <c r="M31" i="441"/>
  <c r="M14" i="440"/>
  <c r="N14" i="439"/>
  <c r="H14" i="438"/>
  <c r="M14" i="438"/>
  <c r="H13" i="437"/>
  <c r="G14" i="437"/>
  <c r="M13" i="437"/>
  <c r="G14" i="436"/>
  <c r="L13" i="436"/>
  <c r="H13" i="436"/>
  <c r="H13" i="435"/>
  <c r="G14" i="435"/>
  <c r="L13" i="435"/>
  <c r="O13" i="434"/>
  <c r="K37" i="442" l="1"/>
  <c r="M36" i="442"/>
  <c r="S36" i="442"/>
  <c r="L36" i="442"/>
  <c r="J37" i="442"/>
  <c r="H32" i="441"/>
  <c r="G33" i="441"/>
  <c r="M32" i="441"/>
  <c r="M15" i="440"/>
  <c r="N15" i="439"/>
  <c r="H15" i="438"/>
  <c r="M15" i="438"/>
  <c r="H14" i="437"/>
  <c r="G15" i="437"/>
  <c r="M14" i="437"/>
  <c r="G15" i="436"/>
  <c r="L14" i="436"/>
  <c r="H14" i="436"/>
  <c r="H14" i="435"/>
  <c r="G15" i="435"/>
  <c r="L14" i="435"/>
  <c r="O14" i="434"/>
  <c r="J38" i="442" l="1"/>
  <c r="S37" i="442"/>
  <c r="L37" i="442"/>
  <c r="M37" i="442"/>
  <c r="K38" i="442"/>
  <c r="H33" i="441"/>
  <c r="G34" i="441"/>
  <c r="M33" i="441"/>
  <c r="M16" i="440"/>
  <c r="N16" i="439"/>
  <c r="H16" i="438"/>
  <c r="M16" i="438"/>
  <c r="G17" i="438"/>
  <c r="H15" i="437"/>
  <c r="G16" i="437"/>
  <c r="M15" i="437"/>
  <c r="G16" i="436"/>
  <c r="L15" i="436"/>
  <c r="H15" i="436"/>
  <c r="H15" i="435"/>
  <c r="G16" i="435"/>
  <c r="L15" i="435"/>
  <c r="O15" i="434"/>
  <c r="K39" i="442" l="1"/>
  <c r="M38" i="442"/>
  <c r="S38" i="442"/>
  <c r="L38" i="442"/>
  <c r="J39" i="442"/>
  <c r="H34" i="441"/>
  <c r="G35" i="441"/>
  <c r="M34" i="441"/>
  <c r="M17" i="440"/>
  <c r="N17" i="439"/>
  <c r="H17" i="438"/>
  <c r="M17" i="438"/>
  <c r="G18" i="438"/>
  <c r="H16" i="437"/>
  <c r="G17" i="437"/>
  <c r="M16" i="437"/>
  <c r="G17" i="436"/>
  <c r="L16" i="436"/>
  <c r="H16" i="436"/>
  <c r="H16" i="435"/>
  <c r="G17" i="435"/>
  <c r="L16" i="435"/>
  <c r="O16" i="434"/>
  <c r="J40" i="442" l="1"/>
  <c r="S39" i="442"/>
  <c r="L39" i="442"/>
  <c r="M39" i="442"/>
  <c r="K40" i="442"/>
  <c r="H35" i="441"/>
  <c r="G36" i="441"/>
  <c r="M35" i="441"/>
  <c r="M18" i="440"/>
  <c r="N18" i="439"/>
  <c r="H18" i="438"/>
  <c r="M18" i="438"/>
  <c r="G19" i="438"/>
  <c r="H17" i="437"/>
  <c r="G18" i="437"/>
  <c r="M17" i="437"/>
  <c r="G18" i="436"/>
  <c r="L17" i="436"/>
  <c r="H17" i="436"/>
  <c r="H17" i="435"/>
  <c r="G18" i="435"/>
  <c r="L17" i="435"/>
  <c r="O17" i="434"/>
  <c r="H36" i="441" l="1"/>
  <c r="G37" i="441"/>
  <c r="M36" i="441"/>
  <c r="M19" i="440"/>
  <c r="N19" i="439"/>
  <c r="H19" i="438"/>
  <c r="M19" i="438"/>
  <c r="G20" i="438"/>
  <c r="H18" i="437"/>
  <c r="G19" i="437"/>
  <c r="M18" i="437"/>
  <c r="G19" i="436"/>
  <c r="L18" i="436"/>
  <c r="H18" i="436"/>
  <c r="H18" i="435"/>
  <c r="G19" i="435"/>
  <c r="L18" i="435"/>
  <c r="O18" i="434"/>
  <c r="H37" i="441" l="1"/>
  <c r="G38" i="441"/>
  <c r="M37" i="441"/>
  <c r="M20" i="440"/>
  <c r="N20" i="439"/>
  <c r="H20" i="438"/>
  <c r="M20" i="438"/>
  <c r="G21" i="438"/>
  <c r="H19" i="437"/>
  <c r="G20" i="437"/>
  <c r="M19" i="437"/>
  <c r="G20" i="436"/>
  <c r="L19" i="436"/>
  <c r="H19" i="436"/>
  <c r="H19" i="435"/>
  <c r="G20" i="435"/>
  <c r="L19" i="435"/>
  <c r="O19" i="434"/>
  <c r="H38" i="441" l="1"/>
  <c r="G39" i="441"/>
  <c r="M38" i="441"/>
  <c r="M21" i="440"/>
  <c r="N21" i="439"/>
  <c r="H21" i="438"/>
  <c r="M21" i="438"/>
  <c r="G22" i="438"/>
  <c r="H20" i="437"/>
  <c r="G21" i="437"/>
  <c r="M20" i="437"/>
  <c r="G21" i="436"/>
  <c r="L20" i="436"/>
  <c r="H20" i="436"/>
  <c r="H20" i="435"/>
  <c r="G21" i="435"/>
  <c r="L20" i="435"/>
  <c r="O20" i="434"/>
  <c r="G40" i="441" l="1"/>
  <c r="H39" i="441"/>
  <c r="M39" i="441"/>
  <c r="M22" i="440"/>
  <c r="N22" i="439"/>
  <c r="H22" i="438"/>
  <c r="M22" i="438"/>
  <c r="G23" i="438"/>
  <c r="H21" i="437"/>
  <c r="G22" i="437"/>
  <c r="M21" i="437"/>
  <c r="G22" i="436"/>
  <c r="L21" i="436"/>
  <c r="H21" i="436"/>
  <c r="H21" i="435"/>
  <c r="G22" i="435"/>
  <c r="L21" i="435"/>
  <c r="O21" i="434"/>
  <c r="M23" i="440" l="1"/>
  <c r="N23" i="439"/>
  <c r="H23" i="438"/>
  <c r="M23" i="438"/>
  <c r="G24" i="438"/>
  <c r="H22" i="437"/>
  <c r="G23" i="437"/>
  <c r="M22" i="437"/>
  <c r="G23" i="436"/>
  <c r="L22" i="436"/>
  <c r="H22" i="436"/>
  <c r="H22" i="435"/>
  <c r="G23" i="435"/>
  <c r="L22" i="435"/>
  <c r="O22" i="434"/>
  <c r="M24" i="440" l="1"/>
  <c r="N24" i="439"/>
  <c r="H24" i="438"/>
  <c r="M24" i="438"/>
  <c r="G25" i="438"/>
  <c r="H23" i="437"/>
  <c r="G24" i="437"/>
  <c r="M23" i="437"/>
  <c r="G24" i="436"/>
  <c r="L23" i="436"/>
  <c r="H23" i="436"/>
  <c r="H23" i="435"/>
  <c r="G24" i="435"/>
  <c r="L23" i="435"/>
  <c r="O23" i="434"/>
  <c r="L102" i="341"/>
  <c r="L103" i="341"/>
  <c r="L104" i="341"/>
  <c r="L105" i="341"/>
  <c r="L106" i="341"/>
  <c r="D220" i="53"/>
  <c r="D106" i="341" s="1"/>
  <c r="E187" i="354" s="1"/>
  <c r="B220" i="53"/>
  <c r="B106" i="341" s="1"/>
  <c r="K40" i="433"/>
  <c r="J40" i="433"/>
  <c r="I40" i="433"/>
  <c r="D40" i="433"/>
  <c r="F220" i="53" s="1"/>
  <c r="E39" i="433"/>
  <c r="B39" i="433"/>
  <c r="E38" i="433"/>
  <c r="B38" i="433"/>
  <c r="E37" i="433"/>
  <c r="B37" i="433"/>
  <c r="E36" i="433"/>
  <c r="B36" i="433"/>
  <c r="E35" i="433"/>
  <c r="B35" i="433"/>
  <c r="E34" i="433"/>
  <c r="B34" i="433"/>
  <c r="E33" i="433"/>
  <c r="B33" i="433"/>
  <c r="E32" i="433"/>
  <c r="B32" i="433"/>
  <c r="E31" i="433"/>
  <c r="B31" i="433"/>
  <c r="E30" i="433"/>
  <c r="B30" i="433"/>
  <c r="E29" i="433"/>
  <c r="B29" i="433"/>
  <c r="E28" i="433"/>
  <c r="B28" i="433"/>
  <c r="E27" i="433"/>
  <c r="B27" i="433"/>
  <c r="E26" i="433"/>
  <c r="B26" i="433"/>
  <c r="E25" i="433"/>
  <c r="B25" i="433"/>
  <c r="E24" i="433"/>
  <c r="B24" i="433"/>
  <c r="E23" i="433"/>
  <c r="B23" i="433"/>
  <c r="E22" i="433"/>
  <c r="B22" i="433"/>
  <c r="E21" i="433"/>
  <c r="B21" i="433"/>
  <c r="E20" i="433"/>
  <c r="B20" i="433"/>
  <c r="E19" i="433"/>
  <c r="B19" i="433"/>
  <c r="E18" i="433"/>
  <c r="B18" i="433"/>
  <c r="E17" i="433"/>
  <c r="B17" i="433"/>
  <c r="E16" i="433"/>
  <c r="B16" i="433"/>
  <c r="E15" i="433"/>
  <c r="B15" i="433"/>
  <c r="E14" i="433"/>
  <c r="B14" i="433"/>
  <c r="E13" i="433"/>
  <c r="B13" i="433"/>
  <c r="E12" i="433"/>
  <c r="B12" i="433"/>
  <c r="E11" i="433"/>
  <c r="B11" i="433"/>
  <c r="E10" i="433"/>
  <c r="B10" i="433"/>
  <c r="F9" i="433"/>
  <c r="E9" i="433"/>
  <c r="B9" i="433"/>
  <c r="D8" i="433"/>
  <c r="D41" i="433" s="1"/>
  <c r="I5" i="433"/>
  <c r="H5" i="433"/>
  <c r="G5" i="433"/>
  <c r="F5" i="433"/>
  <c r="E5" i="433"/>
  <c r="D5" i="433"/>
  <c r="C5" i="433"/>
  <c r="B5" i="433"/>
  <c r="C4" i="433"/>
  <c r="D219" i="53"/>
  <c r="D105" i="341" s="1"/>
  <c r="E186" i="354" s="1"/>
  <c r="B219" i="53"/>
  <c r="B105" i="341" s="1"/>
  <c r="M40" i="432"/>
  <c r="L40" i="432"/>
  <c r="K40" i="432"/>
  <c r="J40" i="432"/>
  <c r="I40" i="432"/>
  <c r="E39" i="432"/>
  <c r="D39" i="432"/>
  <c r="B39" i="432"/>
  <c r="E38" i="432"/>
  <c r="D38" i="432"/>
  <c r="B38" i="432"/>
  <c r="E37" i="432"/>
  <c r="D37" i="432"/>
  <c r="B37" i="432"/>
  <c r="E36" i="432"/>
  <c r="D36" i="432"/>
  <c r="B36" i="432"/>
  <c r="E35" i="432"/>
  <c r="D35" i="432"/>
  <c r="B35" i="432"/>
  <c r="E34" i="432"/>
  <c r="D34" i="432"/>
  <c r="B34" i="432"/>
  <c r="E33" i="432"/>
  <c r="D33" i="432"/>
  <c r="B33" i="432"/>
  <c r="E32" i="432"/>
  <c r="D32" i="432"/>
  <c r="B32" i="432"/>
  <c r="E31" i="432"/>
  <c r="D31" i="432"/>
  <c r="B31" i="432"/>
  <c r="E30" i="432"/>
  <c r="D30" i="432"/>
  <c r="B30" i="432"/>
  <c r="E29" i="432"/>
  <c r="D29" i="432"/>
  <c r="B29" i="432"/>
  <c r="E28" i="432"/>
  <c r="D28" i="432"/>
  <c r="B28" i="432"/>
  <c r="E27" i="432"/>
  <c r="D27" i="432"/>
  <c r="B27" i="432"/>
  <c r="E26" i="432"/>
  <c r="D26" i="432"/>
  <c r="B26" i="432"/>
  <c r="E25" i="432"/>
  <c r="D25" i="432"/>
  <c r="B25" i="432"/>
  <c r="E24" i="432"/>
  <c r="D24" i="432"/>
  <c r="B24" i="432"/>
  <c r="E23" i="432"/>
  <c r="D23" i="432"/>
  <c r="B23" i="432"/>
  <c r="E22" i="432"/>
  <c r="D22" i="432"/>
  <c r="B22" i="432"/>
  <c r="E21" i="432"/>
  <c r="D21" i="432"/>
  <c r="B21" i="432"/>
  <c r="E20" i="432"/>
  <c r="D20" i="432"/>
  <c r="B20" i="432"/>
  <c r="E19" i="432"/>
  <c r="D19" i="432"/>
  <c r="B19" i="432"/>
  <c r="E18" i="432"/>
  <c r="D18" i="432"/>
  <c r="B18" i="432"/>
  <c r="E17" i="432"/>
  <c r="D17" i="432"/>
  <c r="B17" i="432"/>
  <c r="E16" i="432"/>
  <c r="D16" i="432"/>
  <c r="B16" i="432"/>
  <c r="E15" i="432"/>
  <c r="D15" i="432"/>
  <c r="B15" i="432"/>
  <c r="E14" i="432"/>
  <c r="D14" i="432"/>
  <c r="B14" i="432"/>
  <c r="E13" i="432"/>
  <c r="D13" i="432"/>
  <c r="B13" i="432"/>
  <c r="E12" i="432"/>
  <c r="D12" i="432"/>
  <c r="B12" i="432"/>
  <c r="E11" i="432"/>
  <c r="D11" i="432"/>
  <c r="B11" i="432"/>
  <c r="E10" i="432"/>
  <c r="D10" i="432"/>
  <c r="B10" i="432"/>
  <c r="F9" i="432"/>
  <c r="E9" i="432"/>
  <c r="D9" i="432"/>
  <c r="B9" i="432"/>
  <c r="D8" i="432"/>
  <c r="I5" i="432"/>
  <c r="G5" i="432"/>
  <c r="F5" i="432"/>
  <c r="E5" i="432"/>
  <c r="D5" i="432"/>
  <c r="C5" i="432"/>
  <c r="B5" i="432"/>
  <c r="C4" i="432"/>
  <c r="D218" i="53"/>
  <c r="D104" i="341" s="1"/>
  <c r="E185" i="354" s="1"/>
  <c r="B218" i="53"/>
  <c r="B104" i="341" s="1"/>
  <c r="K40" i="431"/>
  <c r="J40" i="431"/>
  <c r="I40" i="431"/>
  <c r="D40" i="431"/>
  <c r="F218" i="53" s="1"/>
  <c r="F104" i="341" s="1"/>
  <c r="E39" i="431"/>
  <c r="B39" i="431"/>
  <c r="E38" i="431"/>
  <c r="B38" i="431"/>
  <c r="E37" i="431"/>
  <c r="B37" i="431"/>
  <c r="E36" i="431"/>
  <c r="B36" i="431"/>
  <c r="E35" i="431"/>
  <c r="B35" i="431"/>
  <c r="E34" i="431"/>
  <c r="B34" i="431"/>
  <c r="E33" i="431"/>
  <c r="B33" i="431"/>
  <c r="E32" i="431"/>
  <c r="B32" i="431"/>
  <c r="E31" i="431"/>
  <c r="B31" i="431"/>
  <c r="E30" i="431"/>
  <c r="B30" i="431"/>
  <c r="E29" i="431"/>
  <c r="B29" i="431"/>
  <c r="E28" i="431"/>
  <c r="B28" i="431"/>
  <c r="E27" i="431"/>
  <c r="B27" i="431"/>
  <c r="E26" i="431"/>
  <c r="B26" i="431"/>
  <c r="E25" i="431"/>
  <c r="B25" i="431"/>
  <c r="E24" i="431"/>
  <c r="B24" i="431"/>
  <c r="E23" i="431"/>
  <c r="B23" i="431"/>
  <c r="E22" i="431"/>
  <c r="B22" i="431"/>
  <c r="E21" i="431"/>
  <c r="B21" i="431"/>
  <c r="E20" i="431"/>
  <c r="B20" i="431"/>
  <c r="E19" i="431"/>
  <c r="B19" i="431"/>
  <c r="E18" i="431"/>
  <c r="B18" i="431"/>
  <c r="E17" i="431"/>
  <c r="B17" i="431"/>
  <c r="E16" i="431"/>
  <c r="B16" i="431"/>
  <c r="E15" i="431"/>
  <c r="B15" i="431"/>
  <c r="E14" i="431"/>
  <c r="B14" i="431"/>
  <c r="E13" i="431"/>
  <c r="B13" i="431"/>
  <c r="E12" i="431"/>
  <c r="B12" i="431"/>
  <c r="E11" i="431"/>
  <c r="B11" i="431"/>
  <c r="E10" i="431"/>
  <c r="B10" i="431"/>
  <c r="F9" i="431"/>
  <c r="F38" i="431" s="1"/>
  <c r="E9" i="431"/>
  <c r="B9" i="431"/>
  <c r="D8" i="431"/>
  <c r="D41" i="431" s="1"/>
  <c r="I5" i="431"/>
  <c r="H5" i="431"/>
  <c r="G5" i="431"/>
  <c r="F5" i="431"/>
  <c r="E5" i="431"/>
  <c r="D5" i="431"/>
  <c r="C5" i="431"/>
  <c r="B5" i="431"/>
  <c r="C4" i="431"/>
  <c r="D217" i="53"/>
  <c r="D103" i="341" s="1"/>
  <c r="E184" i="354" s="1"/>
  <c r="B217" i="53"/>
  <c r="B103" i="341" s="1"/>
  <c r="N40" i="430"/>
  <c r="M40" i="430"/>
  <c r="L40" i="430"/>
  <c r="J40" i="430"/>
  <c r="I40" i="430"/>
  <c r="D39" i="430"/>
  <c r="B39" i="430"/>
  <c r="D38" i="430"/>
  <c r="B38" i="430"/>
  <c r="D37" i="430"/>
  <c r="B37" i="430"/>
  <c r="D36" i="430"/>
  <c r="B36" i="430"/>
  <c r="D35" i="430"/>
  <c r="B35" i="430"/>
  <c r="D34" i="430"/>
  <c r="B34" i="430"/>
  <c r="D33" i="430"/>
  <c r="B33" i="430"/>
  <c r="D32" i="430"/>
  <c r="B32" i="430"/>
  <c r="D31" i="430"/>
  <c r="B31" i="430"/>
  <c r="D30" i="430"/>
  <c r="B30" i="430"/>
  <c r="D29" i="430"/>
  <c r="B29" i="430"/>
  <c r="D28" i="430"/>
  <c r="B28" i="430"/>
  <c r="D27" i="430"/>
  <c r="B27" i="430"/>
  <c r="D26" i="430"/>
  <c r="B26" i="430"/>
  <c r="D25" i="430"/>
  <c r="B25" i="430"/>
  <c r="D24" i="430"/>
  <c r="B24" i="430"/>
  <c r="D23" i="430"/>
  <c r="B23" i="430"/>
  <c r="D22" i="430"/>
  <c r="B22" i="430"/>
  <c r="D21" i="430"/>
  <c r="B21" i="430"/>
  <c r="D20" i="430"/>
  <c r="B20" i="430"/>
  <c r="D19" i="430"/>
  <c r="B19" i="430"/>
  <c r="D18" i="430"/>
  <c r="B18" i="430"/>
  <c r="D17" i="430"/>
  <c r="B17" i="430"/>
  <c r="D16" i="430"/>
  <c r="B16" i="430"/>
  <c r="D15" i="430"/>
  <c r="B15" i="430"/>
  <c r="D14" i="430"/>
  <c r="B14" i="430"/>
  <c r="D13" i="430"/>
  <c r="B13" i="430"/>
  <c r="D12" i="430"/>
  <c r="B12" i="430"/>
  <c r="D11" i="430"/>
  <c r="B11" i="430"/>
  <c r="D10" i="430"/>
  <c r="B10" i="430"/>
  <c r="F9" i="430"/>
  <c r="F30" i="430" s="1"/>
  <c r="D9" i="430"/>
  <c r="B9" i="430"/>
  <c r="D8" i="430"/>
  <c r="I5" i="430"/>
  <c r="H5" i="430"/>
  <c r="G5" i="430"/>
  <c r="F5" i="430"/>
  <c r="E5" i="430"/>
  <c r="D5" i="430"/>
  <c r="C5" i="430"/>
  <c r="B5" i="430"/>
  <c r="C4" i="430"/>
  <c r="L216" i="53"/>
  <c r="L217" i="53"/>
  <c r="L218" i="53"/>
  <c r="L219" i="53"/>
  <c r="L220" i="53"/>
  <c r="D216" i="53"/>
  <c r="D102" i="341" s="1"/>
  <c r="E183" i="354" s="1"/>
  <c r="B216" i="53"/>
  <c r="B102" i="341" s="1"/>
  <c r="L40" i="429"/>
  <c r="K40" i="429"/>
  <c r="J40" i="429"/>
  <c r="I40" i="429"/>
  <c r="D40" i="429"/>
  <c r="F216" i="53" s="1"/>
  <c r="F102" i="341" s="1"/>
  <c r="G183" i="354" s="1"/>
  <c r="E39" i="429"/>
  <c r="B39" i="429"/>
  <c r="E38" i="429"/>
  <c r="B38" i="429"/>
  <c r="E37" i="429"/>
  <c r="B37" i="429"/>
  <c r="E36" i="429"/>
  <c r="B36" i="429"/>
  <c r="E35" i="429"/>
  <c r="B35" i="429"/>
  <c r="E34" i="429"/>
  <c r="B34" i="429"/>
  <c r="E33" i="429"/>
  <c r="B33" i="429"/>
  <c r="E32" i="429"/>
  <c r="B32" i="429"/>
  <c r="E31" i="429"/>
  <c r="B31" i="429"/>
  <c r="E30" i="429"/>
  <c r="B30" i="429"/>
  <c r="E29" i="429"/>
  <c r="B29" i="429"/>
  <c r="E28" i="429"/>
  <c r="B28" i="429"/>
  <c r="E27" i="429"/>
  <c r="B27" i="429"/>
  <c r="E26" i="429"/>
  <c r="B26" i="429"/>
  <c r="E25" i="429"/>
  <c r="B25" i="429"/>
  <c r="E24" i="429"/>
  <c r="B24" i="429"/>
  <c r="E23" i="429"/>
  <c r="B23" i="429"/>
  <c r="E22" i="429"/>
  <c r="B22" i="429"/>
  <c r="E21" i="429"/>
  <c r="B21" i="429"/>
  <c r="E20" i="429"/>
  <c r="B20" i="429"/>
  <c r="E19" i="429"/>
  <c r="B19" i="429"/>
  <c r="E18" i="429"/>
  <c r="B18" i="429"/>
  <c r="E17" i="429"/>
  <c r="B17" i="429"/>
  <c r="E16" i="429"/>
  <c r="B16" i="429"/>
  <c r="E15" i="429"/>
  <c r="B15" i="429"/>
  <c r="E14" i="429"/>
  <c r="B14" i="429"/>
  <c r="E13" i="429"/>
  <c r="B13" i="429"/>
  <c r="E12" i="429"/>
  <c r="B12" i="429"/>
  <c r="E11" i="429"/>
  <c r="B11" i="429"/>
  <c r="E10" i="429"/>
  <c r="B10" i="429"/>
  <c r="F9" i="429"/>
  <c r="F38" i="429" s="1"/>
  <c r="E9" i="429"/>
  <c r="B9" i="429"/>
  <c r="D8" i="429"/>
  <c r="D41" i="429" s="1"/>
  <c r="I5" i="429"/>
  <c r="G5" i="429"/>
  <c r="F5" i="429"/>
  <c r="E5" i="429"/>
  <c r="D5" i="429"/>
  <c r="C5" i="429"/>
  <c r="B5" i="429"/>
  <c r="C4" i="429"/>
  <c r="M25" i="440" l="1"/>
  <c r="N25" i="439"/>
  <c r="H25" i="438"/>
  <c r="M25" i="438"/>
  <c r="G26" i="438"/>
  <c r="H24" i="437"/>
  <c r="G25" i="437"/>
  <c r="M24" i="437"/>
  <c r="D40" i="432"/>
  <c r="F219" i="53" s="1"/>
  <c r="F105" i="341" s="1"/>
  <c r="G186" i="354" s="1"/>
  <c r="G25" i="436"/>
  <c r="L24" i="436"/>
  <c r="H24" i="436"/>
  <c r="H24" i="435"/>
  <c r="G25" i="435"/>
  <c r="L24" i="435"/>
  <c r="F38" i="430"/>
  <c r="O24" i="434"/>
  <c r="E40" i="433"/>
  <c r="H220" i="53" s="1"/>
  <c r="H106" i="341" s="1"/>
  <c r="I187" i="354" s="1"/>
  <c r="L187" i="354" s="1"/>
  <c r="E40" i="431"/>
  <c r="H218" i="53" s="1"/>
  <c r="H104" i="341" s="1"/>
  <c r="I185" i="354" s="1"/>
  <c r="L185" i="354" s="1"/>
  <c r="G185" i="354"/>
  <c r="F106" i="341"/>
  <c r="F37" i="432"/>
  <c r="F36" i="432"/>
  <c r="F32" i="432"/>
  <c r="F28" i="432"/>
  <c r="F24" i="432"/>
  <c r="F20" i="432"/>
  <c r="F16" i="432"/>
  <c r="F12" i="432"/>
  <c r="F10" i="432"/>
  <c r="F18" i="432"/>
  <c r="F26" i="432"/>
  <c r="F34" i="432"/>
  <c r="F14" i="432"/>
  <c r="F22" i="432"/>
  <c r="F30" i="432"/>
  <c r="F38" i="432"/>
  <c r="F39" i="433"/>
  <c r="F38" i="433"/>
  <c r="F37" i="433"/>
  <c r="F36" i="433"/>
  <c r="F10" i="433"/>
  <c r="F11" i="433"/>
  <c r="F12" i="433"/>
  <c r="F13" i="433"/>
  <c r="F14" i="433"/>
  <c r="F15" i="433"/>
  <c r="F16" i="433"/>
  <c r="F17" i="433"/>
  <c r="F18" i="433"/>
  <c r="F19" i="433"/>
  <c r="F20" i="433"/>
  <c r="F21" i="433"/>
  <c r="F22" i="433"/>
  <c r="F23" i="433"/>
  <c r="F24" i="433"/>
  <c r="F25" i="433"/>
  <c r="F26" i="433"/>
  <c r="F27" i="433"/>
  <c r="F28" i="433"/>
  <c r="F29" i="433"/>
  <c r="F30" i="433"/>
  <c r="F31" i="433"/>
  <c r="F32" i="433"/>
  <c r="F33" i="433"/>
  <c r="F34" i="433"/>
  <c r="F35" i="433"/>
  <c r="F22" i="430"/>
  <c r="G9" i="433"/>
  <c r="E40" i="432"/>
  <c r="H219" i="53" s="1"/>
  <c r="H105" i="341" s="1"/>
  <c r="I186" i="354" s="1"/>
  <c r="L186" i="354" s="1"/>
  <c r="G9" i="432"/>
  <c r="F14" i="430"/>
  <c r="F11" i="432"/>
  <c r="F13" i="432"/>
  <c r="F15" i="432"/>
  <c r="F17" i="432"/>
  <c r="F19" i="432"/>
  <c r="F21" i="432"/>
  <c r="F23" i="432"/>
  <c r="F25" i="432"/>
  <c r="F27" i="432"/>
  <c r="F29" i="432"/>
  <c r="F31" i="432"/>
  <c r="F33" i="432"/>
  <c r="F35" i="432"/>
  <c r="F10" i="431"/>
  <c r="F11" i="431"/>
  <c r="F12" i="431"/>
  <c r="F13" i="431"/>
  <c r="F14" i="431"/>
  <c r="F15" i="431"/>
  <c r="F16" i="431"/>
  <c r="F17" i="431"/>
  <c r="F18" i="431"/>
  <c r="F19" i="431"/>
  <c r="F20" i="431"/>
  <c r="F21" i="431"/>
  <c r="F22" i="431"/>
  <c r="F23" i="431"/>
  <c r="F24" i="431"/>
  <c r="F25" i="431"/>
  <c r="F26" i="431"/>
  <c r="F27" i="431"/>
  <c r="F28" i="431"/>
  <c r="F29" i="431"/>
  <c r="F30" i="431"/>
  <c r="F31" i="431"/>
  <c r="F32" i="431"/>
  <c r="F33" i="431"/>
  <c r="F34" i="431"/>
  <c r="F35" i="431"/>
  <c r="F36" i="431"/>
  <c r="F37" i="431"/>
  <c r="D40" i="430"/>
  <c r="F217" i="53" s="1"/>
  <c r="F103" i="341" s="1"/>
  <c r="F39" i="430"/>
  <c r="F36" i="430"/>
  <c r="F32" i="430"/>
  <c r="F28" i="430"/>
  <c r="F24" i="430"/>
  <c r="F20" i="430"/>
  <c r="F16" i="430"/>
  <c r="F12" i="430"/>
  <c r="F10" i="430"/>
  <c r="F18" i="430"/>
  <c r="F26" i="430"/>
  <c r="F34" i="430"/>
  <c r="G9" i="431"/>
  <c r="E40" i="430"/>
  <c r="H217" i="53" s="1"/>
  <c r="H103" i="341" s="1"/>
  <c r="I184" i="354" s="1"/>
  <c r="L184" i="354" s="1"/>
  <c r="G9" i="430"/>
  <c r="F11" i="430"/>
  <c r="F13" i="430"/>
  <c r="F15" i="430"/>
  <c r="F17" i="430"/>
  <c r="F19" i="430"/>
  <c r="F21" i="430"/>
  <c r="F23" i="430"/>
  <c r="F25" i="430"/>
  <c r="F27" i="430"/>
  <c r="F29" i="430"/>
  <c r="F31" i="430"/>
  <c r="F33" i="430"/>
  <c r="F35" i="430"/>
  <c r="F37" i="430"/>
  <c r="E40" i="429"/>
  <c r="H216" i="53" s="1"/>
  <c r="G9" i="429"/>
  <c r="F10" i="429"/>
  <c r="F11" i="429"/>
  <c r="F12" i="429"/>
  <c r="F13" i="429"/>
  <c r="F14" i="429"/>
  <c r="F15" i="429"/>
  <c r="F16" i="429"/>
  <c r="F17" i="429"/>
  <c r="F18" i="429"/>
  <c r="F19" i="429"/>
  <c r="F20" i="429"/>
  <c r="F21" i="429"/>
  <c r="F22" i="429"/>
  <c r="F23" i="429"/>
  <c r="F24" i="429"/>
  <c r="F25" i="429"/>
  <c r="F26" i="429"/>
  <c r="F27" i="429"/>
  <c r="F28" i="429"/>
  <c r="F29" i="429"/>
  <c r="F30" i="429"/>
  <c r="F31" i="429"/>
  <c r="F32" i="429"/>
  <c r="F33" i="429"/>
  <c r="F34" i="429"/>
  <c r="F35" i="429"/>
  <c r="F36" i="429"/>
  <c r="F37" i="429"/>
  <c r="D228" i="53"/>
  <c r="E158" i="354" s="1"/>
  <c r="B228" i="53"/>
  <c r="J40" i="428"/>
  <c r="I40" i="428"/>
  <c r="D40" i="428"/>
  <c r="E39" i="428"/>
  <c r="B39" i="428"/>
  <c r="E38" i="428"/>
  <c r="B38" i="428"/>
  <c r="E37" i="428"/>
  <c r="B37" i="428"/>
  <c r="E36" i="428"/>
  <c r="B36" i="428"/>
  <c r="E35" i="428"/>
  <c r="B35" i="428"/>
  <c r="E34" i="428"/>
  <c r="B34" i="428"/>
  <c r="E33" i="428"/>
  <c r="B33" i="428"/>
  <c r="E32" i="428"/>
  <c r="B32" i="428"/>
  <c r="E31" i="428"/>
  <c r="B31" i="428"/>
  <c r="E30" i="428"/>
  <c r="B30" i="428"/>
  <c r="E29" i="428"/>
  <c r="B29" i="428"/>
  <c r="E28" i="428"/>
  <c r="B28" i="428"/>
  <c r="E27" i="428"/>
  <c r="B27" i="428"/>
  <c r="E26" i="428"/>
  <c r="B26" i="428"/>
  <c r="E25" i="428"/>
  <c r="B25" i="428"/>
  <c r="E24" i="428"/>
  <c r="B24" i="428"/>
  <c r="E23" i="428"/>
  <c r="B23" i="428"/>
  <c r="E22" i="428"/>
  <c r="B22" i="428"/>
  <c r="E21" i="428"/>
  <c r="B21" i="428"/>
  <c r="E20" i="428"/>
  <c r="B20" i="428"/>
  <c r="E19" i="428"/>
  <c r="B19" i="428"/>
  <c r="E18" i="428"/>
  <c r="B18" i="428"/>
  <c r="E17" i="428"/>
  <c r="B17" i="428"/>
  <c r="E16" i="428"/>
  <c r="B16" i="428"/>
  <c r="E15" i="428"/>
  <c r="B15" i="428"/>
  <c r="E14" i="428"/>
  <c r="B14" i="428"/>
  <c r="E13" i="428"/>
  <c r="B13" i="428"/>
  <c r="E12" i="428"/>
  <c r="B12" i="428"/>
  <c r="E11" i="428"/>
  <c r="B11" i="428"/>
  <c r="E10" i="428"/>
  <c r="B10" i="428"/>
  <c r="F9" i="428"/>
  <c r="F39" i="428" s="1"/>
  <c r="E9" i="428"/>
  <c r="B9" i="428"/>
  <c r="D8" i="428"/>
  <c r="I5" i="428"/>
  <c r="H5" i="428"/>
  <c r="G5" i="428"/>
  <c r="F5" i="428"/>
  <c r="E5" i="428"/>
  <c r="D5" i="428"/>
  <c r="C5" i="428"/>
  <c r="B5" i="428"/>
  <c r="C4" i="428"/>
  <c r="D41" i="428" l="1"/>
  <c r="J218" i="53"/>
  <c r="M218" i="53" s="1"/>
  <c r="J104" i="341"/>
  <c r="M104" i="341" s="1"/>
  <c r="E8" i="433"/>
  <c r="M26" i="440"/>
  <c r="N26" i="439"/>
  <c r="H26" i="438"/>
  <c r="M26" i="438"/>
  <c r="G27" i="438"/>
  <c r="H25" i="437"/>
  <c r="G26" i="437"/>
  <c r="M25" i="437"/>
  <c r="G26" i="436"/>
  <c r="L25" i="436"/>
  <c r="H25" i="436"/>
  <c r="D41" i="432"/>
  <c r="J105" i="341"/>
  <c r="M105" i="341" s="1"/>
  <c r="H25" i="435"/>
  <c r="G26" i="435"/>
  <c r="L25" i="435"/>
  <c r="J219" i="53"/>
  <c r="M219" i="53" s="1"/>
  <c r="O25" i="434"/>
  <c r="E41" i="433"/>
  <c r="G41" i="433" s="1"/>
  <c r="J220" i="53"/>
  <c r="M220" i="53" s="1"/>
  <c r="K186" i="354"/>
  <c r="N93" i="421" s="1"/>
  <c r="E8" i="431"/>
  <c r="F39" i="431" s="1"/>
  <c r="E41" i="431"/>
  <c r="G41" i="431" s="1"/>
  <c r="J216" i="53"/>
  <c r="M216" i="53" s="1"/>
  <c r="H102" i="341"/>
  <c r="K185" i="354"/>
  <c r="N92" i="421" s="1"/>
  <c r="J106" i="341"/>
  <c r="M106" i="341" s="1"/>
  <c r="G187" i="354"/>
  <c r="K187" i="354" s="1"/>
  <c r="N94" i="421" s="1"/>
  <c r="G184" i="354"/>
  <c r="K184" i="354" s="1"/>
  <c r="N91" i="421" s="1"/>
  <c r="J103" i="341"/>
  <c r="M103" i="341" s="1"/>
  <c r="G10" i="433"/>
  <c r="L9" i="433"/>
  <c r="H9" i="433"/>
  <c r="J217" i="53"/>
  <c r="M217" i="53" s="1"/>
  <c r="G10" i="432"/>
  <c r="H9" i="432"/>
  <c r="N9" i="432"/>
  <c r="D41" i="430"/>
  <c r="E8" i="432"/>
  <c r="F39" i="432" s="1"/>
  <c r="E41" i="432"/>
  <c r="G41" i="432" s="1"/>
  <c r="G10" i="431"/>
  <c r="L9" i="431"/>
  <c r="H9" i="431"/>
  <c r="G10" i="430"/>
  <c r="H9" i="430"/>
  <c r="O9" i="430"/>
  <c r="E8" i="430"/>
  <c r="E41" i="430"/>
  <c r="H9" i="429"/>
  <c r="G10" i="429"/>
  <c r="M9" i="429"/>
  <c r="E41" i="429"/>
  <c r="G41" i="429" s="1"/>
  <c r="E8" i="429"/>
  <c r="F39" i="429" s="1"/>
  <c r="F228" i="53"/>
  <c r="G158" i="354" s="1"/>
  <c r="E40" i="428"/>
  <c r="H228" i="53" s="1"/>
  <c r="I158" i="354" s="1"/>
  <c r="L158" i="354" s="1"/>
  <c r="G9" i="428"/>
  <c r="F10" i="428"/>
  <c r="F11" i="428"/>
  <c r="F12" i="428"/>
  <c r="F13" i="428"/>
  <c r="F14" i="428"/>
  <c r="F15" i="428"/>
  <c r="F16" i="428"/>
  <c r="F17" i="428"/>
  <c r="F18" i="428"/>
  <c r="F19" i="428"/>
  <c r="F20" i="428"/>
  <c r="F21" i="428"/>
  <c r="F22" i="428"/>
  <c r="F23" i="428"/>
  <c r="F24" i="428"/>
  <c r="F25" i="428"/>
  <c r="F26" i="428"/>
  <c r="F27" i="428"/>
  <c r="F28" i="428"/>
  <c r="F29" i="428"/>
  <c r="F30" i="428"/>
  <c r="F31" i="428"/>
  <c r="F32" i="428"/>
  <c r="F33" i="428"/>
  <c r="F34" i="428"/>
  <c r="F35" i="428"/>
  <c r="F36" i="428"/>
  <c r="F37" i="428"/>
  <c r="F38" i="428"/>
  <c r="M27" i="440" l="1"/>
  <c r="N27" i="439"/>
  <c r="H27" i="438"/>
  <c r="M27" i="438"/>
  <c r="G28" i="438"/>
  <c r="H26" i="437"/>
  <c r="G27" i="437"/>
  <c r="M26" i="437"/>
  <c r="G27" i="436"/>
  <c r="L26" i="436"/>
  <c r="H26" i="436"/>
  <c r="H26" i="435"/>
  <c r="G27" i="435"/>
  <c r="L26" i="435"/>
  <c r="O26" i="434"/>
  <c r="K158" i="354"/>
  <c r="N65" i="421" s="1"/>
  <c r="I183" i="354"/>
  <c r="J102" i="341"/>
  <c r="M102" i="341" s="1"/>
  <c r="G11" i="433"/>
  <c r="L10" i="433"/>
  <c r="H10" i="433"/>
  <c r="G41" i="430"/>
  <c r="N10" i="432"/>
  <c r="G11" i="432"/>
  <c r="H10" i="432"/>
  <c r="J228" i="53"/>
  <c r="M228" i="53" s="1"/>
  <c r="G11" i="431"/>
  <c r="L10" i="431"/>
  <c r="H10" i="431"/>
  <c r="O10" i="430"/>
  <c r="G11" i="430"/>
  <c r="H10" i="430"/>
  <c r="H10" i="429"/>
  <c r="G11" i="429"/>
  <c r="M10" i="429"/>
  <c r="H9" i="428"/>
  <c r="G10" i="428"/>
  <c r="K9" i="428"/>
  <c r="E41" i="428"/>
  <c r="G41" i="428" s="1"/>
  <c r="E8" i="428"/>
  <c r="K183" i="354" l="1"/>
  <c r="N90" i="421" s="1"/>
  <c r="L183" i="354"/>
  <c r="M28" i="440"/>
  <c r="N28" i="439"/>
  <c r="H28" i="438"/>
  <c r="M28" i="438"/>
  <c r="G29" i="438"/>
  <c r="H27" i="437"/>
  <c r="G28" i="437"/>
  <c r="M27" i="437"/>
  <c r="G28" i="436"/>
  <c r="L27" i="436"/>
  <c r="H27" i="436"/>
  <c r="H27" i="435"/>
  <c r="G28" i="435"/>
  <c r="L27" i="435"/>
  <c r="O27" i="434"/>
  <c r="G12" i="433"/>
  <c r="L11" i="433"/>
  <c r="H11" i="433"/>
  <c r="G12" i="432"/>
  <c r="H11" i="432"/>
  <c r="N11" i="432"/>
  <c r="G12" i="431"/>
  <c r="L11" i="431"/>
  <c r="H11" i="431"/>
  <c r="G12" i="430"/>
  <c r="H11" i="430"/>
  <c r="O11" i="430"/>
  <c r="H11" i="429"/>
  <c r="G12" i="429"/>
  <c r="M11" i="429"/>
  <c r="H10" i="428"/>
  <c r="G11" i="428"/>
  <c r="K10" i="428"/>
  <c r="M29" i="440" l="1"/>
  <c r="N29" i="439"/>
  <c r="H29" i="438"/>
  <c r="M29" i="438"/>
  <c r="G30" i="438"/>
  <c r="H28" i="437"/>
  <c r="G29" i="437"/>
  <c r="M28" i="437"/>
  <c r="G29" i="436"/>
  <c r="L28" i="436"/>
  <c r="H28" i="436"/>
  <c r="H28" i="435"/>
  <c r="G29" i="435"/>
  <c r="L28" i="435"/>
  <c r="O28" i="434"/>
  <c r="G13" i="433"/>
  <c r="L12" i="433"/>
  <c r="H12" i="433"/>
  <c r="N12" i="432"/>
  <c r="G13" i="432"/>
  <c r="H12" i="432"/>
  <c r="G13" i="431"/>
  <c r="L12" i="431"/>
  <c r="H12" i="431"/>
  <c r="O12" i="430"/>
  <c r="G13" i="430"/>
  <c r="H12" i="430"/>
  <c r="H12" i="429"/>
  <c r="G13" i="429"/>
  <c r="M12" i="429"/>
  <c r="H11" i="428"/>
  <c r="G12" i="428"/>
  <c r="K11" i="428"/>
  <c r="M30" i="440" l="1"/>
  <c r="N30" i="439"/>
  <c r="H30" i="438"/>
  <c r="G31" i="438"/>
  <c r="M30" i="438"/>
  <c r="H29" i="437"/>
  <c r="G30" i="437"/>
  <c r="M29" i="437"/>
  <c r="G30" i="436"/>
  <c r="L29" i="436"/>
  <c r="H29" i="436"/>
  <c r="H29" i="435"/>
  <c r="G30" i="435"/>
  <c r="L29" i="435"/>
  <c r="O29" i="434"/>
  <c r="G14" i="433"/>
  <c r="L13" i="433"/>
  <c r="H13" i="433"/>
  <c r="G14" i="432"/>
  <c r="H13" i="432"/>
  <c r="N13" i="432"/>
  <c r="G14" i="431"/>
  <c r="L13" i="431"/>
  <c r="H13" i="431"/>
  <c r="G14" i="430"/>
  <c r="H13" i="430"/>
  <c r="O13" i="430"/>
  <c r="H13" i="429"/>
  <c r="G14" i="429"/>
  <c r="M13" i="429"/>
  <c r="H12" i="428"/>
  <c r="G13" i="428"/>
  <c r="K12" i="428"/>
  <c r="M31" i="440" l="1"/>
  <c r="N31" i="439"/>
  <c r="H31" i="438"/>
  <c r="G32" i="438"/>
  <c r="M31" i="438"/>
  <c r="H30" i="437"/>
  <c r="G31" i="437"/>
  <c r="M30" i="437"/>
  <c r="G31" i="436"/>
  <c r="L30" i="436"/>
  <c r="H30" i="436"/>
  <c r="H30" i="435"/>
  <c r="G31" i="435"/>
  <c r="L30" i="435"/>
  <c r="O30" i="434"/>
  <c r="G15" i="433"/>
  <c r="L14" i="433"/>
  <c r="H14" i="433"/>
  <c r="N14" i="432"/>
  <c r="G15" i="432"/>
  <c r="H14" i="432"/>
  <c r="G15" i="431"/>
  <c r="L14" i="431"/>
  <c r="H14" i="431"/>
  <c r="O14" i="430"/>
  <c r="G15" i="430"/>
  <c r="H14" i="430"/>
  <c r="H14" i="429"/>
  <c r="G15" i="429"/>
  <c r="M14" i="429"/>
  <c r="H13" i="428"/>
  <c r="G14" i="428"/>
  <c r="K13" i="428"/>
  <c r="M32" i="440" l="1"/>
  <c r="N32" i="439"/>
  <c r="H32" i="438"/>
  <c r="G33" i="438"/>
  <c r="M32" i="438"/>
  <c r="H31" i="437"/>
  <c r="G32" i="437"/>
  <c r="M31" i="437"/>
  <c r="G32" i="436"/>
  <c r="L31" i="436"/>
  <c r="H31" i="436"/>
  <c r="H31" i="435"/>
  <c r="G32" i="435"/>
  <c r="L31" i="435"/>
  <c r="O31" i="434"/>
  <c r="G16" i="433"/>
  <c r="L15" i="433"/>
  <c r="H15" i="433"/>
  <c r="G16" i="432"/>
  <c r="H15" i="432"/>
  <c r="N15" i="432"/>
  <c r="G16" i="431"/>
  <c r="L15" i="431"/>
  <c r="H15" i="431"/>
  <c r="G16" i="430"/>
  <c r="H15" i="430"/>
  <c r="O15" i="430"/>
  <c r="H15" i="429"/>
  <c r="G16" i="429"/>
  <c r="M15" i="429"/>
  <c r="H14" i="428"/>
  <c r="G15" i="428"/>
  <c r="K14" i="428"/>
  <c r="M33" i="440" l="1"/>
  <c r="N33" i="439"/>
  <c r="H33" i="438"/>
  <c r="G34" i="438"/>
  <c r="M33" i="438"/>
  <c r="H32" i="437"/>
  <c r="G33" i="437"/>
  <c r="M32" i="437"/>
  <c r="G33" i="436"/>
  <c r="L32" i="436"/>
  <c r="H32" i="436"/>
  <c r="H32" i="435"/>
  <c r="G33" i="435"/>
  <c r="L32" i="435"/>
  <c r="O32" i="434"/>
  <c r="G17" i="433"/>
  <c r="L16" i="433"/>
  <c r="H16" i="433"/>
  <c r="N16" i="432"/>
  <c r="G17" i="432"/>
  <c r="H16" i="432"/>
  <c r="G17" i="431"/>
  <c r="L16" i="431"/>
  <c r="H16" i="431"/>
  <c r="O16" i="430"/>
  <c r="G17" i="430"/>
  <c r="H16" i="430"/>
  <c r="H16" i="429"/>
  <c r="G17" i="429"/>
  <c r="M16" i="429"/>
  <c r="H15" i="428"/>
  <c r="G16" i="428"/>
  <c r="K15" i="428"/>
  <c r="M34" i="440" l="1"/>
  <c r="N34" i="439"/>
  <c r="H34" i="438"/>
  <c r="G35" i="438"/>
  <c r="M34" i="438"/>
  <c r="H33" i="437"/>
  <c r="G34" i="437"/>
  <c r="M33" i="437"/>
  <c r="G34" i="436"/>
  <c r="L33" i="436"/>
  <c r="H33" i="436"/>
  <c r="H33" i="435"/>
  <c r="G34" i="435"/>
  <c r="L33" i="435"/>
  <c r="O33" i="434"/>
  <c r="G18" i="433"/>
  <c r="L17" i="433"/>
  <c r="H17" i="433"/>
  <c r="G18" i="432"/>
  <c r="H17" i="432"/>
  <c r="N17" i="432"/>
  <c r="G18" i="431"/>
  <c r="L17" i="431"/>
  <c r="H17" i="431"/>
  <c r="G18" i="430"/>
  <c r="H17" i="430"/>
  <c r="O17" i="430"/>
  <c r="H17" i="429"/>
  <c r="G18" i="429"/>
  <c r="M17" i="429"/>
  <c r="H16" i="428"/>
  <c r="G17" i="428"/>
  <c r="K16" i="428"/>
  <c r="M35" i="440" l="1"/>
  <c r="N35" i="439"/>
  <c r="H35" i="438"/>
  <c r="G36" i="438"/>
  <c r="M35" i="438"/>
  <c r="H34" i="437"/>
  <c r="G35" i="437"/>
  <c r="M34" i="437"/>
  <c r="G35" i="436"/>
  <c r="L34" i="436"/>
  <c r="H34" i="436"/>
  <c r="H34" i="435"/>
  <c r="G35" i="435"/>
  <c r="L34" i="435"/>
  <c r="O34" i="434"/>
  <c r="G19" i="433"/>
  <c r="L18" i="433"/>
  <c r="H18" i="433"/>
  <c r="N18" i="432"/>
  <c r="G19" i="432"/>
  <c r="H18" i="432"/>
  <c r="G19" i="431"/>
  <c r="L18" i="431"/>
  <c r="H18" i="431"/>
  <c r="O18" i="430"/>
  <c r="G19" i="430"/>
  <c r="H18" i="430"/>
  <c r="H18" i="429"/>
  <c r="G19" i="429"/>
  <c r="M18" i="429"/>
  <c r="H17" i="428"/>
  <c r="G18" i="428"/>
  <c r="K17" i="428"/>
  <c r="M36" i="440" l="1"/>
  <c r="N36" i="439"/>
  <c r="H36" i="438"/>
  <c r="G37" i="438"/>
  <c r="M36" i="438"/>
  <c r="H35" i="437"/>
  <c r="G36" i="437"/>
  <c r="M35" i="437"/>
  <c r="G36" i="436"/>
  <c r="L35" i="436"/>
  <c r="H35" i="436"/>
  <c r="H35" i="435"/>
  <c r="G36" i="435"/>
  <c r="L35" i="435"/>
  <c r="O35" i="434"/>
  <c r="G20" i="433"/>
  <c r="L19" i="433"/>
  <c r="H19" i="433"/>
  <c r="G20" i="432"/>
  <c r="H19" i="432"/>
  <c r="N19" i="432"/>
  <c r="G20" i="431"/>
  <c r="L19" i="431"/>
  <c r="H19" i="431"/>
  <c r="G20" i="430"/>
  <c r="H19" i="430"/>
  <c r="O19" i="430"/>
  <c r="H19" i="429"/>
  <c r="G20" i="429"/>
  <c r="M19" i="429"/>
  <c r="H18" i="428"/>
  <c r="G19" i="428"/>
  <c r="K18" i="428"/>
  <c r="M37" i="440" l="1"/>
  <c r="N37" i="439"/>
  <c r="H37" i="438"/>
  <c r="G38" i="438"/>
  <c r="M37" i="438"/>
  <c r="H36" i="437"/>
  <c r="G37" i="437"/>
  <c r="M36" i="437"/>
  <c r="G37" i="436"/>
  <c r="L36" i="436"/>
  <c r="H36" i="436"/>
  <c r="H36" i="435"/>
  <c r="G37" i="435"/>
  <c r="L36" i="435"/>
  <c r="O36" i="434"/>
  <c r="G21" i="433"/>
  <c r="L20" i="433"/>
  <c r="H20" i="433"/>
  <c r="N20" i="432"/>
  <c r="G21" i="432"/>
  <c r="H20" i="432"/>
  <c r="G21" i="431"/>
  <c r="L20" i="431"/>
  <c r="H20" i="431"/>
  <c r="O20" i="430"/>
  <c r="G21" i="430"/>
  <c r="H20" i="430"/>
  <c r="H20" i="429"/>
  <c r="G21" i="429"/>
  <c r="M20" i="429"/>
  <c r="H19" i="428"/>
  <c r="G20" i="428"/>
  <c r="K19" i="428"/>
  <c r="M38" i="440" l="1"/>
  <c r="N38" i="439"/>
  <c r="H38" i="438"/>
  <c r="G39" i="438"/>
  <c r="M38" i="438"/>
  <c r="H37" i="437"/>
  <c r="G38" i="437"/>
  <c r="M37" i="437"/>
  <c r="G38" i="436"/>
  <c r="L37" i="436"/>
  <c r="H37" i="436"/>
  <c r="H37" i="435"/>
  <c r="G38" i="435"/>
  <c r="L37" i="435"/>
  <c r="O37" i="434"/>
  <c r="G22" i="433"/>
  <c r="L21" i="433"/>
  <c r="H21" i="433"/>
  <c r="G22" i="432"/>
  <c r="H21" i="432"/>
  <c r="N21" i="432"/>
  <c r="G22" i="431"/>
  <c r="L21" i="431"/>
  <c r="H21" i="431"/>
  <c r="G22" i="430"/>
  <c r="H21" i="430"/>
  <c r="O21" i="430"/>
  <c r="H21" i="429"/>
  <c r="G22" i="429"/>
  <c r="M21" i="429"/>
  <c r="H20" i="428"/>
  <c r="G21" i="428"/>
  <c r="K20" i="428"/>
  <c r="M39" i="440" l="1"/>
  <c r="G40" i="440"/>
  <c r="N39" i="439"/>
  <c r="G40" i="439"/>
  <c r="G40" i="438"/>
  <c r="H39" i="438"/>
  <c r="M39" i="438"/>
  <c r="H38" i="437"/>
  <c r="G39" i="437"/>
  <c r="M38" i="437"/>
  <c r="G39" i="436"/>
  <c r="L38" i="436"/>
  <c r="H38" i="436"/>
  <c r="H38" i="435"/>
  <c r="G39" i="435"/>
  <c r="L38" i="435"/>
  <c r="O38" i="434"/>
  <c r="G23" i="433"/>
  <c r="L22" i="433"/>
  <c r="H22" i="433"/>
  <c r="N22" i="432"/>
  <c r="G23" i="432"/>
  <c r="H22" i="432"/>
  <c r="G23" i="431"/>
  <c r="L22" i="431"/>
  <c r="H22" i="431"/>
  <c r="O22" i="430"/>
  <c r="G23" i="430"/>
  <c r="H22" i="430"/>
  <c r="H22" i="429"/>
  <c r="G23" i="429"/>
  <c r="M22" i="429"/>
  <c r="H21" i="428"/>
  <c r="G22" i="428"/>
  <c r="K21" i="428"/>
  <c r="G40" i="437" l="1"/>
  <c r="H39" i="437"/>
  <c r="M39" i="437"/>
  <c r="L39" i="436"/>
  <c r="G40" i="436"/>
  <c r="H39" i="436"/>
  <c r="G40" i="435"/>
  <c r="H39" i="435"/>
  <c r="L39" i="435"/>
  <c r="G40" i="434"/>
  <c r="O39" i="434"/>
  <c r="G24" i="433"/>
  <c r="L23" i="433"/>
  <c r="H23" i="433"/>
  <c r="G24" i="432"/>
  <c r="H23" i="432"/>
  <c r="N23" i="432"/>
  <c r="G24" i="431"/>
  <c r="L23" i="431"/>
  <c r="H23" i="431"/>
  <c r="G24" i="430"/>
  <c r="H23" i="430"/>
  <c r="O23" i="430"/>
  <c r="H23" i="429"/>
  <c r="G24" i="429"/>
  <c r="M23" i="429"/>
  <c r="H22" i="428"/>
  <c r="G23" i="428"/>
  <c r="K22" i="428"/>
  <c r="G25" i="433" l="1"/>
  <c r="L24" i="433"/>
  <c r="H24" i="433"/>
  <c r="N24" i="432"/>
  <c r="G25" i="432"/>
  <c r="H24" i="432"/>
  <c r="G25" i="431"/>
  <c r="L24" i="431"/>
  <c r="H24" i="431"/>
  <c r="O24" i="430"/>
  <c r="G25" i="430"/>
  <c r="H24" i="430"/>
  <c r="H24" i="429"/>
  <c r="G25" i="429"/>
  <c r="M24" i="429"/>
  <c r="H23" i="428"/>
  <c r="G24" i="428"/>
  <c r="K23" i="428"/>
  <c r="G26" i="433" l="1"/>
  <c r="L25" i="433"/>
  <c r="H25" i="433"/>
  <c r="G26" i="432"/>
  <c r="H25" i="432"/>
  <c r="N25" i="432"/>
  <c r="G26" i="431"/>
  <c r="L25" i="431"/>
  <c r="H25" i="431"/>
  <c r="G26" i="430"/>
  <c r="H25" i="430"/>
  <c r="O25" i="430"/>
  <c r="H25" i="429"/>
  <c r="G26" i="429"/>
  <c r="M25" i="429"/>
  <c r="H24" i="428"/>
  <c r="G25" i="428"/>
  <c r="K24" i="428"/>
  <c r="G27" i="433" l="1"/>
  <c r="L26" i="433"/>
  <c r="H26" i="433"/>
  <c r="N26" i="432"/>
  <c r="G27" i="432"/>
  <c r="H26" i="432"/>
  <c r="G27" i="431"/>
  <c r="L26" i="431"/>
  <c r="H26" i="431"/>
  <c r="O26" i="430"/>
  <c r="G27" i="430"/>
  <c r="H26" i="430"/>
  <c r="H26" i="429"/>
  <c r="G27" i="429"/>
  <c r="M26" i="429"/>
  <c r="H25" i="428"/>
  <c r="G26" i="428"/>
  <c r="K25" i="428"/>
  <c r="G28" i="433" l="1"/>
  <c r="L27" i="433"/>
  <c r="H27" i="433"/>
  <c r="G28" i="432"/>
  <c r="H27" i="432"/>
  <c r="N27" i="432"/>
  <c r="G28" i="431"/>
  <c r="L27" i="431"/>
  <c r="H27" i="431"/>
  <c r="G28" i="430"/>
  <c r="H27" i="430"/>
  <c r="O27" i="430"/>
  <c r="H27" i="429"/>
  <c r="G28" i="429"/>
  <c r="M27" i="429"/>
  <c r="H26" i="428"/>
  <c r="G27" i="428"/>
  <c r="K26" i="428"/>
  <c r="G29" i="433" l="1"/>
  <c r="L28" i="433"/>
  <c r="H28" i="433"/>
  <c r="N28" i="432"/>
  <c r="G29" i="432"/>
  <c r="H28" i="432"/>
  <c r="G29" i="431"/>
  <c r="L28" i="431"/>
  <c r="H28" i="431"/>
  <c r="O28" i="430"/>
  <c r="G29" i="430"/>
  <c r="H28" i="430"/>
  <c r="H28" i="429"/>
  <c r="G29" i="429"/>
  <c r="M28" i="429"/>
  <c r="H27" i="428"/>
  <c r="G28" i="428"/>
  <c r="K27" i="428"/>
  <c r="G30" i="433" l="1"/>
  <c r="L29" i="433"/>
  <c r="H29" i="433"/>
  <c r="G30" i="432"/>
  <c r="H29" i="432"/>
  <c r="N29" i="432"/>
  <c r="G30" i="431"/>
  <c r="L29" i="431"/>
  <c r="H29" i="431"/>
  <c r="G30" i="430"/>
  <c r="H29" i="430"/>
  <c r="O29" i="430"/>
  <c r="H29" i="429"/>
  <c r="G30" i="429"/>
  <c r="M29" i="429"/>
  <c r="H28" i="428"/>
  <c r="G29" i="428"/>
  <c r="K28" i="428"/>
  <c r="G31" i="433" l="1"/>
  <c r="L30" i="433"/>
  <c r="H30" i="433"/>
  <c r="N30" i="432"/>
  <c r="G31" i="432"/>
  <c r="H30" i="432"/>
  <c r="G31" i="431"/>
  <c r="L30" i="431"/>
  <c r="H30" i="431"/>
  <c r="O30" i="430"/>
  <c r="G31" i="430"/>
  <c r="H30" i="430"/>
  <c r="H30" i="429"/>
  <c r="G31" i="429"/>
  <c r="M30" i="429"/>
  <c r="H29" i="428"/>
  <c r="G30" i="428"/>
  <c r="K29" i="428"/>
  <c r="G32" i="433" l="1"/>
  <c r="L31" i="433"/>
  <c r="H31" i="433"/>
  <c r="G32" i="432"/>
  <c r="H31" i="432"/>
  <c r="N31" i="432"/>
  <c r="G32" i="431"/>
  <c r="L31" i="431"/>
  <c r="H31" i="431"/>
  <c r="G32" i="430"/>
  <c r="H31" i="430"/>
  <c r="O31" i="430"/>
  <c r="H31" i="429"/>
  <c r="G32" i="429"/>
  <c r="M31" i="429"/>
  <c r="H30" i="428"/>
  <c r="G31" i="428"/>
  <c r="K30" i="428"/>
  <c r="G33" i="433" l="1"/>
  <c r="L32" i="433"/>
  <c r="H32" i="433"/>
  <c r="N32" i="432"/>
  <c r="G33" i="432"/>
  <c r="H32" i="432"/>
  <c r="G33" i="431"/>
  <c r="L32" i="431"/>
  <c r="H32" i="431"/>
  <c r="O32" i="430"/>
  <c r="G33" i="430"/>
  <c r="H32" i="430"/>
  <c r="H32" i="429"/>
  <c r="G33" i="429"/>
  <c r="M32" i="429"/>
  <c r="H31" i="428"/>
  <c r="G32" i="428"/>
  <c r="K31" i="428"/>
  <c r="H15" i="420"/>
  <c r="G34" i="433" l="1"/>
  <c r="L33" i="433"/>
  <c r="H33" i="433"/>
  <c r="G34" i="432"/>
  <c r="H33" i="432"/>
  <c r="N33" i="432"/>
  <c r="G34" i="431"/>
  <c r="L33" i="431"/>
  <c r="H33" i="431"/>
  <c r="G34" i="430"/>
  <c r="H33" i="430"/>
  <c r="O33" i="430"/>
  <c r="H33" i="429"/>
  <c r="G34" i="429"/>
  <c r="M33" i="429"/>
  <c r="H32" i="428"/>
  <c r="G33" i="428"/>
  <c r="K32" i="428"/>
  <c r="G35" i="433" l="1"/>
  <c r="L34" i="433"/>
  <c r="H34" i="433"/>
  <c r="N34" i="432"/>
  <c r="G35" i="432"/>
  <c r="H34" i="432"/>
  <c r="G35" i="431"/>
  <c r="L34" i="431"/>
  <c r="H34" i="431"/>
  <c r="O34" i="430"/>
  <c r="G35" i="430"/>
  <c r="H34" i="430"/>
  <c r="H34" i="429"/>
  <c r="G35" i="429"/>
  <c r="M34" i="429"/>
  <c r="H33" i="428"/>
  <c r="G34" i="428"/>
  <c r="K33" i="428"/>
  <c r="M40" i="254"/>
  <c r="N40" i="254"/>
  <c r="G36" i="433" l="1"/>
  <c r="L35" i="433"/>
  <c r="H35" i="433"/>
  <c r="G36" i="432"/>
  <c r="H35" i="432"/>
  <c r="N35" i="432"/>
  <c r="G36" i="431"/>
  <c r="L35" i="431"/>
  <c r="H35" i="431"/>
  <c r="G36" i="430"/>
  <c r="H35" i="430"/>
  <c r="O35" i="430"/>
  <c r="H35" i="429"/>
  <c r="G36" i="429"/>
  <c r="M35" i="429"/>
  <c r="H34" i="428"/>
  <c r="G35" i="428"/>
  <c r="K34" i="428"/>
  <c r="G37" i="433" l="1"/>
  <c r="L36" i="433"/>
  <c r="H36" i="433"/>
  <c r="N36" i="432"/>
  <c r="G37" i="432"/>
  <c r="H36" i="432"/>
  <c r="G37" i="431"/>
  <c r="L36" i="431"/>
  <c r="H36" i="431"/>
  <c r="O36" i="430"/>
  <c r="G37" i="430"/>
  <c r="H36" i="430"/>
  <c r="H36" i="429"/>
  <c r="G37" i="429"/>
  <c r="M36" i="429"/>
  <c r="H35" i="428"/>
  <c r="G36" i="428"/>
  <c r="K35" i="428"/>
  <c r="L199" i="53"/>
  <c r="L85" i="341"/>
  <c r="D85" i="341"/>
  <c r="E182" i="354" s="1"/>
  <c r="B85" i="341"/>
  <c r="B199" i="53" s="1"/>
  <c r="L40" i="427"/>
  <c r="K40" i="427"/>
  <c r="J40" i="427"/>
  <c r="I40" i="427"/>
  <c r="E39" i="427"/>
  <c r="B39" i="427"/>
  <c r="E38" i="427"/>
  <c r="B38" i="427"/>
  <c r="E37" i="427"/>
  <c r="B37" i="427"/>
  <c r="E36" i="427"/>
  <c r="B36" i="427"/>
  <c r="E35" i="427"/>
  <c r="B35" i="427"/>
  <c r="E34" i="427"/>
  <c r="B34" i="427"/>
  <c r="E33" i="427"/>
  <c r="B33" i="427"/>
  <c r="E32" i="427"/>
  <c r="B32" i="427"/>
  <c r="E31" i="427"/>
  <c r="B31" i="427"/>
  <c r="E30" i="427"/>
  <c r="B30" i="427"/>
  <c r="E29" i="427"/>
  <c r="B29" i="427"/>
  <c r="E28" i="427"/>
  <c r="B28" i="427"/>
  <c r="E27" i="427"/>
  <c r="B27" i="427"/>
  <c r="E26" i="427"/>
  <c r="B26" i="427"/>
  <c r="E25" i="427"/>
  <c r="B25" i="427"/>
  <c r="E24" i="427"/>
  <c r="B24" i="427"/>
  <c r="E23" i="427"/>
  <c r="B23" i="427"/>
  <c r="E22" i="427"/>
  <c r="B22" i="427"/>
  <c r="E21" i="427"/>
  <c r="B21" i="427"/>
  <c r="E20" i="427"/>
  <c r="B20" i="427"/>
  <c r="E19" i="427"/>
  <c r="B19" i="427"/>
  <c r="E18" i="427"/>
  <c r="B18" i="427"/>
  <c r="E17" i="427"/>
  <c r="B17" i="427"/>
  <c r="E16" i="427"/>
  <c r="B16" i="427"/>
  <c r="E15" i="427"/>
  <c r="B15" i="427"/>
  <c r="E14" i="427"/>
  <c r="B14" i="427"/>
  <c r="E13" i="427"/>
  <c r="B13" i="427"/>
  <c r="E12" i="427"/>
  <c r="B12" i="427"/>
  <c r="E11" i="427"/>
  <c r="B11" i="427"/>
  <c r="E10" i="427"/>
  <c r="D40" i="427"/>
  <c r="F85" i="341" s="1"/>
  <c r="B10" i="427"/>
  <c r="F9" i="427"/>
  <c r="F38" i="427" s="1"/>
  <c r="E9" i="427"/>
  <c r="B9" i="427"/>
  <c r="D8" i="427"/>
  <c r="I5" i="427"/>
  <c r="G5" i="427"/>
  <c r="F5" i="427"/>
  <c r="E5" i="427"/>
  <c r="D5" i="427"/>
  <c r="C5" i="427"/>
  <c r="B5" i="427"/>
  <c r="C4" i="427"/>
  <c r="G38" i="433" l="1"/>
  <c r="L37" i="433"/>
  <c r="H37" i="433"/>
  <c r="G38" i="432"/>
  <c r="H37" i="432"/>
  <c r="N37" i="432"/>
  <c r="G38" i="431"/>
  <c r="L37" i="431"/>
  <c r="H37" i="431"/>
  <c r="G38" i="430"/>
  <c r="H37" i="430"/>
  <c r="O37" i="430"/>
  <c r="H37" i="429"/>
  <c r="G38" i="429"/>
  <c r="M37" i="429"/>
  <c r="F13" i="427"/>
  <c r="F11" i="427"/>
  <c r="H36" i="428"/>
  <c r="G37" i="428"/>
  <c r="K36" i="428"/>
  <c r="F199" i="53"/>
  <c r="G182" i="354"/>
  <c r="F10" i="427"/>
  <c r="F12" i="427"/>
  <c r="D199" i="53"/>
  <c r="D41" i="427"/>
  <c r="E40" i="427"/>
  <c r="H85" i="341" s="1"/>
  <c r="G9" i="427"/>
  <c r="F14" i="427"/>
  <c r="F15" i="427"/>
  <c r="F16" i="427"/>
  <c r="F17" i="427"/>
  <c r="F18" i="427"/>
  <c r="F19" i="427"/>
  <c r="F20" i="427"/>
  <c r="F21" i="427"/>
  <c r="F22" i="427"/>
  <c r="F23" i="427"/>
  <c r="F24" i="427"/>
  <c r="F25" i="427"/>
  <c r="F26" i="427"/>
  <c r="F27" i="427"/>
  <c r="F28" i="427"/>
  <c r="F29" i="427"/>
  <c r="F30" i="427"/>
  <c r="F31" i="427"/>
  <c r="F32" i="427"/>
  <c r="F33" i="427"/>
  <c r="F34" i="427"/>
  <c r="F35" i="427"/>
  <c r="F36" i="427"/>
  <c r="F37" i="427"/>
  <c r="G39" i="433" l="1"/>
  <c r="L38" i="433"/>
  <c r="H38" i="433"/>
  <c r="N38" i="432"/>
  <c r="G39" i="432"/>
  <c r="H38" i="432"/>
  <c r="G39" i="431"/>
  <c r="L38" i="431"/>
  <c r="H38" i="431"/>
  <c r="O38" i="430"/>
  <c r="G39" i="430"/>
  <c r="H38" i="430"/>
  <c r="H38" i="429"/>
  <c r="G39" i="429"/>
  <c r="M38" i="429"/>
  <c r="H37" i="428"/>
  <c r="G38" i="428"/>
  <c r="K37" i="428"/>
  <c r="H199" i="53"/>
  <c r="J199" i="53" s="1"/>
  <c r="M199" i="53" s="1"/>
  <c r="I182" i="354"/>
  <c r="J85" i="341"/>
  <c r="M85" i="341" s="1"/>
  <c r="E41" i="427"/>
  <c r="G41" i="427" s="1"/>
  <c r="E8" i="427"/>
  <c r="F39" i="427" s="1"/>
  <c r="G10" i="427"/>
  <c r="H9" i="427"/>
  <c r="M9" i="427"/>
  <c r="K182" i="354" l="1"/>
  <c r="N89" i="421" s="1"/>
  <c r="L182" i="354"/>
  <c r="L39" i="433"/>
  <c r="G40" i="433"/>
  <c r="H39" i="433"/>
  <c r="G40" i="432"/>
  <c r="H39" i="432"/>
  <c r="N39" i="432"/>
  <c r="L39" i="431"/>
  <c r="G40" i="431"/>
  <c r="H39" i="431"/>
  <c r="G40" i="430"/>
  <c r="H39" i="430"/>
  <c r="O39" i="430"/>
  <c r="G40" i="429"/>
  <c r="H39" i="429"/>
  <c r="M39" i="429"/>
  <c r="H38" i="428"/>
  <c r="G39" i="428"/>
  <c r="K38" i="428"/>
  <c r="G11" i="427"/>
  <c r="M10" i="427"/>
  <c r="H10" i="427"/>
  <c r="G40" i="428" l="1"/>
  <c r="H39" i="428"/>
  <c r="K39" i="428"/>
  <c r="G12" i="427"/>
  <c r="M11" i="427"/>
  <c r="H11" i="427"/>
  <c r="G13" i="427" l="1"/>
  <c r="M12" i="427"/>
  <c r="H12" i="427"/>
  <c r="M13" i="427" l="1"/>
  <c r="G14" i="427"/>
  <c r="H13" i="427"/>
  <c r="H14" i="427" l="1"/>
  <c r="G15" i="427"/>
  <c r="M14" i="427"/>
  <c r="H15" i="427" l="1"/>
  <c r="G16" i="427"/>
  <c r="M15" i="427"/>
  <c r="H16" i="427" l="1"/>
  <c r="G17" i="427"/>
  <c r="M16" i="427"/>
  <c r="H17" i="427" l="1"/>
  <c r="G18" i="427"/>
  <c r="M17" i="427"/>
  <c r="H18" i="427" l="1"/>
  <c r="G19" i="427"/>
  <c r="M18" i="427"/>
  <c r="H19" i="427" l="1"/>
  <c r="G20" i="427"/>
  <c r="M19" i="427"/>
  <c r="H20" i="427" l="1"/>
  <c r="G21" i="427"/>
  <c r="M20" i="427"/>
  <c r="H21" i="427" l="1"/>
  <c r="G22" i="427"/>
  <c r="M21" i="427"/>
  <c r="H22" i="427" l="1"/>
  <c r="G23" i="427"/>
  <c r="M22" i="427"/>
  <c r="H23" i="427" l="1"/>
  <c r="G24" i="427"/>
  <c r="M23" i="427"/>
  <c r="H24" i="427" l="1"/>
  <c r="G25" i="427"/>
  <c r="M24" i="427"/>
  <c r="H25" i="427" l="1"/>
  <c r="G26" i="427"/>
  <c r="M25" i="427"/>
  <c r="H26" i="427" l="1"/>
  <c r="G27" i="427"/>
  <c r="M26" i="427"/>
  <c r="H27" i="427" l="1"/>
  <c r="G28" i="427"/>
  <c r="M27" i="427"/>
  <c r="H28" i="427" l="1"/>
  <c r="G29" i="427"/>
  <c r="M28" i="427"/>
  <c r="H29" i="427" l="1"/>
  <c r="G30" i="427"/>
  <c r="M29" i="427"/>
  <c r="H30" i="427" l="1"/>
  <c r="G31" i="427"/>
  <c r="M30" i="427"/>
  <c r="H31" i="427" l="1"/>
  <c r="G32" i="427"/>
  <c r="M31" i="427"/>
  <c r="H32" i="427" l="1"/>
  <c r="G33" i="427"/>
  <c r="M32" i="427"/>
  <c r="H33" i="427" l="1"/>
  <c r="G34" i="427"/>
  <c r="M33" i="427"/>
  <c r="H34" i="427" l="1"/>
  <c r="G35" i="427"/>
  <c r="M34" i="427"/>
  <c r="H35" i="427" l="1"/>
  <c r="G36" i="427"/>
  <c r="M35" i="427"/>
  <c r="H36" i="427" l="1"/>
  <c r="G37" i="427"/>
  <c r="M36" i="427"/>
  <c r="H37" i="427" l="1"/>
  <c r="G38" i="427"/>
  <c r="M37" i="427"/>
  <c r="H38" i="427" l="1"/>
  <c r="G39" i="427"/>
  <c r="M38" i="427"/>
  <c r="G40" i="427" l="1"/>
  <c r="H39" i="427"/>
  <c r="M39" i="427"/>
  <c r="L154" i="53"/>
  <c r="L155" i="53"/>
  <c r="L51" i="341" l="1"/>
  <c r="D51" i="341"/>
  <c r="B51" i="341"/>
  <c r="B154" i="53" s="1"/>
  <c r="C4" i="426"/>
  <c r="L40" i="426"/>
  <c r="K40" i="426"/>
  <c r="J40" i="426"/>
  <c r="I40" i="426"/>
  <c r="D40" i="426"/>
  <c r="F51" i="341" s="1"/>
  <c r="E39" i="426"/>
  <c r="B39" i="426"/>
  <c r="E38" i="426"/>
  <c r="B38" i="426"/>
  <c r="E37" i="426"/>
  <c r="B37" i="426"/>
  <c r="E36" i="426"/>
  <c r="B36" i="426"/>
  <c r="E35" i="426"/>
  <c r="B35" i="426"/>
  <c r="E34" i="426"/>
  <c r="B34" i="426"/>
  <c r="E33" i="426"/>
  <c r="B33" i="426"/>
  <c r="E32" i="426"/>
  <c r="B32" i="426"/>
  <c r="E31" i="426"/>
  <c r="B31" i="426"/>
  <c r="E30" i="426"/>
  <c r="B30" i="426"/>
  <c r="E29" i="426"/>
  <c r="B29" i="426"/>
  <c r="E28" i="426"/>
  <c r="B28" i="426"/>
  <c r="E27" i="426"/>
  <c r="B27" i="426"/>
  <c r="E26" i="426"/>
  <c r="B26" i="426"/>
  <c r="E25" i="426"/>
  <c r="B25" i="426"/>
  <c r="E24" i="426"/>
  <c r="B24" i="426"/>
  <c r="E23" i="426"/>
  <c r="B23" i="426"/>
  <c r="E22" i="426"/>
  <c r="B22" i="426"/>
  <c r="E21" i="426"/>
  <c r="B21" i="426"/>
  <c r="E20" i="426"/>
  <c r="B20" i="426"/>
  <c r="E19" i="426"/>
  <c r="B19" i="426"/>
  <c r="E18" i="426"/>
  <c r="B18" i="426"/>
  <c r="E17" i="426"/>
  <c r="B17" i="426"/>
  <c r="E16" i="426"/>
  <c r="B16" i="426"/>
  <c r="E15" i="426"/>
  <c r="B15" i="426"/>
  <c r="E14" i="426"/>
  <c r="B14" i="426"/>
  <c r="E13" i="426"/>
  <c r="B13" i="426"/>
  <c r="E12" i="426"/>
  <c r="B12" i="426"/>
  <c r="E11" i="426"/>
  <c r="B11" i="426"/>
  <c r="E10" i="426"/>
  <c r="B10" i="426"/>
  <c r="F9" i="426"/>
  <c r="F38" i="426" s="1"/>
  <c r="E9" i="426"/>
  <c r="B9" i="426"/>
  <c r="D8" i="426"/>
  <c r="D41" i="426" s="1"/>
  <c r="I5" i="426"/>
  <c r="H5" i="426"/>
  <c r="G5" i="426"/>
  <c r="F5" i="426"/>
  <c r="E5" i="426"/>
  <c r="D5" i="426"/>
  <c r="C5" i="426"/>
  <c r="B5" i="426"/>
  <c r="E40" i="426" l="1"/>
  <c r="H51" i="341" s="1"/>
  <c r="H154" i="53" s="1"/>
  <c r="F154" i="53"/>
  <c r="G181" i="354"/>
  <c r="D154" i="53"/>
  <c r="E181" i="354"/>
  <c r="F10" i="426"/>
  <c r="G9" i="426"/>
  <c r="F11" i="426"/>
  <c r="F12" i="426"/>
  <c r="F13" i="426"/>
  <c r="F14" i="426"/>
  <c r="F15" i="426"/>
  <c r="F16" i="426"/>
  <c r="F17" i="426"/>
  <c r="F18" i="426"/>
  <c r="F19" i="426"/>
  <c r="F20" i="426"/>
  <c r="F21" i="426"/>
  <c r="F22" i="426"/>
  <c r="F23" i="426"/>
  <c r="F24" i="426"/>
  <c r="F25" i="426"/>
  <c r="F26" i="426"/>
  <c r="F27" i="426"/>
  <c r="F28" i="426"/>
  <c r="F29" i="426"/>
  <c r="F30" i="426"/>
  <c r="F31" i="426"/>
  <c r="F32" i="426"/>
  <c r="F33" i="426"/>
  <c r="F34" i="426"/>
  <c r="F35" i="426"/>
  <c r="F36" i="426"/>
  <c r="F37" i="426"/>
  <c r="E41" i="426" l="1"/>
  <c r="G41" i="426" s="1"/>
  <c r="E8" i="426"/>
  <c r="F39" i="426" s="1"/>
  <c r="J51" i="341"/>
  <c r="M51" i="341" s="1"/>
  <c r="I181" i="354"/>
  <c r="J154" i="53"/>
  <c r="M154" i="53" s="1"/>
  <c r="G10" i="426"/>
  <c r="M9" i="426"/>
  <c r="H9" i="426"/>
  <c r="E72" i="53"/>
  <c r="E21" i="354" s="1"/>
  <c r="B72" i="53"/>
  <c r="J46" i="425"/>
  <c r="G40" i="425"/>
  <c r="G41" i="425" s="1"/>
  <c r="F40" i="425"/>
  <c r="F41" i="425" s="1"/>
  <c r="E40" i="425"/>
  <c r="G72" i="53" s="1"/>
  <c r="G21" i="354" s="1"/>
  <c r="I39" i="425"/>
  <c r="H39" i="425"/>
  <c r="D39" i="425"/>
  <c r="B39" i="425"/>
  <c r="I38" i="425"/>
  <c r="H38" i="425"/>
  <c r="D38" i="425"/>
  <c r="B38" i="425"/>
  <c r="I37" i="425"/>
  <c r="H37" i="425"/>
  <c r="D37" i="425"/>
  <c r="B37" i="425"/>
  <c r="I36" i="425"/>
  <c r="H36" i="425"/>
  <c r="D36" i="425"/>
  <c r="B36" i="425"/>
  <c r="I35" i="425"/>
  <c r="H35" i="425"/>
  <c r="D35" i="425"/>
  <c r="B35" i="425"/>
  <c r="I34" i="425"/>
  <c r="H34" i="425"/>
  <c r="D34" i="425"/>
  <c r="B34" i="425"/>
  <c r="I33" i="425"/>
  <c r="H33" i="425"/>
  <c r="D33" i="425"/>
  <c r="B33" i="425"/>
  <c r="I32" i="425"/>
  <c r="H32" i="425"/>
  <c r="D32" i="425"/>
  <c r="B32" i="425"/>
  <c r="I31" i="425"/>
  <c r="H31" i="425"/>
  <c r="D31" i="425"/>
  <c r="B31" i="425"/>
  <c r="I30" i="425"/>
  <c r="H30" i="425"/>
  <c r="D30" i="425"/>
  <c r="B30" i="425"/>
  <c r="I29" i="425"/>
  <c r="H29" i="425"/>
  <c r="D29" i="425"/>
  <c r="B29" i="425"/>
  <c r="I28" i="425"/>
  <c r="H28" i="425"/>
  <c r="D28" i="425"/>
  <c r="B28" i="425"/>
  <c r="I27" i="425"/>
  <c r="H27" i="425"/>
  <c r="D27" i="425"/>
  <c r="B27" i="425"/>
  <c r="I26" i="425"/>
  <c r="H26" i="425"/>
  <c r="D26" i="425"/>
  <c r="B26" i="425"/>
  <c r="I25" i="425"/>
  <c r="H25" i="425"/>
  <c r="B25" i="425"/>
  <c r="I24" i="425"/>
  <c r="H24" i="425"/>
  <c r="D24" i="425"/>
  <c r="B24" i="425"/>
  <c r="I23" i="425"/>
  <c r="H23" i="425"/>
  <c r="D23" i="425"/>
  <c r="B23" i="425"/>
  <c r="I22" i="425"/>
  <c r="H22" i="425"/>
  <c r="D22" i="425"/>
  <c r="B22" i="425"/>
  <c r="I21" i="425"/>
  <c r="H21" i="425"/>
  <c r="D21" i="425"/>
  <c r="B21" i="425"/>
  <c r="I20" i="425"/>
  <c r="H20" i="425"/>
  <c r="D20" i="425"/>
  <c r="B20" i="425"/>
  <c r="I19" i="425"/>
  <c r="H19" i="425"/>
  <c r="D19" i="425"/>
  <c r="B19" i="425"/>
  <c r="I18" i="425"/>
  <c r="H18" i="425"/>
  <c r="D18" i="425"/>
  <c r="B18" i="425"/>
  <c r="I17" i="425"/>
  <c r="H17" i="425"/>
  <c r="D17" i="425"/>
  <c r="B17" i="425"/>
  <c r="I16" i="425"/>
  <c r="H16" i="425"/>
  <c r="D16" i="425"/>
  <c r="B16" i="425"/>
  <c r="I15" i="425"/>
  <c r="H15" i="425"/>
  <c r="D15" i="425"/>
  <c r="B15" i="425"/>
  <c r="I14" i="425"/>
  <c r="H14" i="425"/>
  <c r="D14" i="425"/>
  <c r="B14" i="425"/>
  <c r="I13" i="425"/>
  <c r="H13" i="425"/>
  <c r="D13" i="425"/>
  <c r="B13" i="425"/>
  <c r="I12" i="425"/>
  <c r="H12" i="425"/>
  <c r="D12" i="425"/>
  <c r="B12" i="425"/>
  <c r="I11" i="425"/>
  <c r="H11" i="425"/>
  <c r="D11" i="425"/>
  <c r="B11" i="425"/>
  <c r="I10" i="425"/>
  <c r="H10" i="425"/>
  <c r="D10" i="425"/>
  <c r="B10" i="425"/>
  <c r="K9" i="425"/>
  <c r="K10" i="425" s="1"/>
  <c r="M10" i="425" s="1"/>
  <c r="I9" i="425"/>
  <c r="H9" i="425"/>
  <c r="D9" i="425"/>
  <c r="B9" i="425"/>
  <c r="D72" i="53"/>
  <c r="E8" i="425"/>
  <c r="D8" i="425"/>
  <c r="I7" i="425"/>
  <c r="K7" i="425" s="1"/>
  <c r="M7" i="425" s="1"/>
  <c r="M5" i="425"/>
  <c r="I5" i="425"/>
  <c r="H5" i="425"/>
  <c r="G5" i="425"/>
  <c r="F5" i="425"/>
  <c r="E5" i="425"/>
  <c r="D5" i="425"/>
  <c r="C5" i="425"/>
  <c r="B5" i="425"/>
  <c r="C4" i="425"/>
  <c r="C72" i="53"/>
  <c r="K181" i="354" l="1"/>
  <c r="N88" i="421" s="1"/>
  <c r="L181" i="354"/>
  <c r="H72" i="53"/>
  <c r="D40" i="425"/>
  <c r="F72" i="53" s="1"/>
  <c r="I72" i="53"/>
  <c r="H10" i="426"/>
  <c r="G11" i="426"/>
  <c r="M10" i="426"/>
  <c r="J9" i="425"/>
  <c r="L9" i="425" s="1"/>
  <c r="M9" i="425"/>
  <c r="K11" i="425"/>
  <c r="K12" i="425" s="1"/>
  <c r="M12" i="425" s="1"/>
  <c r="E41" i="425"/>
  <c r="K41" i="425" s="1"/>
  <c r="S9" i="425" l="1"/>
  <c r="K13" i="425"/>
  <c r="M13" i="425" s="1"/>
  <c r="K72" i="53"/>
  <c r="I21" i="354"/>
  <c r="K21" i="354" s="1"/>
  <c r="L72" i="53"/>
  <c r="H21" i="354"/>
  <c r="J10" i="425"/>
  <c r="S10" i="425" s="1"/>
  <c r="D41" i="425"/>
  <c r="J41" i="425" s="1"/>
  <c r="J72" i="53"/>
  <c r="M11" i="425"/>
  <c r="H11" i="426"/>
  <c r="G12" i="426"/>
  <c r="M11" i="426"/>
  <c r="K14" i="425"/>
  <c r="J11" i="425"/>
  <c r="E31" i="355" l="1"/>
  <c r="M72" i="53"/>
  <c r="L10" i="425"/>
  <c r="H12" i="426"/>
  <c r="G13" i="426"/>
  <c r="M12" i="426"/>
  <c r="S11" i="425"/>
  <c r="L11" i="425"/>
  <c r="J12" i="425"/>
  <c r="M14" i="425"/>
  <c r="K15" i="425"/>
  <c r="H13" i="426" l="1"/>
  <c r="G14" i="426"/>
  <c r="M13" i="426"/>
  <c r="K16" i="425"/>
  <c r="M15" i="425"/>
  <c r="J13" i="425"/>
  <c r="L12" i="425"/>
  <c r="S12" i="425"/>
  <c r="H14" i="426" l="1"/>
  <c r="G15" i="426"/>
  <c r="M14" i="426"/>
  <c r="S13" i="425"/>
  <c r="L13" i="425"/>
  <c r="J14" i="425"/>
  <c r="M16" i="425"/>
  <c r="K17" i="425"/>
  <c r="H15" i="426" l="1"/>
  <c r="G16" i="426"/>
  <c r="M15" i="426"/>
  <c r="K18" i="425"/>
  <c r="M17" i="425"/>
  <c r="J15" i="425"/>
  <c r="S14" i="425"/>
  <c r="L14" i="425"/>
  <c r="H16" i="426" l="1"/>
  <c r="G17" i="426"/>
  <c r="M16" i="426"/>
  <c r="S15" i="425"/>
  <c r="L15" i="425"/>
  <c r="J16" i="425"/>
  <c r="M18" i="425"/>
  <c r="K19" i="425"/>
  <c r="H17" i="426" l="1"/>
  <c r="G18" i="426"/>
  <c r="M17" i="426"/>
  <c r="K20" i="425"/>
  <c r="M19" i="425"/>
  <c r="J17" i="425"/>
  <c r="L16" i="425"/>
  <c r="S16" i="425"/>
  <c r="H18" i="426" l="1"/>
  <c r="G19" i="426"/>
  <c r="M18" i="426"/>
  <c r="S17" i="425"/>
  <c r="L17" i="425"/>
  <c r="J18" i="425"/>
  <c r="M20" i="425"/>
  <c r="K21" i="425"/>
  <c r="H19" i="426" l="1"/>
  <c r="G20" i="426"/>
  <c r="M19" i="426"/>
  <c r="K22" i="425"/>
  <c r="M21" i="425"/>
  <c r="J19" i="425"/>
  <c r="S18" i="425"/>
  <c r="L18" i="425"/>
  <c r="H20" i="426" l="1"/>
  <c r="G21" i="426"/>
  <c r="M20" i="426"/>
  <c r="S19" i="425"/>
  <c r="L19" i="425"/>
  <c r="J20" i="425"/>
  <c r="M22" i="425"/>
  <c r="K23" i="425"/>
  <c r="H21" i="426" l="1"/>
  <c r="G22" i="426"/>
  <c r="M21" i="426"/>
  <c r="K24" i="425"/>
  <c r="M23" i="425"/>
  <c r="J21" i="425"/>
  <c r="L20" i="425"/>
  <c r="S20" i="425"/>
  <c r="H22" i="426" l="1"/>
  <c r="G23" i="426"/>
  <c r="M22" i="426"/>
  <c r="S21" i="425"/>
  <c r="L21" i="425"/>
  <c r="J22" i="425"/>
  <c r="K25" i="425"/>
  <c r="M24" i="425"/>
  <c r="H23" i="426" l="1"/>
  <c r="G24" i="426"/>
  <c r="M23" i="426"/>
  <c r="M25" i="425"/>
  <c r="K26" i="425"/>
  <c r="J23" i="425"/>
  <c r="S22" i="425"/>
  <c r="L22" i="425"/>
  <c r="H24" i="426" l="1"/>
  <c r="G25" i="426"/>
  <c r="M24" i="426"/>
  <c r="K27" i="425"/>
  <c r="M26" i="425"/>
  <c r="S23" i="425"/>
  <c r="L23" i="425"/>
  <c r="J24" i="425"/>
  <c r="H25" i="426" l="1"/>
  <c r="G26" i="426"/>
  <c r="M25" i="426"/>
  <c r="L24" i="425"/>
  <c r="J25" i="425"/>
  <c r="S24" i="425"/>
  <c r="M27" i="425"/>
  <c r="K28" i="425"/>
  <c r="H26" i="426" l="1"/>
  <c r="G27" i="426"/>
  <c r="M26" i="426"/>
  <c r="J26" i="425"/>
  <c r="L25" i="425"/>
  <c r="S25" i="425"/>
  <c r="K29" i="425"/>
  <c r="M28" i="425"/>
  <c r="D33" i="418"/>
  <c r="D34" i="418"/>
  <c r="H27" i="426" l="1"/>
  <c r="G28" i="426"/>
  <c r="M27" i="426"/>
  <c r="M29" i="425"/>
  <c r="K30" i="425"/>
  <c r="S26" i="425"/>
  <c r="L26" i="425"/>
  <c r="J27" i="425"/>
  <c r="H28" i="426" l="1"/>
  <c r="G29" i="426"/>
  <c r="M28" i="426"/>
  <c r="K31" i="425"/>
  <c r="M30" i="425"/>
  <c r="J28" i="425"/>
  <c r="S27" i="425"/>
  <c r="L27" i="425"/>
  <c r="E16" i="53"/>
  <c r="E86" i="354" s="1"/>
  <c r="B16" i="53"/>
  <c r="J46" i="424"/>
  <c r="G40" i="424"/>
  <c r="G41" i="424" s="1"/>
  <c r="F40" i="424"/>
  <c r="F41" i="424" s="1"/>
  <c r="E40" i="424"/>
  <c r="G16" i="53" s="1"/>
  <c r="G86" i="354" s="1"/>
  <c r="I39" i="424"/>
  <c r="H39" i="424"/>
  <c r="D39" i="424"/>
  <c r="B39" i="424"/>
  <c r="I38" i="424"/>
  <c r="H38" i="424"/>
  <c r="D38" i="424"/>
  <c r="B38" i="424"/>
  <c r="I37" i="424"/>
  <c r="H37" i="424"/>
  <c r="D37" i="424"/>
  <c r="B37" i="424"/>
  <c r="I36" i="424"/>
  <c r="H36" i="424"/>
  <c r="D36" i="424"/>
  <c r="B36" i="424"/>
  <c r="I35" i="424"/>
  <c r="H35" i="424"/>
  <c r="D35" i="424"/>
  <c r="B35" i="424"/>
  <c r="I34" i="424"/>
  <c r="H34" i="424"/>
  <c r="D34" i="424"/>
  <c r="B34" i="424"/>
  <c r="I33" i="424"/>
  <c r="H33" i="424"/>
  <c r="D33" i="424"/>
  <c r="B33" i="424"/>
  <c r="I32" i="424"/>
  <c r="H32" i="424"/>
  <c r="D32" i="424"/>
  <c r="B32" i="424"/>
  <c r="I31" i="424"/>
  <c r="H31" i="424"/>
  <c r="D31" i="424"/>
  <c r="B31" i="424"/>
  <c r="I30" i="424"/>
  <c r="H30" i="424"/>
  <c r="D30" i="424"/>
  <c r="B30" i="424"/>
  <c r="I29" i="424"/>
  <c r="H29" i="424"/>
  <c r="D29" i="424"/>
  <c r="B29" i="424"/>
  <c r="I28" i="424"/>
  <c r="H28" i="424"/>
  <c r="D28" i="424"/>
  <c r="B28" i="424"/>
  <c r="I27" i="424"/>
  <c r="H27" i="424"/>
  <c r="D27" i="424"/>
  <c r="B27" i="424"/>
  <c r="I26" i="424"/>
  <c r="H26" i="424"/>
  <c r="D26" i="424"/>
  <c r="B26" i="424"/>
  <c r="I25" i="424"/>
  <c r="H25" i="424"/>
  <c r="D25" i="424"/>
  <c r="B25" i="424"/>
  <c r="I24" i="424"/>
  <c r="H24" i="424"/>
  <c r="D24" i="424"/>
  <c r="B24" i="424"/>
  <c r="I23" i="424"/>
  <c r="H23" i="424"/>
  <c r="D23" i="424"/>
  <c r="B23" i="424"/>
  <c r="I22" i="424"/>
  <c r="H22" i="424"/>
  <c r="D22" i="424"/>
  <c r="B22" i="424"/>
  <c r="I21" i="424"/>
  <c r="H21" i="424"/>
  <c r="D21" i="424"/>
  <c r="B21" i="424"/>
  <c r="I20" i="424"/>
  <c r="H20" i="424"/>
  <c r="D20" i="424"/>
  <c r="B20" i="424"/>
  <c r="I19" i="424"/>
  <c r="H19" i="424"/>
  <c r="D19" i="424"/>
  <c r="B19" i="424"/>
  <c r="I18" i="424"/>
  <c r="H18" i="424"/>
  <c r="D18" i="424"/>
  <c r="B18" i="424"/>
  <c r="I17" i="424"/>
  <c r="H17" i="424"/>
  <c r="D17" i="424"/>
  <c r="B17" i="424"/>
  <c r="I16" i="424"/>
  <c r="H16" i="424"/>
  <c r="D16" i="424"/>
  <c r="B16" i="424"/>
  <c r="I15" i="424"/>
  <c r="H15" i="424"/>
  <c r="D15" i="424"/>
  <c r="B15" i="424"/>
  <c r="I14" i="424"/>
  <c r="H14" i="424"/>
  <c r="D14" i="424"/>
  <c r="B14" i="424"/>
  <c r="I13" i="424"/>
  <c r="H13" i="424"/>
  <c r="D13" i="424"/>
  <c r="B13" i="424"/>
  <c r="I12" i="424"/>
  <c r="H12" i="424"/>
  <c r="D12" i="424"/>
  <c r="B12" i="424"/>
  <c r="I11" i="424"/>
  <c r="H11" i="424"/>
  <c r="D11" i="424"/>
  <c r="B11" i="424"/>
  <c r="I10" i="424"/>
  <c r="H10" i="424"/>
  <c r="D10" i="424"/>
  <c r="B10" i="424"/>
  <c r="K9" i="424"/>
  <c r="I9" i="424"/>
  <c r="H9" i="424"/>
  <c r="D9" i="424"/>
  <c r="B9" i="424"/>
  <c r="J8" i="424"/>
  <c r="J9" i="424" s="1"/>
  <c r="S9" i="424" s="1"/>
  <c r="F8" i="424"/>
  <c r="E8" i="424"/>
  <c r="I7" i="424"/>
  <c r="K7" i="424" s="1"/>
  <c r="M7" i="424" s="1"/>
  <c r="M5" i="424"/>
  <c r="I5" i="424"/>
  <c r="H5" i="424"/>
  <c r="G5" i="424"/>
  <c r="F5" i="424"/>
  <c r="E5" i="424"/>
  <c r="D5" i="424"/>
  <c r="C5" i="424"/>
  <c r="B5" i="424"/>
  <c r="C4" i="424"/>
  <c r="H29" i="426" l="1"/>
  <c r="G30" i="426"/>
  <c r="M29" i="426"/>
  <c r="M9" i="424"/>
  <c r="D40" i="424"/>
  <c r="F16" i="53" s="1"/>
  <c r="S28" i="425"/>
  <c r="L28" i="425"/>
  <c r="J29" i="425"/>
  <c r="M31" i="425"/>
  <c r="K32" i="425"/>
  <c r="I16" i="53"/>
  <c r="I86" i="354" s="1"/>
  <c r="K86" i="354" s="1"/>
  <c r="H16" i="53"/>
  <c r="D16" i="53"/>
  <c r="D8" i="424"/>
  <c r="K10" i="424"/>
  <c r="K11" i="424" s="1"/>
  <c r="E41" i="424"/>
  <c r="G8" i="424"/>
  <c r="J10" i="424"/>
  <c r="L9" i="424"/>
  <c r="E94" i="355" l="1"/>
  <c r="H86" i="354"/>
  <c r="D41" i="424"/>
  <c r="J41" i="424" s="1"/>
  <c r="K16" i="53"/>
  <c r="H30" i="426"/>
  <c r="G31" i="426"/>
  <c r="M30" i="426"/>
  <c r="K33" i="425"/>
  <c r="M32" i="425"/>
  <c r="J30" i="425"/>
  <c r="L29" i="425"/>
  <c r="S29" i="425"/>
  <c r="J16" i="53"/>
  <c r="M11" i="424"/>
  <c r="K12" i="424"/>
  <c r="M10" i="424"/>
  <c r="S10" i="424"/>
  <c r="L10" i="424"/>
  <c r="J11" i="424"/>
  <c r="H31" i="426" l="1"/>
  <c r="G32" i="426"/>
  <c r="M31" i="426"/>
  <c r="S30" i="425"/>
  <c r="L30" i="425"/>
  <c r="J31" i="425"/>
  <c r="M33" i="425"/>
  <c r="K34" i="425"/>
  <c r="K13" i="424"/>
  <c r="M12" i="424"/>
  <c r="J12" i="424"/>
  <c r="S11" i="424"/>
  <c r="L11" i="424"/>
  <c r="H32" i="426" l="1"/>
  <c r="G33" i="426"/>
  <c r="M32" i="426"/>
  <c r="K35" i="425"/>
  <c r="M34" i="425"/>
  <c r="J32" i="425"/>
  <c r="S31" i="425"/>
  <c r="L31" i="425"/>
  <c r="M13" i="424"/>
  <c r="K14" i="424"/>
  <c r="S12" i="424"/>
  <c r="L12" i="424"/>
  <c r="J13" i="424"/>
  <c r="H33" i="426" l="1"/>
  <c r="G34" i="426"/>
  <c r="M33" i="426"/>
  <c r="S32" i="425"/>
  <c r="L32" i="425"/>
  <c r="J33" i="425"/>
  <c r="M35" i="425"/>
  <c r="K36" i="425"/>
  <c r="K15" i="424"/>
  <c r="M14" i="424"/>
  <c r="J14" i="424"/>
  <c r="L13" i="424"/>
  <c r="S13" i="424"/>
  <c r="L36" i="341"/>
  <c r="L139" i="53"/>
  <c r="L147" i="53"/>
  <c r="D139" i="53"/>
  <c r="D36" i="341" s="1"/>
  <c r="E180" i="354" s="1"/>
  <c r="B139" i="53"/>
  <c r="B36" i="341" s="1"/>
  <c r="L40" i="423"/>
  <c r="K40" i="423"/>
  <c r="J40" i="423"/>
  <c r="I40" i="423"/>
  <c r="D40" i="423"/>
  <c r="F139" i="53" s="1"/>
  <c r="F36" i="341" s="1"/>
  <c r="G180" i="354" s="1"/>
  <c r="B39" i="423"/>
  <c r="B38" i="423"/>
  <c r="B37" i="423"/>
  <c r="B36" i="423"/>
  <c r="B35" i="423"/>
  <c r="B34" i="423"/>
  <c r="B33" i="423"/>
  <c r="B32" i="423"/>
  <c r="B31" i="423"/>
  <c r="B30" i="423"/>
  <c r="B29" i="423"/>
  <c r="B28" i="423"/>
  <c r="B27" i="423"/>
  <c r="B26" i="423"/>
  <c r="B25" i="423"/>
  <c r="B24" i="423"/>
  <c r="B23" i="423"/>
  <c r="B22" i="423"/>
  <c r="B21" i="423"/>
  <c r="B20" i="423"/>
  <c r="B19" i="423"/>
  <c r="B18" i="423"/>
  <c r="B17" i="423"/>
  <c r="B16" i="423"/>
  <c r="B15" i="423"/>
  <c r="B14" i="423"/>
  <c r="B13" i="423"/>
  <c r="B12" i="423"/>
  <c r="B11" i="423"/>
  <c r="B10" i="423"/>
  <c r="B9" i="423"/>
  <c r="D8" i="423"/>
  <c r="I5" i="423"/>
  <c r="G5" i="423"/>
  <c r="F5" i="423"/>
  <c r="E5" i="423"/>
  <c r="D5" i="423"/>
  <c r="C5" i="423"/>
  <c r="B5" i="423"/>
  <c r="C4" i="423"/>
  <c r="D41" i="423" l="1"/>
  <c r="H34" i="426"/>
  <c r="G35" i="426"/>
  <c r="M34" i="426"/>
  <c r="K37" i="425"/>
  <c r="M36" i="425"/>
  <c r="J34" i="425"/>
  <c r="L33" i="425"/>
  <c r="S33" i="425"/>
  <c r="M15" i="424"/>
  <c r="K16" i="424"/>
  <c r="S14" i="424"/>
  <c r="L14" i="424"/>
  <c r="J15" i="424"/>
  <c r="E40" i="423"/>
  <c r="H139" i="53" s="1"/>
  <c r="H36" i="341" s="1"/>
  <c r="H35" i="426" l="1"/>
  <c r="G36" i="426"/>
  <c r="M35" i="426"/>
  <c r="S34" i="425"/>
  <c r="L34" i="425"/>
  <c r="J35" i="425"/>
  <c r="M37" i="425"/>
  <c r="K38" i="425"/>
  <c r="J36" i="341"/>
  <c r="M36" i="341" s="1"/>
  <c r="I180" i="354"/>
  <c r="E41" i="423"/>
  <c r="G41" i="423" s="1"/>
  <c r="M16" i="424"/>
  <c r="K17" i="424"/>
  <c r="E8" i="423"/>
  <c r="F39" i="423" s="1"/>
  <c r="J139" i="53"/>
  <c r="M139" i="53" s="1"/>
  <c r="J16" i="424"/>
  <c r="S15" i="424"/>
  <c r="L15" i="424"/>
  <c r="M9" i="423"/>
  <c r="K180" i="354" l="1"/>
  <c r="L180" i="354"/>
  <c r="H36" i="426"/>
  <c r="G37" i="426"/>
  <c r="M36" i="426"/>
  <c r="K39" i="425"/>
  <c r="M38" i="425"/>
  <c r="J36" i="425"/>
  <c r="S35" i="425"/>
  <c r="L35" i="425"/>
  <c r="M17" i="424"/>
  <c r="K18" i="424"/>
  <c r="S16" i="424"/>
  <c r="L16" i="424"/>
  <c r="J17" i="424"/>
  <c r="M10" i="423"/>
  <c r="H108" i="421" l="1"/>
  <c r="H37" i="426"/>
  <c r="G38" i="426"/>
  <c r="M37" i="426"/>
  <c r="S36" i="425"/>
  <c r="L36" i="425"/>
  <c r="J37" i="425"/>
  <c r="M39" i="425"/>
  <c r="K40" i="425"/>
  <c r="K19" i="424"/>
  <c r="M18" i="424"/>
  <c r="J18" i="424"/>
  <c r="L17" i="424"/>
  <c r="S17" i="424"/>
  <c r="M11" i="423"/>
  <c r="H38" i="426" l="1"/>
  <c r="G39" i="426"/>
  <c r="M38" i="426"/>
  <c r="J38" i="425"/>
  <c r="L37" i="425"/>
  <c r="S37" i="425"/>
  <c r="M19" i="424"/>
  <c r="K20" i="424"/>
  <c r="S18" i="424"/>
  <c r="L18" i="424"/>
  <c r="J19" i="424"/>
  <c r="M12" i="423"/>
  <c r="G40" i="426" l="1"/>
  <c r="H39" i="426"/>
  <c r="M39" i="426"/>
  <c r="S38" i="425"/>
  <c r="L38" i="425"/>
  <c r="J39" i="425"/>
  <c r="M20" i="424"/>
  <c r="K21" i="424"/>
  <c r="J20" i="424"/>
  <c r="S19" i="424"/>
  <c r="L19" i="424"/>
  <c r="M13" i="423"/>
  <c r="J40" i="425" l="1"/>
  <c r="S39" i="425"/>
  <c r="L39" i="425"/>
  <c r="M21" i="424"/>
  <c r="K22" i="424"/>
  <c r="S20" i="424"/>
  <c r="L20" i="424"/>
  <c r="J21" i="424"/>
  <c r="M14" i="423"/>
  <c r="M22" i="424" l="1"/>
  <c r="K23" i="424"/>
  <c r="J22" i="424"/>
  <c r="L21" i="424"/>
  <c r="S21" i="424"/>
  <c r="M15" i="423"/>
  <c r="M23" i="424" l="1"/>
  <c r="K24" i="424"/>
  <c r="S22" i="424"/>
  <c r="L22" i="424"/>
  <c r="J23" i="424"/>
  <c r="M16" i="423"/>
  <c r="M24" i="424" l="1"/>
  <c r="K25" i="424"/>
  <c r="J24" i="424"/>
  <c r="S23" i="424"/>
  <c r="L23" i="424"/>
  <c r="M17" i="423"/>
  <c r="M25" i="424" l="1"/>
  <c r="K26" i="424"/>
  <c r="S24" i="424"/>
  <c r="L24" i="424"/>
  <c r="J25" i="424"/>
  <c r="M18" i="423"/>
  <c r="M26" i="424" l="1"/>
  <c r="K27" i="424"/>
  <c r="J26" i="424"/>
  <c r="L25" i="424"/>
  <c r="S25" i="424"/>
  <c r="M19" i="423"/>
  <c r="L60" i="341"/>
  <c r="M27" i="424" l="1"/>
  <c r="K28" i="424"/>
  <c r="S26" i="424"/>
  <c r="L26" i="424"/>
  <c r="J27" i="424"/>
  <c r="M20" i="423"/>
  <c r="L163" i="53"/>
  <c r="D163" i="53"/>
  <c r="D60" i="341" s="1"/>
  <c r="E179" i="354" s="1"/>
  <c r="B163" i="53"/>
  <c r="B60" i="341" s="1"/>
  <c r="L40" i="422"/>
  <c r="K40" i="422"/>
  <c r="J40" i="422"/>
  <c r="I40" i="422"/>
  <c r="D40" i="422"/>
  <c r="F163" i="53" s="1"/>
  <c r="F60" i="341" s="1"/>
  <c r="G179" i="354" s="1"/>
  <c r="E39" i="422"/>
  <c r="B39" i="422"/>
  <c r="E38" i="422"/>
  <c r="B38" i="422"/>
  <c r="E37" i="422"/>
  <c r="B37" i="422"/>
  <c r="E36" i="422"/>
  <c r="B36" i="422"/>
  <c r="E35" i="422"/>
  <c r="B35" i="422"/>
  <c r="E34" i="422"/>
  <c r="B34" i="422"/>
  <c r="E33" i="422"/>
  <c r="B33" i="422"/>
  <c r="E32" i="422"/>
  <c r="B32" i="422"/>
  <c r="E31" i="422"/>
  <c r="B31" i="422"/>
  <c r="E30" i="422"/>
  <c r="B30" i="422"/>
  <c r="E29" i="422"/>
  <c r="B29" i="422"/>
  <c r="E28" i="422"/>
  <c r="B28" i="422"/>
  <c r="E27" i="422"/>
  <c r="B27" i="422"/>
  <c r="E26" i="422"/>
  <c r="B26" i="422"/>
  <c r="E25" i="422"/>
  <c r="B25" i="422"/>
  <c r="E24" i="422"/>
  <c r="B24" i="422"/>
  <c r="E23" i="422"/>
  <c r="B23" i="422"/>
  <c r="E22" i="422"/>
  <c r="B22" i="422"/>
  <c r="E21" i="422"/>
  <c r="B21" i="422"/>
  <c r="E20" i="422"/>
  <c r="B20" i="422"/>
  <c r="E19" i="422"/>
  <c r="B19" i="422"/>
  <c r="E18" i="422"/>
  <c r="B18" i="422"/>
  <c r="E17" i="422"/>
  <c r="B17" i="422"/>
  <c r="E16" i="422"/>
  <c r="B16" i="422"/>
  <c r="E15" i="422"/>
  <c r="B15" i="422"/>
  <c r="E14" i="422"/>
  <c r="B14" i="422"/>
  <c r="E13" i="422"/>
  <c r="B13" i="422"/>
  <c r="E12" i="422"/>
  <c r="B12" i="422"/>
  <c r="E11" i="422"/>
  <c r="B11" i="422"/>
  <c r="E10" i="422"/>
  <c r="B10" i="422"/>
  <c r="F9" i="422"/>
  <c r="E9" i="422"/>
  <c r="B9" i="422"/>
  <c r="D8" i="422"/>
  <c r="I5" i="422"/>
  <c r="G5" i="422"/>
  <c r="F5" i="422"/>
  <c r="E5" i="422"/>
  <c r="D5" i="422"/>
  <c r="C5" i="422"/>
  <c r="B5" i="422"/>
  <c r="C4" i="422"/>
  <c r="D41" i="422" l="1"/>
  <c r="M28" i="424"/>
  <c r="K29" i="424"/>
  <c r="J28" i="424"/>
  <c r="S27" i="424"/>
  <c r="L27" i="424"/>
  <c r="M21" i="423"/>
  <c r="E40" i="422"/>
  <c r="H163" i="53" s="1"/>
  <c r="H60" i="341" s="1"/>
  <c r="F38" i="422"/>
  <c r="F37" i="422"/>
  <c r="F36" i="422"/>
  <c r="F35" i="422"/>
  <c r="F34" i="422"/>
  <c r="F33" i="422"/>
  <c r="F32" i="422"/>
  <c r="F10" i="422"/>
  <c r="F11" i="422"/>
  <c r="F12" i="422"/>
  <c r="F13" i="422"/>
  <c r="F14" i="422"/>
  <c r="F15" i="422"/>
  <c r="F16" i="422"/>
  <c r="F17" i="422"/>
  <c r="F18" i="422"/>
  <c r="F19" i="422"/>
  <c r="F20" i="422"/>
  <c r="F21" i="422"/>
  <c r="F22" i="422"/>
  <c r="F23" i="422"/>
  <c r="F24" i="422"/>
  <c r="F25" i="422"/>
  <c r="F26" i="422"/>
  <c r="F27" i="422"/>
  <c r="F28" i="422"/>
  <c r="F29" i="422"/>
  <c r="F30" i="422"/>
  <c r="F31" i="422"/>
  <c r="G9" i="422"/>
  <c r="J60" i="341" l="1"/>
  <c r="M60" i="341" s="1"/>
  <c r="I179" i="354"/>
  <c r="M29" i="424"/>
  <c r="K30" i="424"/>
  <c r="S28" i="424"/>
  <c r="L28" i="424"/>
  <c r="J29" i="424"/>
  <c r="M22" i="423"/>
  <c r="E8" i="422"/>
  <c r="F39" i="422" s="1"/>
  <c r="J163" i="53"/>
  <c r="M163" i="53" s="1"/>
  <c r="E41" i="422"/>
  <c r="G41" i="422" s="1"/>
  <c r="G10" i="422"/>
  <c r="M9" i="422"/>
  <c r="H9" i="422"/>
  <c r="K179" i="354" l="1"/>
  <c r="L179" i="354"/>
  <c r="M30" i="424"/>
  <c r="K31" i="424"/>
  <c r="J30" i="424"/>
  <c r="L29" i="424"/>
  <c r="S29" i="424"/>
  <c r="M23" i="423"/>
  <c r="G11" i="422"/>
  <c r="M10" i="422"/>
  <c r="H10" i="422"/>
  <c r="N86" i="421" l="1"/>
  <c r="H107" i="421"/>
  <c r="M31" i="424"/>
  <c r="K32" i="424"/>
  <c r="S30" i="424"/>
  <c r="L30" i="424"/>
  <c r="J31" i="424"/>
  <c r="M24" i="423"/>
  <c r="G12" i="422"/>
  <c r="M11" i="422"/>
  <c r="H11" i="422"/>
  <c r="M32" i="424" l="1"/>
  <c r="K33" i="424"/>
  <c r="J32" i="424"/>
  <c r="S31" i="424"/>
  <c r="L31" i="424"/>
  <c r="M25" i="423"/>
  <c r="G13" i="422"/>
  <c r="M12" i="422"/>
  <c r="H12" i="422"/>
  <c r="M33" i="424" l="1"/>
  <c r="K34" i="424"/>
  <c r="S32" i="424"/>
  <c r="L32" i="424"/>
  <c r="J33" i="424"/>
  <c r="M26" i="423"/>
  <c r="G14" i="422"/>
  <c r="M13" i="422"/>
  <c r="H13" i="422"/>
  <c r="M34" i="424" l="1"/>
  <c r="K35" i="424"/>
  <c r="J34" i="424"/>
  <c r="L33" i="424"/>
  <c r="S33" i="424"/>
  <c r="M27" i="423"/>
  <c r="G15" i="422"/>
  <c r="M14" i="422"/>
  <c r="H14" i="422"/>
  <c r="M35" i="424" l="1"/>
  <c r="K36" i="424"/>
  <c r="S34" i="424"/>
  <c r="L34" i="424"/>
  <c r="J35" i="424"/>
  <c r="M28" i="423"/>
  <c r="G16" i="422"/>
  <c r="M15" i="422"/>
  <c r="H15" i="422"/>
  <c r="M36" i="424" l="1"/>
  <c r="K37" i="424"/>
  <c r="J36" i="424"/>
  <c r="S35" i="424"/>
  <c r="L35" i="424"/>
  <c r="M29" i="423"/>
  <c r="G17" i="422"/>
  <c r="M16" i="422"/>
  <c r="H16" i="422"/>
  <c r="M37" i="424" l="1"/>
  <c r="K38" i="424"/>
  <c r="S36" i="424"/>
  <c r="L36" i="424"/>
  <c r="J37" i="424"/>
  <c r="M30" i="423"/>
  <c r="G18" i="422"/>
  <c r="M17" i="422"/>
  <c r="H17" i="422"/>
  <c r="M38" i="424" l="1"/>
  <c r="K39" i="424"/>
  <c r="J38" i="424"/>
  <c r="L37" i="424"/>
  <c r="S37" i="424"/>
  <c r="M31" i="423"/>
  <c r="G19" i="422"/>
  <c r="M18" i="422"/>
  <c r="H18" i="422"/>
  <c r="M39" i="424" l="1"/>
  <c r="K40" i="424"/>
  <c r="K41" i="424" s="1"/>
  <c r="S38" i="424"/>
  <c r="L38" i="424"/>
  <c r="J39" i="424"/>
  <c r="M32" i="423"/>
  <c r="G20" i="422"/>
  <c r="M19" i="422"/>
  <c r="H19" i="422"/>
  <c r="J40" i="424" l="1"/>
  <c r="S39" i="424"/>
  <c r="L39" i="424"/>
  <c r="M33" i="423"/>
  <c r="G21" i="422"/>
  <c r="M20" i="422"/>
  <c r="H20" i="422"/>
  <c r="M34" i="423" l="1"/>
  <c r="G22" i="422"/>
  <c r="M21" i="422"/>
  <c r="H21" i="422"/>
  <c r="M35" i="423" l="1"/>
  <c r="G23" i="422"/>
  <c r="M22" i="422"/>
  <c r="H22" i="422"/>
  <c r="M36" i="423" l="1"/>
  <c r="G24" i="422"/>
  <c r="M23" i="422"/>
  <c r="H23" i="422"/>
  <c r="M37" i="423" l="1"/>
  <c r="G25" i="422"/>
  <c r="M24" i="422"/>
  <c r="H24" i="422"/>
  <c r="M38" i="423" l="1"/>
  <c r="G26" i="422"/>
  <c r="M25" i="422"/>
  <c r="H25" i="422"/>
  <c r="G40" i="423" l="1"/>
  <c r="M39" i="423"/>
  <c r="G27" i="422"/>
  <c r="M26" i="422"/>
  <c r="H26" i="422"/>
  <c r="G28" i="422" l="1"/>
  <c r="M27" i="422"/>
  <c r="H27" i="422"/>
  <c r="G29" i="422" l="1"/>
  <c r="M28" i="422"/>
  <c r="H28" i="422"/>
  <c r="H14" i="284" l="1"/>
  <c r="H11" i="284"/>
  <c r="H13" i="284"/>
  <c r="H17" i="284"/>
  <c r="H21" i="284"/>
  <c r="H25" i="284"/>
  <c r="H12" i="284"/>
  <c r="H15" i="284"/>
  <c r="H19" i="284"/>
  <c r="H23" i="284"/>
  <c r="H22" i="284"/>
  <c r="H18" i="284"/>
  <c r="H24" i="284"/>
  <c r="H20" i="284"/>
  <c r="H16" i="284"/>
  <c r="G30" i="422"/>
  <c r="M29" i="422"/>
  <c r="H29" i="422"/>
  <c r="G31" i="422" l="1"/>
  <c r="M30" i="422"/>
  <c r="H30" i="422"/>
  <c r="G32" i="422" l="1"/>
  <c r="M31" i="422"/>
  <c r="H31" i="422"/>
  <c r="G33" i="422" l="1"/>
  <c r="M32" i="422"/>
  <c r="H32" i="422"/>
  <c r="G34" i="422" l="1"/>
  <c r="M33" i="422"/>
  <c r="H33" i="422"/>
  <c r="D31" i="317"/>
  <c r="D32" i="317"/>
  <c r="D33" i="317"/>
  <c r="G35" i="422" l="1"/>
  <c r="M34" i="422"/>
  <c r="H34" i="422"/>
  <c r="G36" i="422" l="1"/>
  <c r="M35" i="422"/>
  <c r="H35" i="422"/>
  <c r="D23" i="323"/>
  <c r="D24" i="323"/>
  <c r="D25" i="323"/>
  <c r="D24" i="389"/>
  <c r="D25" i="389"/>
  <c r="D26" i="389"/>
  <c r="D23" i="394"/>
  <c r="D24" i="394"/>
  <c r="D24" i="405"/>
  <c r="D25" i="405"/>
  <c r="D24" i="382"/>
  <c r="D23" i="381"/>
  <c r="D24" i="381"/>
  <c r="D25" i="381"/>
  <c r="D24" i="368"/>
  <c r="D25" i="368"/>
  <c r="D24" i="367"/>
  <c r="D24" i="348"/>
  <c r="D25" i="348"/>
  <c r="D24" i="347"/>
  <c r="D25" i="347"/>
  <c r="E8" i="347"/>
  <c r="D24" i="170"/>
  <c r="D23" i="333"/>
  <c r="D24" i="333"/>
  <c r="D25" i="333"/>
  <c r="D24" i="332"/>
  <c r="D25" i="332"/>
  <c r="D23" i="157"/>
  <c r="D24" i="157"/>
  <c r="D25" i="157"/>
  <c r="D24" i="164"/>
  <c r="D25" i="164"/>
  <c r="D24" i="396"/>
  <c r="D25" i="396"/>
  <c r="D24" i="357"/>
  <c r="D25" i="357"/>
  <c r="D24" i="349"/>
  <c r="D24" i="159"/>
  <c r="D23" i="149"/>
  <c r="D24" i="149"/>
  <c r="D25" i="149"/>
  <c r="D24" i="284"/>
  <c r="D25" i="284"/>
  <c r="G37" i="422" l="1"/>
  <c r="M36" i="422"/>
  <c r="H36" i="422"/>
  <c r="G38" i="422" l="1"/>
  <c r="M37" i="422"/>
  <c r="H37" i="422"/>
  <c r="G39" i="422" l="1"/>
  <c r="M38" i="422"/>
  <c r="H38" i="422"/>
  <c r="M39" i="422" l="1"/>
  <c r="G40" i="422"/>
  <c r="H39" i="422"/>
  <c r="G67" i="355"/>
  <c r="G97" i="355" l="1"/>
  <c r="G24" i="355"/>
  <c r="G95" i="355"/>
  <c r="G96" i="355"/>
  <c r="G85" i="355" l="1"/>
  <c r="G86" i="355"/>
  <c r="G87" i="355"/>
  <c r="G82" i="355"/>
  <c r="G84" i="355"/>
  <c r="G70" i="355"/>
  <c r="G71" i="355"/>
  <c r="G72" i="355"/>
  <c r="G73" i="355"/>
  <c r="G28" i="355"/>
  <c r="J8" i="252" l="1"/>
  <c r="E15" i="53" l="1"/>
  <c r="E81" i="354" s="1"/>
  <c r="B15" i="53"/>
  <c r="J46" i="420"/>
  <c r="E40" i="420"/>
  <c r="G15" i="53" s="1"/>
  <c r="G81" i="354" s="1"/>
  <c r="D39" i="420"/>
  <c r="B39" i="420"/>
  <c r="D38" i="420"/>
  <c r="B38" i="420"/>
  <c r="D37" i="420"/>
  <c r="B37" i="420"/>
  <c r="D36" i="420"/>
  <c r="B36" i="420"/>
  <c r="D35" i="420"/>
  <c r="B35" i="420"/>
  <c r="D34" i="420"/>
  <c r="B34" i="420"/>
  <c r="D33" i="420"/>
  <c r="B33" i="420"/>
  <c r="D32" i="420"/>
  <c r="B32" i="420"/>
  <c r="D31" i="420"/>
  <c r="B31" i="420"/>
  <c r="D30" i="420"/>
  <c r="B30" i="420"/>
  <c r="D29" i="420"/>
  <c r="B29" i="420"/>
  <c r="D28" i="420"/>
  <c r="B28" i="420"/>
  <c r="D27" i="420"/>
  <c r="B27" i="420"/>
  <c r="D26" i="420"/>
  <c r="B26" i="420"/>
  <c r="D25" i="420"/>
  <c r="B25" i="420"/>
  <c r="D24" i="420"/>
  <c r="B24" i="420"/>
  <c r="D23" i="420"/>
  <c r="B23" i="420"/>
  <c r="D22" i="420"/>
  <c r="B22" i="420"/>
  <c r="D21" i="420"/>
  <c r="B21" i="420"/>
  <c r="D20" i="420"/>
  <c r="B20" i="420"/>
  <c r="D19" i="420"/>
  <c r="B19" i="420"/>
  <c r="D18" i="420"/>
  <c r="B18" i="420"/>
  <c r="D17" i="420"/>
  <c r="B17" i="420"/>
  <c r="D16" i="420"/>
  <c r="B16" i="420"/>
  <c r="D15" i="420"/>
  <c r="B15" i="420"/>
  <c r="D14" i="420"/>
  <c r="B14" i="420"/>
  <c r="D13" i="420"/>
  <c r="B13" i="420"/>
  <c r="H32" i="420"/>
  <c r="D12" i="420"/>
  <c r="B12" i="420"/>
  <c r="I33" i="420"/>
  <c r="D11" i="420"/>
  <c r="B11" i="420"/>
  <c r="D10" i="420"/>
  <c r="B10" i="420"/>
  <c r="I9" i="420"/>
  <c r="D9" i="420"/>
  <c r="B9" i="420"/>
  <c r="J8" i="420"/>
  <c r="D8" i="420" s="1"/>
  <c r="E8" i="420"/>
  <c r="I7" i="420"/>
  <c r="K7" i="420" s="1"/>
  <c r="M7" i="420" s="1"/>
  <c r="M5" i="420"/>
  <c r="I5" i="420"/>
  <c r="H5" i="420"/>
  <c r="G5" i="420"/>
  <c r="F5" i="420"/>
  <c r="E5" i="420"/>
  <c r="D5" i="420"/>
  <c r="C5" i="420"/>
  <c r="B5" i="420"/>
  <c r="C4" i="420"/>
  <c r="J9" i="420" l="1"/>
  <c r="S9" i="420" s="1"/>
  <c r="C81" i="354"/>
  <c r="E41" i="420"/>
  <c r="D15" i="53"/>
  <c r="H12" i="420"/>
  <c r="I13" i="420"/>
  <c r="H16" i="420"/>
  <c r="I17" i="420"/>
  <c r="H24" i="420"/>
  <c r="I25" i="420"/>
  <c r="D40" i="420"/>
  <c r="G40" i="420"/>
  <c r="I15" i="53" s="1"/>
  <c r="I38" i="420"/>
  <c r="I36" i="420"/>
  <c r="I34" i="420"/>
  <c r="I32" i="420"/>
  <c r="I30" i="420"/>
  <c r="I28" i="420"/>
  <c r="I26" i="420"/>
  <c r="I24" i="420"/>
  <c r="I22" i="420"/>
  <c r="I20" i="420"/>
  <c r="I18" i="420"/>
  <c r="I39" i="420"/>
  <c r="I35" i="420"/>
  <c r="I31" i="420"/>
  <c r="I27" i="420"/>
  <c r="I23" i="420"/>
  <c r="I19" i="420"/>
  <c r="I16" i="420"/>
  <c r="I14" i="420"/>
  <c r="I12" i="420"/>
  <c r="I10" i="420"/>
  <c r="I37" i="420"/>
  <c r="K9" i="420"/>
  <c r="F40" i="420"/>
  <c r="H15" i="53" s="1"/>
  <c r="H36" i="420"/>
  <c r="H10" i="420"/>
  <c r="I11" i="420"/>
  <c r="H14" i="420"/>
  <c r="I15" i="420"/>
  <c r="H20" i="420"/>
  <c r="I21" i="420"/>
  <c r="H28" i="420"/>
  <c r="I29" i="420"/>
  <c r="H39" i="420"/>
  <c r="H37" i="420"/>
  <c r="H35" i="420"/>
  <c r="H33" i="420"/>
  <c r="H31" i="420"/>
  <c r="H29" i="420"/>
  <c r="H27" i="420"/>
  <c r="H25" i="420"/>
  <c r="H23" i="420"/>
  <c r="H21" i="420"/>
  <c r="H19" i="420"/>
  <c r="H9" i="420"/>
  <c r="L9" i="420" s="1"/>
  <c r="H11" i="420"/>
  <c r="H13" i="420"/>
  <c r="H17" i="420"/>
  <c r="H18" i="420"/>
  <c r="H22" i="420"/>
  <c r="H26" i="420"/>
  <c r="H30" i="420"/>
  <c r="H34" i="420"/>
  <c r="H38" i="420"/>
  <c r="J10" i="420" l="1"/>
  <c r="J11" i="420" s="1"/>
  <c r="L11" i="420" s="1"/>
  <c r="B89" i="355"/>
  <c r="H81" i="354"/>
  <c r="K15" i="53"/>
  <c r="I81" i="354"/>
  <c r="K81" i="354" s="1"/>
  <c r="D41" i="420"/>
  <c r="F15" i="53"/>
  <c r="J15" i="53" s="1"/>
  <c r="F41" i="420"/>
  <c r="F8" i="420"/>
  <c r="G41" i="420"/>
  <c r="G8" i="420"/>
  <c r="K10" i="420"/>
  <c r="M9" i="420"/>
  <c r="S10" i="420" l="1"/>
  <c r="L10" i="420"/>
  <c r="E89" i="355"/>
  <c r="J12" i="420"/>
  <c r="S11" i="420"/>
  <c r="J41" i="420"/>
  <c r="M10" i="420"/>
  <c r="K11" i="420"/>
  <c r="S12" i="420" l="1"/>
  <c r="J13" i="420"/>
  <c r="L12" i="420"/>
  <c r="K12" i="420"/>
  <c r="M11" i="420"/>
  <c r="L13" i="420" l="1"/>
  <c r="S13" i="420"/>
  <c r="J14" i="420"/>
  <c r="M12" i="420"/>
  <c r="K13" i="420"/>
  <c r="J15" i="420" l="1"/>
  <c r="S14" i="420"/>
  <c r="L14" i="420"/>
  <c r="K14" i="420"/>
  <c r="M13" i="420"/>
  <c r="S15" i="420" l="1"/>
  <c r="J16" i="420"/>
  <c r="L15" i="420"/>
  <c r="M14" i="420"/>
  <c r="K15" i="420"/>
  <c r="J17" i="420" l="1"/>
  <c r="L16" i="420"/>
  <c r="S16" i="420"/>
  <c r="K16" i="420"/>
  <c r="M15" i="420"/>
  <c r="S17" i="420" l="1"/>
  <c r="J18" i="420"/>
  <c r="L17" i="420"/>
  <c r="K17" i="420"/>
  <c r="M16" i="420"/>
  <c r="J19" i="420" l="1"/>
  <c r="S18" i="420"/>
  <c r="L18" i="420"/>
  <c r="K18" i="420"/>
  <c r="M17" i="420"/>
  <c r="S19" i="420" l="1"/>
  <c r="J20" i="420"/>
  <c r="L19" i="420"/>
  <c r="M18" i="420"/>
  <c r="K19" i="420"/>
  <c r="J21" i="420" l="1"/>
  <c r="L20" i="420"/>
  <c r="S20" i="420"/>
  <c r="K20" i="420"/>
  <c r="M19" i="420"/>
  <c r="S21" i="420" l="1"/>
  <c r="J22" i="420"/>
  <c r="L21" i="420"/>
  <c r="M20" i="420"/>
  <c r="K21" i="420"/>
  <c r="J23" i="420" l="1"/>
  <c r="S22" i="420"/>
  <c r="L22" i="420"/>
  <c r="K22" i="420"/>
  <c r="M21" i="420"/>
  <c r="S23" i="420" l="1"/>
  <c r="J24" i="420"/>
  <c r="L23" i="420"/>
  <c r="M22" i="420"/>
  <c r="K23" i="420"/>
  <c r="E43" i="53"/>
  <c r="E79" i="354" s="1"/>
  <c r="B43" i="53"/>
  <c r="J46" i="419"/>
  <c r="E40" i="419"/>
  <c r="G43" i="53" s="1"/>
  <c r="G79" i="354" s="1"/>
  <c r="D39" i="419"/>
  <c r="B39" i="419"/>
  <c r="H38" i="419"/>
  <c r="D38" i="419"/>
  <c r="B38" i="419"/>
  <c r="D37" i="419"/>
  <c r="B37" i="419"/>
  <c r="H36" i="419"/>
  <c r="D36" i="419"/>
  <c r="B36" i="419"/>
  <c r="D35" i="419"/>
  <c r="B35" i="419"/>
  <c r="H34" i="419"/>
  <c r="D34" i="419"/>
  <c r="B34" i="419"/>
  <c r="D33" i="419"/>
  <c r="B33" i="419"/>
  <c r="H32" i="419"/>
  <c r="D32" i="419"/>
  <c r="B32" i="419"/>
  <c r="D31" i="419"/>
  <c r="B31" i="419"/>
  <c r="H30" i="419"/>
  <c r="D30" i="419"/>
  <c r="B30" i="419"/>
  <c r="D29" i="419"/>
  <c r="B29" i="419"/>
  <c r="H28" i="419"/>
  <c r="D28" i="419"/>
  <c r="B28" i="419"/>
  <c r="D27" i="419"/>
  <c r="B27" i="419"/>
  <c r="H26" i="419"/>
  <c r="D26" i="419"/>
  <c r="B26" i="419"/>
  <c r="D25" i="419"/>
  <c r="B25" i="419"/>
  <c r="H24" i="419"/>
  <c r="D24" i="419"/>
  <c r="B24" i="419"/>
  <c r="D23" i="419"/>
  <c r="B23" i="419"/>
  <c r="H22" i="419"/>
  <c r="D22" i="419"/>
  <c r="B22" i="419"/>
  <c r="D21" i="419"/>
  <c r="B21" i="419"/>
  <c r="H20" i="419"/>
  <c r="D20" i="419"/>
  <c r="B20" i="419"/>
  <c r="D19" i="419"/>
  <c r="B19" i="419"/>
  <c r="H18" i="419"/>
  <c r="D18" i="419"/>
  <c r="B18" i="419"/>
  <c r="D17" i="419"/>
  <c r="B17" i="419"/>
  <c r="H16" i="419"/>
  <c r="D16" i="419"/>
  <c r="B16" i="419"/>
  <c r="D15" i="419"/>
  <c r="B15" i="419"/>
  <c r="H14" i="419"/>
  <c r="D14" i="419"/>
  <c r="B14" i="419"/>
  <c r="D13" i="419"/>
  <c r="B13" i="419"/>
  <c r="D12" i="419"/>
  <c r="B12" i="419"/>
  <c r="D11" i="419"/>
  <c r="B11" i="419"/>
  <c r="D10" i="419"/>
  <c r="B10" i="419"/>
  <c r="F40" i="419"/>
  <c r="F41" i="419" s="1"/>
  <c r="D9" i="419"/>
  <c r="B9" i="419"/>
  <c r="J8" i="419"/>
  <c r="J9" i="419" s="1"/>
  <c r="E8" i="419"/>
  <c r="I7" i="419"/>
  <c r="K7" i="419" s="1"/>
  <c r="M7" i="419" s="1"/>
  <c r="M5" i="419"/>
  <c r="I5" i="419"/>
  <c r="H5" i="419"/>
  <c r="G5" i="419"/>
  <c r="F5" i="419"/>
  <c r="E5" i="419"/>
  <c r="D5" i="419"/>
  <c r="C5" i="419"/>
  <c r="B5" i="419"/>
  <c r="C4" i="419"/>
  <c r="E36" i="53"/>
  <c r="E80" i="354" s="1"/>
  <c r="B36" i="53"/>
  <c r="J46" i="418"/>
  <c r="E40" i="418"/>
  <c r="G36" i="53" s="1"/>
  <c r="G80" i="354" s="1"/>
  <c r="D39" i="418"/>
  <c r="B39" i="418"/>
  <c r="D38" i="418"/>
  <c r="B38" i="418"/>
  <c r="H37" i="418"/>
  <c r="D37" i="418"/>
  <c r="B37" i="418"/>
  <c r="D36" i="418"/>
  <c r="B36" i="418"/>
  <c r="D35" i="418"/>
  <c r="B35" i="418"/>
  <c r="B34" i="418"/>
  <c r="H33" i="418"/>
  <c r="B33" i="418"/>
  <c r="D32" i="418"/>
  <c r="B32" i="418"/>
  <c r="D31" i="418"/>
  <c r="B31" i="418"/>
  <c r="D30" i="418"/>
  <c r="B30" i="418"/>
  <c r="H29" i="418"/>
  <c r="D29" i="418"/>
  <c r="B29" i="418"/>
  <c r="D28" i="418"/>
  <c r="B28" i="418"/>
  <c r="D27" i="418"/>
  <c r="B27" i="418"/>
  <c r="D26" i="418"/>
  <c r="B26" i="418"/>
  <c r="H25" i="418"/>
  <c r="D25" i="418"/>
  <c r="B25" i="418"/>
  <c r="D24" i="418"/>
  <c r="B24" i="418"/>
  <c r="D23" i="418"/>
  <c r="B23" i="418"/>
  <c r="D22" i="418"/>
  <c r="B22" i="418"/>
  <c r="H21" i="418"/>
  <c r="D21" i="418"/>
  <c r="B21" i="418"/>
  <c r="D20" i="418"/>
  <c r="B20" i="418"/>
  <c r="D19" i="418"/>
  <c r="B19" i="418"/>
  <c r="D18" i="418"/>
  <c r="B18" i="418"/>
  <c r="D17" i="418"/>
  <c r="B17" i="418"/>
  <c r="H16" i="418"/>
  <c r="D16" i="418"/>
  <c r="B16" i="418"/>
  <c r="D15" i="418"/>
  <c r="B15" i="418"/>
  <c r="H14" i="418"/>
  <c r="D14" i="418"/>
  <c r="B14" i="418"/>
  <c r="D13" i="418"/>
  <c r="B13" i="418"/>
  <c r="H12" i="418"/>
  <c r="D12" i="418"/>
  <c r="B12" i="418"/>
  <c r="D11" i="418"/>
  <c r="B11" i="418"/>
  <c r="H10" i="418"/>
  <c r="D10" i="418"/>
  <c r="B10" i="418"/>
  <c r="D9" i="418"/>
  <c r="B9" i="418"/>
  <c r="J8" i="418"/>
  <c r="D8" i="418" s="1"/>
  <c r="E8" i="418"/>
  <c r="I7" i="418"/>
  <c r="K7" i="418" s="1"/>
  <c r="M7" i="418" s="1"/>
  <c r="M5" i="418"/>
  <c r="I5" i="418"/>
  <c r="H5" i="418"/>
  <c r="G5" i="418"/>
  <c r="F5" i="418"/>
  <c r="E5" i="418"/>
  <c r="D5" i="418"/>
  <c r="C5" i="418"/>
  <c r="B5" i="418"/>
  <c r="C4" i="418"/>
  <c r="E18" i="53"/>
  <c r="E65" i="354" s="1"/>
  <c r="B18" i="53"/>
  <c r="C4" i="417"/>
  <c r="J46" i="417"/>
  <c r="E40" i="417"/>
  <c r="G18" i="53" s="1"/>
  <c r="D39" i="417"/>
  <c r="B39" i="417"/>
  <c r="D38" i="417"/>
  <c r="B38" i="417"/>
  <c r="D37" i="417"/>
  <c r="B37" i="417"/>
  <c r="D36" i="417"/>
  <c r="B36" i="417"/>
  <c r="D35" i="417"/>
  <c r="B35" i="417"/>
  <c r="D34" i="417"/>
  <c r="B34" i="417"/>
  <c r="D33" i="417"/>
  <c r="B33" i="417"/>
  <c r="D32" i="417"/>
  <c r="B32" i="417"/>
  <c r="D31" i="417"/>
  <c r="B31" i="417"/>
  <c r="D30" i="417"/>
  <c r="B30" i="417"/>
  <c r="D29" i="417"/>
  <c r="B29" i="417"/>
  <c r="D28" i="417"/>
  <c r="B28" i="417"/>
  <c r="D27" i="417"/>
  <c r="B27" i="417"/>
  <c r="D26" i="417"/>
  <c r="B26" i="417"/>
  <c r="D25" i="417"/>
  <c r="B25" i="417"/>
  <c r="D24" i="417"/>
  <c r="B24" i="417"/>
  <c r="D23" i="417"/>
  <c r="B23" i="417"/>
  <c r="D22" i="417"/>
  <c r="B22" i="417"/>
  <c r="D21" i="417"/>
  <c r="B21" i="417"/>
  <c r="D20" i="417"/>
  <c r="B20" i="417"/>
  <c r="D19" i="417"/>
  <c r="B19" i="417"/>
  <c r="D18" i="417"/>
  <c r="B18" i="417"/>
  <c r="D17" i="417"/>
  <c r="B17" i="417"/>
  <c r="D16" i="417"/>
  <c r="B16" i="417"/>
  <c r="D15" i="417"/>
  <c r="B15" i="417"/>
  <c r="D14" i="417"/>
  <c r="B14" i="417"/>
  <c r="D13" i="417"/>
  <c r="B13" i="417"/>
  <c r="D12" i="417"/>
  <c r="B12" i="417"/>
  <c r="D11" i="417"/>
  <c r="B11" i="417"/>
  <c r="D10" i="417"/>
  <c r="B10" i="417"/>
  <c r="D9" i="417"/>
  <c r="B9" i="417"/>
  <c r="J8" i="417"/>
  <c r="D18" i="53" s="1"/>
  <c r="E8" i="417"/>
  <c r="I7" i="417"/>
  <c r="K7" i="417" s="1"/>
  <c r="M7" i="417" s="1"/>
  <c r="M5" i="417"/>
  <c r="I5" i="417"/>
  <c r="H5" i="417"/>
  <c r="G5" i="417"/>
  <c r="F5" i="417"/>
  <c r="E5" i="417"/>
  <c r="D5" i="417"/>
  <c r="C5" i="417"/>
  <c r="B5" i="417"/>
  <c r="J9" i="418" l="1"/>
  <c r="J10" i="418" s="1"/>
  <c r="J25" i="420"/>
  <c r="L24" i="420"/>
  <c r="S24" i="420"/>
  <c r="G65" i="354"/>
  <c r="E41" i="419"/>
  <c r="F8" i="419"/>
  <c r="D8" i="417"/>
  <c r="C65" i="354"/>
  <c r="C80" i="354"/>
  <c r="E41" i="418"/>
  <c r="D40" i="419"/>
  <c r="F43" i="53" s="1"/>
  <c r="C79" i="354"/>
  <c r="K24" i="420"/>
  <c r="M23" i="420"/>
  <c r="H43" i="53"/>
  <c r="D43" i="53"/>
  <c r="D8" i="419"/>
  <c r="D41" i="419" s="1"/>
  <c r="J41" i="419" s="1"/>
  <c r="J10" i="419"/>
  <c r="S9" i="419"/>
  <c r="I39" i="419"/>
  <c r="I38" i="419"/>
  <c r="I37" i="419"/>
  <c r="I36" i="419"/>
  <c r="I35" i="419"/>
  <c r="I34" i="419"/>
  <c r="I33" i="419"/>
  <c r="I32" i="419"/>
  <c r="I31" i="419"/>
  <c r="I30" i="419"/>
  <c r="I29" i="419"/>
  <c r="I28" i="419"/>
  <c r="I27" i="419"/>
  <c r="I26" i="419"/>
  <c r="I25" i="419"/>
  <c r="I24" i="419"/>
  <c r="I23" i="419"/>
  <c r="I22" i="419"/>
  <c r="I21" i="419"/>
  <c r="I20" i="419"/>
  <c r="I19" i="419"/>
  <c r="I18" i="419"/>
  <c r="I17" i="419"/>
  <c r="I16" i="419"/>
  <c r="I15" i="419"/>
  <c r="I14" i="419"/>
  <c r="I9" i="419"/>
  <c r="K9" i="419"/>
  <c r="I10" i="419"/>
  <c r="I11" i="419"/>
  <c r="I12" i="419"/>
  <c r="I13" i="419"/>
  <c r="G40" i="419"/>
  <c r="I43" i="53" s="1"/>
  <c r="D40" i="417"/>
  <c r="F18" i="53" s="1"/>
  <c r="D40" i="418"/>
  <c r="F36" i="53" s="1"/>
  <c r="H9" i="419"/>
  <c r="L9" i="419" s="1"/>
  <c r="H10" i="419"/>
  <c r="H11" i="419"/>
  <c r="H12" i="419"/>
  <c r="H13" i="419"/>
  <c r="H15" i="419"/>
  <c r="H17" i="419"/>
  <c r="H19" i="419"/>
  <c r="H21" i="419"/>
  <c r="H23" i="419"/>
  <c r="H25" i="419"/>
  <c r="H27" i="419"/>
  <c r="H29" i="419"/>
  <c r="H31" i="419"/>
  <c r="H33" i="419"/>
  <c r="H35" i="419"/>
  <c r="H37" i="419"/>
  <c r="H39" i="419"/>
  <c r="D36" i="53"/>
  <c r="S9" i="418"/>
  <c r="I39" i="418"/>
  <c r="I37" i="418"/>
  <c r="I35" i="418"/>
  <c r="I33" i="418"/>
  <c r="I31" i="418"/>
  <c r="I29" i="418"/>
  <c r="I27" i="418"/>
  <c r="I25" i="418"/>
  <c r="I23" i="418"/>
  <c r="I21" i="418"/>
  <c r="I19" i="418"/>
  <c r="I9" i="418"/>
  <c r="K9" i="418"/>
  <c r="I11" i="418"/>
  <c r="I13" i="418"/>
  <c r="I15" i="418"/>
  <c r="I17" i="418"/>
  <c r="I18" i="418"/>
  <c r="I22" i="418"/>
  <c r="I26" i="418"/>
  <c r="I30" i="418"/>
  <c r="I34" i="418"/>
  <c r="I38" i="418"/>
  <c r="G40" i="418"/>
  <c r="I36" i="53" s="1"/>
  <c r="E41" i="417"/>
  <c r="F40" i="418"/>
  <c r="H36" i="53" s="1"/>
  <c r="H38" i="418"/>
  <c r="H36" i="418"/>
  <c r="H34" i="418"/>
  <c r="H32" i="418"/>
  <c r="H30" i="418"/>
  <c r="H28" i="418"/>
  <c r="H26" i="418"/>
  <c r="H24" i="418"/>
  <c r="H22" i="418"/>
  <c r="H20" i="418"/>
  <c r="H18" i="418"/>
  <c r="H9" i="418"/>
  <c r="L9" i="418" s="1"/>
  <c r="I10" i="418"/>
  <c r="H11" i="418"/>
  <c r="I12" i="418"/>
  <c r="H13" i="418"/>
  <c r="I14" i="418"/>
  <c r="H15" i="418"/>
  <c r="I16" i="418"/>
  <c r="H17" i="418"/>
  <c r="H19" i="418"/>
  <c r="I20" i="418"/>
  <c r="H23" i="418"/>
  <c r="I24" i="418"/>
  <c r="H27" i="418"/>
  <c r="I28" i="418"/>
  <c r="H31" i="418"/>
  <c r="I32" i="418"/>
  <c r="H35" i="418"/>
  <c r="I36" i="418"/>
  <c r="H39" i="418"/>
  <c r="H39" i="417"/>
  <c r="H38" i="417"/>
  <c r="H37" i="417"/>
  <c r="H36" i="417"/>
  <c r="H35" i="417"/>
  <c r="H34" i="417"/>
  <c r="H33" i="417"/>
  <c r="H32" i="417"/>
  <c r="H31" i="417"/>
  <c r="H30" i="417"/>
  <c r="H29" i="417"/>
  <c r="H28" i="417"/>
  <c r="H27" i="417"/>
  <c r="H26" i="417"/>
  <c r="H25" i="417"/>
  <c r="H24" i="417"/>
  <c r="H23" i="417"/>
  <c r="H22" i="417"/>
  <c r="H21" i="417"/>
  <c r="H20" i="417"/>
  <c r="H19" i="417"/>
  <c r="H18" i="417"/>
  <c r="H17" i="417"/>
  <c r="H16" i="417"/>
  <c r="H15" i="417"/>
  <c r="H14" i="417"/>
  <c r="H13" i="417"/>
  <c r="H12" i="417"/>
  <c r="H11" i="417"/>
  <c r="H10" i="417"/>
  <c r="H9" i="417"/>
  <c r="F40" i="417"/>
  <c r="H18" i="53" s="1"/>
  <c r="J9" i="417"/>
  <c r="B87" i="355" l="1"/>
  <c r="B75" i="355"/>
  <c r="B88" i="355"/>
  <c r="L25" i="420"/>
  <c r="S25" i="420"/>
  <c r="J26" i="420"/>
  <c r="H79" i="354"/>
  <c r="H80" i="354"/>
  <c r="H65" i="354"/>
  <c r="D41" i="417"/>
  <c r="K36" i="53"/>
  <c r="I80" i="354"/>
  <c r="K80" i="354" s="1"/>
  <c r="M24" i="420"/>
  <c r="K25" i="420"/>
  <c r="J43" i="53"/>
  <c r="K43" i="53"/>
  <c r="I79" i="354"/>
  <c r="K79" i="354" s="1"/>
  <c r="K10" i="419"/>
  <c r="M9" i="419"/>
  <c r="J11" i="419"/>
  <c r="S10" i="419"/>
  <c r="L10" i="419"/>
  <c r="D41" i="418"/>
  <c r="G41" i="419"/>
  <c r="K41" i="419" s="1"/>
  <c r="G8" i="419"/>
  <c r="J36" i="53"/>
  <c r="F41" i="418"/>
  <c r="J41" i="418" s="1"/>
  <c r="F8" i="418"/>
  <c r="G41" i="418"/>
  <c r="K41" i="418" s="1"/>
  <c r="G8" i="418"/>
  <c r="J11" i="418"/>
  <c r="S10" i="418"/>
  <c r="L10" i="418"/>
  <c r="K10" i="418"/>
  <c r="M9" i="418"/>
  <c r="J18" i="53"/>
  <c r="I39" i="417"/>
  <c r="I38" i="417"/>
  <c r="I37" i="417"/>
  <c r="I36" i="417"/>
  <c r="I35" i="417"/>
  <c r="I34" i="417"/>
  <c r="I33" i="417"/>
  <c r="I32" i="417"/>
  <c r="I31" i="417"/>
  <c r="I30" i="417"/>
  <c r="I29" i="417"/>
  <c r="I28" i="417"/>
  <c r="I27" i="417"/>
  <c r="I26" i="417"/>
  <c r="I25" i="417"/>
  <c r="I24" i="417"/>
  <c r="I23" i="417"/>
  <c r="I22" i="417"/>
  <c r="I21" i="417"/>
  <c r="I20" i="417"/>
  <c r="I19" i="417"/>
  <c r="I18" i="417"/>
  <c r="I17" i="417"/>
  <c r="I16" i="417"/>
  <c r="I15" i="417"/>
  <c r="I14" i="417"/>
  <c r="I13" i="417"/>
  <c r="I12" i="417"/>
  <c r="I11" i="417"/>
  <c r="I10" i="417"/>
  <c r="I9" i="417"/>
  <c r="K9" i="417"/>
  <c r="G40" i="417"/>
  <c r="F41" i="417"/>
  <c r="F8" i="417"/>
  <c r="J10" i="417"/>
  <c r="S9" i="417"/>
  <c r="L9" i="417"/>
  <c r="D27" i="309"/>
  <c r="D28" i="309"/>
  <c r="D29" i="309"/>
  <c r="D30" i="309"/>
  <c r="E8" i="157"/>
  <c r="E87" i="355" l="1"/>
  <c r="E88" i="355"/>
  <c r="J27" i="420"/>
  <c r="S26" i="420"/>
  <c r="L26" i="420"/>
  <c r="K26" i="420"/>
  <c r="M25" i="420"/>
  <c r="J12" i="419"/>
  <c r="S11" i="419"/>
  <c r="L11" i="419"/>
  <c r="K11" i="419"/>
  <c r="M10" i="419"/>
  <c r="M10" i="418"/>
  <c r="K11" i="418"/>
  <c r="S11" i="418"/>
  <c r="L11" i="418"/>
  <c r="J12" i="418"/>
  <c r="G8" i="417"/>
  <c r="I18" i="53"/>
  <c r="J11" i="417"/>
  <c r="S10" i="417"/>
  <c r="L10" i="417"/>
  <c r="G41" i="417"/>
  <c r="K41" i="417" s="1"/>
  <c r="J41" i="417"/>
  <c r="M9" i="417"/>
  <c r="K10" i="417"/>
  <c r="L27" i="420" l="1"/>
  <c r="S27" i="420"/>
  <c r="J28" i="420"/>
  <c r="K18" i="53"/>
  <c r="I65" i="354"/>
  <c r="K65" i="354" s="1"/>
  <c r="M26" i="420"/>
  <c r="K27" i="420"/>
  <c r="K12" i="419"/>
  <c r="M11" i="419"/>
  <c r="J13" i="419"/>
  <c r="S12" i="419"/>
  <c r="L12" i="419"/>
  <c r="K12" i="418"/>
  <c r="M11" i="418"/>
  <c r="J13" i="418"/>
  <c r="S12" i="418"/>
  <c r="L12" i="418"/>
  <c r="M10" i="417"/>
  <c r="K11" i="417"/>
  <c r="J12" i="417"/>
  <c r="S11" i="417"/>
  <c r="L11" i="417"/>
  <c r="E75" i="355" l="1"/>
  <c r="F75" i="355" s="1"/>
  <c r="J29" i="420"/>
  <c r="L28" i="420"/>
  <c r="S28" i="420"/>
  <c r="H87" i="355"/>
  <c r="K28" i="420"/>
  <c r="M27" i="420"/>
  <c r="J14" i="419"/>
  <c r="L13" i="419"/>
  <c r="S13" i="419"/>
  <c r="K13" i="419"/>
  <c r="M12" i="419"/>
  <c r="S13" i="418"/>
  <c r="L13" i="418"/>
  <c r="J14" i="418"/>
  <c r="M12" i="418"/>
  <c r="K13" i="418"/>
  <c r="M11" i="417"/>
  <c r="K12" i="417"/>
  <c r="J13" i="417"/>
  <c r="S12" i="417"/>
  <c r="L12" i="417"/>
  <c r="L40" i="388"/>
  <c r="L29" i="420" l="1"/>
  <c r="S29" i="420"/>
  <c r="J30" i="420"/>
  <c r="M28" i="420"/>
  <c r="K29" i="420"/>
  <c r="K14" i="419"/>
  <c r="M13" i="419"/>
  <c r="S14" i="419"/>
  <c r="J15" i="419"/>
  <c r="L14" i="419"/>
  <c r="K14" i="418"/>
  <c r="M13" i="418"/>
  <c r="J15" i="418"/>
  <c r="S14" i="418"/>
  <c r="L14" i="418"/>
  <c r="J14" i="417"/>
  <c r="S13" i="417"/>
  <c r="L13" i="417"/>
  <c r="M12" i="417"/>
  <c r="K13" i="417"/>
  <c r="L35" i="341"/>
  <c r="L138" i="53"/>
  <c r="D138" i="53"/>
  <c r="D35" i="341" s="1"/>
  <c r="B138" i="53"/>
  <c r="B35" i="341" s="1"/>
  <c r="L40" i="416"/>
  <c r="K40" i="416"/>
  <c r="J40" i="416"/>
  <c r="I40" i="416"/>
  <c r="D40" i="416"/>
  <c r="E39" i="416"/>
  <c r="B39" i="416"/>
  <c r="E38" i="416"/>
  <c r="B38" i="416"/>
  <c r="E37" i="416"/>
  <c r="B37" i="416"/>
  <c r="E36" i="416"/>
  <c r="B36" i="416"/>
  <c r="E35" i="416"/>
  <c r="B35" i="416"/>
  <c r="E34" i="416"/>
  <c r="B34" i="416"/>
  <c r="E33" i="416"/>
  <c r="B33" i="416"/>
  <c r="E32" i="416"/>
  <c r="B32" i="416"/>
  <c r="E31" i="416"/>
  <c r="B31" i="416"/>
  <c r="E30" i="416"/>
  <c r="B30" i="416"/>
  <c r="E29" i="416"/>
  <c r="B29" i="416"/>
  <c r="E28" i="416"/>
  <c r="B28" i="416"/>
  <c r="E27" i="416"/>
  <c r="B27" i="416"/>
  <c r="E26" i="416"/>
  <c r="B26" i="416"/>
  <c r="E25" i="416"/>
  <c r="B25" i="416"/>
  <c r="E24" i="416"/>
  <c r="B24" i="416"/>
  <c r="E23" i="416"/>
  <c r="B23" i="416"/>
  <c r="E22" i="416"/>
  <c r="B22" i="416"/>
  <c r="E21" i="416"/>
  <c r="B21" i="416"/>
  <c r="E20" i="416"/>
  <c r="B20" i="416"/>
  <c r="E19" i="416"/>
  <c r="B19" i="416"/>
  <c r="E18" i="416"/>
  <c r="B18" i="416"/>
  <c r="E17" i="416"/>
  <c r="B17" i="416"/>
  <c r="E16" i="416"/>
  <c r="B16" i="416"/>
  <c r="E15" i="416"/>
  <c r="B15" i="416"/>
  <c r="E14" i="416"/>
  <c r="B14" i="416"/>
  <c r="E13" i="416"/>
  <c r="B13" i="416"/>
  <c r="E12" i="416"/>
  <c r="B12" i="416"/>
  <c r="E11" i="416"/>
  <c r="B11" i="416"/>
  <c r="E10" i="416"/>
  <c r="B10" i="416"/>
  <c r="F9" i="416"/>
  <c r="F38" i="416" s="1"/>
  <c r="E9" i="416"/>
  <c r="B9" i="416"/>
  <c r="D8" i="416"/>
  <c r="I5" i="416"/>
  <c r="G5" i="416"/>
  <c r="F5" i="416"/>
  <c r="E5" i="416"/>
  <c r="D5" i="416"/>
  <c r="C5" i="416"/>
  <c r="B5" i="416"/>
  <c r="C4" i="416"/>
  <c r="J31" i="420" l="1"/>
  <c r="S30" i="420"/>
  <c r="L30" i="420"/>
  <c r="K30" i="420"/>
  <c r="M29" i="420"/>
  <c r="J16" i="419"/>
  <c r="L15" i="419"/>
  <c r="S15" i="419"/>
  <c r="K15" i="419"/>
  <c r="M14" i="419"/>
  <c r="S15" i="418"/>
  <c r="L15" i="418"/>
  <c r="J16" i="418"/>
  <c r="M14" i="418"/>
  <c r="K15" i="418"/>
  <c r="M13" i="417"/>
  <c r="K14" i="417"/>
  <c r="J15" i="417"/>
  <c r="S14" i="417"/>
  <c r="L14" i="417"/>
  <c r="E178" i="354"/>
  <c r="D41" i="416"/>
  <c r="F138" i="53"/>
  <c r="F35" i="341" s="1"/>
  <c r="E40" i="416"/>
  <c r="H138" i="53" s="1"/>
  <c r="H35" i="341" s="1"/>
  <c r="G9" i="416"/>
  <c r="F10" i="416"/>
  <c r="F11" i="416"/>
  <c r="F12" i="416"/>
  <c r="F13" i="416"/>
  <c r="F14" i="416"/>
  <c r="F15" i="416"/>
  <c r="F16" i="416"/>
  <c r="F17" i="416"/>
  <c r="F18" i="416"/>
  <c r="F19" i="416"/>
  <c r="F20" i="416"/>
  <c r="F21" i="416"/>
  <c r="F22" i="416"/>
  <c r="F23" i="416"/>
  <c r="F24" i="416"/>
  <c r="F25" i="416"/>
  <c r="F26" i="416"/>
  <c r="F27" i="416"/>
  <c r="F28" i="416"/>
  <c r="F29" i="416"/>
  <c r="F30" i="416"/>
  <c r="F31" i="416"/>
  <c r="F32" i="416"/>
  <c r="F33" i="416"/>
  <c r="F34" i="416"/>
  <c r="F35" i="416"/>
  <c r="F36" i="416"/>
  <c r="F37" i="416"/>
  <c r="L31" i="420" l="1"/>
  <c r="S31" i="420"/>
  <c r="J32" i="420"/>
  <c r="M30" i="420"/>
  <c r="K31" i="420"/>
  <c r="K16" i="419"/>
  <c r="M15" i="419"/>
  <c r="S16" i="419"/>
  <c r="J17" i="419"/>
  <c r="L16" i="419"/>
  <c r="K16" i="418"/>
  <c r="M15" i="418"/>
  <c r="J17" i="418"/>
  <c r="S16" i="418"/>
  <c r="L16" i="418"/>
  <c r="J16" i="417"/>
  <c r="S15" i="417"/>
  <c r="L15" i="417"/>
  <c r="M14" i="417"/>
  <c r="K15" i="417"/>
  <c r="G178" i="354"/>
  <c r="I178" i="354"/>
  <c r="L178" i="354" s="1"/>
  <c r="J35" i="341"/>
  <c r="M35" i="341" s="1"/>
  <c r="J138" i="53"/>
  <c r="M138" i="53" s="1"/>
  <c r="H9" i="416"/>
  <c r="G10" i="416"/>
  <c r="M9" i="416"/>
  <c r="E41" i="416"/>
  <c r="G41" i="416" s="1"/>
  <c r="E8" i="416"/>
  <c r="F39" i="416" s="1"/>
  <c r="S32" i="420" l="1"/>
  <c r="J33" i="420"/>
  <c r="L32" i="420"/>
  <c r="K32" i="420"/>
  <c r="M31" i="420"/>
  <c r="J18" i="419"/>
  <c r="L17" i="419"/>
  <c r="S17" i="419"/>
  <c r="K17" i="419"/>
  <c r="M16" i="419"/>
  <c r="J18" i="418"/>
  <c r="S17" i="418"/>
  <c r="L17" i="418"/>
  <c r="K17" i="418"/>
  <c r="M16" i="418"/>
  <c r="M15" i="417"/>
  <c r="K16" i="417"/>
  <c r="J17" i="417"/>
  <c r="S16" i="417"/>
  <c r="L16" i="417"/>
  <c r="K178" i="354"/>
  <c r="H10" i="416"/>
  <c r="G11" i="416"/>
  <c r="M10" i="416"/>
  <c r="S33" i="420" l="1"/>
  <c r="J34" i="420"/>
  <c r="L33" i="420"/>
  <c r="G85" i="421"/>
  <c r="P85" i="421" s="1"/>
  <c r="H106" i="421"/>
  <c r="M32" i="420"/>
  <c r="K33" i="420"/>
  <c r="K18" i="419"/>
  <c r="M17" i="419"/>
  <c r="S18" i="419"/>
  <c r="J19" i="419"/>
  <c r="L18" i="419"/>
  <c r="M17" i="418"/>
  <c r="K18" i="418"/>
  <c r="S18" i="418"/>
  <c r="L18" i="418"/>
  <c r="J19" i="418"/>
  <c r="J18" i="417"/>
  <c r="S17" i="417"/>
  <c r="L17" i="417"/>
  <c r="M16" i="417"/>
  <c r="K17" i="417"/>
  <c r="H11" i="416"/>
  <c r="G12" i="416"/>
  <c r="M11" i="416"/>
  <c r="J35" i="420" l="1"/>
  <c r="S34" i="420"/>
  <c r="L34" i="420"/>
  <c r="K34" i="420"/>
  <c r="M33" i="420"/>
  <c r="J20" i="419"/>
  <c r="L19" i="419"/>
  <c r="S19" i="419"/>
  <c r="K19" i="419"/>
  <c r="M18" i="419"/>
  <c r="K19" i="418"/>
  <c r="M18" i="418"/>
  <c r="J20" i="418"/>
  <c r="L19" i="418"/>
  <c r="S19" i="418"/>
  <c r="M17" i="417"/>
  <c r="K18" i="417"/>
  <c r="J19" i="417"/>
  <c r="S18" i="417"/>
  <c r="L18" i="417"/>
  <c r="H12" i="416"/>
  <c r="G13" i="416"/>
  <c r="M12" i="416"/>
  <c r="S35" i="420" l="1"/>
  <c r="J36" i="420"/>
  <c r="L35" i="420"/>
  <c r="M34" i="420"/>
  <c r="K35" i="420"/>
  <c r="K20" i="419"/>
  <c r="M19" i="419"/>
  <c r="S20" i="419"/>
  <c r="J21" i="419"/>
  <c r="L20" i="419"/>
  <c r="S20" i="418"/>
  <c r="L20" i="418"/>
  <c r="J21" i="418"/>
  <c r="M19" i="418"/>
  <c r="K20" i="418"/>
  <c r="J20" i="417"/>
  <c r="S19" i="417"/>
  <c r="L19" i="417"/>
  <c r="M18" i="417"/>
  <c r="K19" i="417"/>
  <c r="H13" i="416"/>
  <c r="G14" i="416"/>
  <c r="M13" i="416"/>
  <c r="J37" i="420" l="1"/>
  <c r="L36" i="420"/>
  <c r="S36" i="420"/>
  <c r="K36" i="420"/>
  <c r="M35" i="420"/>
  <c r="J22" i="419"/>
  <c r="L21" i="419"/>
  <c r="S21" i="419"/>
  <c r="K21" i="419"/>
  <c r="M20" i="419"/>
  <c r="K21" i="418"/>
  <c r="M20" i="418"/>
  <c r="J22" i="418"/>
  <c r="S21" i="418"/>
  <c r="L21" i="418"/>
  <c r="K20" i="417"/>
  <c r="M19" i="417"/>
  <c r="J21" i="417"/>
  <c r="S20" i="417"/>
  <c r="L20" i="417"/>
  <c r="H14" i="416"/>
  <c r="G15" i="416"/>
  <c r="M14" i="416"/>
  <c r="S37" i="420" l="1"/>
  <c r="J38" i="420"/>
  <c r="L37" i="420"/>
  <c r="M36" i="420"/>
  <c r="K37" i="420"/>
  <c r="K22" i="419"/>
  <c r="M21" i="419"/>
  <c r="S22" i="419"/>
  <c r="J23" i="419"/>
  <c r="L22" i="419"/>
  <c r="S22" i="418"/>
  <c r="L22" i="418"/>
  <c r="J23" i="418"/>
  <c r="M21" i="418"/>
  <c r="K22" i="418"/>
  <c r="J22" i="417"/>
  <c r="S21" i="417"/>
  <c r="L21" i="417"/>
  <c r="M20" i="417"/>
  <c r="K21" i="417"/>
  <c r="H15" i="416"/>
  <c r="G16" i="416"/>
  <c r="M15" i="416"/>
  <c r="J39" i="420" l="1"/>
  <c r="S38" i="420"/>
  <c r="L38" i="420"/>
  <c r="K38" i="420"/>
  <c r="M37" i="420"/>
  <c r="J24" i="419"/>
  <c r="L23" i="419"/>
  <c r="S23" i="419"/>
  <c r="K23" i="419"/>
  <c r="M22" i="419"/>
  <c r="K23" i="418"/>
  <c r="M22" i="418"/>
  <c r="J24" i="418"/>
  <c r="L23" i="418"/>
  <c r="S23" i="418"/>
  <c r="M21" i="417"/>
  <c r="K22" i="417"/>
  <c r="J23" i="417"/>
  <c r="S22" i="417"/>
  <c r="L22" i="417"/>
  <c r="H16" i="416"/>
  <c r="G17" i="416"/>
  <c r="M16" i="416"/>
  <c r="S39" i="420" l="1"/>
  <c r="J40" i="420"/>
  <c r="L39" i="420"/>
  <c r="M38" i="420"/>
  <c r="K39" i="420"/>
  <c r="K24" i="419"/>
  <c r="M23" i="419"/>
  <c r="S24" i="419"/>
  <c r="J25" i="419"/>
  <c r="L24" i="419"/>
  <c r="S24" i="418"/>
  <c r="L24" i="418"/>
  <c r="J25" i="418"/>
  <c r="M23" i="418"/>
  <c r="K24" i="418"/>
  <c r="J24" i="417"/>
  <c r="S23" i="417"/>
  <c r="L23" i="417"/>
  <c r="M22" i="417"/>
  <c r="K23" i="417"/>
  <c r="H17" i="416"/>
  <c r="G18" i="416"/>
  <c r="M17" i="416"/>
  <c r="K40" i="420" l="1"/>
  <c r="K41" i="420" s="1"/>
  <c r="M39" i="420"/>
  <c r="J26" i="419"/>
  <c r="L25" i="419"/>
  <c r="S25" i="419"/>
  <c r="K25" i="419"/>
  <c r="M24" i="419"/>
  <c r="K25" i="418"/>
  <c r="M24" i="418"/>
  <c r="J26" i="418"/>
  <c r="S25" i="418"/>
  <c r="L25" i="418"/>
  <c r="M23" i="417"/>
  <c r="K24" i="417"/>
  <c r="J25" i="417"/>
  <c r="S24" i="417"/>
  <c r="L24" i="417"/>
  <c r="H18" i="416"/>
  <c r="G19" i="416"/>
  <c r="M18" i="416"/>
  <c r="K26" i="419" l="1"/>
  <c r="M25" i="419"/>
  <c r="S26" i="419"/>
  <c r="J27" i="419"/>
  <c r="L26" i="419"/>
  <c r="S26" i="418"/>
  <c r="L26" i="418"/>
  <c r="J27" i="418"/>
  <c r="M25" i="418"/>
  <c r="K26" i="418"/>
  <c r="J26" i="417"/>
  <c r="S25" i="417"/>
  <c r="L25" i="417"/>
  <c r="M24" i="417"/>
  <c r="K25" i="417"/>
  <c r="H19" i="416"/>
  <c r="G20" i="416"/>
  <c r="M19" i="416"/>
  <c r="J28" i="419" l="1"/>
  <c r="L27" i="419"/>
  <c r="S27" i="419"/>
  <c r="K27" i="419"/>
  <c r="M26" i="419"/>
  <c r="K27" i="418"/>
  <c r="M26" i="418"/>
  <c r="J28" i="418"/>
  <c r="L27" i="418"/>
  <c r="S27" i="418"/>
  <c r="M25" i="417"/>
  <c r="K26" i="417"/>
  <c r="J27" i="417"/>
  <c r="S26" i="417"/>
  <c r="L26" i="417"/>
  <c r="H20" i="416"/>
  <c r="G21" i="416"/>
  <c r="M20" i="416"/>
  <c r="K28" i="419" l="1"/>
  <c r="M27" i="419"/>
  <c r="S28" i="419"/>
  <c r="J29" i="419"/>
  <c r="L28" i="419"/>
  <c r="S28" i="418"/>
  <c r="L28" i="418"/>
  <c r="J29" i="418"/>
  <c r="M27" i="418"/>
  <c r="K28" i="418"/>
  <c r="J28" i="417"/>
  <c r="S27" i="417"/>
  <c r="L27" i="417"/>
  <c r="M26" i="417"/>
  <c r="K27" i="417"/>
  <c r="H21" i="416"/>
  <c r="G22" i="416"/>
  <c r="M21" i="416"/>
  <c r="J30" i="419" l="1"/>
  <c r="L29" i="419"/>
  <c r="S29" i="419"/>
  <c r="K29" i="419"/>
  <c r="M28" i="419"/>
  <c r="K29" i="418"/>
  <c r="M28" i="418"/>
  <c r="J30" i="418"/>
  <c r="S29" i="418"/>
  <c r="L29" i="418"/>
  <c r="M27" i="417"/>
  <c r="K28" i="417"/>
  <c r="J29" i="417"/>
  <c r="S28" i="417"/>
  <c r="L28" i="417"/>
  <c r="H22" i="416"/>
  <c r="G23" i="416"/>
  <c r="M22" i="416"/>
  <c r="K30" i="419" l="1"/>
  <c r="M29" i="419"/>
  <c r="S30" i="419"/>
  <c r="J31" i="419"/>
  <c r="L30" i="419"/>
  <c r="S30" i="418"/>
  <c r="L30" i="418"/>
  <c r="J31" i="418"/>
  <c r="M29" i="418"/>
  <c r="K30" i="418"/>
  <c r="J30" i="417"/>
  <c r="S29" i="417"/>
  <c r="L29" i="417"/>
  <c r="M28" i="417"/>
  <c r="K29" i="417"/>
  <c r="H23" i="416"/>
  <c r="G24" i="416"/>
  <c r="M23" i="416"/>
  <c r="J32" i="419" l="1"/>
  <c r="L31" i="419"/>
  <c r="S31" i="419"/>
  <c r="K31" i="419"/>
  <c r="M30" i="419"/>
  <c r="K31" i="418"/>
  <c r="M30" i="418"/>
  <c r="J32" i="418"/>
  <c r="L31" i="418"/>
  <c r="S31" i="418"/>
  <c r="M29" i="417"/>
  <c r="K30" i="417"/>
  <c r="J31" i="417"/>
  <c r="S30" i="417"/>
  <c r="L30" i="417"/>
  <c r="H24" i="416"/>
  <c r="G25" i="416"/>
  <c r="M24" i="416"/>
  <c r="K32" i="419" l="1"/>
  <c r="M31" i="419"/>
  <c r="S32" i="419"/>
  <c r="J33" i="419"/>
  <c r="L32" i="419"/>
  <c r="S32" i="418"/>
  <c r="L32" i="418"/>
  <c r="J33" i="418"/>
  <c r="M31" i="418"/>
  <c r="K32" i="418"/>
  <c r="J32" i="417"/>
  <c r="S31" i="417"/>
  <c r="L31" i="417"/>
  <c r="M30" i="417"/>
  <c r="K31" i="417"/>
  <c r="H25" i="416"/>
  <c r="G26" i="416"/>
  <c r="M25" i="416"/>
  <c r="J34" i="419" l="1"/>
  <c r="L33" i="419"/>
  <c r="S33" i="419"/>
  <c r="K33" i="419"/>
  <c r="M32" i="419"/>
  <c r="K33" i="418"/>
  <c r="M32" i="418"/>
  <c r="J34" i="418"/>
  <c r="S33" i="418"/>
  <c r="L33" i="418"/>
  <c r="M31" i="417"/>
  <c r="K32" i="417"/>
  <c r="J33" i="417"/>
  <c r="S32" i="417"/>
  <c r="L32" i="417"/>
  <c r="H26" i="416"/>
  <c r="G27" i="416"/>
  <c r="M26" i="416"/>
  <c r="K34" i="419" l="1"/>
  <c r="M33" i="419"/>
  <c r="S34" i="419"/>
  <c r="J35" i="419"/>
  <c r="L34" i="419"/>
  <c r="S34" i="418"/>
  <c r="L34" i="418"/>
  <c r="J35" i="418"/>
  <c r="M33" i="418"/>
  <c r="K34" i="418"/>
  <c r="J34" i="417"/>
  <c r="S33" i="417"/>
  <c r="L33" i="417"/>
  <c r="M32" i="417"/>
  <c r="K33" i="417"/>
  <c r="H27" i="416"/>
  <c r="G28" i="416"/>
  <c r="M27" i="416"/>
  <c r="J36" i="419" l="1"/>
  <c r="L35" i="419"/>
  <c r="S35" i="419"/>
  <c r="K35" i="419"/>
  <c r="M34" i="419"/>
  <c r="K35" i="418"/>
  <c r="M34" i="418"/>
  <c r="J36" i="418"/>
  <c r="L35" i="418"/>
  <c r="S35" i="418"/>
  <c r="M33" i="417"/>
  <c r="K34" i="417"/>
  <c r="J35" i="417"/>
  <c r="S34" i="417"/>
  <c r="L34" i="417"/>
  <c r="H28" i="416"/>
  <c r="G29" i="416"/>
  <c r="M28" i="416"/>
  <c r="K36" i="419" l="1"/>
  <c r="M35" i="419"/>
  <c r="S36" i="419"/>
  <c r="J37" i="419"/>
  <c r="L36" i="419"/>
  <c r="S36" i="418"/>
  <c r="L36" i="418"/>
  <c r="J37" i="418"/>
  <c r="M35" i="418"/>
  <c r="K36" i="418"/>
  <c r="J36" i="417"/>
  <c r="S35" i="417"/>
  <c r="L35" i="417"/>
  <c r="M34" i="417"/>
  <c r="K35" i="417"/>
  <c r="H29" i="416"/>
  <c r="G30" i="416"/>
  <c r="M29" i="416"/>
  <c r="L59" i="341"/>
  <c r="L162" i="53"/>
  <c r="D162" i="53"/>
  <c r="D59" i="341" s="1"/>
  <c r="B162" i="53"/>
  <c r="B59" i="341" s="1"/>
  <c r="L40" i="415"/>
  <c r="K40" i="415"/>
  <c r="J40" i="415"/>
  <c r="I40" i="415"/>
  <c r="D40" i="415"/>
  <c r="F162" i="53" s="1"/>
  <c r="F59" i="341" s="1"/>
  <c r="E39" i="415"/>
  <c r="B39" i="415"/>
  <c r="E38" i="415"/>
  <c r="B38" i="415"/>
  <c r="E37" i="415"/>
  <c r="B37" i="415"/>
  <c r="E36" i="415"/>
  <c r="B36" i="415"/>
  <c r="E35" i="415"/>
  <c r="B35" i="415"/>
  <c r="E34" i="415"/>
  <c r="B34" i="415"/>
  <c r="E33" i="415"/>
  <c r="B33" i="415"/>
  <c r="E32" i="415"/>
  <c r="B32" i="415"/>
  <c r="E31" i="415"/>
  <c r="B31" i="415"/>
  <c r="E30" i="415"/>
  <c r="B30" i="415"/>
  <c r="E29" i="415"/>
  <c r="B29" i="415"/>
  <c r="E28" i="415"/>
  <c r="B28" i="415"/>
  <c r="E27" i="415"/>
  <c r="B27" i="415"/>
  <c r="E26" i="415"/>
  <c r="B26" i="415"/>
  <c r="E25" i="415"/>
  <c r="B25" i="415"/>
  <c r="E24" i="415"/>
  <c r="B24" i="415"/>
  <c r="E23" i="415"/>
  <c r="B23" i="415"/>
  <c r="E22" i="415"/>
  <c r="B22" i="415"/>
  <c r="E21" i="415"/>
  <c r="B21" i="415"/>
  <c r="E20" i="415"/>
  <c r="B20" i="415"/>
  <c r="E19" i="415"/>
  <c r="B19" i="415"/>
  <c r="E18" i="415"/>
  <c r="B18" i="415"/>
  <c r="E17" i="415"/>
  <c r="B17" i="415"/>
  <c r="E16" i="415"/>
  <c r="B16" i="415"/>
  <c r="E15" i="415"/>
  <c r="B15" i="415"/>
  <c r="E14" i="415"/>
  <c r="B14" i="415"/>
  <c r="E13" i="415"/>
  <c r="B13" i="415"/>
  <c r="E12" i="415"/>
  <c r="B12" i="415"/>
  <c r="E11" i="415"/>
  <c r="B11" i="415"/>
  <c r="E10" i="415"/>
  <c r="B10" i="415"/>
  <c r="F9" i="415"/>
  <c r="F38" i="415" s="1"/>
  <c r="E9" i="415"/>
  <c r="B9" i="415"/>
  <c r="D8" i="415"/>
  <c r="I5" i="415"/>
  <c r="G5" i="415"/>
  <c r="F5" i="415"/>
  <c r="E5" i="415"/>
  <c r="D5" i="415"/>
  <c r="C5" i="415"/>
  <c r="B5" i="415"/>
  <c r="C4" i="415"/>
  <c r="J38" i="419" l="1"/>
  <c r="L37" i="419"/>
  <c r="S37" i="419"/>
  <c r="K37" i="419"/>
  <c r="M36" i="419"/>
  <c r="K37" i="418"/>
  <c r="M36" i="418"/>
  <c r="J38" i="418"/>
  <c r="S37" i="418"/>
  <c r="L37" i="418"/>
  <c r="M35" i="417"/>
  <c r="K36" i="417"/>
  <c r="J37" i="417"/>
  <c r="S36" i="417"/>
  <c r="L36" i="417"/>
  <c r="G177" i="354"/>
  <c r="E177" i="354"/>
  <c r="H30" i="416"/>
  <c r="G31" i="416"/>
  <c r="M30" i="416"/>
  <c r="D41" i="415"/>
  <c r="E40" i="415"/>
  <c r="H162" i="53" s="1"/>
  <c r="H59" i="341" s="1"/>
  <c r="G9" i="415"/>
  <c r="F10" i="415"/>
  <c r="F11" i="415"/>
  <c r="F12" i="415"/>
  <c r="F13" i="415"/>
  <c r="F14" i="415"/>
  <c r="F15" i="415"/>
  <c r="F16" i="415"/>
  <c r="F17" i="415"/>
  <c r="F18" i="415"/>
  <c r="F19" i="415"/>
  <c r="F20" i="415"/>
  <c r="F21" i="415"/>
  <c r="F22" i="415"/>
  <c r="F23" i="415"/>
  <c r="F24" i="415"/>
  <c r="F25" i="415"/>
  <c r="F26" i="415"/>
  <c r="F27" i="415"/>
  <c r="F28" i="415"/>
  <c r="F29" i="415"/>
  <c r="F30" i="415"/>
  <c r="F31" i="415"/>
  <c r="F32" i="415"/>
  <c r="F33" i="415"/>
  <c r="F34" i="415"/>
  <c r="F35" i="415"/>
  <c r="F36" i="415"/>
  <c r="F37" i="415"/>
  <c r="K38" i="419" l="1"/>
  <c r="M37" i="419"/>
  <c r="S38" i="419"/>
  <c r="J39" i="419"/>
  <c r="L38" i="419"/>
  <c r="S38" i="418"/>
  <c r="L38" i="418"/>
  <c r="J39" i="418"/>
  <c r="M37" i="418"/>
  <c r="K38" i="418"/>
  <c r="J38" i="417"/>
  <c r="S37" i="417"/>
  <c r="L37" i="417"/>
  <c r="M36" i="417"/>
  <c r="K37" i="417"/>
  <c r="J59" i="341"/>
  <c r="M59" i="341" s="1"/>
  <c r="I177" i="354"/>
  <c r="H31" i="416"/>
  <c r="G32" i="416"/>
  <c r="M31" i="416"/>
  <c r="J162" i="53"/>
  <c r="M162" i="53" s="1"/>
  <c r="H9" i="415"/>
  <c r="G10" i="415"/>
  <c r="M9" i="415"/>
  <c r="E41" i="415"/>
  <c r="G41" i="415" s="1"/>
  <c r="E8" i="415"/>
  <c r="F39" i="415" s="1"/>
  <c r="J40" i="419" l="1"/>
  <c r="L39" i="419"/>
  <c r="S39" i="419"/>
  <c r="K39" i="419"/>
  <c r="M38" i="419"/>
  <c r="K39" i="418"/>
  <c r="M38" i="418"/>
  <c r="J40" i="418"/>
  <c r="L39" i="418"/>
  <c r="S39" i="418"/>
  <c r="M37" i="417"/>
  <c r="K38" i="417"/>
  <c r="J39" i="417"/>
  <c r="S38" i="417"/>
  <c r="L38" i="417"/>
  <c r="K177" i="354"/>
  <c r="L177" i="354"/>
  <c r="H32" i="416"/>
  <c r="G33" i="416"/>
  <c r="M32" i="416"/>
  <c r="H10" i="415"/>
  <c r="G11" i="415"/>
  <c r="M10" i="415"/>
  <c r="N84" i="421" l="1"/>
  <c r="H105" i="421"/>
  <c r="M39" i="419"/>
  <c r="K40" i="419"/>
  <c r="M39" i="418"/>
  <c r="K40" i="418"/>
  <c r="S39" i="417"/>
  <c r="L39" i="417"/>
  <c r="J40" i="417"/>
  <c r="M38" i="417"/>
  <c r="K39" i="417"/>
  <c r="H33" i="416"/>
  <c r="G34" i="416"/>
  <c r="M33" i="416"/>
  <c r="H11" i="415"/>
  <c r="G12" i="415"/>
  <c r="M11" i="415"/>
  <c r="K40" i="417" l="1"/>
  <c r="M39" i="417"/>
  <c r="H34" i="416"/>
  <c r="G35" i="416"/>
  <c r="M34" i="416"/>
  <c r="H12" i="415"/>
  <c r="G13" i="415"/>
  <c r="M12" i="415"/>
  <c r="H35" i="416" l="1"/>
  <c r="G36" i="416"/>
  <c r="M35" i="416"/>
  <c r="H13" i="415"/>
  <c r="G14" i="415"/>
  <c r="M13" i="415"/>
  <c r="H36" i="416" l="1"/>
  <c r="G37" i="416"/>
  <c r="M36" i="416"/>
  <c r="H14" i="415"/>
  <c r="G15" i="415"/>
  <c r="M14" i="415"/>
  <c r="H37" i="416" l="1"/>
  <c r="G38" i="416"/>
  <c r="M37" i="416"/>
  <c r="H15" i="415"/>
  <c r="G16" i="415"/>
  <c r="M15" i="415"/>
  <c r="H38" i="416" l="1"/>
  <c r="G39" i="416"/>
  <c r="M38" i="416"/>
  <c r="H16" i="415"/>
  <c r="G17" i="415"/>
  <c r="M16" i="415"/>
  <c r="G40" i="416" l="1"/>
  <c r="H39" i="416"/>
  <c r="M39" i="416"/>
  <c r="H17" i="415"/>
  <c r="G18" i="415"/>
  <c r="M17" i="415"/>
  <c r="H18" i="415" l="1"/>
  <c r="G19" i="415"/>
  <c r="M18" i="415"/>
  <c r="H19" i="415" l="1"/>
  <c r="G20" i="415"/>
  <c r="M19" i="415"/>
  <c r="H20" i="415" l="1"/>
  <c r="G21" i="415"/>
  <c r="M20" i="415"/>
  <c r="L58" i="341"/>
  <c r="L61" i="341"/>
  <c r="L161" i="53"/>
  <c r="D161" i="53"/>
  <c r="D58" i="341" s="1"/>
  <c r="B161" i="53"/>
  <c r="B58" i="341" s="1"/>
  <c r="M40" i="414"/>
  <c r="L40" i="414"/>
  <c r="K40" i="414"/>
  <c r="J40" i="414"/>
  <c r="I40" i="414"/>
  <c r="E39" i="414"/>
  <c r="D39" i="414"/>
  <c r="B39" i="414"/>
  <c r="E38" i="414"/>
  <c r="D38" i="414"/>
  <c r="B38" i="414"/>
  <c r="E37" i="414"/>
  <c r="D37" i="414"/>
  <c r="B37" i="414"/>
  <c r="E36" i="414"/>
  <c r="D36" i="414"/>
  <c r="B36" i="414"/>
  <c r="E35" i="414"/>
  <c r="D35" i="414"/>
  <c r="B35" i="414"/>
  <c r="E34" i="414"/>
  <c r="D34" i="414"/>
  <c r="B34" i="414"/>
  <c r="E33" i="414"/>
  <c r="D33" i="414"/>
  <c r="B33" i="414"/>
  <c r="E32" i="414"/>
  <c r="D32" i="414"/>
  <c r="B32" i="414"/>
  <c r="E31" i="414"/>
  <c r="D31" i="414"/>
  <c r="B31" i="414"/>
  <c r="E30" i="414"/>
  <c r="D30" i="414"/>
  <c r="B30" i="414"/>
  <c r="E29" i="414"/>
  <c r="D29" i="414"/>
  <c r="B29" i="414"/>
  <c r="E28" i="414"/>
  <c r="D28" i="414"/>
  <c r="B28" i="414"/>
  <c r="E27" i="414"/>
  <c r="D27" i="414"/>
  <c r="B27" i="414"/>
  <c r="E26" i="414"/>
  <c r="D26" i="414"/>
  <c r="B26" i="414"/>
  <c r="E25" i="414"/>
  <c r="D25" i="414"/>
  <c r="B25" i="414"/>
  <c r="E24" i="414"/>
  <c r="D24" i="414"/>
  <c r="B24" i="414"/>
  <c r="E23" i="414"/>
  <c r="D23" i="414"/>
  <c r="B23" i="414"/>
  <c r="E22" i="414"/>
  <c r="D22" i="414"/>
  <c r="B22" i="414"/>
  <c r="E21" i="414"/>
  <c r="D21" i="414"/>
  <c r="B21" i="414"/>
  <c r="E20" i="414"/>
  <c r="D20" i="414"/>
  <c r="B20" i="414"/>
  <c r="E19" i="414"/>
  <c r="D19" i="414"/>
  <c r="B19" i="414"/>
  <c r="E18" i="414"/>
  <c r="D18" i="414"/>
  <c r="B18" i="414"/>
  <c r="E17" i="414"/>
  <c r="D17" i="414"/>
  <c r="B17" i="414"/>
  <c r="E16" i="414"/>
  <c r="D16" i="414"/>
  <c r="B16" i="414"/>
  <c r="E15" i="414"/>
  <c r="D15" i="414"/>
  <c r="B15" i="414"/>
  <c r="E14" i="414"/>
  <c r="D14" i="414"/>
  <c r="B14" i="414"/>
  <c r="E13" i="414"/>
  <c r="D13" i="414"/>
  <c r="B13" i="414"/>
  <c r="E12" i="414"/>
  <c r="D12" i="414"/>
  <c r="B12" i="414"/>
  <c r="E11" i="414"/>
  <c r="D11" i="414"/>
  <c r="B11" i="414"/>
  <c r="E10" i="414"/>
  <c r="D10" i="414"/>
  <c r="B10" i="414"/>
  <c r="F9" i="414"/>
  <c r="E9" i="414"/>
  <c r="D9" i="414"/>
  <c r="B9" i="414"/>
  <c r="D8" i="414"/>
  <c r="I5" i="414"/>
  <c r="G5" i="414"/>
  <c r="F5" i="414"/>
  <c r="E5" i="414"/>
  <c r="D5" i="414"/>
  <c r="C5" i="414"/>
  <c r="B5" i="414"/>
  <c r="C4" i="414"/>
  <c r="E176" i="354" l="1"/>
  <c r="H21" i="415"/>
  <c r="G22" i="415"/>
  <c r="M21" i="415"/>
  <c r="G9" i="414"/>
  <c r="D40" i="414"/>
  <c r="F38" i="414"/>
  <c r="F36" i="414"/>
  <c r="F34" i="414"/>
  <c r="F32" i="414"/>
  <c r="F30" i="414"/>
  <c r="F28" i="414"/>
  <c r="F26" i="414"/>
  <c r="F24" i="414"/>
  <c r="F22" i="414"/>
  <c r="F20" i="414"/>
  <c r="F18" i="414"/>
  <c r="F16" i="414"/>
  <c r="F14" i="414"/>
  <c r="F12" i="414"/>
  <c r="F10" i="414"/>
  <c r="F37" i="414"/>
  <c r="F35" i="414"/>
  <c r="F33" i="414"/>
  <c r="F11" i="414"/>
  <c r="F13" i="414"/>
  <c r="F15" i="414"/>
  <c r="F17" i="414"/>
  <c r="F19" i="414"/>
  <c r="F21" i="414"/>
  <c r="F23" i="414"/>
  <c r="F25" i="414"/>
  <c r="F27" i="414"/>
  <c r="F29" i="414"/>
  <c r="F31" i="414"/>
  <c r="E40" i="414"/>
  <c r="H161" i="53" s="1"/>
  <c r="H58" i="341" s="1"/>
  <c r="I176" i="354" l="1"/>
  <c r="L176" i="354" s="1"/>
  <c r="H22" i="415"/>
  <c r="G23" i="415"/>
  <c r="M22" i="415"/>
  <c r="D41" i="414"/>
  <c r="F161" i="53"/>
  <c r="F58" i="341" s="1"/>
  <c r="N9" i="414"/>
  <c r="G10" i="414"/>
  <c r="H9" i="414"/>
  <c r="E41" i="414"/>
  <c r="E8" i="414"/>
  <c r="F39" i="414" s="1"/>
  <c r="J58" i="341" l="1"/>
  <c r="M58" i="341" s="1"/>
  <c r="G176" i="354"/>
  <c r="K176" i="354" s="1"/>
  <c r="N83" i="421" s="1"/>
  <c r="G41" i="414"/>
  <c r="H23" i="415"/>
  <c r="G24" i="415"/>
  <c r="M23" i="415"/>
  <c r="J161" i="53"/>
  <c r="M161" i="53" s="1"/>
  <c r="G11" i="414"/>
  <c r="H10" i="414"/>
  <c r="N10" i="414"/>
  <c r="L57" i="341"/>
  <c r="H24" i="415" l="1"/>
  <c r="G25" i="415"/>
  <c r="M24" i="415"/>
  <c r="N11" i="414"/>
  <c r="G12" i="414"/>
  <c r="H11" i="414"/>
  <c r="L160" i="53"/>
  <c r="D160" i="53"/>
  <c r="D57" i="341" s="1"/>
  <c r="B160" i="53"/>
  <c r="B57" i="341" s="1"/>
  <c r="L40" i="413"/>
  <c r="K40" i="413"/>
  <c r="J40" i="413"/>
  <c r="I40" i="413"/>
  <c r="D40" i="413"/>
  <c r="E39" i="413"/>
  <c r="B39" i="413"/>
  <c r="E38" i="413"/>
  <c r="B38" i="413"/>
  <c r="E37" i="413"/>
  <c r="B37" i="413"/>
  <c r="E36" i="413"/>
  <c r="B36" i="413"/>
  <c r="E35" i="413"/>
  <c r="B35" i="413"/>
  <c r="E34" i="413"/>
  <c r="B34" i="413"/>
  <c r="E33" i="413"/>
  <c r="B33" i="413"/>
  <c r="E32" i="413"/>
  <c r="B32" i="413"/>
  <c r="E31" i="413"/>
  <c r="B31" i="413"/>
  <c r="E30" i="413"/>
  <c r="B30" i="413"/>
  <c r="E29" i="413"/>
  <c r="B29" i="413"/>
  <c r="E28" i="413"/>
  <c r="B28" i="413"/>
  <c r="E27" i="413"/>
  <c r="B27" i="413"/>
  <c r="E26" i="413"/>
  <c r="B26" i="413"/>
  <c r="E25" i="413"/>
  <c r="B25" i="413"/>
  <c r="E24" i="413"/>
  <c r="B24" i="413"/>
  <c r="E23" i="413"/>
  <c r="B23" i="413"/>
  <c r="E22" i="413"/>
  <c r="B22" i="413"/>
  <c r="E21" i="413"/>
  <c r="B21" i="413"/>
  <c r="E20" i="413"/>
  <c r="B20" i="413"/>
  <c r="E19" i="413"/>
  <c r="B19" i="413"/>
  <c r="E18" i="413"/>
  <c r="B18" i="413"/>
  <c r="E17" i="413"/>
  <c r="B17" i="413"/>
  <c r="E16" i="413"/>
  <c r="B16" i="413"/>
  <c r="E15" i="413"/>
  <c r="B15" i="413"/>
  <c r="E14" i="413"/>
  <c r="B14" i="413"/>
  <c r="E13" i="413"/>
  <c r="B13" i="413"/>
  <c r="E12" i="413"/>
  <c r="B12" i="413"/>
  <c r="E11" i="413"/>
  <c r="B11" i="413"/>
  <c r="E10" i="413"/>
  <c r="B10" i="413"/>
  <c r="F9" i="413"/>
  <c r="F38" i="413" s="1"/>
  <c r="E9" i="413"/>
  <c r="B9" i="413"/>
  <c r="D8" i="413"/>
  <c r="I5" i="413"/>
  <c r="G5" i="413"/>
  <c r="F5" i="413"/>
  <c r="E5" i="413"/>
  <c r="D5" i="413"/>
  <c r="C5" i="413"/>
  <c r="B5" i="413"/>
  <c r="C4" i="413"/>
  <c r="G104" i="421" l="1"/>
  <c r="P104" i="421" s="1"/>
  <c r="E175" i="354"/>
  <c r="H25" i="415"/>
  <c r="G26" i="415"/>
  <c r="M25" i="415"/>
  <c r="G13" i="414"/>
  <c r="H12" i="414"/>
  <c r="N12" i="414"/>
  <c r="D41" i="413"/>
  <c r="F160" i="53"/>
  <c r="F57" i="341" s="1"/>
  <c r="E40" i="413"/>
  <c r="H160" i="53" s="1"/>
  <c r="H57" i="341" s="1"/>
  <c r="G9" i="413"/>
  <c r="F10" i="413"/>
  <c r="F11" i="413"/>
  <c r="F12" i="413"/>
  <c r="F13" i="413"/>
  <c r="F14" i="413"/>
  <c r="F15" i="413"/>
  <c r="F16" i="413"/>
  <c r="F17" i="413"/>
  <c r="F18" i="413"/>
  <c r="F19" i="413"/>
  <c r="F20" i="413"/>
  <c r="F21" i="413"/>
  <c r="F22" i="413"/>
  <c r="F23" i="413"/>
  <c r="F24" i="413"/>
  <c r="F25" i="413"/>
  <c r="F26" i="413"/>
  <c r="F27" i="413"/>
  <c r="F28" i="413"/>
  <c r="F29" i="413"/>
  <c r="F30" i="413"/>
  <c r="F31" i="413"/>
  <c r="F32" i="413"/>
  <c r="F33" i="413"/>
  <c r="F34" i="413"/>
  <c r="F35" i="413"/>
  <c r="F36" i="413"/>
  <c r="F37" i="413"/>
  <c r="H104" i="421" l="1"/>
  <c r="G175" i="354"/>
  <c r="I175" i="354"/>
  <c r="L175" i="354" s="1"/>
  <c r="H26" i="415"/>
  <c r="G27" i="415"/>
  <c r="M26" i="415"/>
  <c r="N13" i="414"/>
  <c r="G14" i="414"/>
  <c r="H13" i="414"/>
  <c r="J57" i="341"/>
  <c r="M57" i="341" s="1"/>
  <c r="J160" i="53"/>
  <c r="M160" i="53" s="1"/>
  <c r="H9" i="413"/>
  <c r="G10" i="413"/>
  <c r="M9" i="413"/>
  <c r="E41" i="413"/>
  <c r="G41" i="413" s="1"/>
  <c r="E8" i="413"/>
  <c r="F39" i="413" s="1"/>
  <c r="K175" i="354" l="1"/>
  <c r="N82" i="421" s="1"/>
  <c r="H27" i="415"/>
  <c r="G28" i="415"/>
  <c r="M27" i="415"/>
  <c r="G15" i="414"/>
  <c r="H14" i="414"/>
  <c r="N14" i="414"/>
  <c r="H10" i="413"/>
  <c r="G11" i="413"/>
  <c r="M10" i="413"/>
  <c r="H28" i="415" l="1"/>
  <c r="G29" i="415"/>
  <c r="M28" i="415"/>
  <c r="N15" i="414"/>
  <c r="G16" i="414"/>
  <c r="H15" i="414"/>
  <c r="H11" i="413"/>
  <c r="G12" i="413"/>
  <c r="M11" i="413"/>
  <c r="G103" i="421" l="1"/>
  <c r="P103" i="421" s="1"/>
  <c r="H29" i="415"/>
  <c r="G30" i="415"/>
  <c r="M29" i="415"/>
  <c r="G17" i="414"/>
  <c r="H16" i="414"/>
  <c r="N16" i="414"/>
  <c r="H12" i="413"/>
  <c r="G13" i="413"/>
  <c r="M12" i="413"/>
  <c r="H103" i="421" l="1"/>
  <c r="H30" i="415"/>
  <c r="G31" i="415"/>
  <c r="M30" i="415"/>
  <c r="N17" i="414"/>
  <c r="G18" i="414"/>
  <c r="H17" i="414"/>
  <c r="H13" i="413"/>
  <c r="G14" i="413"/>
  <c r="M13" i="413"/>
  <c r="H31" i="415" l="1"/>
  <c r="G32" i="415"/>
  <c r="M31" i="415"/>
  <c r="G19" i="414"/>
  <c r="H18" i="414"/>
  <c r="N18" i="414"/>
  <c r="H14" i="413"/>
  <c r="G15" i="413"/>
  <c r="M14" i="413"/>
  <c r="H32" i="415" l="1"/>
  <c r="G33" i="415"/>
  <c r="M32" i="415"/>
  <c r="N19" i="414"/>
  <c r="G20" i="414"/>
  <c r="H19" i="414"/>
  <c r="H15" i="413"/>
  <c r="G16" i="413"/>
  <c r="M15" i="413"/>
  <c r="H33" i="415" l="1"/>
  <c r="G34" i="415"/>
  <c r="M33" i="415"/>
  <c r="G21" i="414"/>
  <c r="H20" i="414"/>
  <c r="N20" i="414"/>
  <c r="H16" i="413"/>
  <c r="G17" i="413"/>
  <c r="M16" i="413"/>
  <c r="H34" i="415" l="1"/>
  <c r="G35" i="415"/>
  <c r="M34" i="415"/>
  <c r="N21" i="414"/>
  <c r="G22" i="414"/>
  <c r="H21" i="414"/>
  <c r="H17" i="413"/>
  <c r="G18" i="413"/>
  <c r="M17" i="413"/>
  <c r="H35" i="415" l="1"/>
  <c r="G36" i="415"/>
  <c r="M35" i="415"/>
  <c r="G23" i="414"/>
  <c r="H22" i="414"/>
  <c r="N22" i="414"/>
  <c r="H18" i="413"/>
  <c r="G19" i="413"/>
  <c r="M18" i="413"/>
  <c r="H36" i="415" l="1"/>
  <c r="G37" i="415"/>
  <c r="M36" i="415"/>
  <c r="N23" i="414"/>
  <c r="G24" i="414"/>
  <c r="H23" i="414"/>
  <c r="H19" i="413"/>
  <c r="G20" i="413"/>
  <c r="M19" i="413"/>
  <c r="H37" i="415" l="1"/>
  <c r="G38" i="415"/>
  <c r="M37" i="415"/>
  <c r="G25" i="414"/>
  <c r="H24" i="414"/>
  <c r="N24" i="414"/>
  <c r="H20" i="413"/>
  <c r="G21" i="413"/>
  <c r="M20" i="413"/>
  <c r="H38" i="415" l="1"/>
  <c r="G39" i="415"/>
  <c r="M38" i="415"/>
  <c r="N25" i="414"/>
  <c r="G26" i="414"/>
  <c r="H25" i="414"/>
  <c r="H21" i="413"/>
  <c r="G22" i="413"/>
  <c r="M21" i="413"/>
  <c r="G40" i="415" l="1"/>
  <c r="H39" i="415"/>
  <c r="M39" i="415"/>
  <c r="G27" i="414"/>
  <c r="H26" i="414"/>
  <c r="N26" i="414"/>
  <c r="H22" i="413"/>
  <c r="G23" i="413"/>
  <c r="M22" i="413"/>
  <c r="N27" i="414" l="1"/>
  <c r="G28" i="414"/>
  <c r="H27" i="414"/>
  <c r="H23" i="413"/>
  <c r="G24" i="413"/>
  <c r="M23" i="413"/>
  <c r="G29" i="414" l="1"/>
  <c r="H28" i="414"/>
  <c r="N28" i="414"/>
  <c r="H24" i="413"/>
  <c r="G25" i="413"/>
  <c r="M24" i="413"/>
  <c r="N29" i="414" l="1"/>
  <c r="G30" i="414"/>
  <c r="H29" i="414"/>
  <c r="H25" i="413"/>
  <c r="G26" i="413"/>
  <c r="M25" i="413"/>
  <c r="G31" i="414" l="1"/>
  <c r="H30" i="414"/>
  <c r="N30" i="414"/>
  <c r="H26" i="413"/>
  <c r="G27" i="413"/>
  <c r="M26" i="413"/>
  <c r="N31" i="414" l="1"/>
  <c r="G32" i="414"/>
  <c r="H31" i="414"/>
  <c r="H27" i="413"/>
  <c r="G28" i="413"/>
  <c r="M27" i="413"/>
  <c r="G33" i="414" l="1"/>
  <c r="H32" i="414"/>
  <c r="N32" i="414"/>
  <c r="H28" i="413"/>
  <c r="G29" i="413"/>
  <c r="M28" i="413"/>
  <c r="N33" i="414" l="1"/>
  <c r="G34" i="414"/>
  <c r="H33" i="414"/>
  <c r="H29" i="413"/>
  <c r="G30" i="413"/>
  <c r="M29" i="413"/>
  <c r="G35" i="414" l="1"/>
  <c r="H34" i="414"/>
  <c r="N34" i="414"/>
  <c r="H30" i="413"/>
  <c r="G31" i="413"/>
  <c r="M30" i="413"/>
  <c r="N35" i="414" l="1"/>
  <c r="G36" i="414"/>
  <c r="H35" i="414"/>
  <c r="H31" i="413"/>
  <c r="G32" i="413"/>
  <c r="M31" i="413"/>
  <c r="G37" i="414" l="1"/>
  <c r="H36" i="414"/>
  <c r="N36" i="414"/>
  <c r="H32" i="413"/>
  <c r="G33" i="413"/>
  <c r="M32" i="413"/>
  <c r="N37" i="414" l="1"/>
  <c r="G38" i="414"/>
  <c r="H37" i="414"/>
  <c r="H33" i="413"/>
  <c r="G34" i="413"/>
  <c r="M33" i="413"/>
  <c r="G39" i="414" l="1"/>
  <c r="H38" i="414"/>
  <c r="N38" i="414"/>
  <c r="H34" i="413"/>
  <c r="G35" i="413"/>
  <c r="M34" i="413"/>
  <c r="N39" i="414" l="1"/>
  <c r="G40" i="414"/>
  <c r="H39" i="414"/>
  <c r="H35" i="413"/>
  <c r="G36" i="413"/>
  <c r="M35" i="413"/>
  <c r="L54" i="341"/>
  <c r="L55" i="341"/>
  <c r="L56" i="341"/>
  <c r="D159" i="53"/>
  <c r="D56" i="341" s="1"/>
  <c r="B159" i="53"/>
  <c r="B56" i="341" s="1"/>
  <c r="L40" i="412"/>
  <c r="K40" i="412"/>
  <c r="J40" i="412"/>
  <c r="I40" i="412"/>
  <c r="D40" i="412"/>
  <c r="F159" i="53" s="1"/>
  <c r="E39" i="412"/>
  <c r="B39" i="412"/>
  <c r="E38" i="412"/>
  <c r="B38" i="412"/>
  <c r="E37" i="412"/>
  <c r="B37" i="412"/>
  <c r="E36" i="412"/>
  <c r="B36" i="412"/>
  <c r="E35" i="412"/>
  <c r="B35" i="412"/>
  <c r="E34" i="412"/>
  <c r="B34" i="412"/>
  <c r="E33" i="412"/>
  <c r="B33" i="412"/>
  <c r="E32" i="412"/>
  <c r="B32" i="412"/>
  <c r="E31" i="412"/>
  <c r="B31" i="412"/>
  <c r="E30" i="412"/>
  <c r="B30" i="412"/>
  <c r="E29" i="412"/>
  <c r="B29" i="412"/>
  <c r="E28" i="412"/>
  <c r="B28" i="412"/>
  <c r="E27" i="412"/>
  <c r="B27" i="412"/>
  <c r="E26" i="412"/>
  <c r="B26" i="412"/>
  <c r="E25" i="412"/>
  <c r="B25" i="412"/>
  <c r="E24" i="412"/>
  <c r="B24" i="412"/>
  <c r="E23" i="412"/>
  <c r="B23" i="412"/>
  <c r="E22" i="412"/>
  <c r="B22" i="412"/>
  <c r="E21" i="412"/>
  <c r="B21" i="412"/>
  <c r="E20" i="412"/>
  <c r="B20" i="412"/>
  <c r="E19" i="412"/>
  <c r="B19" i="412"/>
  <c r="E18" i="412"/>
  <c r="B18" i="412"/>
  <c r="E17" i="412"/>
  <c r="B17" i="412"/>
  <c r="E16" i="412"/>
  <c r="B16" i="412"/>
  <c r="E15" i="412"/>
  <c r="B15" i="412"/>
  <c r="E14" i="412"/>
  <c r="B14" i="412"/>
  <c r="E13" i="412"/>
  <c r="B13" i="412"/>
  <c r="E12" i="412"/>
  <c r="B12" i="412"/>
  <c r="E11" i="412"/>
  <c r="B11" i="412"/>
  <c r="E10" i="412"/>
  <c r="B10" i="412"/>
  <c r="F9" i="412"/>
  <c r="F38" i="412" s="1"/>
  <c r="E9" i="412"/>
  <c r="B9" i="412"/>
  <c r="D8" i="412"/>
  <c r="I5" i="412"/>
  <c r="G5" i="412"/>
  <c r="F5" i="412"/>
  <c r="E5" i="412"/>
  <c r="D5" i="412"/>
  <c r="C5" i="412"/>
  <c r="B5" i="412"/>
  <c r="C4" i="412"/>
  <c r="D158" i="53"/>
  <c r="D55" i="341" s="1"/>
  <c r="B158" i="53"/>
  <c r="B55" i="341" s="1"/>
  <c r="L40" i="411"/>
  <c r="K40" i="411"/>
  <c r="J40" i="411"/>
  <c r="I40" i="411"/>
  <c r="D40" i="411"/>
  <c r="F158" i="53" s="1"/>
  <c r="E39" i="411"/>
  <c r="B39" i="411"/>
  <c r="E38" i="411"/>
  <c r="B38" i="411"/>
  <c r="E37" i="411"/>
  <c r="B37" i="411"/>
  <c r="E36" i="411"/>
  <c r="B36" i="411"/>
  <c r="E35" i="411"/>
  <c r="B35" i="411"/>
  <c r="E34" i="411"/>
  <c r="B34" i="411"/>
  <c r="E33" i="411"/>
  <c r="B33" i="411"/>
  <c r="E32" i="411"/>
  <c r="B32" i="411"/>
  <c r="E31" i="411"/>
  <c r="B31" i="411"/>
  <c r="E30" i="411"/>
  <c r="B30" i="411"/>
  <c r="E29" i="411"/>
  <c r="B29" i="411"/>
  <c r="E28" i="411"/>
  <c r="B28" i="411"/>
  <c r="E27" i="411"/>
  <c r="B27" i="411"/>
  <c r="E26" i="411"/>
  <c r="B26" i="411"/>
  <c r="E25" i="411"/>
  <c r="B25" i="411"/>
  <c r="E24" i="411"/>
  <c r="B24" i="411"/>
  <c r="E23" i="411"/>
  <c r="B23" i="411"/>
  <c r="E22" i="411"/>
  <c r="B22" i="411"/>
  <c r="E21" i="411"/>
  <c r="B21" i="411"/>
  <c r="E20" i="411"/>
  <c r="B20" i="411"/>
  <c r="E19" i="411"/>
  <c r="B19" i="411"/>
  <c r="E18" i="411"/>
  <c r="B18" i="411"/>
  <c r="E17" i="411"/>
  <c r="B17" i="411"/>
  <c r="E16" i="411"/>
  <c r="B16" i="411"/>
  <c r="E15" i="411"/>
  <c r="B15" i="411"/>
  <c r="E14" i="411"/>
  <c r="B14" i="411"/>
  <c r="E13" i="411"/>
  <c r="B13" i="411"/>
  <c r="E12" i="411"/>
  <c r="B12" i="411"/>
  <c r="E11" i="411"/>
  <c r="B11" i="411"/>
  <c r="E10" i="411"/>
  <c r="B10" i="411"/>
  <c r="F9" i="411"/>
  <c r="F38" i="411" s="1"/>
  <c r="E9" i="411"/>
  <c r="B9" i="411"/>
  <c r="D8" i="411"/>
  <c r="D41" i="411" s="1"/>
  <c r="I5" i="411"/>
  <c r="G5" i="411"/>
  <c r="F5" i="411"/>
  <c r="E5" i="411"/>
  <c r="D5" i="411"/>
  <c r="C5" i="411"/>
  <c r="B5" i="411"/>
  <c r="C4" i="411"/>
  <c r="L157" i="53"/>
  <c r="L158" i="53"/>
  <c r="L159" i="53"/>
  <c r="D157" i="53"/>
  <c r="B157" i="53"/>
  <c r="B54" i="341" s="1"/>
  <c r="C4" i="410"/>
  <c r="K40" i="410"/>
  <c r="J40" i="410"/>
  <c r="I40" i="410"/>
  <c r="D40" i="410"/>
  <c r="F157" i="53" s="1"/>
  <c r="E39" i="410"/>
  <c r="B39" i="410"/>
  <c r="E38" i="410"/>
  <c r="B38" i="410"/>
  <c r="E37" i="410"/>
  <c r="B37" i="410"/>
  <c r="E36" i="410"/>
  <c r="B36" i="410"/>
  <c r="E35" i="410"/>
  <c r="B35" i="410"/>
  <c r="E34" i="410"/>
  <c r="B34" i="410"/>
  <c r="E33" i="410"/>
  <c r="B33" i="410"/>
  <c r="E32" i="410"/>
  <c r="B32" i="410"/>
  <c r="E31" i="410"/>
  <c r="B31" i="410"/>
  <c r="E30" i="410"/>
  <c r="B30" i="410"/>
  <c r="E29" i="410"/>
  <c r="B29" i="410"/>
  <c r="E28" i="410"/>
  <c r="B28" i="410"/>
  <c r="E27" i="410"/>
  <c r="B27" i="410"/>
  <c r="E26" i="410"/>
  <c r="B26" i="410"/>
  <c r="E25" i="410"/>
  <c r="B25" i="410"/>
  <c r="E24" i="410"/>
  <c r="B24" i="410"/>
  <c r="E23" i="410"/>
  <c r="B23" i="410"/>
  <c r="E22" i="410"/>
  <c r="B22" i="410"/>
  <c r="E21" i="410"/>
  <c r="B21" i="410"/>
  <c r="E20" i="410"/>
  <c r="B20" i="410"/>
  <c r="E19" i="410"/>
  <c r="B19" i="410"/>
  <c r="E18" i="410"/>
  <c r="B18" i="410"/>
  <c r="E17" i="410"/>
  <c r="B17" i="410"/>
  <c r="E16" i="410"/>
  <c r="B16" i="410"/>
  <c r="E15" i="410"/>
  <c r="B15" i="410"/>
  <c r="E14" i="410"/>
  <c r="B14" i="410"/>
  <c r="E13" i="410"/>
  <c r="B13" i="410"/>
  <c r="E12" i="410"/>
  <c r="B12" i="410"/>
  <c r="E11" i="410"/>
  <c r="B11" i="410"/>
  <c r="E10" i="410"/>
  <c r="B10" i="410"/>
  <c r="F9" i="410"/>
  <c r="E9" i="410"/>
  <c r="B9" i="410"/>
  <c r="D8" i="410"/>
  <c r="D41" i="410" s="1"/>
  <c r="I5" i="410"/>
  <c r="H5" i="410"/>
  <c r="G5" i="410"/>
  <c r="F5" i="410"/>
  <c r="E5" i="410"/>
  <c r="D5" i="410"/>
  <c r="C5" i="410"/>
  <c r="B5" i="410"/>
  <c r="E172" i="354" l="1"/>
  <c r="F54" i="341"/>
  <c r="E174" i="354"/>
  <c r="D54" i="341"/>
  <c r="F55" i="341"/>
  <c r="H36" i="413"/>
  <c r="G37" i="413"/>
  <c r="M36" i="413"/>
  <c r="E40" i="412"/>
  <c r="E41" i="412" s="1"/>
  <c r="F56" i="341"/>
  <c r="D41" i="412"/>
  <c r="G9" i="412"/>
  <c r="E40" i="411"/>
  <c r="F10" i="412"/>
  <c r="F11" i="412"/>
  <c r="F12" i="412"/>
  <c r="F13" i="412"/>
  <c r="F14" i="412"/>
  <c r="F15" i="412"/>
  <c r="F16" i="412"/>
  <c r="F17" i="412"/>
  <c r="F18" i="412"/>
  <c r="F19" i="412"/>
  <c r="F20" i="412"/>
  <c r="F21" i="412"/>
  <c r="F22" i="412"/>
  <c r="F23" i="412"/>
  <c r="F24" i="412"/>
  <c r="F25" i="412"/>
  <c r="F26" i="412"/>
  <c r="F27" i="412"/>
  <c r="F28" i="412"/>
  <c r="F29" i="412"/>
  <c r="F30" i="412"/>
  <c r="F31" i="412"/>
  <c r="F32" i="412"/>
  <c r="F33" i="412"/>
  <c r="F34" i="412"/>
  <c r="F35" i="412"/>
  <c r="F36" i="412"/>
  <c r="F37" i="412"/>
  <c r="G9" i="411"/>
  <c r="E40" i="410"/>
  <c r="H157" i="53" s="1"/>
  <c r="H54" i="341" s="1"/>
  <c r="F10" i="411"/>
  <c r="F11" i="411"/>
  <c r="F12" i="411"/>
  <c r="F13" i="411"/>
  <c r="F14" i="411"/>
  <c r="F15" i="411"/>
  <c r="F16" i="411"/>
  <c r="F17" i="411"/>
  <c r="F18" i="411"/>
  <c r="F19" i="411"/>
  <c r="F20" i="411"/>
  <c r="F21" i="411"/>
  <c r="F22" i="411"/>
  <c r="F23" i="411"/>
  <c r="F24" i="411"/>
  <c r="F25" i="411"/>
  <c r="F26" i="411"/>
  <c r="F27" i="411"/>
  <c r="F28" i="411"/>
  <c r="F29" i="411"/>
  <c r="F30" i="411"/>
  <c r="F31" i="411"/>
  <c r="F32" i="411"/>
  <c r="F33" i="411"/>
  <c r="F34" i="411"/>
  <c r="F35" i="411"/>
  <c r="F36" i="411"/>
  <c r="F37" i="411"/>
  <c r="F38" i="410"/>
  <c r="F37" i="410"/>
  <c r="F36" i="410"/>
  <c r="F35" i="410"/>
  <c r="F34" i="410"/>
  <c r="F33" i="410"/>
  <c r="F10" i="410"/>
  <c r="F11" i="410"/>
  <c r="F12" i="410"/>
  <c r="F13" i="410"/>
  <c r="F14" i="410"/>
  <c r="F15" i="410"/>
  <c r="F16" i="410"/>
  <c r="F17" i="410"/>
  <c r="F18" i="410"/>
  <c r="F19" i="410"/>
  <c r="F20" i="410"/>
  <c r="F21" i="410"/>
  <c r="F22" i="410"/>
  <c r="F23" i="410"/>
  <c r="F24" i="410"/>
  <c r="F25" i="410"/>
  <c r="F26" i="410"/>
  <c r="F27" i="410"/>
  <c r="F28" i="410"/>
  <c r="F29" i="410"/>
  <c r="F30" i="410"/>
  <c r="F31" i="410"/>
  <c r="F32" i="410"/>
  <c r="G9" i="410"/>
  <c r="G172" i="354" l="1"/>
  <c r="E173" i="354"/>
  <c r="G173" i="354"/>
  <c r="G174" i="354"/>
  <c r="H37" i="413"/>
  <c r="G38" i="413"/>
  <c r="M37" i="413"/>
  <c r="E41" i="410"/>
  <c r="G41" i="410" s="1"/>
  <c r="G41" i="412"/>
  <c r="J157" i="53"/>
  <c r="M157" i="53" s="1"/>
  <c r="I173" i="354"/>
  <c r="L173" i="354" s="1"/>
  <c r="E8" i="412"/>
  <c r="F39" i="412" s="1"/>
  <c r="H159" i="53"/>
  <c r="E8" i="411"/>
  <c r="F39" i="411" s="1"/>
  <c r="H158" i="53"/>
  <c r="H55" i="341" s="1"/>
  <c r="H9" i="412"/>
  <c r="M9" i="412"/>
  <c r="G10" i="412"/>
  <c r="E8" i="410"/>
  <c r="F39" i="410" s="1"/>
  <c r="E41" i="411"/>
  <c r="G41" i="411" s="1"/>
  <c r="H9" i="411"/>
  <c r="M9" i="411"/>
  <c r="G10" i="411"/>
  <c r="G10" i="410"/>
  <c r="L9" i="410"/>
  <c r="H9" i="410"/>
  <c r="K173" i="354" l="1"/>
  <c r="N80" i="421" s="1"/>
  <c r="H38" i="413"/>
  <c r="G39" i="413"/>
  <c r="M38" i="413"/>
  <c r="J158" i="53"/>
  <c r="M158" i="53" s="1"/>
  <c r="H56" i="341"/>
  <c r="J159" i="53"/>
  <c r="M159" i="53" s="1"/>
  <c r="H10" i="412"/>
  <c r="M10" i="412"/>
  <c r="G11" i="412"/>
  <c r="H10" i="411"/>
  <c r="M10" i="411"/>
  <c r="G11" i="411"/>
  <c r="G11" i="410"/>
  <c r="L10" i="410"/>
  <c r="H10" i="410"/>
  <c r="J55" i="341" l="1"/>
  <c r="M55" i="341" s="1"/>
  <c r="I174" i="354"/>
  <c r="J56" i="341"/>
  <c r="M56" i="341" s="1"/>
  <c r="I172" i="354"/>
  <c r="G40" i="413"/>
  <c r="H39" i="413"/>
  <c r="M39" i="413"/>
  <c r="H11" i="412"/>
  <c r="M11" i="412"/>
  <c r="G12" i="412"/>
  <c r="H11" i="411"/>
  <c r="M11" i="411"/>
  <c r="G12" i="411"/>
  <c r="G12" i="410"/>
  <c r="L11" i="410"/>
  <c r="H11" i="410"/>
  <c r="G101" i="421" l="1"/>
  <c r="P101" i="421" s="1"/>
  <c r="K174" i="354"/>
  <c r="N81" i="421" s="1"/>
  <c r="L174" i="354"/>
  <c r="K172" i="354"/>
  <c r="N79" i="421" s="1"/>
  <c r="L172" i="354"/>
  <c r="H12" i="412"/>
  <c r="M12" i="412"/>
  <c r="G13" i="412"/>
  <c r="H12" i="411"/>
  <c r="M12" i="411"/>
  <c r="G13" i="411"/>
  <c r="G13" i="410"/>
  <c r="L12" i="410"/>
  <c r="H12" i="410"/>
  <c r="H101" i="421" l="1"/>
  <c r="H13" i="412"/>
  <c r="M13" i="412"/>
  <c r="G14" i="412"/>
  <c r="H13" i="411"/>
  <c r="M13" i="411"/>
  <c r="G14" i="411"/>
  <c r="G14" i="410"/>
  <c r="L13" i="410"/>
  <c r="H13" i="410"/>
  <c r="G100" i="421" l="1"/>
  <c r="P100" i="421" s="1"/>
  <c r="G102" i="421"/>
  <c r="P102" i="421" s="1"/>
  <c r="H14" i="412"/>
  <c r="M14" i="412"/>
  <c r="G15" i="412"/>
  <c r="H14" i="411"/>
  <c r="M14" i="411"/>
  <c r="G15" i="411"/>
  <c r="G15" i="410"/>
  <c r="L14" i="410"/>
  <c r="H14" i="410"/>
  <c r="H102" i="421" l="1"/>
  <c r="H100" i="421"/>
  <c r="H15" i="412"/>
  <c r="M15" i="412"/>
  <c r="G16" i="412"/>
  <c r="H15" i="411"/>
  <c r="M15" i="411"/>
  <c r="G16" i="411"/>
  <c r="G16" i="410"/>
  <c r="L15" i="410"/>
  <c r="H15" i="410"/>
  <c r="H16" i="412" l="1"/>
  <c r="M16" i="412"/>
  <c r="G17" i="412"/>
  <c r="H16" i="411"/>
  <c r="M16" i="411"/>
  <c r="G17" i="411"/>
  <c r="G17" i="410"/>
  <c r="L16" i="410"/>
  <c r="H16" i="410"/>
  <c r="H17" i="412" l="1"/>
  <c r="M17" i="412"/>
  <c r="G18" i="412"/>
  <c r="H17" i="411"/>
  <c r="M17" i="411"/>
  <c r="G18" i="411"/>
  <c r="G18" i="410"/>
  <c r="L17" i="410"/>
  <c r="H17" i="410"/>
  <c r="H18" i="412" l="1"/>
  <c r="M18" i="412"/>
  <c r="G19" i="412"/>
  <c r="H18" i="411"/>
  <c r="M18" i="411"/>
  <c r="G19" i="411"/>
  <c r="G19" i="410"/>
  <c r="L18" i="410"/>
  <c r="H18" i="410"/>
  <c r="H19" i="412" l="1"/>
  <c r="M19" i="412"/>
  <c r="G20" i="412"/>
  <c r="H19" i="411"/>
  <c r="M19" i="411"/>
  <c r="G20" i="411"/>
  <c r="G20" i="410"/>
  <c r="L19" i="410"/>
  <c r="H19" i="410"/>
  <c r="H20" i="412" l="1"/>
  <c r="M20" i="412"/>
  <c r="G21" i="412"/>
  <c r="H20" i="411"/>
  <c r="M20" i="411"/>
  <c r="G21" i="411"/>
  <c r="G21" i="410"/>
  <c r="L20" i="410"/>
  <c r="H20" i="410"/>
  <c r="H21" i="412" l="1"/>
  <c r="M21" i="412"/>
  <c r="G22" i="412"/>
  <c r="H21" i="411"/>
  <c r="M21" i="411"/>
  <c r="G22" i="411"/>
  <c r="G22" i="410"/>
  <c r="L21" i="410"/>
  <c r="H21" i="410"/>
  <c r="H22" i="412" l="1"/>
  <c r="M22" i="412"/>
  <c r="G23" i="412"/>
  <c r="H22" i="411"/>
  <c r="M22" i="411"/>
  <c r="G23" i="411"/>
  <c r="G23" i="410"/>
  <c r="L22" i="410"/>
  <c r="H22" i="410"/>
  <c r="H23" i="412" l="1"/>
  <c r="M23" i="412"/>
  <c r="G24" i="412"/>
  <c r="H23" i="411"/>
  <c r="M23" i="411"/>
  <c r="G24" i="411"/>
  <c r="G24" i="410"/>
  <c r="L23" i="410"/>
  <c r="H23" i="410"/>
  <c r="H24" i="412" l="1"/>
  <c r="M24" i="412"/>
  <c r="G25" i="412"/>
  <c r="H24" i="411"/>
  <c r="M24" i="411"/>
  <c r="G25" i="411"/>
  <c r="G25" i="410"/>
  <c r="L24" i="410"/>
  <c r="H24" i="410"/>
  <c r="H25" i="412" l="1"/>
  <c r="M25" i="412"/>
  <c r="G26" i="412"/>
  <c r="H25" i="411"/>
  <c r="M25" i="411"/>
  <c r="G26" i="411"/>
  <c r="G26" i="410"/>
  <c r="L25" i="410"/>
  <c r="H25" i="410"/>
  <c r="H26" i="412" l="1"/>
  <c r="M26" i="412"/>
  <c r="G27" i="412"/>
  <c r="H26" i="411"/>
  <c r="M26" i="411"/>
  <c r="G27" i="411"/>
  <c r="G27" i="410"/>
  <c r="L26" i="410"/>
  <c r="H26" i="410"/>
  <c r="H27" i="412" l="1"/>
  <c r="M27" i="412"/>
  <c r="G28" i="412"/>
  <c r="H27" i="411"/>
  <c r="M27" i="411"/>
  <c r="G28" i="411"/>
  <c r="G28" i="410"/>
  <c r="L27" i="410"/>
  <c r="H27" i="410"/>
  <c r="H28" i="412" l="1"/>
  <c r="M28" i="412"/>
  <c r="G29" i="412"/>
  <c r="H28" i="411"/>
  <c r="M28" i="411"/>
  <c r="G29" i="411"/>
  <c r="G29" i="410"/>
  <c r="L28" i="410"/>
  <c r="H28" i="410"/>
  <c r="H29" i="412" l="1"/>
  <c r="M29" i="412"/>
  <c r="G30" i="412"/>
  <c r="H29" i="411"/>
  <c r="M29" i="411"/>
  <c r="G30" i="411"/>
  <c r="G30" i="410"/>
  <c r="L29" i="410"/>
  <c r="H29" i="410"/>
  <c r="H30" i="412" l="1"/>
  <c r="M30" i="412"/>
  <c r="G31" i="412"/>
  <c r="H30" i="411"/>
  <c r="M30" i="411"/>
  <c r="G31" i="411"/>
  <c r="G31" i="410"/>
  <c r="L30" i="410"/>
  <c r="H30" i="410"/>
  <c r="H31" i="412" l="1"/>
  <c r="M31" i="412"/>
  <c r="G32" i="412"/>
  <c r="H31" i="411"/>
  <c r="G32" i="411"/>
  <c r="M31" i="411"/>
  <c r="G32" i="410"/>
  <c r="L31" i="410"/>
  <c r="H31" i="410"/>
  <c r="H32" i="412" l="1"/>
  <c r="G33" i="412"/>
  <c r="M32" i="412"/>
  <c r="H32" i="411"/>
  <c r="G33" i="411"/>
  <c r="M32" i="411"/>
  <c r="G33" i="410"/>
  <c r="L32" i="410"/>
  <c r="H32" i="410"/>
  <c r="H33" i="412" l="1"/>
  <c r="G34" i="412"/>
  <c r="M33" i="412"/>
  <c r="H33" i="411"/>
  <c r="G34" i="411"/>
  <c r="M33" i="411"/>
  <c r="G34" i="410"/>
  <c r="L33" i="410"/>
  <c r="H33" i="410"/>
  <c r="H34" i="412" l="1"/>
  <c r="G35" i="412"/>
  <c r="M34" i="412"/>
  <c r="H34" i="411"/>
  <c r="G35" i="411"/>
  <c r="M34" i="411"/>
  <c r="G35" i="410"/>
  <c r="L34" i="410"/>
  <c r="H34" i="410"/>
  <c r="H35" i="412" l="1"/>
  <c r="G36" i="412"/>
  <c r="M35" i="412"/>
  <c r="H35" i="411"/>
  <c r="G36" i="411"/>
  <c r="M35" i="411"/>
  <c r="G36" i="410"/>
  <c r="L35" i="410"/>
  <c r="H35" i="410"/>
  <c r="H36" i="412" l="1"/>
  <c r="G37" i="412"/>
  <c r="M36" i="412"/>
  <c r="H36" i="411"/>
  <c r="G37" i="411"/>
  <c r="M36" i="411"/>
  <c r="G37" i="410"/>
  <c r="L36" i="410"/>
  <c r="H36" i="410"/>
  <c r="H37" i="412" l="1"/>
  <c r="G38" i="412"/>
  <c r="M37" i="412"/>
  <c r="H37" i="411"/>
  <c r="G38" i="411"/>
  <c r="M37" i="411"/>
  <c r="G38" i="410"/>
  <c r="L37" i="410"/>
  <c r="H37" i="410"/>
  <c r="H38" i="412" l="1"/>
  <c r="G39" i="412"/>
  <c r="M38" i="412"/>
  <c r="H38" i="411"/>
  <c r="G39" i="411"/>
  <c r="M38" i="411"/>
  <c r="G39" i="410"/>
  <c r="L38" i="410"/>
  <c r="H38" i="410"/>
  <c r="G40" i="412" l="1"/>
  <c r="H39" i="412"/>
  <c r="M39" i="412"/>
  <c r="G40" i="411"/>
  <c r="H39" i="411"/>
  <c r="M39" i="411"/>
  <c r="L39" i="410"/>
  <c r="G40" i="410"/>
  <c r="H39" i="410"/>
  <c r="L49" i="341" l="1"/>
  <c r="L48" i="341"/>
  <c r="L151" i="53" l="1"/>
  <c r="D151" i="53"/>
  <c r="B151" i="53"/>
  <c r="B48" i="341" s="1"/>
  <c r="C4" i="409"/>
  <c r="M40" i="409"/>
  <c r="L40" i="409"/>
  <c r="K40" i="409"/>
  <c r="J40" i="409"/>
  <c r="I40" i="409"/>
  <c r="E39" i="409"/>
  <c r="D39" i="409"/>
  <c r="B39" i="409"/>
  <c r="E38" i="409"/>
  <c r="D38" i="409"/>
  <c r="B38" i="409"/>
  <c r="E37" i="409"/>
  <c r="D37" i="409"/>
  <c r="B37" i="409"/>
  <c r="E36" i="409"/>
  <c r="D36" i="409"/>
  <c r="B36" i="409"/>
  <c r="E35" i="409"/>
  <c r="D35" i="409"/>
  <c r="B35" i="409"/>
  <c r="E34" i="409"/>
  <c r="D34" i="409"/>
  <c r="B34" i="409"/>
  <c r="E33" i="409"/>
  <c r="D33" i="409"/>
  <c r="B33" i="409"/>
  <c r="E32" i="409"/>
  <c r="D32" i="409"/>
  <c r="B32" i="409"/>
  <c r="E31" i="409"/>
  <c r="D31" i="409"/>
  <c r="B31" i="409"/>
  <c r="E30" i="409"/>
  <c r="D30" i="409"/>
  <c r="B30" i="409"/>
  <c r="E29" i="409"/>
  <c r="D29" i="409"/>
  <c r="B29" i="409"/>
  <c r="E28" i="409"/>
  <c r="D28" i="409"/>
  <c r="B28" i="409"/>
  <c r="E27" i="409"/>
  <c r="D27" i="409"/>
  <c r="B27" i="409"/>
  <c r="E26" i="409"/>
  <c r="D26" i="409"/>
  <c r="B26" i="409"/>
  <c r="E25" i="409"/>
  <c r="D25" i="409"/>
  <c r="B25" i="409"/>
  <c r="E24" i="409"/>
  <c r="D24" i="409"/>
  <c r="B24" i="409"/>
  <c r="E23" i="409"/>
  <c r="D23" i="409"/>
  <c r="B23" i="409"/>
  <c r="E22" i="409"/>
  <c r="D22" i="409"/>
  <c r="B22" i="409"/>
  <c r="E21" i="409"/>
  <c r="D21" i="409"/>
  <c r="B21" i="409"/>
  <c r="E20" i="409"/>
  <c r="D20" i="409"/>
  <c r="B20" i="409"/>
  <c r="E19" i="409"/>
  <c r="D19" i="409"/>
  <c r="B19" i="409"/>
  <c r="E18" i="409"/>
  <c r="D18" i="409"/>
  <c r="B18" i="409"/>
  <c r="E17" i="409"/>
  <c r="D17" i="409"/>
  <c r="B17" i="409"/>
  <c r="E16" i="409"/>
  <c r="D16" i="409"/>
  <c r="B16" i="409"/>
  <c r="E15" i="409"/>
  <c r="D15" i="409"/>
  <c r="B15" i="409"/>
  <c r="E14" i="409"/>
  <c r="D14" i="409"/>
  <c r="B14" i="409"/>
  <c r="E13" i="409"/>
  <c r="D13" i="409"/>
  <c r="B13" i="409"/>
  <c r="E12" i="409"/>
  <c r="D12" i="409"/>
  <c r="B12" i="409"/>
  <c r="E11" i="409"/>
  <c r="B11" i="409"/>
  <c r="E10" i="409"/>
  <c r="D10" i="409"/>
  <c r="B10" i="409"/>
  <c r="F9" i="409"/>
  <c r="F38" i="409" s="1"/>
  <c r="E9" i="409"/>
  <c r="D9" i="409"/>
  <c r="B9" i="409"/>
  <c r="D8" i="409"/>
  <c r="I5" i="409"/>
  <c r="H5" i="409"/>
  <c r="G5" i="409"/>
  <c r="F5" i="409"/>
  <c r="E5" i="409"/>
  <c r="D5" i="409"/>
  <c r="C5" i="409"/>
  <c r="B5" i="409"/>
  <c r="F25" i="409" l="1"/>
  <c r="F33" i="409"/>
  <c r="F37" i="409"/>
  <c r="F15" i="409"/>
  <c r="F19" i="409"/>
  <c r="F23" i="409"/>
  <c r="F27" i="409"/>
  <c r="F31" i="409"/>
  <c r="F35" i="409"/>
  <c r="F39" i="409"/>
  <c r="F10" i="409"/>
  <c r="F13" i="409"/>
  <c r="F17" i="409"/>
  <c r="F21" i="409"/>
  <c r="F29" i="409"/>
  <c r="D48" i="341"/>
  <c r="E171" i="354"/>
  <c r="E40" i="409"/>
  <c r="H151" i="53" s="1"/>
  <c r="G9" i="409"/>
  <c r="D11" i="409"/>
  <c r="D40" i="409" s="1"/>
  <c r="N40" i="409"/>
  <c r="F11" i="409"/>
  <c r="F12" i="409"/>
  <c r="F14" i="409"/>
  <c r="F16" i="409"/>
  <c r="F18" i="409"/>
  <c r="F20" i="409"/>
  <c r="F22" i="409"/>
  <c r="F24" i="409"/>
  <c r="F26" i="409"/>
  <c r="F28" i="409"/>
  <c r="F30" i="409"/>
  <c r="F32" i="409"/>
  <c r="F34" i="409"/>
  <c r="F36" i="409"/>
  <c r="H48" i="341" l="1"/>
  <c r="E8" i="409"/>
  <c r="E41" i="409"/>
  <c r="I171" i="354"/>
  <c r="L171" i="354" s="1"/>
  <c r="D41" i="409"/>
  <c r="F151" i="53"/>
  <c r="G10" i="409"/>
  <c r="H9" i="409"/>
  <c r="O9" i="409"/>
  <c r="G41" i="409" l="1"/>
  <c r="G171" i="354"/>
  <c r="F48" i="341"/>
  <c r="J48" i="341" s="1"/>
  <c r="M48" i="341" s="1"/>
  <c r="J151" i="53"/>
  <c r="M151" i="53" s="1"/>
  <c r="O10" i="409"/>
  <c r="G11" i="409"/>
  <c r="H10" i="409"/>
  <c r="L34" i="341"/>
  <c r="L137" i="53"/>
  <c r="D137" i="53"/>
  <c r="B137" i="53"/>
  <c r="B34" i="341" s="1"/>
  <c r="L40" i="408"/>
  <c r="K40" i="408"/>
  <c r="J40" i="408"/>
  <c r="I40" i="408"/>
  <c r="D40" i="408"/>
  <c r="F137" i="53" s="1"/>
  <c r="E39" i="408"/>
  <c r="B39" i="408"/>
  <c r="E38" i="408"/>
  <c r="B38" i="408"/>
  <c r="E37" i="408"/>
  <c r="B37" i="408"/>
  <c r="E36" i="408"/>
  <c r="B36" i="408"/>
  <c r="E35" i="408"/>
  <c r="B35" i="408"/>
  <c r="E34" i="408"/>
  <c r="B34" i="408"/>
  <c r="E33" i="408"/>
  <c r="B33" i="408"/>
  <c r="E32" i="408"/>
  <c r="B32" i="408"/>
  <c r="E31" i="408"/>
  <c r="B31" i="408"/>
  <c r="E30" i="408"/>
  <c r="B30" i="408"/>
  <c r="E29" i="408"/>
  <c r="B29" i="408"/>
  <c r="E28" i="408"/>
  <c r="B28" i="408"/>
  <c r="E27" i="408"/>
  <c r="B27" i="408"/>
  <c r="E26" i="408"/>
  <c r="B26" i="408"/>
  <c r="E25" i="408"/>
  <c r="B25" i="408"/>
  <c r="E24" i="408"/>
  <c r="B24" i="408"/>
  <c r="E23" i="408"/>
  <c r="B23" i="408"/>
  <c r="E22" i="408"/>
  <c r="B22" i="408"/>
  <c r="E21" i="408"/>
  <c r="B21" i="408"/>
  <c r="E20" i="408"/>
  <c r="B20" i="408"/>
  <c r="E19" i="408"/>
  <c r="B19" i="408"/>
  <c r="E18" i="408"/>
  <c r="B18" i="408"/>
  <c r="E17" i="408"/>
  <c r="B17" i="408"/>
  <c r="E16" i="408"/>
  <c r="B16" i="408"/>
  <c r="E15" i="408"/>
  <c r="B15" i="408"/>
  <c r="E14" i="408"/>
  <c r="B14" i="408"/>
  <c r="E13" i="408"/>
  <c r="B13" i="408"/>
  <c r="E12" i="408"/>
  <c r="B12" i="408"/>
  <c r="E11" i="408"/>
  <c r="B11" i="408"/>
  <c r="E10" i="408"/>
  <c r="B10" i="408"/>
  <c r="F9" i="408"/>
  <c r="E9" i="408"/>
  <c r="B9" i="408"/>
  <c r="D8" i="408"/>
  <c r="I5" i="408"/>
  <c r="G5" i="408"/>
  <c r="F5" i="408"/>
  <c r="E5" i="408"/>
  <c r="D5" i="408"/>
  <c r="C5" i="408"/>
  <c r="B5" i="408"/>
  <c r="C4" i="408"/>
  <c r="D41" i="408" l="1"/>
  <c r="K171" i="354"/>
  <c r="N78" i="421" s="1"/>
  <c r="D34" i="341"/>
  <c r="E170" i="354"/>
  <c r="F34" i="341"/>
  <c r="G170" i="354"/>
  <c r="O11" i="409"/>
  <c r="H11" i="409"/>
  <c r="G12" i="409"/>
  <c r="E40" i="408"/>
  <c r="H137" i="53" s="1"/>
  <c r="F38" i="408"/>
  <c r="F37" i="408"/>
  <c r="F36" i="408"/>
  <c r="F35" i="408"/>
  <c r="F34" i="408"/>
  <c r="F33" i="408"/>
  <c r="F32" i="408"/>
  <c r="F10" i="408"/>
  <c r="F11" i="408"/>
  <c r="F12" i="408"/>
  <c r="F13" i="408"/>
  <c r="F14" i="408"/>
  <c r="F15" i="408"/>
  <c r="F16" i="408"/>
  <c r="F17" i="408"/>
  <c r="F18" i="408"/>
  <c r="F19" i="408"/>
  <c r="F20" i="408"/>
  <c r="F21" i="408"/>
  <c r="F22" i="408"/>
  <c r="F23" i="408"/>
  <c r="F24" i="408"/>
  <c r="F25" i="408"/>
  <c r="F26" i="408"/>
  <c r="F27" i="408"/>
  <c r="F28" i="408"/>
  <c r="F29" i="408"/>
  <c r="F30" i="408"/>
  <c r="F31" i="408"/>
  <c r="G9" i="408"/>
  <c r="E8" i="408" l="1"/>
  <c r="F39" i="408" s="1"/>
  <c r="H34" i="341"/>
  <c r="J34" i="341" s="1"/>
  <c r="M34" i="341" s="1"/>
  <c r="I170" i="354"/>
  <c r="E41" i="408"/>
  <c r="G41" i="408" s="1"/>
  <c r="J137" i="53"/>
  <c r="M137" i="53" s="1"/>
  <c r="G13" i="409"/>
  <c r="H12" i="409"/>
  <c r="O12" i="409"/>
  <c r="G10" i="408"/>
  <c r="M9" i="408"/>
  <c r="H9" i="408"/>
  <c r="G99" i="421" l="1"/>
  <c r="P99" i="421" s="1"/>
  <c r="K170" i="354"/>
  <c r="L170" i="354"/>
  <c r="O13" i="409"/>
  <c r="G14" i="409"/>
  <c r="H13" i="409"/>
  <c r="G11" i="408"/>
  <c r="M10" i="408"/>
  <c r="H10" i="408"/>
  <c r="G77" i="421" l="1"/>
  <c r="P77" i="421" s="1"/>
  <c r="N77" i="421"/>
  <c r="H99" i="421"/>
  <c r="G15" i="409"/>
  <c r="H14" i="409"/>
  <c r="O14" i="409"/>
  <c r="G12" i="408"/>
  <c r="M11" i="408"/>
  <c r="H11" i="408"/>
  <c r="G98" i="421" l="1"/>
  <c r="P98" i="421" s="1"/>
  <c r="O15" i="409"/>
  <c r="G16" i="409"/>
  <c r="H15" i="409"/>
  <c r="G13" i="408"/>
  <c r="M12" i="408"/>
  <c r="H12" i="408"/>
  <c r="H98" i="421" l="1"/>
  <c r="G17" i="409"/>
  <c r="H16" i="409"/>
  <c r="O16" i="409"/>
  <c r="G14" i="408"/>
  <c r="M13" i="408"/>
  <c r="H13" i="408"/>
  <c r="O17" i="409" l="1"/>
  <c r="G18" i="409"/>
  <c r="H17" i="409"/>
  <c r="G15" i="408"/>
  <c r="M14" i="408"/>
  <c r="H14" i="408"/>
  <c r="G19" i="409" l="1"/>
  <c r="H18" i="409"/>
  <c r="O18" i="409"/>
  <c r="G16" i="408"/>
  <c r="M15" i="408"/>
  <c r="H15" i="408"/>
  <c r="O19" i="409" l="1"/>
  <c r="G20" i="409"/>
  <c r="H19" i="409"/>
  <c r="G17" i="408"/>
  <c r="M16" i="408"/>
  <c r="H16" i="408"/>
  <c r="G21" i="409" l="1"/>
  <c r="H20" i="409"/>
  <c r="O20" i="409"/>
  <c r="G18" i="408"/>
  <c r="M17" i="408"/>
  <c r="H17" i="408"/>
  <c r="O21" i="409" l="1"/>
  <c r="G22" i="409"/>
  <c r="H21" i="409"/>
  <c r="G19" i="408"/>
  <c r="M18" i="408"/>
  <c r="H18" i="408"/>
  <c r="G23" i="409" l="1"/>
  <c r="H22" i="409"/>
  <c r="O22" i="409"/>
  <c r="G20" i="408"/>
  <c r="M19" i="408"/>
  <c r="H19" i="408"/>
  <c r="O23" i="409" l="1"/>
  <c r="G24" i="409"/>
  <c r="H23" i="409"/>
  <c r="G21" i="408"/>
  <c r="M20" i="408"/>
  <c r="H20" i="408"/>
  <c r="G25" i="409" l="1"/>
  <c r="H24" i="409"/>
  <c r="O24" i="409"/>
  <c r="G22" i="408"/>
  <c r="M21" i="408"/>
  <c r="H21" i="408"/>
  <c r="O25" i="409" l="1"/>
  <c r="G26" i="409"/>
  <c r="H25" i="409"/>
  <c r="G23" i="408"/>
  <c r="M22" i="408"/>
  <c r="H22" i="408"/>
  <c r="L40" i="325"/>
  <c r="G27" i="409" l="1"/>
  <c r="H26" i="409"/>
  <c r="O26" i="409"/>
  <c r="G24" i="408"/>
  <c r="M23" i="408"/>
  <c r="H23" i="408"/>
  <c r="C168" i="354"/>
  <c r="B75" i="421" s="1"/>
  <c r="C167" i="354"/>
  <c r="B74" i="421" s="1"/>
  <c r="O27" i="409" l="1"/>
  <c r="G28" i="409"/>
  <c r="H27" i="409"/>
  <c r="G25" i="408"/>
  <c r="M24" i="408"/>
  <c r="H24" i="408"/>
  <c r="G29" i="409" l="1"/>
  <c r="H28" i="409"/>
  <c r="O28" i="409"/>
  <c r="G26" i="408"/>
  <c r="M25" i="408"/>
  <c r="H25" i="408"/>
  <c r="O29" i="409" l="1"/>
  <c r="G30" i="409"/>
  <c r="H29" i="409"/>
  <c r="G27" i="408"/>
  <c r="M26" i="408"/>
  <c r="H26" i="408"/>
  <c r="G31" i="409" l="1"/>
  <c r="H30" i="409"/>
  <c r="O30" i="409"/>
  <c r="G28" i="408"/>
  <c r="M27" i="408"/>
  <c r="H27" i="408"/>
  <c r="O31" i="409" l="1"/>
  <c r="G32" i="409"/>
  <c r="H31" i="409"/>
  <c r="G29" i="408"/>
  <c r="M28" i="408"/>
  <c r="H28" i="408"/>
  <c r="G33" i="409" l="1"/>
  <c r="H32" i="409"/>
  <c r="O32" i="409"/>
  <c r="G30" i="408"/>
  <c r="M29" i="408"/>
  <c r="H29" i="408"/>
  <c r="O33" i="409" l="1"/>
  <c r="G34" i="409"/>
  <c r="H33" i="409"/>
  <c r="G31" i="408"/>
  <c r="M30" i="408"/>
  <c r="H30" i="408"/>
  <c r="G35" i="409" l="1"/>
  <c r="H34" i="409"/>
  <c r="O34" i="409"/>
  <c r="G32" i="408"/>
  <c r="M31" i="408"/>
  <c r="H31" i="408"/>
  <c r="L84" i="341"/>
  <c r="O35" i="409" l="1"/>
  <c r="G36" i="409"/>
  <c r="H35" i="409"/>
  <c r="G33" i="408"/>
  <c r="M32" i="408"/>
  <c r="H32" i="408"/>
  <c r="L198" i="53"/>
  <c r="D198" i="53"/>
  <c r="D84" i="341" s="1"/>
  <c r="B198" i="53"/>
  <c r="B84" i="341" s="1"/>
  <c r="L40" i="406"/>
  <c r="K40" i="406"/>
  <c r="J40" i="406"/>
  <c r="I40" i="406"/>
  <c r="D40" i="406"/>
  <c r="F198" i="53" s="1"/>
  <c r="F84" i="341" s="1"/>
  <c r="E39" i="406"/>
  <c r="B39" i="406"/>
  <c r="E38" i="406"/>
  <c r="B38" i="406"/>
  <c r="E37" i="406"/>
  <c r="B37" i="406"/>
  <c r="E36" i="406"/>
  <c r="B36" i="406"/>
  <c r="E35" i="406"/>
  <c r="B35" i="406"/>
  <c r="E34" i="406"/>
  <c r="B34" i="406"/>
  <c r="E33" i="406"/>
  <c r="B33" i="406"/>
  <c r="E32" i="406"/>
  <c r="B32" i="406"/>
  <c r="E31" i="406"/>
  <c r="B31" i="406"/>
  <c r="E30" i="406"/>
  <c r="B30" i="406"/>
  <c r="E29" i="406"/>
  <c r="B29" i="406"/>
  <c r="E28" i="406"/>
  <c r="B28" i="406"/>
  <c r="E27" i="406"/>
  <c r="B27" i="406"/>
  <c r="E26" i="406"/>
  <c r="B26" i="406"/>
  <c r="E25" i="406"/>
  <c r="B25" i="406"/>
  <c r="E24" i="406"/>
  <c r="B24" i="406"/>
  <c r="E23" i="406"/>
  <c r="B23" i="406"/>
  <c r="E22" i="406"/>
  <c r="B22" i="406"/>
  <c r="E21" i="406"/>
  <c r="B21" i="406"/>
  <c r="E20" i="406"/>
  <c r="B20" i="406"/>
  <c r="E19" i="406"/>
  <c r="B19" i="406"/>
  <c r="E18" i="406"/>
  <c r="B18" i="406"/>
  <c r="E17" i="406"/>
  <c r="B17" i="406"/>
  <c r="E16" i="406"/>
  <c r="B16" i="406"/>
  <c r="E15" i="406"/>
  <c r="B15" i="406"/>
  <c r="E14" i="406"/>
  <c r="B14" i="406"/>
  <c r="E13" i="406"/>
  <c r="B13" i="406"/>
  <c r="E12" i="406"/>
  <c r="B12" i="406"/>
  <c r="E11" i="406"/>
  <c r="B11" i="406"/>
  <c r="E10" i="406"/>
  <c r="B10" i="406"/>
  <c r="F9" i="406"/>
  <c r="F38" i="406" s="1"/>
  <c r="E9" i="406"/>
  <c r="B9" i="406"/>
  <c r="D8" i="406"/>
  <c r="I5" i="406"/>
  <c r="G5" i="406"/>
  <c r="F5" i="406"/>
  <c r="E5" i="406"/>
  <c r="D5" i="406"/>
  <c r="C5" i="406"/>
  <c r="B5" i="406"/>
  <c r="C4" i="406"/>
  <c r="G169" i="354" l="1"/>
  <c r="E169" i="354"/>
  <c r="G37" i="409"/>
  <c r="H36" i="409"/>
  <c r="O36" i="409"/>
  <c r="G34" i="408"/>
  <c r="M33" i="408"/>
  <c r="H33" i="408"/>
  <c r="D41" i="406"/>
  <c r="E40" i="406"/>
  <c r="H198" i="53" s="1"/>
  <c r="G9" i="406"/>
  <c r="F10" i="406"/>
  <c r="F11" i="406"/>
  <c r="F12" i="406"/>
  <c r="F13" i="406"/>
  <c r="F14" i="406"/>
  <c r="F15" i="406"/>
  <c r="F16" i="406"/>
  <c r="F17" i="406"/>
  <c r="F18" i="406"/>
  <c r="F19" i="406"/>
  <c r="F20" i="406"/>
  <c r="F21" i="406"/>
  <c r="F22" i="406"/>
  <c r="F23" i="406"/>
  <c r="F24" i="406"/>
  <c r="F25" i="406"/>
  <c r="F26" i="406"/>
  <c r="F27" i="406"/>
  <c r="F28" i="406"/>
  <c r="F29" i="406"/>
  <c r="F30" i="406"/>
  <c r="F31" i="406"/>
  <c r="F32" i="406"/>
  <c r="F33" i="406"/>
  <c r="F34" i="406"/>
  <c r="F35" i="406"/>
  <c r="F36" i="406"/>
  <c r="F37" i="406"/>
  <c r="O37" i="409" l="1"/>
  <c r="G38" i="409"/>
  <c r="H37" i="409"/>
  <c r="G35" i="408"/>
  <c r="M34" i="408"/>
  <c r="H34" i="408"/>
  <c r="J198" i="53"/>
  <c r="M198" i="53" s="1"/>
  <c r="H84" i="341"/>
  <c r="E41" i="406"/>
  <c r="G41" i="406" s="1"/>
  <c r="E8" i="406"/>
  <c r="F39" i="406" s="1"/>
  <c r="H9" i="406"/>
  <c r="G10" i="406"/>
  <c r="M9" i="406"/>
  <c r="G39" i="409" l="1"/>
  <c r="H38" i="409"/>
  <c r="O38" i="409"/>
  <c r="G36" i="408"/>
  <c r="M35" i="408"/>
  <c r="H35" i="408"/>
  <c r="J84" i="341"/>
  <c r="M84" i="341" s="1"/>
  <c r="I169" i="354"/>
  <c r="H10" i="406"/>
  <c r="G11" i="406"/>
  <c r="M10" i="406"/>
  <c r="K169" i="354" l="1"/>
  <c r="N76" i="421" s="1"/>
  <c r="L169" i="354"/>
  <c r="O39" i="409"/>
  <c r="G40" i="409"/>
  <c r="H39" i="409"/>
  <c r="G37" i="408"/>
  <c r="M36" i="408"/>
  <c r="H36" i="408"/>
  <c r="H11" i="406"/>
  <c r="G12" i="406"/>
  <c r="M11" i="406"/>
  <c r="G38" i="408" l="1"/>
  <c r="M37" i="408"/>
  <c r="H37" i="408"/>
  <c r="H12" i="406"/>
  <c r="G13" i="406"/>
  <c r="M12" i="406"/>
  <c r="G97" i="421" l="1"/>
  <c r="P97" i="421" s="1"/>
  <c r="G39" i="408"/>
  <c r="M38" i="408"/>
  <c r="H38" i="408"/>
  <c r="H13" i="406"/>
  <c r="G14" i="406"/>
  <c r="M13" i="406"/>
  <c r="H97" i="421" l="1"/>
  <c r="M39" i="408"/>
  <c r="G40" i="408"/>
  <c r="H39" i="408"/>
  <c r="H14" i="406"/>
  <c r="G15" i="406"/>
  <c r="M14" i="406"/>
  <c r="M5" i="164"/>
  <c r="H15" i="406" l="1"/>
  <c r="G16" i="406"/>
  <c r="M15" i="406"/>
  <c r="K40" i="211"/>
  <c r="H16" i="406" l="1"/>
  <c r="G17" i="406"/>
  <c r="M16" i="406"/>
  <c r="E10" i="323"/>
  <c r="E11" i="323"/>
  <c r="E12" i="323"/>
  <c r="E13" i="323"/>
  <c r="E14" i="323"/>
  <c r="E15" i="323"/>
  <c r="E16" i="323"/>
  <c r="E17" i="323"/>
  <c r="E18" i="323"/>
  <c r="E19" i="323"/>
  <c r="E20" i="323"/>
  <c r="E21" i="323"/>
  <c r="E22" i="323"/>
  <c r="E23" i="323"/>
  <c r="E24" i="323"/>
  <c r="E25" i="323"/>
  <c r="E26" i="323"/>
  <c r="E27" i="323"/>
  <c r="E28" i="323"/>
  <c r="E29" i="323"/>
  <c r="E30" i="323"/>
  <c r="E31" i="323"/>
  <c r="E32" i="323"/>
  <c r="E33" i="323"/>
  <c r="E34" i="323"/>
  <c r="E35" i="323"/>
  <c r="E36" i="323"/>
  <c r="E37" i="323"/>
  <c r="E38" i="323"/>
  <c r="E39" i="323"/>
  <c r="E9" i="323"/>
  <c r="E40" i="323" l="1"/>
  <c r="H17" i="406"/>
  <c r="G18" i="406"/>
  <c r="M17" i="406"/>
  <c r="H18" i="406" l="1"/>
  <c r="G19" i="406"/>
  <c r="M18" i="406"/>
  <c r="H19" i="406" l="1"/>
  <c r="G20" i="406"/>
  <c r="M19" i="406"/>
  <c r="H20" i="406" l="1"/>
  <c r="G21" i="406"/>
  <c r="M20" i="406"/>
  <c r="H21" i="406" l="1"/>
  <c r="G22" i="406"/>
  <c r="M21" i="406"/>
  <c r="H22" i="406" l="1"/>
  <c r="G23" i="406"/>
  <c r="M22" i="406"/>
  <c r="H23" i="406" l="1"/>
  <c r="G24" i="406"/>
  <c r="M23" i="406"/>
  <c r="H24" i="406" l="1"/>
  <c r="G25" i="406"/>
  <c r="M24" i="406"/>
  <c r="H25" i="406" l="1"/>
  <c r="G26" i="406"/>
  <c r="M25" i="406"/>
  <c r="H26" i="406" l="1"/>
  <c r="G27" i="406"/>
  <c r="M26" i="406"/>
  <c r="H27" i="406" l="1"/>
  <c r="G28" i="406"/>
  <c r="M27" i="406"/>
  <c r="H28" i="406" l="1"/>
  <c r="G29" i="406"/>
  <c r="M28" i="406"/>
  <c r="E91" i="53"/>
  <c r="C91" i="53"/>
  <c r="B91" i="53"/>
  <c r="J46" i="405"/>
  <c r="G40" i="405"/>
  <c r="G41" i="405" s="1"/>
  <c r="F40" i="405"/>
  <c r="F41" i="405" s="1"/>
  <c r="E40" i="405"/>
  <c r="G91" i="53" s="1"/>
  <c r="I39" i="405"/>
  <c r="H39" i="405"/>
  <c r="D39" i="405"/>
  <c r="B39" i="405"/>
  <c r="I38" i="405"/>
  <c r="H38" i="405"/>
  <c r="D38" i="405"/>
  <c r="B38" i="405"/>
  <c r="I37" i="405"/>
  <c r="H37" i="405"/>
  <c r="D37" i="405"/>
  <c r="B37" i="405"/>
  <c r="I36" i="405"/>
  <c r="H36" i="405"/>
  <c r="D36" i="405"/>
  <c r="B36" i="405"/>
  <c r="I35" i="405"/>
  <c r="H35" i="405"/>
  <c r="D35" i="405"/>
  <c r="B35" i="405"/>
  <c r="I34" i="405"/>
  <c r="H34" i="405"/>
  <c r="D34" i="405"/>
  <c r="B34" i="405"/>
  <c r="I33" i="405"/>
  <c r="H33" i="405"/>
  <c r="D33" i="405"/>
  <c r="B33" i="405"/>
  <c r="I32" i="405"/>
  <c r="H32" i="405"/>
  <c r="D32" i="405"/>
  <c r="B32" i="405"/>
  <c r="I31" i="405"/>
  <c r="H31" i="405"/>
  <c r="D31" i="405"/>
  <c r="B31" i="405"/>
  <c r="I30" i="405"/>
  <c r="H30" i="405"/>
  <c r="D30" i="405"/>
  <c r="B30" i="405"/>
  <c r="I29" i="405"/>
  <c r="H29" i="405"/>
  <c r="D29" i="405"/>
  <c r="B29" i="405"/>
  <c r="I28" i="405"/>
  <c r="H28" i="405"/>
  <c r="D28" i="405"/>
  <c r="B28" i="405"/>
  <c r="I27" i="405"/>
  <c r="H27" i="405"/>
  <c r="D27" i="405"/>
  <c r="B27" i="405"/>
  <c r="I26" i="405"/>
  <c r="H26" i="405"/>
  <c r="D26" i="405"/>
  <c r="B26" i="405"/>
  <c r="I25" i="405"/>
  <c r="H25" i="405"/>
  <c r="B25" i="405"/>
  <c r="I24" i="405"/>
  <c r="H24" i="405"/>
  <c r="B24" i="405"/>
  <c r="I23" i="405"/>
  <c r="H23" i="405"/>
  <c r="D23" i="405"/>
  <c r="B23" i="405"/>
  <c r="I22" i="405"/>
  <c r="H22" i="405"/>
  <c r="D22" i="405"/>
  <c r="B22" i="405"/>
  <c r="I21" i="405"/>
  <c r="H21" i="405"/>
  <c r="D21" i="405"/>
  <c r="B21" i="405"/>
  <c r="I20" i="405"/>
  <c r="H20" i="405"/>
  <c r="D20" i="405"/>
  <c r="B20" i="405"/>
  <c r="I19" i="405"/>
  <c r="H19" i="405"/>
  <c r="D19" i="405"/>
  <c r="B19" i="405"/>
  <c r="I18" i="405"/>
  <c r="H18" i="405"/>
  <c r="D18" i="405"/>
  <c r="B18" i="405"/>
  <c r="I17" i="405"/>
  <c r="H17" i="405"/>
  <c r="D17" i="405"/>
  <c r="B17" i="405"/>
  <c r="I16" i="405"/>
  <c r="H16" i="405"/>
  <c r="D16" i="405"/>
  <c r="B16" i="405"/>
  <c r="I15" i="405"/>
  <c r="H15" i="405"/>
  <c r="D15" i="405"/>
  <c r="B15" i="405"/>
  <c r="I14" i="405"/>
  <c r="H14" i="405"/>
  <c r="D14" i="405"/>
  <c r="B14" i="405"/>
  <c r="I13" i="405"/>
  <c r="H13" i="405"/>
  <c r="D13" i="405"/>
  <c r="B13" i="405"/>
  <c r="I12" i="405"/>
  <c r="H12" i="405"/>
  <c r="D12" i="405"/>
  <c r="B12" i="405"/>
  <c r="I11" i="405"/>
  <c r="H11" i="405"/>
  <c r="D11" i="405"/>
  <c r="B11" i="405"/>
  <c r="I10" i="405"/>
  <c r="H10" i="405"/>
  <c r="D10" i="405"/>
  <c r="B10" i="405"/>
  <c r="K9" i="405"/>
  <c r="K10" i="405" s="1"/>
  <c r="K11" i="405" s="1"/>
  <c r="M11" i="405" s="1"/>
  <c r="I9" i="405"/>
  <c r="H9" i="405"/>
  <c r="D9" i="405"/>
  <c r="B9" i="405"/>
  <c r="J8" i="405"/>
  <c r="D91" i="53" s="1"/>
  <c r="E8" i="405"/>
  <c r="I7" i="405"/>
  <c r="K7" i="405" s="1"/>
  <c r="M7" i="405" s="1"/>
  <c r="M5" i="405"/>
  <c r="I5" i="405"/>
  <c r="H5" i="405"/>
  <c r="G5" i="405"/>
  <c r="F5" i="405"/>
  <c r="E5" i="405"/>
  <c r="D5" i="405"/>
  <c r="C5" i="405"/>
  <c r="B5" i="405"/>
  <c r="C4" i="405"/>
  <c r="E41" i="405" l="1"/>
  <c r="K41" i="405" s="1"/>
  <c r="G64" i="354"/>
  <c r="E64" i="354"/>
  <c r="D8" i="405"/>
  <c r="D40" i="405"/>
  <c r="F91" i="53" s="1"/>
  <c r="H91" i="53"/>
  <c r="H29" i="406"/>
  <c r="G30" i="406"/>
  <c r="M29" i="406"/>
  <c r="J9" i="405"/>
  <c r="J10" i="405" s="1"/>
  <c r="L10" i="405" s="1"/>
  <c r="M9" i="405"/>
  <c r="I91" i="53"/>
  <c r="M10" i="405"/>
  <c r="K12" i="405"/>
  <c r="H64" i="354" l="1"/>
  <c r="K91" i="53"/>
  <c r="I64" i="354"/>
  <c r="K64" i="354" s="1"/>
  <c r="L9" i="405"/>
  <c r="D41" i="405"/>
  <c r="J41" i="405" s="1"/>
  <c r="S9" i="405"/>
  <c r="S10" i="405"/>
  <c r="J91" i="53"/>
  <c r="J11" i="405"/>
  <c r="J12" i="405" s="1"/>
  <c r="H30" i="406"/>
  <c r="G31" i="406"/>
  <c r="M30" i="406"/>
  <c r="K13" i="405"/>
  <c r="M12" i="405"/>
  <c r="E74" i="355" l="1"/>
  <c r="L11" i="405"/>
  <c r="S11" i="405"/>
  <c r="H31" i="406"/>
  <c r="G32" i="406"/>
  <c r="M31" i="406"/>
  <c r="S12" i="405"/>
  <c r="L12" i="405"/>
  <c r="J13" i="405"/>
  <c r="M13" i="405"/>
  <c r="K14" i="405"/>
  <c r="H32" i="406" l="1"/>
  <c r="G33" i="406"/>
  <c r="M32" i="406"/>
  <c r="K15" i="405"/>
  <c r="M14" i="405"/>
  <c r="J14" i="405"/>
  <c r="S13" i="405"/>
  <c r="L13" i="405"/>
  <c r="H33" i="406" l="1"/>
  <c r="G34" i="406"/>
  <c r="M33" i="406"/>
  <c r="S14" i="405"/>
  <c r="L14" i="405"/>
  <c r="J15" i="405"/>
  <c r="M15" i="405"/>
  <c r="K16" i="405"/>
  <c r="H34" i="406" l="1"/>
  <c r="G35" i="406"/>
  <c r="M34" i="406"/>
  <c r="K17" i="405"/>
  <c r="M16" i="405"/>
  <c r="J16" i="405"/>
  <c r="L15" i="405"/>
  <c r="S15" i="405"/>
  <c r="H35" i="406" l="1"/>
  <c r="G36" i="406"/>
  <c r="M35" i="406"/>
  <c r="S16" i="405"/>
  <c r="L16" i="405"/>
  <c r="J17" i="405"/>
  <c r="M17" i="405"/>
  <c r="K18" i="405"/>
  <c r="H36" i="406" l="1"/>
  <c r="G37" i="406"/>
  <c r="M36" i="406"/>
  <c r="K19" i="405"/>
  <c r="M18" i="405"/>
  <c r="J18" i="405"/>
  <c r="S17" i="405"/>
  <c r="L17" i="405"/>
  <c r="L40" i="251"/>
  <c r="H37" i="406" l="1"/>
  <c r="G38" i="406"/>
  <c r="M37" i="406"/>
  <c r="S18" i="405"/>
  <c r="L18" i="405"/>
  <c r="J19" i="405"/>
  <c r="M19" i="405"/>
  <c r="K20" i="405"/>
  <c r="H38" i="406" l="1"/>
  <c r="G39" i="406"/>
  <c r="M38" i="406"/>
  <c r="K21" i="405"/>
  <c r="M20" i="405"/>
  <c r="J20" i="405"/>
  <c r="L19" i="405"/>
  <c r="S19" i="405"/>
  <c r="L40" i="255"/>
  <c r="G40" i="406" l="1"/>
  <c r="H39" i="406"/>
  <c r="M39" i="406"/>
  <c r="S20" i="405"/>
  <c r="L20" i="405"/>
  <c r="J21" i="405"/>
  <c r="M21" i="405"/>
  <c r="K22" i="405"/>
  <c r="L101" i="341"/>
  <c r="L33" i="341"/>
  <c r="L215" i="53"/>
  <c r="D215" i="53"/>
  <c r="D101" i="341" s="1"/>
  <c r="B215" i="53"/>
  <c r="B101" i="341" s="1"/>
  <c r="C4" i="404"/>
  <c r="L40" i="404"/>
  <c r="K40" i="404"/>
  <c r="J40" i="404"/>
  <c r="I40" i="404"/>
  <c r="D40" i="404"/>
  <c r="F215" i="53" s="1"/>
  <c r="E39" i="404"/>
  <c r="B39" i="404"/>
  <c r="E38" i="404"/>
  <c r="B38" i="404"/>
  <c r="E37" i="404"/>
  <c r="B37" i="404"/>
  <c r="E36" i="404"/>
  <c r="B36" i="404"/>
  <c r="E35" i="404"/>
  <c r="B35" i="404"/>
  <c r="E34" i="404"/>
  <c r="B34" i="404"/>
  <c r="E33" i="404"/>
  <c r="B33" i="404"/>
  <c r="E32" i="404"/>
  <c r="B32" i="404"/>
  <c r="E31" i="404"/>
  <c r="B31" i="404"/>
  <c r="E30" i="404"/>
  <c r="B30" i="404"/>
  <c r="E29" i="404"/>
  <c r="B29" i="404"/>
  <c r="E28" i="404"/>
  <c r="B28" i="404"/>
  <c r="E27" i="404"/>
  <c r="B27" i="404"/>
  <c r="E26" i="404"/>
  <c r="B26" i="404"/>
  <c r="E25" i="404"/>
  <c r="B25" i="404"/>
  <c r="E24" i="404"/>
  <c r="B24" i="404"/>
  <c r="E23" i="404"/>
  <c r="B23" i="404"/>
  <c r="E22" i="404"/>
  <c r="B22" i="404"/>
  <c r="E21" i="404"/>
  <c r="B21" i="404"/>
  <c r="E20" i="404"/>
  <c r="B20" i="404"/>
  <c r="E19" i="404"/>
  <c r="B19" i="404"/>
  <c r="E18" i="404"/>
  <c r="B18" i="404"/>
  <c r="E17" i="404"/>
  <c r="B17" i="404"/>
  <c r="E16" i="404"/>
  <c r="B16" i="404"/>
  <c r="E15" i="404"/>
  <c r="B15" i="404"/>
  <c r="E14" i="404"/>
  <c r="B14" i="404"/>
  <c r="E13" i="404"/>
  <c r="B13" i="404"/>
  <c r="E12" i="404"/>
  <c r="B12" i="404"/>
  <c r="E11" i="404"/>
  <c r="B11" i="404"/>
  <c r="E10" i="404"/>
  <c r="B10" i="404"/>
  <c r="F9" i="404"/>
  <c r="E9" i="404"/>
  <c r="B9" i="404"/>
  <c r="D8" i="404"/>
  <c r="I5" i="404"/>
  <c r="G5" i="404"/>
  <c r="F5" i="404"/>
  <c r="E5" i="404"/>
  <c r="D5" i="404"/>
  <c r="C5" i="404"/>
  <c r="B5" i="404"/>
  <c r="L136" i="53"/>
  <c r="D136" i="53"/>
  <c r="D33" i="341" s="1"/>
  <c r="B136" i="53"/>
  <c r="B33" i="341" s="1"/>
  <c r="L40" i="403"/>
  <c r="K40" i="403"/>
  <c r="J40" i="403"/>
  <c r="I40" i="403"/>
  <c r="B39" i="403"/>
  <c r="B38" i="403"/>
  <c r="B37" i="403"/>
  <c r="B36" i="403"/>
  <c r="B35" i="403"/>
  <c r="B34" i="403"/>
  <c r="B33" i="403"/>
  <c r="B32" i="403"/>
  <c r="B31" i="403"/>
  <c r="B30" i="403"/>
  <c r="B29" i="403"/>
  <c r="B28" i="403"/>
  <c r="B27" i="403"/>
  <c r="B26" i="403"/>
  <c r="B25" i="403"/>
  <c r="B24" i="403"/>
  <c r="B23" i="403"/>
  <c r="B22" i="403"/>
  <c r="B21" i="403"/>
  <c r="B20" i="403"/>
  <c r="B19" i="403"/>
  <c r="B18" i="403"/>
  <c r="B17" i="403"/>
  <c r="B16" i="403"/>
  <c r="B15" i="403"/>
  <c r="B14" i="403"/>
  <c r="B13" i="403"/>
  <c r="D40" i="403"/>
  <c r="F136" i="53" s="1"/>
  <c r="F33" i="341" s="1"/>
  <c r="B12" i="403"/>
  <c r="B11" i="403"/>
  <c r="B10" i="403"/>
  <c r="B9" i="403"/>
  <c r="D8" i="403"/>
  <c r="I5" i="403"/>
  <c r="G5" i="403"/>
  <c r="F5" i="403"/>
  <c r="E5" i="403"/>
  <c r="D5" i="403"/>
  <c r="C5" i="403"/>
  <c r="B5" i="403"/>
  <c r="D41" i="404" l="1"/>
  <c r="E167" i="354"/>
  <c r="E168" i="354"/>
  <c r="G167" i="354"/>
  <c r="K23" i="405"/>
  <c r="M22" i="405"/>
  <c r="J22" i="405"/>
  <c r="S21" i="405"/>
  <c r="L21" i="405"/>
  <c r="D41" i="403"/>
  <c r="E40" i="404"/>
  <c r="H215" i="53" s="1"/>
  <c r="H101" i="341" s="1"/>
  <c r="E40" i="403"/>
  <c r="H136" i="53" s="1"/>
  <c r="H33" i="341" s="1"/>
  <c r="F101" i="341"/>
  <c r="F38" i="404"/>
  <c r="F37" i="404"/>
  <c r="F36" i="404"/>
  <c r="F35" i="404"/>
  <c r="F34" i="404"/>
  <c r="F33" i="404"/>
  <c r="F32" i="404"/>
  <c r="F10" i="404"/>
  <c r="F11" i="404"/>
  <c r="F12" i="404"/>
  <c r="F13" i="404"/>
  <c r="F14" i="404"/>
  <c r="F15" i="404"/>
  <c r="F16" i="404"/>
  <c r="F17" i="404"/>
  <c r="F18" i="404"/>
  <c r="F19" i="404"/>
  <c r="F20" i="404"/>
  <c r="F21" i="404"/>
  <c r="F22" i="404"/>
  <c r="F23" i="404"/>
  <c r="F24" i="404"/>
  <c r="F25" i="404"/>
  <c r="F26" i="404"/>
  <c r="F27" i="404"/>
  <c r="F28" i="404"/>
  <c r="F29" i="404"/>
  <c r="F30" i="404"/>
  <c r="F31" i="404"/>
  <c r="G9" i="404"/>
  <c r="M9" i="403"/>
  <c r="G168" i="354" l="1"/>
  <c r="I168" i="354"/>
  <c r="L168" i="354" s="1"/>
  <c r="J33" i="341"/>
  <c r="M33" i="341" s="1"/>
  <c r="I167" i="354"/>
  <c r="S22" i="405"/>
  <c r="L22" i="405"/>
  <c r="J23" i="405"/>
  <c r="M23" i="405"/>
  <c r="K24" i="405"/>
  <c r="E41" i="403"/>
  <c r="G41" i="403" s="1"/>
  <c r="J215" i="53"/>
  <c r="M215" i="53" s="1"/>
  <c r="E41" i="404"/>
  <c r="G41" i="404" s="1"/>
  <c r="E8" i="404"/>
  <c r="F39" i="404" s="1"/>
  <c r="J101" i="341"/>
  <c r="M101" i="341" s="1"/>
  <c r="E8" i="403"/>
  <c r="F39" i="403" s="1"/>
  <c r="J136" i="53"/>
  <c r="M136" i="53" s="1"/>
  <c r="G10" i="404"/>
  <c r="M9" i="404"/>
  <c r="H9" i="404"/>
  <c r="M10" i="403"/>
  <c r="K167" i="354" l="1"/>
  <c r="N74" i="421" s="1"/>
  <c r="L167" i="354"/>
  <c r="K168" i="354"/>
  <c r="N75" i="421" s="1"/>
  <c r="K25" i="405"/>
  <c r="M24" i="405"/>
  <c r="J24" i="405"/>
  <c r="L23" i="405"/>
  <c r="S23" i="405"/>
  <c r="G11" i="404"/>
  <c r="M10" i="404"/>
  <c r="H10" i="404"/>
  <c r="M11" i="403"/>
  <c r="J25" i="405" l="1"/>
  <c r="S24" i="405"/>
  <c r="L24" i="405"/>
  <c r="K26" i="405"/>
  <c r="M25" i="405"/>
  <c r="G12" i="404"/>
  <c r="M11" i="404"/>
  <c r="H11" i="404"/>
  <c r="M12" i="403"/>
  <c r="G95" i="421" l="1"/>
  <c r="P95" i="421" s="1"/>
  <c r="G96" i="421"/>
  <c r="P96" i="421" s="1"/>
  <c r="S25" i="405"/>
  <c r="L25" i="405"/>
  <c r="J26" i="405"/>
  <c r="M26" i="405"/>
  <c r="K27" i="405"/>
  <c r="G13" i="404"/>
  <c r="M12" i="404"/>
  <c r="H12" i="404"/>
  <c r="M13" i="403"/>
  <c r="H96" i="421" l="1"/>
  <c r="H95" i="421"/>
  <c r="K28" i="405"/>
  <c r="M27" i="405"/>
  <c r="J27" i="405"/>
  <c r="L26" i="405"/>
  <c r="S26" i="405"/>
  <c r="G14" i="404"/>
  <c r="M13" i="404"/>
  <c r="H13" i="404"/>
  <c r="M14" i="403"/>
  <c r="S27" i="405" l="1"/>
  <c r="L27" i="405"/>
  <c r="J28" i="405"/>
  <c r="M28" i="405"/>
  <c r="K29" i="405"/>
  <c r="G15" i="404"/>
  <c r="M14" i="404"/>
  <c r="H14" i="404"/>
  <c r="M15" i="403"/>
  <c r="K30" i="405" l="1"/>
  <c r="M29" i="405"/>
  <c r="J29" i="405"/>
  <c r="S28" i="405"/>
  <c r="L28" i="405"/>
  <c r="G16" i="404"/>
  <c r="M15" i="404"/>
  <c r="H15" i="404"/>
  <c r="M16" i="403"/>
  <c r="S29" i="405" l="1"/>
  <c r="L29" i="405"/>
  <c r="J30" i="405"/>
  <c r="M30" i="405"/>
  <c r="K31" i="405"/>
  <c r="G17" i="404"/>
  <c r="M16" i="404"/>
  <c r="H16" i="404"/>
  <c r="M17" i="403"/>
  <c r="K32" i="405" l="1"/>
  <c r="M31" i="405"/>
  <c r="J31" i="405"/>
  <c r="L30" i="405"/>
  <c r="S30" i="405"/>
  <c r="G18" i="404"/>
  <c r="M17" i="404"/>
  <c r="H17" i="404"/>
  <c r="M18" i="403"/>
  <c r="S31" i="405" l="1"/>
  <c r="L31" i="405"/>
  <c r="J32" i="405"/>
  <c r="M32" i="405"/>
  <c r="K33" i="405"/>
  <c r="G19" i="404"/>
  <c r="M18" i="404"/>
  <c r="H18" i="404"/>
  <c r="M19" i="403"/>
  <c r="E10" i="388"/>
  <c r="E11" i="388"/>
  <c r="E12" i="388"/>
  <c r="E13" i="388"/>
  <c r="E14" i="388"/>
  <c r="E15" i="388"/>
  <c r="E16" i="388"/>
  <c r="E17" i="388"/>
  <c r="E18" i="388"/>
  <c r="E19" i="388"/>
  <c r="E20" i="388"/>
  <c r="E21" i="388"/>
  <c r="E22" i="388"/>
  <c r="E23" i="388"/>
  <c r="E24" i="388"/>
  <c r="E25" i="388"/>
  <c r="E26" i="388"/>
  <c r="E27" i="388"/>
  <c r="E28" i="388"/>
  <c r="E29" i="388"/>
  <c r="E30" i="388"/>
  <c r="E31" i="388"/>
  <c r="E32" i="388"/>
  <c r="E33" i="388"/>
  <c r="E34" i="388"/>
  <c r="E35" i="388"/>
  <c r="E36" i="388"/>
  <c r="E37" i="388"/>
  <c r="E38" i="388"/>
  <c r="E39" i="388"/>
  <c r="E9" i="388"/>
  <c r="L99" i="341"/>
  <c r="L100" i="341"/>
  <c r="L214" i="53"/>
  <c r="D214" i="53"/>
  <c r="D100" i="341" s="1"/>
  <c r="B214" i="53"/>
  <c r="B100" i="341" s="1"/>
  <c r="M40" i="402"/>
  <c r="L40" i="402"/>
  <c r="K40" i="402"/>
  <c r="J40" i="402"/>
  <c r="I40" i="402"/>
  <c r="E39" i="402"/>
  <c r="D39" i="402"/>
  <c r="B39" i="402"/>
  <c r="E38" i="402"/>
  <c r="D38" i="402"/>
  <c r="B38" i="402"/>
  <c r="E37" i="402"/>
  <c r="D37" i="402"/>
  <c r="B37" i="402"/>
  <c r="E36" i="402"/>
  <c r="D36" i="402"/>
  <c r="B36" i="402"/>
  <c r="E35" i="402"/>
  <c r="D35" i="402"/>
  <c r="B35" i="402"/>
  <c r="E34" i="402"/>
  <c r="D34" i="402"/>
  <c r="B34" i="402"/>
  <c r="E33" i="402"/>
  <c r="D33" i="402"/>
  <c r="B33" i="402"/>
  <c r="E32" i="402"/>
  <c r="D32" i="402"/>
  <c r="B32" i="402"/>
  <c r="E31" i="402"/>
  <c r="D31" i="402"/>
  <c r="B31" i="402"/>
  <c r="E30" i="402"/>
  <c r="D30" i="402"/>
  <c r="B30" i="402"/>
  <c r="E29" i="402"/>
  <c r="D29" i="402"/>
  <c r="B29" i="402"/>
  <c r="E28" i="402"/>
  <c r="D28" i="402"/>
  <c r="B28" i="402"/>
  <c r="E27" i="402"/>
  <c r="D27" i="402"/>
  <c r="B27" i="402"/>
  <c r="E26" i="402"/>
  <c r="D26" i="402"/>
  <c r="B26" i="402"/>
  <c r="E25" i="402"/>
  <c r="D25" i="402"/>
  <c r="B25" i="402"/>
  <c r="E24" i="402"/>
  <c r="D24" i="402"/>
  <c r="B24" i="402"/>
  <c r="E23" i="402"/>
  <c r="D23" i="402"/>
  <c r="B23" i="402"/>
  <c r="E22" i="402"/>
  <c r="D22" i="402"/>
  <c r="B22" i="402"/>
  <c r="E21" i="402"/>
  <c r="D21" i="402"/>
  <c r="B21" i="402"/>
  <c r="E20" i="402"/>
  <c r="D20" i="402"/>
  <c r="B20" i="402"/>
  <c r="E19" i="402"/>
  <c r="D19" i="402"/>
  <c r="B19" i="402"/>
  <c r="E18" i="402"/>
  <c r="D18" i="402"/>
  <c r="B18" i="402"/>
  <c r="E17" i="402"/>
  <c r="D17" i="402"/>
  <c r="B17" i="402"/>
  <c r="E16" i="402"/>
  <c r="D16" i="402"/>
  <c r="B16" i="402"/>
  <c r="E15" i="402"/>
  <c r="D15" i="402"/>
  <c r="B15" i="402"/>
  <c r="E14" i="402"/>
  <c r="D14" i="402"/>
  <c r="B14" i="402"/>
  <c r="E13" i="402"/>
  <c r="D13" i="402"/>
  <c r="B13" i="402"/>
  <c r="E12" i="402"/>
  <c r="D12" i="402"/>
  <c r="B12" i="402"/>
  <c r="E11" i="402"/>
  <c r="D11" i="402"/>
  <c r="B11" i="402"/>
  <c r="E10" i="402"/>
  <c r="D10" i="402"/>
  <c r="B10" i="402"/>
  <c r="F9" i="402"/>
  <c r="F37" i="402" s="1"/>
  <c r="E9" i="402"/>
  <c r="D9" i="402"/>
  <c r="B9" i="402"/>
  <c r="D8" i="402"/>
  <c r="I5" i="402"/>
  <c r="G5" i="402"/>
  <c r="F5" i="402"/>
  <c r="E5" i="402"/>
  <c r="D5" i="402"/>
  <c r="C5" i="402"/>
  <c r="B5" i="402"/>
  <c r="C4" i="402"/>
  <c r="L213" i="53"/>
  <c r="D213" i="53"/>
  <c r="D99" i="341" s="1"/>
  <c r="B213" i="53"/>
  <c r="B99" i="341" s="1"/>
  <c r="K40" i="401"/>
  <c r="J40" i="401"/>
  <c r="I40" i="401"/>
  <c r="D40" i="401"/>
  <c r="F213" i="53" s="1"/>
  <c r="F99" i="341" s="1"/>
  <c r="E39" i="401"/>
  <c r="B39" i="401"/>
  <c r="E38" i="401"/>
  <c r="B38" i="401"/>
  <c r="E37" i="401"/>
  <c r="B37" i="401"/>
  <c r="E36" i="401"/>
  <c r="B36" i="401"/>
  <c r="E35" i="401"/>
  <c r="B35" i="401"/>
  <c r="E34" i="401"/>
  <c r="B34" i="401"/>
  <c r="E33" i="401"/>
  <c r="B33" i="401"/>
  <c r="E32" i="401"/>
  <c r="B32" i="401"/>
  <c r="E31" i="401"/>
  <c r="B31" i="401"/>
  <c r="E30" i="401"/>
  <c r="B30" i="401"/>
  <c r="E29" i="401"/>
  <c r="B29" i="401"/>
  <c r="E28" i="401"/>
  <c r="B28" i="401"/>
  <c r="E27" i="401"/>
  <c r="B27" i="401"/>
  <c r="E26" i="401"/>
  <c r="B26" i="401"/>
  <c r="E25" i="401"/>
  <c r="B25" i="401"/>
  <c r="E24" i="401"/>
  <c r="B24" i="401"/>
  <c r="E23" i="401"/>
  <c r="B23" i="401"/>
  <c r="E22" i="401"/>
  <c r="B22" i="401"/>
  <c r="E21" i="401"/>
  <c r="B21" i="401"/>
  <c r="E20" i="401"/>
  <c r="B20" i="401"/>
  <c r="E19" i="401"/>
  <c r="B19" i="401"/>
  <c r="E18" i="401"/>
  <c r="B18" i="401"/>
  <c r="E17" i="401"/>
  <c r="B17" i="401"/>
  <c r="E16" i="401"/>
  <c r="B16" i="401"/>
  <c r="E15" i="401"/>
  <c r="B15" i="401"/>
  <c r="E14" i="401"/>
  <c r="B14" i="401"/>
  <c r="E13" i="401"/>
  <c r="B13" i="401"/>
  <c r="E12" i="401"/>
  <c r="B12" i="401"/>
  <c r="E11" i="401"/>
  <c r="B11" i="401"/>
  <c r="E10" i="401"/>
  <c r="B10" i="401"/>
  <c r="F9" i="401"/>
  <c r="E9" i="401"/>
  <c r="B9" i="401"/>
  <c r="D8" i="401"/>
  <c r="D41" i="401" s="1"/>
  <c r="I5" i="401"/>
  <c r="H5" i="401"/>
  <c r="G5" i="401"/>
  <c r="F5" i="401"/>
  <c r="E5" i="401"/>
  <c r="D5" i="401"/>
  <c r="C5" i="401"/>
  <c r="B5" i="401"/>
  <c r="C4" i="401"/>
  <c r="G165" i="354" l="1"/>
  <c r="E166" i="354"/>
  <c r="E165" i="354"/>
  <c r="F10" i="402"/>
  <c r="F14" i="402"/>
  <c r="F18" i="402"/>
  <c r="F22" i="402"/>
  <c r="F26" i="402"/>
  <c r="F30" i="402"/>
  <c r="F34" i="402"/>
  <c r="F38" i="402"/>
  <c r="F12" i="402"/>
  <c r="F16" i="402"/>
  <c r="F20" i="402"/>
  <c r="F24" i="402"/>
  <c r="F28" i="402"/>
  <c r="F32" i="402"/>
  <c r="F36" i="402"/>
  <c r="K34" i="405"/>
  <c r="M33" i="405"/>
  <c r="J33" i="405"/>
  <c r="S32" i="405"/>
  <c r="L32" i="405"/>
  <c r="G20" i="404"/>
  <c r="M19" i="404"/>
  <c r="H19" i="404"/>
  <c r="M20" i="403"/>
  <c r="E40" i="401"/>
  <c r="H213" i="53" s="1"/>
  <c r="H99" i="341" s="1"/>
  <c r="D40" i="402"/>
  <c r="F214" i="53" s="1"/>
  <c r="F100" i="341" s="1"/>
  <c r="E40" i="402"/>
  <c r="H214" i="53" s="1"/>
  <c r="H100" i="341" s="1"/>
  <c r="G9" i="402"/>
  <c r="F11" i="402"/>
  <c r="F13" i="402"/>
  <c r="F15" i="402"/>
  <c r="F17" i="402"/>
  <c r="F19" i="402"/>
  <c r="F21" i="402"/>
  <c r="F23" i="402"/>
  <c r="F25" i="402"/>
  <c r="F27" i="402"/>
  <c r="F29" i="402"/>
  <c r="F31" i="402"/>
  <c r="F33" i="402"/>
  <c r="F35" i="402"/>
  <c r="F38" i="401"/>
  <c r="F37" i="401"/>
  <c r="F36" i="401"/>
  <c r="F35" i="401"/>
  <c r="F34" i="401"/>
  <c r="F33" i="401"/>
  <c r="F32" i="401"/>
  <c r="F10" i="401"/>
  <c r="F11" i="401"/>
  <c r="F12" i="401"/>
  <c r="F13" i="401"/>
  <c r="F14" i="401"/>
  <c r="F15" i="401"/>
  <c r="F16" i="401"/>
  <c r="F17" i="401"/>
  <c r="F18" i="401"/>
  <c r="F19" i="401"/>
  <c r="F20" i="401"/>
  <c r="F21" i="401"/>
  <c r="F22" i="401"/>
  <c r="F23" i="401"/>
  <c r="F24" i="401"/>
  <c r="F25" i="401"/>
  <c r="F26" i="401"/>
  <c r="F27" i="401"/>
  <c r="F28" i="401"/>
  <c r="F29" i="401"/>
  <c r="F30" i="401"/>
  <c r="F31" i="401"/>
  <c r="G9" i="401"/>
  <c r="I166" i="354" l="1"/>
  <c r="L166" i="354" s="1"/>
  <c r="G166" i="354"/>
  <c r="J213" i="53"/>
  <c r="M213" i="53" s="1"/>
  <c r="J99" i="341"/>
  <c r="M99" i="341" s="1"/>
  <c r="I165" i="354"/>
  <c r="L165" i="354" s="1"/>
  <c r="S33" i="405"/>
  <c r="L33" i="405"/>
  <c r="J34" i="405"/>
  <c r="M34" i="405"/>
  <c r="K35" i="405"/>
  <c r="E41" i="401"/>
  <c r="G41" i="401" s="1"/>
  <c r="J100" i="341"/>
  <c r="M100" i="341" s="1"/>
  <c r="G21" i="404"/>
  <c r="M20" i="404"/>
  <c r="H20" i="404"/>
  <c r="M21" i="403"/>
  <c r="E8" i="401"/>
  <c r="F39" i="401" s="1"/>
  <c r="J214" i="53"/>
  <c r="M214" i="53" s="1"/>
  <c r="D41" i="402"/>
  <c r="E8" i="402"/>
  <c r="F39" i="402" s="1"/>
  <c r="E41" i="402"/>
  <c r="G10" i="402"/>
  <c r="H9" i="402"/>
  <c r="N9" i="402"/>
  <c r="G10" i="401"/>
  <c r="L9" i="401"/>
  <c r="H9" i="401"/>
  <c r="L98" i="341"/>
  <c r="L212" i="53"/>
  <c r="D212" i="53"/>
  <c r="D98" i="341" s="1"/>
  <c r="B212" i="53"/>
  <c r="B98" i="341" s="1"/>
  <c r="K40" i="400"/>
  <c r="J40" i="400"/>
  <c r="I40" i="400"/>
  <c r="D40" i="400"/>
  <c r="F212" i="53" s="1"/>
  <c r="F98" i="341" s="1"/>
  <c r="E39" i="400"/>
  <c r="B39" i="400"/>
  <c r="E38" i="400"/>
  <c r="B38" i="400"/>
  <c r="E37" i="400"/>
  <c r="B37" i="400"/>
  <c r="E36" i="400"/>
  <c r="B36" i="400"/>
  <c r="E35" i="400"/>
  <c r="B35" i="400"/>
  <c r="E34" i="400"/>
  <c r="B34" i="400"/>
  <c r="E33" i="400"/>
  <c r="B33" i="400"/>
  <c r="E32" i="400"/>
  <c r="B32" i="400"/>
  <c r="E31" i="400"/>
  <c r="B31" i="400"/>
  <c r="E30" i="400"/>
  <c r="B30" i="400"/>
  <c r="E29" i="400"/>
  <c r="B29" i="400"/>
  <c r="E28" i="400"/>
  <c r="B28" i="400"/>
  <c r="E27" i="400"/>
  <c r="B27" i="400"/>
  <c r="E26" i="400"/>
  <c r="B26" i="400"/>
  <c r="E25" i="400"/>
  <c r="B25" i="400"/>
  <c r="E24" i="400"/>
  <c r="B24" i="400"/>
  <c r="E23" i="400"/>
  <c r="B23" i="400"/>
  <c r="E22" i="400"/>
  <c r="B22" i="400"/>
  <c r="E21" i="400"/>
  <c r="B21" i="400"/>
  <c r="E20" i="400"/>
  <c r="B20" i="400"/>
  <c r="E19" i="400"/>
  <c r="B19" i="400"/>
  <c r="E18" i="400"/>
  <c r="B18" i="400"/>
  <c r="E17" i="400"/>
  <c r="B17" i="400"/>
  <c r="E16" i="400"/>
  <c r="B16" i="400"/>
  <c r="E15" i="400"/>
  <c r="B15" i="400"/>
  <c r="E14" i="400"/>
  <c r="B14" i="400"/>
  <c r="E13" i="400"/>
  <c r="B13" i="400"/>
  <c r="E12" i="400"/>
  <c r="B12" i="400"/>
  <c r="E11" i="400"/>
  <c r="B11" i="400"/>
  <c r="E10" i="400"/>
  <c r="B10" i="400"/>
  <c r="F9" i="400"/>
  <c r="F39" i="400" s="1"/>
  <c r="E9" i="400"/>
  <c r="B9" i="400"/>
  <c r="D8" i="400"/>
  <c r="D41" i="400" s="1"/>
  <c r="I5" i="400"/>
  <c r="H5" i="400"/>
  <c r="G5" i="400"/>
  <c r="F5" i="400"/>
  <c r="E5" i="400"/>
  <c r="D5" i="400"/>
  <c r="C5" i="400"/>
  <c r="B5" i="400"/>
  <c r="C4" i="400"/>
  <c r="K166" i="354" l="1"/>
  <c r="N73" i="421" s="1"/>
  <c r="K165" i="354"/>
  <c r="G164" i="354"/>
  <c r="E164" i="354"/>
  <c r="K36" i="405"/>
  <c r="M35" i="405"/>
  <c r="J35" i="405"/>
  <c r="L34" i="405"/>
  <c r="S34" i="405"/>
  <c r="G22" i="404"/>
  <c r="M21" i="404"/>
  <c r="H21" i="404"/>
  <c r="M22" i="403"/>
  <c r="E40" i="400"/>
  <c r="G41" i="402"/>
  <c r="N10" i="402"/>
  <c r="G11" i="402"/>
  <c r="H10" i="402"/>
  <c r="G11" i="401"/>
  <c r="L10" i="401"/>
  <c r="H10" i="401"/>
  <c r="G9" i="400"/>
  <c r="F10" i="400"/>
  <c r="F11" i="400"/>
  <c r="F12" i="400"/>
  <c r="F13" i="400"/>
  <c r="F14" i="400"/>
  <c r="F15" i="400"/>
  <c r="F16" i="400"/>
  <c r="F17" i="400"/>
  <c r="F18" i="400"/>
  <c r="F19" i="400"/>
  <c r="F20" i="400"/>
  <c r="F21" i="400"/>
  <c r="F22" i="400"/>
  <c r="F23" i="400"/>
  <c r="F24" i="400"/>
  <c r="F25" i="400"/>
  <c r="F26" i="400"/>
  <c r="F27" i="400"/>
  <c r="F28" i="400"/>
  <c r="F29" i="400"/>
  <c r="F30" i="400"/>
  <c r="F31" i="400"/>
  <c r="F32" i="400"/>
  <c r="F33" i="400"/>
  <c r="F34" i="400"/>
  <c r="F35" i="400"/>
  <c r="F36" i="400"/>
  <c r="F37" i="400"/>
  <c r="F38" i="400"/>
  <c r="S35" i="405" l="1"/>
  <c r="L35" i="405"/>
  <c r="J36" i="405"/>
  <c r="M36" i="405"/>
  <c r="K37" i="405"/>
  <c r="G23" i="404"/>
  <c r="M22" i="404"/>
  <c r="H22" i="404"/>
  <c r="M23" i="403"/>
  <c r="E41" i="400"/>
  <c r="G41" i="400" s="1"/>
  <c r="H212" i="53"/>
  <c r="E8" i="400"/>
  <c r="G12" i="402"/>
  <c r="H11" i="402"/>
  <c r="N11" i="402"/>
  <c r="G12" i="401"/>
  <c r="L11" i="401"/>
  <c r="H11" i="401"/>
  <c r="H9" i="400"/>
  <c r="L9" i="400"/>
  <c r="G10" i="400"/>
  <c r="G94" i="421" l="1"/>
  <c r="P94" i="421" s="1"/>
  <c r="G93" i="421"/>
  <c r="P93" i="421" s="1"/>
  <c r="K38" i="405"/>
  <c r="M37" i="405"/>
  <c r="J37" i="405"/>
  <c r="S36" i="405"/>
  <c r="L36" i="405"/>
  <c r="G24" i="404"/>
  <c r="M23" i="404"/>
  <c r="H23" i="404"/>
  <c r="M24" i="403"/>
  <c r="H98" i="341"/>
  <c r="J212" i="53"/>
  <c r="M212" i="53" s="1"/>
  <c r="N12" i="402"/>
  <c r="G13" i="402"/>
  <c r="H12" i="402"/>
  <c r="G13" i="401"/>
  <c r="L12" i="401"/>
  <c r="H12" i="401"/>
  <c r="H10" i="400"/>
  <c r="L10" i="400"/>
  <c r="G11" i="400"/>
  <c r="H93" i="421" l="1"/>
  <c r="H94" i="421"/>
  <c r="J98" i="341"/>
  <c r="M98" i="341" s="1"/>
  <c r="I164" i="354"/>
  <c r="L164" i="354" s="1"/>
  <c r="S37" i="405"/>
  <c r="L37" i="405"/>
  <c r="J38" i="405"/>
  <c r="M38" i="405"/>
  <c r="K39" i="405"/>
  <c r="G25" i="404"/>
  <c r="M24" i="404"/>
  <c r="H24" i="404"/>
  <c r="M25" i="403"/>
  <c r="G14" i="402"/>
  <c r="H13" i="402"/>
  <c r="N13" i="402"/>
  <c r="G14" i="401"/>
  <c r="L13" i="401"/>
  <c r="H13" i="401"/>
  <c r="H11" i="400"/>
  <c r="L11" i="400"/>
  <c r="G12" i="400"/>
  <c r="K164" i="354" l="1"/>
  <c r="K40" i="405"/>
  <c r="M39" i="405"/>
  <c r="J39" i="405"/>
  <c r="L38" i="405"/>
  <c r="S38" i="405"/>
  <c r="G26" i="404"/>
  <c r="M25" i="404"/>
  <c r="H25" i="404"/>
  <c r="M26" i="403"/>
  <c r="N14" i="402"/>
  <c r="G15" i="402"/>
  <c r="H14" i="402"/>
  <c r="G15" i="401"/>
  <c r="L14" i="401"/>
  <c r="H14" i="401"/>
  <c r="H12" i="400"/>
  <c r="L12" i="400"/>
  <c r="G13" i="400"/>
  <c r="L97" i="341"/>
  <c r="L96" i="341"/>
  <c r="S39" i="405" l="1"/>
  <c r="L39" i="405"/>
  <c r="J40" i="405"/>
  <c r="G27" i="404"/>
  <c r="M26" i="404"/>
  <c r="H26" i="404"/>
  <c r="M27" i="403"/>
  <c r="G16" i="402"/>
  <c r="H15" i="402"/>
  <c r="N15" i="402"/>
  <c r="G16" i="401"/>
  <c r="L15" i="401"/>
  <c r="H15" i="401"/>
  <c r="H13" i="400"/>
  <c r="L13" i="400"/>
  <c r="G14" i="400"/>
  <c r="L211" i="53"/>
  <c r="D211" i="53"/>
  <c r="D97" i="341" s="1"/>
  <c r="B211" i="53"/>
  <c r="B97" i="341" s="1"/>
  <c r="M40" i="399"/>
  <c r="L40" i="399"/>
  <c r="K40" i="399"/>
  <c r="J40" i="399"/>
  <c r="I40" i="399"/>
  <c r="E39" i="399"/>
  <c r="D39" i="399"/>
  <c r="B39" i="399"/>
  <c r="E38" i="399"/>
  <c r="D38" i="399"/>
  <c r="B38" i="399"/>
  <c r="E37" i="399"/>
  <c r="D37" i="399"/>
  <c r="B37" i="399"/>
  <c r="E36" i="399"/>
  <c r="D36" i="399"/>
  <c r="B36" i="399"/>
  <c r="E35" i="399"/>
  <c r="D35" i="399"/>
  <c r="B35" i="399"/>
  <c r="E34" i="399"/>
  <c r="D34" i="399"/>
  <c r="B34" i="399"/>
  <c r="E33" i="399"/>
  <c r="D33" i="399"/>
  <c r="B33" i="399"/>
  <c r="E32" i="399"/>
  <c r="D32" i="399"/>
  <c r="B32" i="399"/>
  <c r="E31" i="399"/>
  <c r="D31" i="399"/>
  <c r="B31" i="399"/>
  <c r="E30" i="399"/>
  <c r="D30" i="399"/>
  <c r="B30" i="399"/>
  <c r="E29" i="399"/>
  <c r="D29" i="399"/>
  <c r="B29" i="399"/>
  <c r="E28" i="399"/>
  <c r="D28" i="399"/>
  <c r="B28" i="399"/>
  <c r="E27" i="399"/>
  <c r="D27" i="399"/>
  <c r="B27" i="399"/>
  <c r="E26" i="399"/>
  <c r="D26" i="399"/>
  <c r="B26" i="399"/>
  <c r="E25" i="399"/>
  <c r="D25" i="399"/>
  <c r="B25" i="399"/>
  <c r="E24" i="399"/>
  <c r="D24" i="399"/>
  <c r="B24" i="399"/>
  <c r="E23" i="399"/>
  <c r="D23" i="399"/>
  <c r="B23" i="399"/>
  <c r="E22" i="399"/>
  <c r="D22" i="399"/>
  <c r="B22" i="399"/>
  <c r="E21" i="399"/>
  <c r="D21" i="399"/>
  <c r="B21" i="399"/>
  <c r="E20" i="399"/>
  <c r="D20" i="399"/>
  <c r="B20" i="399"/>
  <c r="E19" i="399"/>
  <c r="D19" i="399"/>
  <c r="B19" i="399"/>
  <c r="E18" i="399"/>
  <c r="D18" i="399"/>
  <c r="B18" i="399"/>
  <c r="E17" i="399"/>
  <c r="D17" i="399"/>
  <c r="B17" i="399"/>
  <c r="E16" i="399"/>
  <c r="D16" i="399"/>
  <c r="B16" i="399"/>
  <c r="E15" i="399"/>
  <c r="D15" i="399"/>
  <c r="B15" i="399"/>
  <c r="E14" i="399"/>
  <c r="D14" i="399"/>
  <c r="B14" i="399"/>
  <c r="E13" i="399"/>
  <c r="D13" i="399"/>
  <c r="B13" i="399"/>
  <c r="E12" i="399"/>
  <c r="D12" i="399"/>
  <c r="B12" i="399"/>
  <c r="E11" i="399"/>
  <c r="D11" i="399"/>
  <c r="B11" i="399"/>
  <c r="E10" i="399"/>
  <c r="D10" i="399"/>
  <c r="B10" i="399"/>
  <c r="F9" i="399"/>
  <c r="F39" i="399" s="1"/>
  <c r="E9" i="399"/>
  <c r="D9" i="399"/>
  <c r="B9" i="399"/>
  <c r="D8" i="399"/>
  <c r="I5" i="399"/>
  <c r="H5" i="399"/>
  <c r="G5" i="399"/>
  <c r="F5" i="399"/>
  <c r="E5" i="399"/>
  <c r="D5" i="399"/>
  <c r="C5" i="399"/>
  <c r="B5" i="399"/>
  <c r="C4" i="399"/>
  <c r="L210" i="53"/>
  <c r="D210" i="53"/>
  <c r="D96" i="341" s="1"/>
  <c r="B210" i="53"/>
  <c r="B96" i="341" s="1"/>
  <c r="L40" i="398"/>
  <c r="K40" i="398"/>
  <c r="J40" i="398"/>
  <c r="I40" i="398"/>
  <c r="D40" i="398"/>
  <c r="F210" i="53" s="1"/>
  <c r="F96" i="341" s="1"/>
  <c r="E39" i="398"/>
  <c r="B39" i="398"/>
  <c r="E38" i="398"/>
  <c r="B38" i="398"/>
  <c r="E37" i="398"/>
  <c r="B37" i="398"/>
  <c r="E36" i="398"/>
  <c r="B36" i="398"/>
  <c r="E35" i="398"/>
  <c r="B35" i="398"/>
  <c r="E34" i="398"/>
  <c r="B34" i="398"/>
  <c r="E33" i="398"/>
  <c r="B33" i="398"/>
  <c r="E32" i="398"/>
  <c r="B32" i="398"/>
  <c r="E31" i="398"/>
  <c r="B31" i="398"/>
  <c r="E30" i="398"/>
  <c r="B30" i="398"/>
  <c r="E29" i="398"/>
  <c r="B29" i="398"/>
  <c r="E28" i="398"/>
  <c r="B28" i="398"/>
  <c r="E27" i="398"/>
  <c r="B27" i="398"/>
  <c r="E26" i="398"/>
  <c r="B26" i="398"/>
  <c r="E25" i="398"/>
  <c r="B25" i="398"/>
  <c r="E24" i="398"/>
  <c r="B24" i="398"/>
  <c r="E23" i="398"/>
  <c r="B23" i="398"/>
  <c r="E22" i="398"/>
  <c r="B22" i="398"/>
  <c r="E21" i="398"/>
  <c r="B21" i="398"/>
  <c r="E20" i="398"/>
  <c r="B20" i="398"/>
  <c r="E19" i="398"/>
  <c r="B19" i="398"/>
  <c r="E18" i="398"/>
  <c r="B18" i="398"/>
  <c r="E17" i="398"/>
  <c r="B17" i="398"/>
  <c r="E16" i="398"/>
  <c r="B16" i="398"/>
  <c r="E15" i="398"/>
  <c r="B15" i="398"/>
  <c r="E14" i="398"/>
  <c r="B14" i="398"/>
  <c r="E13" i="398"/>
  <c r="B13" i="398"/>
  <c r="E12" i="398"/>
  <c r="B12" i="398"/>
  <c r="E11" i="398"/>
  <c r="B11" i="398"/>
  <c r="E10" i="398"/>
  <c r="B10" i="398"/>
  <c r="F9" i="398"/>
  <c r="F39" i="398" s="1"/>
  <c r="E9" i="398"/>
  <c r="B9" i="398"/>
  <c r="D8" i="398"/>
  <c r="D41" i="398" s="1"/>
  <c r="I5" i="398"/>
  <c r="H5" i="398"/>
  <c r="G5" i="398"/>
  <c r="F5" i="398"/>
  <c r="E5" i="398"/>
  <c r="D5" i="398"/>
  <c r="C5" i="398"/>
  <c r="B5" i="398"/>
  <c r="C4" i="398"/>
  <c r="G92" i="421" l="1"/>
  <c r="P92" i="421" s="1"/>
  <c r="G162" i="354"/>
  <c r="E162" i="354"/>
  <c r="E163" i="354"/>
  <c r="F10" i="399"/>
  <c r="F14" i="399"/>
  <c r="F18" i="399"/>
  <c r="F22" i="399"/>
  <c r="F26" i="399"/>
  <c r="F30" i="399"/>
  <c r="F34" i="399"/>
  <c r="F38" i="399"/>
  <c r="F12" i="399"/>
  <c r="F16" i="399"/>
  <c r="F20" i="399"/>
  <c r="F24" i="399"/>
  <c r="F28" i="399"/>
  <c r="F32" i="399"/>
  <c r="F36" i="399"/>
  <c r="G28" i="404"/>
  <c r="M27" i="404"/>
  <c r="H27" i="404"/>
  <c r="M28" i="403"/>
  <c r="N16" i="402"/>
  <c r="G17" i="402"/>
  <c r="H16" i="402"/>
  <c r="G17" i="401"/>
  <c r="L16" i="401"/>
  <c r="H16" i="401"/>
  <c r="H14" i="400"/>
  <c r="L14" i="400"/>
  <c r="G15" i="400"/>
  <c r="E40" i="399"/>
  <c r="H211" i="53" s="1"/>
  <c r="H97" i="341" s="1"/>
  <c r="D40" i="399"/>
  <c r="F211" i="53" s="1"/>
  <c r="F97" i="341" s="1"/>
  <c r="E8" i="399"/>
  <c r="G9" i="399"/>
  <c r="F11" i="399"/>
  <c r="F13" i="399"/>
  <c r="F15" i="399"/>
  <c r="F17" i="399"/>
  <c r="F19" i="399"/>
  <c r="F21" i="399"/>
  <c r="F23" i="399"/>
  <c r="F25" i="399"/>
  <c r="F27" i="399"/>
  <c r="F29" i="399"/>
  <c r="F31" i="399"/>
  <c r="F33" i="399"/>
  <c r="F35" i="399"/>
  <c r="F37" i="399"/>
  <c r="E40" i="398"/>
  <c r="G9" i="398"/>
  <c r="F10" i="398"/>
  <c r="F11" i="398"/>
  <c r="F12" i="398"/>
  <c r="F13" i="398"/>
  <c r="F14" i="398"/>
  <c r="F15" i="398"/>
  <c r="F16" i="398"/>
  <c r="F17" i="398"/>
  <c r="F18" i="398"/>
  <c r="F19" i="398"/>
  <c r="F20" i="398"/>
  <c r="F21" i="398"/>
  <c r="F22" i="398"/>
  <c r="F23" i="398"/>
  <c r="F24" i="398"/>
  <c r="F25" i="398"/>
  <c r="F26" i="398"/>
  <c r="F27" i="398"/>
  <c r="F28" i="398"/>
  <c r="F29" i="398"/>
  <c r="F30" i="398"/>
  <c r="F31" i="398"/>
  <c r="F32" i="398"/>
  <c r="F33" i="398"/>
  <c r="F34" i="398"/>
  <c r="F35" i="398"/>
  <c r="F36" i="398"/>
  <c r="F37" i="398"/>
  <c r="F38" i="398"/>
  <c r="E86" i="53"/>
  <c r="C86" i="53"/>
  <c r="B86" i="53"/>
  <c r="J46" i="397"/>
  <c r="G40" i="397"/>
  <c r="G41" i="397" s="1"/>
  <c r="F40" i="397"/>
  <c r="F41" i="397" s="1"/>
  <c r="E40" i="397"/>
  <c r="G86" i="53" s="1"/>
  <c r="I39" i="397"/>
  <c r="H39" i="397"/>
  <c r="D39" i="397"/>
  <c r="B39" i="397"/>
  <c r="I38" i="397"/>
  <c r="H38" i="397"/>
  <c r="D38" i="397"/>
  <c r="B38" i="397"/>
  <c r="I37" i="397"/>
  <c r="H37" i="397"/>
  <c r="D37" i="397"/>
  <c r="B37" i="397"/>
  <c r="I36" i="397"/>
  <c r="H36" i="397"/>
  <c r="D36" i="397"/>
  <c r="B36" i="397"/>
  <c r="I35" i="397"/>
  <c r="H35" i="397"/>
  <c r="D35" i="397"/>
  <c r="B35" i="397"/>
  <c r="I34" i="397"/>
  <c r="H34" i="397"/>
  <c r="D34" i="397"/>
  <c r="B34" i="397"/>
  <c r="I33" i="397"/>
  <c r="H33" i="397"/>
  <c r="D33" i="397"/>
  <c r="B33" i="397"/>
  <c r="I32" i="397"/>
  <c r="H32" i="397"/>
  <c r="D32" i="397"/>
  <c r="B32" i="397"/>
  <c r="I31" i="397"/>
  <c r="H31" i="397"/>
  <c r="D31" i="397"/>
  <c r="B31" i="397"/>
  <c r="I30" i="397"/>
  <c r="H30" i="397"/>
  <c r="D30" i="397"/>
  <c r="B30" i="397"/>
  <c r="I29" i="397"/>
  <c r="H29" i="397"/>
  <c r="D29" i="397"/>
  <c r="B29" i="397"/>
  <c r="I28" i="397"/>
  <c r="H28" i="397"/>
  <c r="D28" i="397"/>
  <c r="B28" i="397"/>
  <c r="I27" i="397"/>
  <c r="H27" i="397"/>
  <c r="D27" i="397"/>
  <c r="B27" i="397"/>
  <c r="I26" i="397"/>
  <c r="H26" i="397"/>
  <c r="D26" i="397"/>
  <c r="B26" i="397"/>
  <c r="I25" i="397"/>
  <c r="H25" i="397"/>
  <c r="D25" i="397"/>
  <c r="B25" i="397"/>
  <c r="I24" i="397"/>
  <c r="H24" i="397"/>
  <c r="D24" i="397"/>
  <c r="B24" i="397"/>
  <c r="I23" i="397"/>
  <c r="H23" i="397"/>
  <c r="D23" i="397"/>
  <c r="B23" i="397"/>
  <c r="I22" i="397"/>
  <c r="H22" i="397"/>
  <c r="D22" i="397"/>
  <c r="B22" i="397"/>
  <c r="I21" i="397"/>
  <c r="H21" i="397"/>
  <c r="D21" i="397"/>
  <c r="B21" i="397"/>
  <c r="I20" i="397"/>
  <c r="H20" i="397"/>
  <c r="D20" i="397"/>
  <c r="B20" i="397"/>
  <c r="I19" i="397"/>
  <c r="H19" i="397"/>
  <c r="D19" i="397"/>
  <c r="B19" i="397"/>
  <c r="I18" i="397"/>
  <c r="H18" i="397"/>
  <c r="D18" i="397"/>
  <c r="B18" i="397"/>
  <c r="I17" i="397"/>
  <c r="H17" i="397"/>
  <c r="D17" i="397"/>
  <c r="B17" i="397"/>
  <c r="I16" i="397"/>
  <c r="H16" i="397"/>
  <c r="D16" i="397"/>
  <c r="B16" i="397"/>
  <c r="I15" i="397"/>
  <c r="H15" i="397"/>
  <c r="D15" i="397"/>
  <c r="B15" i="397"/>
  <c r="I14" i="397"/>
  <c r="H14" i="397"/>
  <c r="D14" i="397"/>
  <c r="B14" i="397"/>
  <c r="I13" i="397"/>
  <c r="H13" i="397"/>
  <c r="D13" i="397"/>
  <c r="B13" i="397"/>
  <c r="I12" i="397"/>
  <c r="H12" i="397"/>
  <c r="D12" i="397"/>
  <c r="B12" i="397"/>
  <c r="I11" i="397"/>
  <c r="H11" i="397"/>
  <c r="D11" i="397"/>
  <c r="B11" i="397"/>
  <c r="I10" i="397"/>
  <c r="H10" i="397"/>
  <c r="D10" i="397"/>
  <c r="B10" i="397"/>
  <c r="K9" i="397"/>
  <c r="I9" i="397"/>
  <c r="H9" i="397"/>
  <c r="D9" i="397"/>
  <c r="B9" i="397"/>
  <c r="J8" i="397"/>
  <c r="D86" i="53" s="1"/>
  <c r="E8" i="397"/>
  <c r="I7" i="397"/>
  <c r="K7" i="397" s="1"/>
  <c r="M7" i="397" s="1"/>
  <c r="M5" i="397"/>
  <c r="I5" i="397"/>
  <c r="H5" i="397"/>
  <c r="G5" i="397"/>
  <c r="F5" i="397"/>
  <c r="E5" i="397"/>
  <c r="D5" i="397"/>
  <c r="C5" i="397"/>
  <c r="B5" i="397"/>
  <c r="C4" i="397"/>
  <c r="H92" i="421" l="1"/>
  <c r="G62" i="354"/>
  <c r="G163" i="354"/>
  <c r="I163" i="354"/>
  <c r="L163" i="354" s="1"/>
  <c r="D8" i="397"/>
  <c r="E41" i="397"/>
  <c r="K41" i="397" s="1"/>
  <c r="M9" i="397"/>
  <c r="K10" i="397"/>
  <c r="K11" i="397" s="1"/>
  <c r="M11" i="397" s="1"/>
  <c r="I86" i="53"/>
  <c r="H86" i="53"/>
  <c r="E62" i="354"/>
  <c r="G29" i="404"/>
  <c r="M28" i="404"/>
  <c r="H28" i="404"/>
  <c r="M29" i="403"/>
  <c r="G18" i="402"/>
  <c r="H17" i="402"/>
  <c r="N17" i="402"/>
  <c r="G18" i="401"/>
  <c r="L17" i="401"/>
  <c r="H17" i="401"/>
  <c r="H15" i="400"/>
  <c r="L15" i="400"/>
  <c r="G16" i="400"/>
  <c r="E41" i="399"/>
  <c r="J97" i="341"/>
  <c r="M97" i="341" s="1"/>
  <c r="J211" i="53"/>
  <c r="M211" i="53" s="1"/>
  <c r="D41" i="399"/>
  <c r="E41" i="398"/>
  <c r="G41" i="398" s="1"/>
  <c r="H210" i="53"/>
  <c r="G10" i="399"/>
  <c r="H9" i="399"/>
  <c r="N9" i="399"/>
  <c r="H9" i="398"/>
  <c r="G10" i="398"/>
  <c r="M9" i="398"/>
  <c r="J9" i="397"/>
  <c r="J10" i="397" s="1"/>
  <c r="S10" i="397" s="1"/>
  <c r="D40" i="397"/>
  <c r="D27" i="299"/>
  <c r="D28" i="299"/>
  <c r="D9" i="346"/>
  <c r="K86" i="53" l="1"/>
  <c r="K12" i="397"/>
  <c r="K13" i="397" s="1"/>
  <c r="K163" i="354"/>
  <c r="N70" i="421" s="1"/>
  <c r="I62" i="354"/>
  <c r="K62" i="354" s="1"/>
  <c r="H62" i="354"/>
  <c r="S9" i="397"/>
  <c r="M10" i="397"/>
  <c r="D41" i="397"/>
  <c r="J41" i="397" s="1"/>
  <c r="F86" i="53"/>
  <c r="J86" i="53" s="1"/>
  <c r="J11" i="397"/>
  <c r="L11" i="397" s="1"/>
  <c r="L10" i="397"/>
  <c r="L9" i="397"/>
  <c r="G30" i="404"/>
  <c r="M29" i="404"/>
  <c r="H29" i="404"/>
  <c r="M30" i="403"/>
  <c r="G41" i="399"/>
  <c r="N18" i="402"/>
  <c r="G19" i="402"/>
  <c r="H18" i="402"/>
  <c r="G19" i="401"/>
  <c r="L18" i="401"/>
  <c r="H18" i="401"/>
  <c r="J210" i="53"/>
  <c r="M210" i="53" s="1"/>
  <c r="H96" i="341"/>
  <c r="H16" i="400"/>
  <c r="L16" i="400"/>
  <c r="G17" i="400"/>
  <c r="N10" i="399"/>
  <c r="G11" i="399"/>
  <c r="H10" i="399"/>
  <c r="H10" i="398"/>
  <c r="G11" i="398"/>
  <c r="M10" i="398"/>
  <c r="E72" i="355" l="1"/>
  <c r="M12" i="397"/>
  <c r="S11" i="397"/>
  <c r="J12" i="397"/>
  <c r="L12" i="397" s="1"/>
  <c r="J96" i="341"/>
  <c r="M96" i="341" s="1"/>
  <c r="I162" i="354"/>
  <c r="L162" i="354" s="1"/>
  <c r="G31" i="404"/>
  <c r="M30" i="404"/>
  <c r="H30" i="404"/>
  <c r="M31" i="403"/>
  <c r="G20" i="402"/>
  <c r="H19" i="402"/>
  <c r="N19" i="402"/>
  <c r="G20" i="401"/>
  <c r="L19" i="401"/>
  <c r="H19" i="401"/>
  <c r="H17" i="400"/>
  <c r="L17" i="400"/>
  <c r="G18" i="400"/>
  <c r="G12" i="399"/>
  <c r="H11" i="399"/>
  <c r="N11" i="399"/>
  <c r="H11" i="398"/>
  <c r="G12" i="398"/>
  <c r="M11" i="398"/>
  <c r="M13" i="397"/>
  <c r="K14" i="397"/>
  <c r="S12" i="397"/>
  <c r="L40" i="387"/>
  <c r="E10" i="329"/>
  <c r="E11" i="329"/>
  <c r="E12" i="329"/>
  <c r="E13" i="329"/>
  <c r="E14" i="329"/>
  <c r="E15" i="329"/>
  <c r="E16" i="329"/>
  <c r="E17" i="329"/>
  <c r="E18" i="329"/>
  <c r="E19" i="329"/>
  <c r="E20" i="329"/>
  <c r="E21" i="329"/>
  <c r="E22" i="329"/>
  <c r="E23" i="329"/>
  <c r="E24" i="329"/>
  <c r="E25" i="329"/>
  <c r="E26" i="329"/>
  <c r="E27" i="329"/>
  <c r="E28" i="329"/>
  <c r="E29" i="329"/>
  <c r="E30" i="329"/>
  <c r="E31" i="329"/>
  <c r="E32" i="329"/>
  <c r="E33" i="329"/>
  <c r="E34" i="329"/>
  <c r="E35" i="329"/>
  <c r="E36" i="329"/>
  <c r="E37" i="329"/>
  <c r="E38" i="329"/>
  <c r="E39" i="329"/>
  <c r="E9" i="329"/>
  <c r="G91" i="421" l="1"/>
  <c r="P91" i="421" s="1"/>
  <c r="J13" i="397"/>
  <c r="S13" i="397" s="1"/>
  <c r="K162" i="354"/>
  <c r="N69" i="421" s="1"/>
  <c r="G32" i="404"/>
  <c r="M31" i="404"/>
  <c r="H31" i="404"/>
  <c r="M32" i="403"/>
  <c r="N20" i="402"/>
  <c r="G21" i="402"/>
  <c r="H20" i="402"/>
  <c r="G21" i="401"/>
  <c r="L20" i="401"/>
  <c r="H20" i="401"/>
  <c r="H18" i="400"/>
  <c r="L18" i="400"/>
  <c r="G19" i="400"/>
  <c r="N12" i="399"/>
  <c r="G13" i="399"/>
  <c r="H12" i="399"/>
  <c r="H12" i="398"/>
  <c r="G13" i="398"/>
  <c r="M12" i="398"/>
  <c r="K15" i="397"/>
  <c r="M14" i="397"/>
  <c r="L40" i="390"/>
  <c r="E10" i="246"/>
  <c r="E11" i="246"/>
  <c r="E12" i="246"/>
  <c r="E13" i="246"/>
  <c r="E14" i="246"/>
  <c r="E15" i="246"/>
  <c r="E16" i="246"/>
  <c r="E17" i="246"/>
  <c r="E18" i="246"/>
  <c r="E19" i="246"/>
  <c r="E20" i="246"/>
  <c r="E21" i="246"/>
  <c r="E22" i="246"/>
  <c r="E23" i="246"/>
  <c r="E24" i="246"/>
  <c r="E25" i="246"/>
  <c r="E26" i="246"/>
  <c r="E27" i="246"/>
  <c r="E28" i="246"/>
  <c r="E29" i="246"/>
  <c r="E30" i="246"/>
  <c r="E31" i="246"/>
  <c r="E32" i="246"/>
  <c r="E33" i="246"/>
  <c r="E34" i="246"/>
  <c r="E35" i="246"/>
  <c r="E36" i="246"/>
  <c r="E37" i="246"/>
  <c r="E38" i="246"/>
  <c r="E39" i="246"/>
  <c r="E9" i="246"/>
  <c r="L40" i="246"/>
  <c r="E10" i="394"/>
  <c r="E11" i="394"/>
  <c r="E12" i="394"/>
  <c r="E13" i="394"/>
  <c r="E14" i="394"/>
  <c r="E15" i="394"/>
  <c r="E16" i="394"/>
  <c r="E17" i="394"/>
  <c r="E18" i="394"/>
  <c r="E19" i="394"/>
  <c r="E20" i="394"/>
  <c r="E21" i="394"/>
  <c r="E22" i="394"/>
  <c r="E23" i="394"/>
  <c r="E24" i="394"/>
  <c r="E25" i="394"/>
  <c r="E26" i="394"/>
  <c r="E27" i="394"/>
  <c r="E28" i="394"/>
  <c r="E29" i="394"/>
  <c r="E30" i="394"/>
  <c r="E31" i="394"/>
  <c r="E32" i="394"/>
  <c r="E33" i="394"/>
  <c r="E34" i="394"/>
  <c r="E35" i="394"/>
  <c r="E36" i="394"/>
  <c r="E37" i="394"/>
  <c r="E38" i="394"/>
  <c r="E39" i="394"/>
  <c r="E9" i="394"/>
  <c r="L40" i="394"/>
  <c r="E10" i="350"/>
  <c r="E11" i="350"/>
  <c r="E12" i="350"/>
  <c r="E13" i="350"/>
  <c r="E14" i="350"/>
  <c r="E15" i="350"/>
  <c r="E16" i="350"/>
  <c r="E17" i="350"/>
  <c r="E18" i="350"/>
  <c r="E19" i="350"/>
  <c r="E20" i="350"/>
  <c r="E21" i="350"/>
  <c r="E22" i="350"/>
  <c r="E23" i="350"/>
  <c r="E24" i="350"/>
  <c r="E25" i="350"/>
  <c r="E26" i="350"/>
  <c r="E27" i="350"/>
  <c r="E28" i="350"/>
  <c r="E29" i="350"/>
  <c r="E30" i="350"/>
  <c r="E31" i="350"/>
  <c r="E32" i="350"/>
  <c r="E33" i="350"/>
  <c r="E34" i="350"/>
  <c r="E35" i="350"/>
  <c r="E36" i="350"/>
  <c r="E37" i="350"/>
  <c r="E38" i="350"/>
  <c r="E39" i="350"/>
  <c r="E9" i="350"/>
  <c r="L40" i="350"/>
  <c r="E10" i="331"/>
  <c r="E11" i="331"/>
  <c r="E12" i="331"/>
  <c r="E13" i="331"/>
  <c r="E14" i="331"/>
  <c r="E15" i="331"/>
  <c r="E16" i="331"/>
  <c r="E17" i="331"/>
  <c r="E18" i="331"/>
  <c r="E19" i="331"/>
  <c r="E20" i="331"/>
  <c r="E21" i="331"/>
  <c r="E22" i="331"/>
  <c r="E23" i="331"/>
  <c r="E24" i="331"/>
  <c r="E25" i="331"/>
  <c r="E26" i="331"/>
  <c r="E27" i="331"/>
  <c r="E28" i="331"/>
  <c r="E29" i="331"/>
  <c r="E30" i="331"/>
  <c r="E31" i="331"/>
  <c r="E32" i="331"/>
  <c r="E33" i="331"/>
  <c r="E34" i="331"/>
  <c r="E35" i="331"/>
  <c r="E36" i="331"/>
  <c r="E37" i="331"/>
  <c r="E38" i="331"/>
  <c r="E39" i="331"/>
  <c r="E9" i="331"/>
  <c r="L40" i="331"/>
  <c r="L40" i="329"/>
  <c r="E10" i="325"/>
  <c r="E11" i="325"/>
  <c r="E12" i="325"/>
  <c r="E13" i="325"/>
  <c r="E14" i="325"/>
  <c r="E15" i="325"/>
  <c r="E16" i="325"/>
  <c r="E17" i="325"/>
  <c r="E18" i="325"/>
  <c r="E19" i="325"/>
  <c r="E20" i="325"/>
  <c r="E21" i="325"/>
  <c r="E22" i="325"/>
  <c r="E23" i="325"/>
  <c r="E24" i="325"/>
  <c r="E25" i="325"/>
  <c r="E26" i="325"/>
  <c r="E27" i="325"/>
  <c r="E28" i="325"/>
  <c r="E29" i="325"/>
  <c r="E30" i="325"/>
  <c r="E31" i="325"/>
  <c r="E32" i="325"/>
  <c r="E33" i="325"/>
  <c r="E34" i="325"/>
  <c r="E35" i="325"/>
  <c r="E36" i="325"/>
  <c r="E37" i="325"/>
  <c r="E38" i="325"/>
  <c r="E39" i="325"/>
  <c r="E9" i="325"/>
  <c r="M40" i="325"/>
  <c r="J14" i="397" l="1"/>
  <c r="L14" i="397" s="1"/>
  <c r="L13" i="397"/>
  <c r="H91" i="421"/>
  <c r="G33" i="404"/>
  <c r="M32" i="404"/>
  <c r="H32" i="404"/>
  <c r="M33" i="403"/>
  <c r="G22" i="402"/>
  <c r="H21" i="402"/>
  <c r="N21" i="402"/>
  <c r="G22" i="401"/>
  <c r="L21" i="401"/>
  <c r="H21" i="401"/>
  <c r="H19" i="400"/>
  <c r="L19" i="400"/>
  <c r="G20" i="400"/>
  <c r="G14" i="399"/>
  <c r="H13" i="399"/>
  <c r="N13" i="399"/>
  <c r="H13" i="398"/>
  <c r="G14" i="398"/>
  <c r="M13" i="398"/>
  <c r="M15" i="397"/>
  <c r="K16" i="397"/>
  <c r="S14" i="397" l="1"/>
  <c r="J15" i="397"/>
  <c r="J16" i="397" s="1"/>
  <c r="G90" i="421"/>
  <c r="P90" i="421" s="1"/>
  <c r="G34" i="404"/>
  <c r="M33" i="404"/>
  <c r="H33" i="404"/>
  <c r="M34" i="403"/>
  <c r="N22" i="402"/>
  <c r="G23" i="402"/>
  <c r="H22" i="402"/>
  <c r="G23" i="401"/>
  <c r="L22" i="401"/>
  <c r="H22" i="401"/>
  <c r="H20" i="400"/>
  <c r="L20" i="400"/>
  <c r="G21" i="400"/>
  <c r="N14" i="399"/>
  <c r="G15" i="399"/>
  <c r="H14" i="399"/>
  <c r="H14" i="398"/>
  <c r="G15" i="398"/>
  <c r="M14" i="398"/>
  <c r="K17" i="397"/>
  <c r="M16" i="397"/>
  <c r="L15" i="397" l="1"/>
  <c r="S15" i="397"/>
  <c r="H90" i="421"/>
  <c r="G35" i="404"/>
  <c r="M34" i="404"/>
  <c r="H34" i="404"/>
  <c r="M35" i="403"/>
  <c r="G24" i="402"/>
  <c r="H23" i="402"/>
  <c r="N23" i="402"/>
  <c r="G24" i="401"/>
  <c r="L23" i="401"/>
  <c r="H23" i="401"/>
  <c r="H21" i="400"/>
  <c r="L21" i="400"/>
  <c r="G22" i="400"/>
  <c r="G16" i="399"/>
  <c r="H15" i="399"/>
  <c r="N15" i="399"/>
  <c r="H15" i="398"/>
  <c r="G16" i="398"/>
  <c r="M15" i="398"/>
  <c r="S16" i="397"/>
  <c r="L16" i="397"/>
  <c r="J17" i="397"/>
  <c r="M17" i="397"/>
  <c r="K18" i="397"/>
  <c r="D24" i="385"/>
  <c r="D25" i="385"/>
  <c r="G36" i="404" l="1"/>
  <c r="M35" i="404"/>
  <c r="H35" i="404"/>
  <c r="M36" i="403"/>
  <c r="N24" i="402"/>
  <c r="G25" i="402"/>
  <c r="H24" i="402"/>
  <c r="G25" i="401"/>
  <c r="L24" i="401"/>
  <c r="H24" i="401"/>
  <c r="H22" i="400"/>
  <c r="L22" i="400"/>
  <c r="G23" i="400"/>
  <c r="N16" i="399"/>
  <c r="G17" i="399"/>
  <c r="H16" i="399"/>
  <c r="H16" i="398"/>
  <c r="G17" i="398"/>
  <c r="M16" i="398"/>
  <c r="K19" i="397"/>
  <c r="M18" i="397"/>
  <c r="J18" i="397"/>
  <c r="S17" i="397"/>
  <c r="L17" i="397"/>
  <c r="G37" i="404" l="1"/>
  <c r="M36" i="404"/>
  <c r="H36" i="404"/>
  <c r="M37" i="403"/>
  <c r="G26" i="402"/>
  <c r="H25" i="402"/>
  <c r="N25" i="402"/>
  <c r="G26" i="401"/>
  <c r="L25" i="401"/>
  <c r="H25" i="401"/>
  <c r="H23" i="400"/>
  <c r="L23" i="400"/>
  <c r="G24" i="400"/>
  <c r="G18" i="399"/>
  <c r="H17" i="399"/>
  <c r="N17" i="399"/>
  <c r="H17" i="398"/>
  <c r="G18" i="398"/>
  <c r="M17" i="398"/>
  <c r="S18" i="397"/>
  <c r="L18" i="397"/>
  <c r="J19" i="397"/>
  <c r="M19" i="397"/>
  <c r="K20" i="397"/>
  <c r="E33" i="53"/>
  <c r="B33" i="53"/>
  <c r="J46" i="396"/>
  <c r="E40" i="396"/>
  <c r="G33" i="53" s="1"/>
  <c r="D39" i="396"/>
  <c r="B39" i="396"/>
  <c r="D38" i="396"/>
  <c r="B38" i="396"/>
  <c r="D37" i="396"/>
  <c r="B37" i="396"/>
  <c r="D36" i="396"/>
  <c r="B36" i="396"/>
  <c r="D35" i="396"/>
  <c r="B35" i="396"/>
  <c r="D34" i="396"/>
  <c r="B34" i="396"/>
  <c r="D33" i="396"/>
  <c r="B33" i="396"/>
  <c r="D32" i="396"/>
  <c r="B32" i="396"/>
  <c r="D31" i="396"/>
  <c r="B31" i="396"/>
  <c r="D30" i="396"/>
  <c r="B30" i="396"/>
  <c r="D29" i="396"/>
  <c r="B29" i="396"/>
  <c r="D28" i="396"/>
  <c r="B28" i="396"/>
  <c r="D27" i="396"/>
  <c r="B27" i="396"/>
  <c r="D26" i="396"/>
  <c r="B26" i="396"/>
  <c r="B25" i="396"/>
  <c r="B24" i="396"/>
  <c r="D23" i="396"/>
  <c r="B23" i="396"/>
  <c r="D22" i="396"/>
  <c r="B22" i="396"/>
  <c r="D21" i="396"/>
  <c r="B21" i="396"/>
  <c r="D20" i="396"/>
  <c r="B20" i="396"/>
  <c r="D19" i="396"/>
  <c r="B19" i="396"/>
  <c r="D18" i="396"/>
  <c r="B18" i="396"/>
  <c r="D17" i="396"/>
  <c r="B17" i="396"/>
  <c r="D16" i="396"/>
  <c r="B16" i="396"/>
  <c r="D15" i="396"/>
  <c r="B15" i="396"/>
  <c r="D14" i="396"/>
  <c r="B14" i="396"/>
  <c r="D13" i="396"/>
  <c r="B13" i="396"/>
  <c r="D12" i="396"/>
  <c r="B12" i="396"/>
  <c r="D11" i="396"/>
  <c r="B11" i="396"/>
  <c r="I37" i="396"/>
  <c r="D10" i="396"/>
  <c r="B10" i="396"/>
  <c r="D9" i="396"/>
  <c r="B9" i="396"/>
  <c r="J8" i="396"/>
  <c r="D33" i="53" s="1"/>
  <c r="E8" i="396"/>
  <c r="I7" i="396"/>
  <c r="K7" i="396" s="1"/>
  <c r="M7" i="396" s="1"/>
  <c r="M5" i="396"/>
  <c r="I5" i="396"/>
  <c r="H5" i="396"/>
  <c r="G5" i="396"/>
  <c r="F5" i="396"/>
  <c r="E5" i="396"/>
  <c r="D5" i="396"/>
  <c r="C5" i="396"/>
  <c r="B5" i="396"/>
  <c r="C4" i="396"/>
  <c r="G63" i="354" l="1"/>
  <c r="E63" i="354"/>
  <c r="D8" i="396"/>
  <c r="G38" i="404"/>
  <c r="M37" i="404"/>
  <c r="H37" i="404"/>
  <c r="M38" i="403"/>
  <c r="N26" i="402"/>
  <c r="G27" i="402"/>
  <c r="H26" i="402"/>
  <c r="G27" i="401"/>
  <c r="L26" i="401"/>
  <c r="H26" i="401"/>
  <c r="H24" i="400"/>
  <c r="L24" i="400"/>
  <c r="G25" i="400"/>
  <c r="N18" i="399"/>
  <c r="G19" i="399"/>
  <c r="H18" i="399"/>
  <c r="H18" i="398"/>
  <c r="G19" i="398"/>
  <c r="M18" i="398"/>
  <c r="K21" i="397"/>
  <c r="M20" i="397"/>
  <c r="J20" i="397"/>
  <c r="L19" i="397"/>
  <c r="S19" i="397"/>
  <c r="D40" i="396"/>
  <c r="F33" i="53" s="1"/>
  <c r="E41" i="396"/>
  <c r="H39" i="396"/>
  <c r="H37" i="396"/>
  <c r="H35" i="396"/>
  <c r="H33" i="396"/>
  <c r="H31" i="396"/>
  <c r="H29" i="396"/>
  <c r="H27" i="396"/>
  <c r="H25" i="396"/>
  <c r="H23" i="396"/>
  <c r="H21" i="396"/>
  <c r="H19" i="396"/>
  <c r="H9" i="396"/>
  <c r="J9" i="396"/>
  <c r="I10" i="396"/>
  <c r="H11" i="396"/>
  <c r="I12" i="396"/>
  <c r="H13" i="396"/>
  <c r="I14" i="396"/>
  <c r="H15" i="396"/>
  <c r="I16" i="396"/>
  <c r="H17" i="396"/>
  <c r="H20" i="396"/>
  <c r="I21" i="396"/>
  <c r="H24" i="396"/>
  <c r="I25" i="396"/>
  <c r="H28" i="396"/>
  <c r="I29" i="396"/>
  <c r="H32" i="396"/>
  <c r="I33" i="396"/>
  <c r="H36" i="396"/>
  <c r="F40" i="396"/>
  <c r="H33" i="53" s="1"/>
  <c r="G40" i="396"/>
  <c r="I33" i="53" s="1"/>
  <c r="I38" i="396"/>
  <c r="I36" i="396"/>
  <c r="I34" i="396"/>
  <c r="I32" i="396"/>
  <c r="I30" i="396"/>
  <c r="I28" i="396"/>
  <c r="I26" i="396"/>
  <c r="I24" i="396"/>
  <c r="I22" i="396"/>
  <c r="I20" i="396"/>
  <c r="I18" i="396"/>
  <c r="I9" i="396"/>
  <c r="K9" i="396"/>
  <c r="H10" i="396"/>
  <c r="I11" i="396"/>
  <c r="H12" i="396"/>
  <c r="I13" i="396"/>
  <c r="H14" i="396"/>
  <c r="I15" i="396"/>
  <c r="H16" i="396"/>
  <c r="I17" i="396"/>
  <c r="H18" i="396"/>
  <c r="I19" i="396"/>
  <c r="H22" i="396"/>
  <c r="I23" i="396"/>
  <c r="H26" i="396"/>
  <c r="I27" i="396"/>
  <c r="H30" i="396"/>
  <c r="I31" i="396"/>
  <c r="H34" i="396"/>
  <c r="I35" i="396"/>
  <c r="H38" i="396"/>
  <c r="I39" i="396"/>
  <c r="H63" i="354" l="1"/>
  <c r="D41" i="396"/>
  <c r="G39" i="404"/>
  <c r="M38" i="404"/>
  <c r="H38" i="404"/>
  <c r="G40" i="403"/>
  <c r="M39" i="403"/>
  <c r="G28" i="402"/>
  <c r="H27" i="402"/>
  <c r="N27" i="402"/>
  <c r="G28" i="401"/>
  <c r="L27" i="401"/>
  <c r="H27" i="401"/>
  <c r="H25" i="400"/>
  <c r="L25" i="400"/>
  <c r="G26" i="400"/>
  <c r="G20" i="399"/>
  <c r="H19" i="399"/>
  <c r="N19" i="399"/>
  <c r="H19" i="398"/>
  <c r="G20" i="398"/>
  <c r="M19" i="398"/>
  <c r="S20" i="397"/>
  <c r="L20" i="397"/>
  <c r="J21" i="397"/>
  <c r="M21" i="397"/>
  <c r="K22" i="397"/>
  <c r="K33" i="53"/>
  <c r="I63" i="354"/>
  <c r="K63" i="354" s="1"/>
  <c r="J33" i="53"/>
  <c r="M9" i="396"/>
  <c r="K10" i="396"/>
  <c r="L57" i="396"/>
  <c r="F41" i="396"/>
  <c r="J10" i="396"/>
  <c r="S9" i="396"/>
  <c r="L9" i="396"/>
  <c r="G41" i="396"/>
  <c r="K41" i="396" s="1"/>
  <c r="M57" i="396"/>
  <c r="E73" i="355" l="1"/>
  <c r="J41" i="396"/>
  <c r="M39" i="404"/>
  <c r="G40" i="404"/>
  <c r="H39" i="404"/>
  <c r="N28" i="402"/>
  <c r="G29" i="402"/>
  <c r="H28" i="402"/>
  <c r="G29" i="401"/>
  <c r="L28" i="401"/>
  <c r="H28" i="401"/>
  <c r="H26" i="400"/>
  <c r="L26" i="400"/>
  <c r="G27" i="400"/>
  <c r="N20" i="399"/>
  <c r="G21" i="399"/>
  <c r="H20" i="399"/>
  <c r="H20" i="398"/>
  <c r="G21" i="398"/>
  <c r="M20" i="398"/>
  <c r="K23" i="397"/>
  <c r="M22" i="397"/>
  <c r="J22" i="397"/>
  <c r="S21" i="397"/>
  <c r="L21" i="397"/>
  <c r="S10" i="396"/>
  <c r="L10" i="396"/>
  <c r="J11" i="396"/>
  <c r="K11" i="396"/>
  <c r="M10" i="396"/>
  <c r="G30" i="402" l="1"/>
  <c r="H29" i="402"/>
  <c r="N29" i="402"/>
  <c r="G30" i="401"/>
  <c r="L29" i="401"/>
  <c r="H29" i="401"/>
  <c r="H27" i="400"/>
  <c r="L27" i="400"/>
  <c r="G28" i="400"/>
  <c r="G22" i="399"/>
  <c r="H21" i="399"/>
  <c r="N21" i="399"/>
  <c r="H21" i="398"/>
  <c r="G22" i="398"/>
  <c r="M21" i="398"/>
  <c r="S22" i="397"/>
  <c r="L22" i="397"/>
  <c r="J23" i="397"/>
  <c r="M23" i="397"/>
  <c r="K24" i="397"/>
  <c r="J12" i="396"/>
  <c r="S11" i="396"/>
  <c r="L11" i="396"/>
  <c r="M11" i="396"/>
  <c r="K12" i="396"/>
  <c r="N30" i="402" l="1"/>
  <c r="G31" i="402"/>
  <c r="H30" i="402"/>
  <c r="G31" i="401"/>
  <c r="L30" i="401"/>
  <c r="H30" i="401"/>
  <c r="H28" i="400"/>
  <c r="L28" i="400"/>
  <c r="G29" i="400"/>
  <c r="N22" i="399"/>
  <c r="G23" i="399"/>
  <c r="H22" i="399"/>
  <c r="H22" i="398"/>
  <c r="G23" i="398"/>
  <c r="M22" i="398"/>
  <c r="K25" i="397"/>
  <c r="M24" i="397"/>
  <c r="J24" i="397"/>
  <c r="L23" i="397"/>
  <c r="S23" i="397"/>
  <c r="K13" i="396"/>
  <c r="M12" i="396"/>
  <c r="S12" i="396"/>
  <c r="L12" i="396"/>
  <c r="J13" i="396"/>
  <c r="G32" i="402" l="1"/>
  <c r="H31" i="402"/>
  <c r="N31" i="402"/>
  <c r="G32" i="401"/>
  <c r="L31" i="401"/>
  <c r="H31" i="401"/>
  <c r="H29" i="400"/>
  <c r="L29" i="400"/>
  <c r="G30" i="400"/>
  <c r="G24" i="399"/>
  <c r="H23" i="399"/>
  <c r="N23" i="399"/>
  <c r="H23" i="398"/>
  <c r="G24" i="398"/>
  <c r="M23" i="398"/>
  <c r="S24" i="397"/>
  <c r="L24" i="397"/>
  <c r="J25" i="397"/>
  <c r="M25" i="397"/>
  <c r="K26" i="397"/>
  <c r="J14" i="396"/>
  <c r="S13" i="396"/>
  <c r="L13" i="396"/>
  <c r="M13" i="396"/>
  <c r="K14" i="396"/>
  <c r="N32" i="402" l="1"/>
  <c r="G33" i="402"/>
  <c r="H32" i="402"/>
  <c r="G33" i="401"/>
  <c r="L32" i="401"/>
  <c r="H32" i="401"/>
  <c r="H30" i="400"/>
  <c r="G31" i="400"/>
  <c r="L30" i="400"/>
  <c r="N24" i="399"/>
  <c r="G25" i="399"/>
  <c r="H24" i="399"/>
  <c r="H24" i="398"/>
  <c r="G25" i="398"/>
  <c r="M24" i="398"/>
  <c r="K27" i="397"/>
  <c r="M26" i="397"/>
  <c r="J26" i="397"/>
  <c r="S25" i="397"/>
  <c r="L25" i="397"/>
  <c r="K15" i="396"/>
  <c r="M14" i="396"/>
  <c r="S14" i="396"/>
  <c r="L14" i="396"/>
  <c r="J15" i="396"/>
  <c r="G34" i="402" l="1"/>
  <c r="H33" i="402"/>
  <c r="N33" i="402"/>
  <c r="G34" i="401"/>
  <c r="L33" i="401"/>
  <c r="H33" i="401"/>
  <c r="H31" i="400"/>
  <c r="G32" i="400"/>
  <c r="L31" i="400"/>
  <c r="G26" i="399"/>
  <c r="H25" i="399"/>
  <c r="N25" i="399"/>
  <c r="H25" i="398"/>
  <c r="G26" i="398"/>
  <c r="M25" i="398"/>
  <c r="S26" i="397"/>
  <c r="L26" i="397"/>
  <c r="J27" i="397"/>
  <c r="M27" i="397"/>
  <c r="K28" i="397"/>
  <c r="J16" i="396"/>
  <c r="S15" i="396"/>
  <c r="L15" i="396"/>
  <c r="M15" i="396"/>
  <c r="K16" i="396"/>
  <c r="L24" i="341"/>
  <c r="L129" i="53"/>
  <c r="D129" i="53"/>
  <c r="D24" i="341" s="1"/>
  <c r="B129" i="53"/>
  <c r="B24" i="341" s="1"/>
  <c r="C4" i="395"/>
  <c r="K40" i="395"/>
  <c r="J40" i="395"/>
  <c r="I40" i="395"/>
  <c r="D40" i="395"/>
  <c r="F129" i="53" s="1"/>
  <c r="F24" i="341" s="1"/>
  <c r="E39" i="395"/>
  <c r="B39" i="395"/>
  <c r="E38" i="395"/>
  <c r="B38" i="395"/>
  <c r="E37" i="395"/>
  <c r="B37" i="395"/>
  <c r="E36" i="395"/>
  <c r="B36" i="395"/>
  <c r="E35" i="395"/>
  <c r="B35" i="395"/>
  <c r="E34" i="395"/>
  <c r="B34" i="395"/>
  <c r="E33" i="395"/>
  <c r="B33" i="395"/>
  <c r="E32" i="395"/>
  <c r="B32" i="395"/>
  <c r="E31" i="395"/>
  <c r="B31" i="395"/>
  <c r="E30" i="395"/>
  <c r="B30" i="395"/>
  <c r="E29" i="395"/>
  <c r="B29" i="395"/>
  <c r="E28" i="395"/>
  <c r="B28" i="395"/>
  <c r="E27" i="395"/>
  <c r="B27" i="395"/>
  <c r="E26" i="395"/>
  <c r="B26" i="395"/>
  <c r="E25" i="395"/>
  <c r="B25" i="395"/>
  <c r="E24" i="395"/>
  <c r="B24" i="395"/>
  <c r="E23" i="395"/>
  <c r="B23" i="395"/>
  <c r="E22" i="395"/>
  <c r="B22" i="395"/>
  <c r="E21" i="395"/>
  <c r="B21" i="395"/>
  <c r="E20" i="395"/>
  <c r="B20" i="395"/>
  <c r="E19" i="395"/>
  <c r="B19" i="395"/>
  <c r="E18" i="395"/>
  <c r="B18" i="395"/>
  <c r="E17" i="395"/>
  <c r="B17" i="395"/>
  <c r="E16" i="395"/>
  <c r="B16" i="395"/>
  <c r="E15" i="395"/>
  <c r="B15" i="395"/>
  <c r="E14" i="395"/>
  <c r="B14" i="395"/>
  <c r="E13" i="395"/>
  <c r="B13" i="395"/>
  <c r="E12" i="395"/>
  <c r="B12" i="395"/>
  <c r="E11" i="395"/>
  <c r="B11" i="395"/>
  <c r="E10" i="395"/>
  <c r="B10" i="395"/>
  <c r="F9" i="395"/>
  <c r="E9" i="395"/>
  <c r="B9" i="395"/>
  <c r="D8" i="395"/>
  <c r="D41" i="395" s="1"/>
  <c r="I5" i="395"/>
  <c r="H5" i="395"/>
  <c r="G5" i="395"/>
  <c r="F5" i="395"/>
  <c r="E5" i="395"/>
  <c r="D5" i="395"/>
  <c r="C5" i="395"/>
  <c r="B5" i="395"/>
  <c r="G155" i="354" l="1"/>
  <c r="E155" i="354"/>
  <c r="N34" i="402"/>
  <c r="G35" i="402"/>
  <c r="H34" i="402"/>
  <c r="G35" i="401"/>
  <c r="L34" i="401"/>
  <c r="H34" i="401"/>
  <c r="H32" i="400"/>
  <c r="G33" i="400"/>
  <c r="L32" i="400"/>
  <c r="N26" i="399"/>
  <c r="G27" i="399"/>
  <c r="H26" i="399"/>
  <c r="H26" i="398"/>
  <c r="G27" i="398"/>
  <c r="M26" i="398"/>
  <c r="K29" i="397"/>
  <c r="M28" i="397"/>
  <c r="J28" i="397"/>
  <c r="L27" i="397"/>
  <c r="S27" i="397"/>
  <c r="K17" i="396"/>
  <c r="M16" i="396"/>
  <c r="S16" i="396"/>
  <c r="L16" i="396"/>
  <c r="J17" i="396"/>
  <c r="E40" i="395"/>
  <c r="H129" i="53" s="1"/>
  <c r="H24" i="341" s="1"/>
  <c r="F38" i="395"/>
  <c r="F37" i="395"/>
  <c r="F36" i="395"/>
  <c r="F35" i="395"/>
  <c r="F34" i="395"/>
  <c r="F33" i="395"/>
  <c r="F32" i="395"/>
  <c r="F10" i="395"/>
  <c r="F11" i="395"/>
  <c r="F12" i="395"/>
  <c r="F13" i="395"/>
  <c r="F14" i="395"/>
  <c r="F15" i="395"/>
  <c r="F16" i="395"/>
  <c r="F17" i="395"/>
  <c r="F18" i="395"/>
  <c r="F19" i="395"/>
  <c r="F20" i="395"/>
  <c r="F21" i="395"/>
  <c r="F22" i="395"/>
  <c r="F23" i="395"/>
  <c r="F24" i="395"/>
  <c r="F25" i="395"/>
  <c r="F26" i="395"/>
  <c r="F27" i="395"/>
  <c r="F28" i="395"/>
  <c r="F29" i="395"/>
  <c r="F30" i="395"/>
  <c r="F31" i="395"/>
  <c r="G9" i="395"/>
  <c r="G36" i="402" l="1"/>
  <c r="H35" i="402"/>
  <c r="N35" i="402"/>
  <c r="G36" i="401"/>
  <c r="L35" i="401"/>
  <c r="H35" i="401"/>
  <c r="H33" i="400"/>
  <c r="G34" i="400"/>
  <c r="L33" i="400"/>
  <c r="G28" i="399"/>
  <c r="H27" i="399"/>
  <c r="N27" i="399"/>
  <c r="H27" i="398"/>
  <c r="G28" i="398"/>
  <c r="M27" i="398"/>
  <c r="S28" i="397"/>
  <c r="L28" i="397"/>
  <c r="J29" i="397"/>
  <c r="M29" i="397"/>
  <c r="K30" i="397"/>
  <c r="J24" i="341"/>
  <c r="M24" i="341" s="1"/>
  <c r="I155" i="354"/>
  <c r="L155" i="354" s="1"/>
  <c r="E8" i="395"/>
  <c r="F39" i="395" s="1"/>
  <c r="E41" i="395"/>
  <c r="G41" i="395" s="1"/>
  <c r="S17" i="396"/>
  <c r="L17" i="396"/>
  <c r="J18" i="396"/>
  <c r="K18" i="396"/>
  <c r="M17" i="396"/>
  <c r="J129" i="53"/>
  <c r="M129" i="53" s="1"/>
  <c r="G10" i="395"/>
  <c r="L9" i="395"/>
  <c r="H9" i="395"/>
  <c r="N36" i="402" l="1"/>
  <c r="G37" i="402"/>
  <c r="H36" i="402"/>
  <c r="G37" i="401"/>
  <c r="L36" i="401"/>
  <c r="H36" i="401"/>
  <c r="H34" i="400"/>
  <c r="G35" i="400"/>
  <c r="L34" i="400"/>
  <c r="N28" i="399"/>
  <c r="G29" i="399"/>
  <c r="H28" i="399"/>
  <c r="H28" i="398"/>
  <c r="G29" i="398"/>
  <c r="M28" i="398"/>
  <c r="K31" i="397"/>
  <c r="M30" i="397"/>
  <c r="J30" i="397"/>
  <c r="S29" i="397"/>
  <c r="L29" i="397"/>
  <c r="K155" i="354"/>
  <c r="N62" i="421" s="1"/>
  <c r="J19" i="396"/>
  <c r="L18" i="396"/>
  <c r="S18" i="396"/>
  <c r="M18" i="396"/>
  <c r="K19" i="396"/>
  <c r="G11" i="395"/>
  <c r="L10" i="395"/>
  <c r="H10" i="395"/>
  <c r="G38" i="402" l="1"/>
  <c r="H37" i="402"/>
  <c r="N37" i="402"/>
  <c r="G38" i="401"/>
  <c r="L37" i="401"/>
  <c r="H37" i="401"/>
  <c r="H35" i="400"/>
  <c r="G36" i="400"/>
  <c r="L35" i="400"/>
  <c r="G30" i="399"/>
  <c r="H29" i="399"/>
  <c r="N29" i="399"/>
  <c r="H29" i="398"/>
  <c r="G30" i="398"/>
  <c r="M29" i="398"/>
  <c r="S30" i="397"/>
  <c r="L30" i="397"/>
  <c r="J31" i="397"/>
  <c r="M31" i="397"/>
  <c r="K32" i="397"/>
  <c r="K20" i="396"/>
  <c r="M19" i="396"/>
  <c r="S19" i="396"/>
  <c r="L19" i="396"/>
  <c r="J20" i="396"/>
  <c r="G12" i="395"/>
  <c r="L11" i="395"/>
  <c r="H11" i="395"/>
  <c r="L12" i="341"/>
  <c r="G84" i="421" l="1"/>
  <c r="P84" i="421" s="1"/>
  <c r="N38" i="402"/>
  <c r="G39" i="402"/>
  <c r="H38" i="402"/>
  <c r="G39" i="401"/>
  <c r="L38" i="401"/>
  <c r="H38" i="401"/>
  <c r="H36" i="400"/>
  <c r="G37" i="400"/>
  <c r="L36" i="400"/>
  <c r="N30" i="399"/>
  <c r="G31" i="399"/>
  <c r="H30" i="399"/>
  <c r="H30" i="398"/>
  <c r="G31" i="398"/>
  <c r="M30" i="398"/>
  <c r="K33" i="397"/>
  <c r="M32" i="397"/>
  <c r="J32" i="397"/>
  <c r="L31" i="397"/>
  <c r="S31" i="397"/>
  <c r="J21" i="396"/>
  <c r="S20" i="396"/>
  <c r="L20" i="396"/>
  <c r="M20" i="396"/>
  <c r="K21" i="396"/>
  <c r="G13" i="395"/>
  <c r="L12" i="395"/>
  <c r="H12" i="395"/>
  <c r="L121" i="53"/>
  <c r="D121" i="53"/>
  <c r="D12" i="341" s="1"/>
  <c r="B121" i="53"/>
  <c r="B12" i="341" s="1"/>
  <c r="C4" i="394"/>
  <c r="N40" i="394"/>
  <c r="M40" i="394"/>
  <c r="K40" i="394"/>
  <c r="J40" i="394"/>
  <c r="I40" i="394"/>
  <c r="D39" i="394"/>
  <c r="B39" i="394"/>
  <c r="D38" i="394"/>
  <c r="B38" i="394"/>
  <c r="D37" i="394"/>
  <c r="B37" i="394"/>
  <c r="D36" i="394"/>
  <c r="B36" i="394"/>
  <c r="D35" i="394"/>
  <c r="B35" i="394"/>
  <c r="D34" i="394"/>
  <c r="B34" i="394"/>
  <c r="D33" i="394"/>
  <c r="B33" i="394"/>
  <c r="D32" i="394"/>
  <c r="B32" i="394"/>
  <c r="D31" i="394"/>
  <c r="B31" i="394"/>
  <c r="D30" i="394"/>
  <c r="B30" i="394"/>
  <c r="D29" i="394"/>
  <c r="B29" i="394"/>
  <c r="D28" i="394"/>
  <c r="B28" i="394"/>
  <c r="D27" i="394"/>
  <c r="B27" i="394"/>
  <c r="D26" i="394"/>
  <c r="B26" i="394"/>
  <c r="D25" i="394"/>
  <c r="B25" i="394"/>
  <c r="B24" i="394"/>
  <c r="B23" i="394"/>
  <c r="D22" i="394"/>
  <c r="B22" i="394"/>
  <c r="D21" i="394"/>
  <c r="B21" i="394"/>
  <c r="D20" i="394"/>
  <c r="B20" i="394"/>
  <c r="D19" i="394"/>
  <c r="B19" i="394"/>
  <c r="D18" i="394"/>
  <c r="B18" i="394"/>
  <c r="D17" i="394"/>
  <c r="B17" i="394"/>
  <c r="D16" i="394"/>
  <c r="B16" i="394"/>
  <c r="D15" i="394"/>
  <c r="B15" i="394"/>
  <c r="D14" i="394"/>
  <c r="B14" i="394"/>
  <c r="D13" i="394"/>
  <c r="B13" i="394"/>
  <c r="D12" i="394"/>
  <c r="B12" i="394"/>
  <c r="D11" i="394"/>
  <c r="B11" i="394"/>
  <c r="D10" i="394"/>
  <c r="B10" i="394"/>
  <c r="F9" i="394"/>
  <c r="F39" i="394" s="1"/>
  <c r="D9" i="394"/>
  <c r="B9" i="394"/>
  <c r="D8" i="394"/>
  <c r="I5" i="394"/>
  <c r="H5" i="394"/>
  <c r="G5" i="394"/>
  <c r="F5" i="394"/>
  <c r="E5" i="394"/>
  <c r="D5" i="394"/>
  <c r="C5" i="394"/>
  <c r="B5" i="394"/>
  <c r="H84" i="421" l="1"/>
  <c r="E154" i="354"/>
  <c r="F10" i="394"/>
  <c r="F14" i="394"/>
  <c r="F18" i="394"/>
  <c r="F22" i="394"/>
  <c r="F26" i="394"/>
  <c r="F30" i="394"/>
  <c r="F34" i="394"/>
  <c r="F38" i="394"/>
  <c r="F12" i="394"/>
  <c r="F16" i="394"/>
  <c r="F20" i="394"/>
  <c r="F24" i="394"/>
  <c r="F28" i="394"/>
  <c r="F32" i="394"/>
  <c r="F36" i="394"/>
  <c r="G40" i="402"/>
  <c r="H39" i="402"/>
  <c r="N39" i="402"/>
  <c r="L39" i="401"/>
  <c r="G40" i="401"/>
  <c r="H39" i="401"/>
  <c r="H37" i="400"/>
  <c r="G38" i="400"/>
  <c r="L37" i="400"/>
  <c r="G32" i="399"/>
  <c r="H31" i="399"/>
  <c r="N31" i="399"/>
  <c r="H31" i="398"/>
  <c r="G32" i="398"/>
  <c r="M31" i="398"/>
  <c r="S32" i="397"/>
  <c r="L32" i="397"/>
  <c r="J33" i="397"/>
  <c r="M33" i="397"/>
  <c r="K34" i="397"/>
  <c r="D40" i="394"/>
  <c r="F121" i="53" s="1"/>
  <c r="F12" i="341" s="1"/>
  <c r="E40" i="394"/>
  <c r="H121" i="53" s="1"/>
  <c r="H12" i="341" s="1"/>
  <c r="K22" i="396"/>
  <c r="M21" i="396"/>
  <c r="S21" i="396"/>
  <c r="L21" i="396"/>
  <c r="J22" i="396"/>
  <c r="G14" i="395"/>
  <c r="L13" i="395"/>
  <c r="H13" i="395"/>
  <c r="G9" i="394"/>
  <c r="F11" i="394"/>
  <c r="F13" i="394"/>
  <c r="F15" i="394"/>
  <c r="F17" i="394"/>
  <c r="F19" i="394"/>
  <c r="F21" i="394"/>
  <c r="F23" i="394"/>
  <c r="F25" i="394"/>
  <c r="F27" i="394"/>
  <c r="F29" i="394"/>
  <c r="F31" i="394"/>
  <c r="F33" i="394"/>
  <c r="F35" i="394"/>
  <c r="F37" i="394"/>
  <c r="G154" i="354" l="1"/>
  <c r="I154" i="354"/>
  <c r="L154" i="354" s="1"/>
  <c r="H38" i="400"/>
  <c r="G39" i="400"/>
  <c r="L38" i="400"/>
  <c r="N32" i="399"/>
  <c r="G33" i="399"/>
  <c r="H32" i="399"/>
  <c r="H32" i="398"/>
  <c r="G33" i="398"/>
  <c r="M32" i="398"/>
  <c r="K35" i="397"/>
  <c r="M34" i="397"/>
  <c r="J34" i="397"/>
  <c r="S33" i="397"/>
  <c r="L33" i="397"/>
  <c r="E41" i="394"/>
  <c r="J12" i="341"/>
  <c r="M12" i="341" s="1"/>
  <c r="D41" i="394"/>
  <c r="J121" i="53"/>
  <c r="M121" i="53" s="1"/>
  <c r="E8" i="394"/>
  <c r="J23" i="396"/>
  <c r="L22" i="396"/>
  <c r="S22" i="396"/>
  <c r="M22" i="396"/>
  <c r="K23" i="396"/>
  <c r="G15" i="395"/>
  <c r="L14" i="395"/>
  <c r="H14" i="395"/>
  <c r="G10" i="394"/>
  <c r="H9" i="394"/>
  <c r="O9" i="394"/>
  <c r="K154" i="354" l="1"/>
  <c r="G41" i="394"/>
  <c r="G40" i="400"/>
  <c r="H39" i="400"/>
  <c r="L39" i="400"/>
  <c r="G34" i="399"/>
  <c r="H33" i="399"/>
  <c r="N33" i="399"/>
  <c r="H33" i="398"/>
  <c r="G34" i="398"/>
  <c r="M33" i="398"/>
  <c r="S34" i="397"/>
  <c r="L34" i="397"/>
  <c r="J35" i="397"/>
  <c r="M35" i="397"/>
  <c r="K36" i="397"/>
  <c r="K24" i="396"/>
  <c r="M23" i="396"/>
  <c r="S23" i="396"/>
  <c r="L23" i="396"/>
  <c r="J24" i="396"/>
  <c r="G16" i="395"/>
  <c r="L15" i="395"/>
  <c r="H15" i="395"/>
  <c r="O10" i="394"/>
  <c r="G11" i="394"/>
  <c r="H10" i="394"/>
  <c r="G61" i="421" l="1"/>
  <c r="P61" i="421" s="1"/>
  <c r="N61" i="421"/>
  <c r="N34" i="399"/>
  <c r="G35" i="399"/>
  <c r="H34" i="399"/>
  <c r="H34" i="398"/>
  <c r="G35" i="398"/>
  <c r="M34" i="398"/>
  <c r="K37" i="397"/>
  <c r="M36" i="397"/>
  <c r="J36" i="397"/>
  <c r="L35" i="397"/>
  <c r="S35" i="397"/>
  <c r="J25" i="396"/>
  <c r="S24" i="396"/>
  <c r="L24" i="396"/>
  <c r="M24" i="396"/>
  <c r="K25" i="396"/>
  <c r="G17" i="395"/>
  <c r="L16" i="395"/>
  <c r="H16" i="395"/>
  <c r="G12" i="394"/>
  <c r="H11" i="394"/>
  <c r="O11" i="394"/>
  <c r="G83" i="421" l="1"/>
  <c r="P83" i="421" s="1"/>
  <c r="G36" i="399"/>
  <c r="H35" i="399"/>
  <c r="N35" i="399"/>
  <c r="H35" i="398"/>
  <c r="G36" i="398"/>
  <c r="M35" i="398"/>
  <c r="S36" i="397"/>
  <c r="L36" i="397"/>
  <c r="J37" i="397"/>
  <c r="M37" i="397"/>
  <c r="K38" i="397"/>
  <c r="K26" i="396"/>
  <c r="M25" i="396"/>
  <c r="S25" i="396"/>
  <c r="L25" i="396"/>
  <c r="J26" i="396"/>
  <c r="G18" i="395"/>
  <c r="L17" i="395"/>
  <c r="H17" i="395"/>
  <c r="O12" i="394"/>
  <c r="G13" i="394"/>
  <c r="H12" i="394"/>
  <c r="H83" i="421" l="1"/>
  <c r="N36" i="399"/>
  <c r="G37" i="399"/>
  <c r="H36" i="399"/>
  <c r="H36" i="398"/>
  <c r="G37" i="398"/>
  <c r="M36" i="398"/>
  <c r="K39" i="397"/>
  <c r="M38" i="397"/>
  <c r="J38" i="397"/>
  <c r="S37" i="397"/>
  <c r="L37" i="397"/>
  <c r="J27" i="396"/>
  <c r="L26" i="396"/>
  <c r="S26" i="396"/>
  <c r="M26" i="396"/>
  <c r="K27" i="396"/>
  <c r="G19" i="395"/>
  <c r="L18" i="395"/>
  <c r="H18" i="395"/>
  <c r="G14" i="394"/>
  <c r="H13" i="394"/>
  <c r="O13" i="394"/>
  <c r="G38" i="399" l="1"/>
  <c r="H37" i="399"/>
  <c r="N37" i="399"/>
  <c r="H37" i="398"/>
  <c r="G38" i="398"/>
  <c r="M37" i="398"/>
  <c r="S38" i="397"/>
  <c r="L38" i="397"/>
  <c r="J39" i="397"/>
  <c r="M39" i="397"/>
  <c r="K40" i="397"/>
  <c r="K28" i="396"/>
  <c r="M27" i="396"/>
  <c r="S27" i="396"/>
  <c r="L27" i="396"/>
  <c r="J28" i="396"/>
  <c r="G20" i="395"/>
  <c r="L19" i="395"/>
  <c r="H19" i="395"/>
  <c r="O14" i="394"/>
  <c r="G15" i="394"/>
  <c r="H14" i="394"/>
  <c r="N38" i="399" l="1"/>
  <c r="G39" i="399"/>
  <c r="H38" i="399"/>
  <c r="H38" i="398"/>
  <c r="G39" i="398"/>
  <c r="M38" i="398"/>
  <c r="J40" i="397"/>
  <c r="L39" i="397"/>
  <c r="S39" i="397"/>
  <c r="J29" i="396"/>
  <c r="S28" i="396"/>
  <c r="L28" i="396"/>
  <c r="M28" i="396"/>
  <c r="K29" i="396"/>
  <c r="G21" i="395"/>
  <c r="L20" i="395"/>
  <c r="H20" i="395"/>
  <c r="G16" i="394"/>
  <c r="H15" i="394"/>
  <c r="O15" i="394"/>
  <c r="G40" i="399" l="1"/>
  <c r="H39" i="399"/>
  <c r="N39" i="399"/>
  <c r="G40" i="398"/>
  <c r="H39" i="398"/>
  <c r="M39" i="398"/>
  <c r="K30" i="396"/>
  <c r="M29" i="396"/>
  <c r="S29" i="396"/>
  <c r="L29" i="396"/>
  <c r="J30" i="396"/>
  <c r="G22" i="395"/>
  <c r="L21" i="395"/>
  <c r="H21" i="395"/>
  <c r="O16" i="394"/>
  <c r="G17" i="394"/>
  <c r="H16" i="394"/>
  <c r="J31" i="396" l="1"/>
  <c r="L30" i="396"/>
  <c r="S30" i="396"/>
  <c r="M30" i="396"/>
  <c r="K31" i="396"/>
  <c r="G23" i="395"/>
  <c r="L22" i="395"/>
  <c r="H22" i="395"/>
  <c r="G18" i="394"/>
  <c r="H17" i="394"/>
  <c r="O17" i="394"/>
  <c r="K32" i="396" l="1"/>
  <c r="M31" i="396"/>
  <c r="S31" i="396"/>
  <c r="L31" i="396"/>
  <c r="J32" i="396"/>
  <c r="G24" i="395"/>
  <c r="L23" i="395"/>
  <c r="H23" i="395"/>
  <c r="O18" i="394"/>
  <c r="G19" i="394"/>
  <c r="H18" i="394"/>
  <c r="J33" i="396" l="1"/>
  <c r="S32" i="396"/>
  <c r="L32" i="396"/>
  <c r="M32" i="396"/>
  <c r="K33" i="396"/>
  <c r="G25" i="395"/>
  <c r="L24" i="395"/>
  <c r="H24" i="395"/>
  <c r="G20" i="394"/>
  <c r="H19" i="394"/>
  <c r="O19" i="394"/>
  <c r="L94" i="341"/>
  <c r="K34" i="396" l="1"/>
  <c r="M33" i="396"/>
  <c r="S33" i="396"/>
  <c r="L33" i="396"/>
  <c r="J34" i="396"/>
  <c r="G26" i="395"/>
  <c r="L25" i="395"/>
  <c r="H25" i="395"/>
  <c r="O20" i="394"/>
  <c r="G21" i="394"/>
  <c r="H20" i="394"/>
  <c r="L28" i="341"/>
  <c r="L132" i="53"/>
  <c r="D132" i="53"/>
  <c r="D28" i="341" s="1"/>
  <c r="B132" i="53"/>
  <c r="B28" i="341" s="1"/>
  <c r="C4" i="393"/>
  <c r="M40" i="393"/>
  <c r="L40" i="393"/>
  <c r="K40" i="393"/>
  <c r="J40" i="393"/>
  <c r="I40" i="393"/>
  <c r="E39" i="393"/>
  <c r="D39" i="393"/>
  <c r="B39" i="393"/>
  <c r="E38" i="393"/>
  <c r="D38" i="393"/>
  <c r="B38" i="393"/>
  <c r="E37" i="393"/>
  <c r="D37" i="393"/>
  <c r="B37" i="393"/>
  <c r="E36" i="393"/>
  <c r="D36" i="393"/>
  <c r="B36" i="393"/>
  <c r="E35" i="393"/>
  <c r="D35" i="393"/>
  <c r="B35" i="393"/>
  <c r="E34" i="393"/>
  <c r="D34" i="393"/>
  <c r="B34" i="393"/>
  <c r="E33" i="393"/>
  <c r="D33" i="393"/>
  <c r="B33" i="393"/>
  <c r="E32" i="393"/>
  <c r="D32" i="393"/>
  <c r="B32" i="393"/>
  <c r="E31" i="393"/>
  <c r="D31" i="393"/>
  <c r="B31" i="393"/>
  <c r="E30" i="393"/>
  <c r="D30" i="393"/>
  <c r="B30" i="393"/>
  <c r="E29" i="393"/>
  <c r="D29" i="393"/>
  <c r="B29" i="393"/>
  <c r="E28" i="393"/>
  <c r="D28" i="393"/>
  <c r="B28" i="393"/>
  <c r="E27" i="393"/>
  <c r="D27" i="393"/>
  <c r="B27" i="393"/>
  <c r="E26" i="393"/>
  <c r="D26" i="393"/>
  <c r="B26" i="393"/>
  <c r="E25" i="393"/>
  <c r="D25" i="393"/>
  <c r="B25" i="393"/>
  <c r="E24" i="393"/>
  <c r="D24" i="393"/>
  <c r="B24" i="393"/>
  <c r="E23" i="393"/>
  <c r="D23" i="393"/>
  <c r="B23" i="393"/>
  <c r="E22" i="393"/>
  <c r="D22" i="393"/>
  <c r="B22" i="393"/>
  <c r="E21" i="393"/>
  <c r="D21" i="393"/>
  <c r="B21" i="393"/>
  <c r="E20" i="393"/>
  <c r="D20" i="393"/>
  <c r="B20" i="393"/>
  <c r="E19" i="393"/>
  <c r="D19" i="393"/>
  <c r="B19" i="393"/>
  <c r="E18" i="393"/>
  <c r="D18" i="393"/>
  <c r="B18" i="393"/>
  <c r="E17" i="393"/>
  <c r="D17" i="393"/>
  <c r="B17" i="393"/>
  <c r="E16" i="393"/>
  <c r="D16" i="393"/>
  <c r="B16" i="393"/>
  <c r="E15" i="393"/>
  <c r="D15" i="393"/>
  <c r="B15" i="393"/>
  <c r="E14" i="393"/>
  <c r="D14" i="393"/>
  <c r="B14" i="393"/>
  <c r="E13" i="393"/>
  <c r="D13" i="393"/>
  <c r="B13" i="393"/>
  <c r="E12" i="393"/>
  <c r="D12" i="393"/>
  <c r="B12" i="393"/>
  <c r="E11" i="393"/>
  <c r="D11" i="393"/>
  <c r="B11" i="393"/>
  <c r="E10" i="393"/>
  <c r="D10" i="393"/>
  <c r="B10" i="393"/>
  <c r="F9" i="393"/>
  <c r="E9" i="393"/>
  <c r="D9" i="393"/>
  <c r="B9" i="393"/>
  <c r="D8" i="393"/>
  <c r="I5" i="393"/>
  <c r="G5" i="393"/>
  <c r="F5" i="393"/>
  <c r="E5" i="393"/>
  <c r="D5" i="393"/>
  <c r="C5" i="393"/>
  <c r="B5" i="393"/>
  <c r="E153" i="354" l="1"/>
  <c r="E40" i="393"/>
  <c r="H132" i="53" s="1"/>
  <c r="H28" i="341" s="1"/>
  <c r="J35" i="396"/>
  <c r="L34" i="396"/>
  <c r="S34" i="396"/>
  <c r="M34" i="396"/>
  <c r="K35" i="396"/>
  <c r="G27" i="395"/>
  <c r="L26" i="395"/>
  <c r="H26" i="395"/>
  <c r="G22" i="394"/>
  <c r="H21" i="394"/>
  <c r="O21" i="394"/>
  <c r="G9" i="393"/>
  <c r="D40" i="393"/>
  <c r="G153" i="354" s="1"/>
  <c r="F38" i="393"/>
  <c r="F36" i="393"/>
  <c r="F34" i="393"/>
  <c r="F32" i="393"/>
  <c r="F30" i="393"/>
  <c r="F28" i="393"/>
  <c r="F26" i="393"/>
  <c r="F24" i="393"/>
  <c r="F22" i="393"/>
  <c r="F20" i="393"/>
  <c r="F18" i="393"/>
  <c r="F16" i="393"/>
  <c r="F14" i="393"/>
  <c r="F12" i="393"/>
  <c r="F10" i="393"/>
  <c r="F37" i="393"/>
  <c r="F35" i="393"/>
  <c r="F33" i="393"/>
  <c r="F11" i="393"/>
  <c r="F13" i="393"/>
  <c r="F15" i="393"/>
  <c r="F17" i="393"/>
  <c r="F19" i="393"/>
  <c r="F21" i="393"/>
  <c r="F23" i="393"/>
  <c r="F25" i="393"/>
  <c r="F27" i="393"/>
  <c r="F29" i="393"/>
  <c r="F31" i="393"/>
  <c r="I153" i="354" l="1"/>
  <c r="L153" i="354" s="1"/>
  <c r="E8" i="393"/>
  <c r="F39" i="393" s="1"/>
  <c r="E41" i="393"/>
  <c r="K36" i="396"/>
  <c r="M35" i="396"/>
  <c r="S35" i="396"/>
  <c r="L35" i="396"/>
  <c r="J36" i="396"/>
  <c r="G28" i="395"/>
  <c r="L27" i="395"/>
  <c r="H27" i="395"/>
  <c r="O22" i="394"/>
  <c r="G23" i="394"/>
  <c r="H22" i="394"/>
  <c r="D41" i="393"/>
  <c r="G41" i="393" s="1"/>
  <c r="F132" i="53"/>
  <c r="N9" i="393"/>
  <c r="G10" i="393"/>
  <c r="H9" i="393"/>
  <c r="J37" i="396" l="1"/>
  <c r="S36" i="396"/>
  <c r="L36" i="396"/>
  <c r="M36" i="396"/>
  <c r="K37" i="396"/>
  <c r="G29" i="395"/>
  <c r="L28" i="395"/>
  <c r="H28" i="395"/>
  <c r="G24" i="394"/>
  <c r="H23" i="394"/>
  <c r="O23" i="394"/>
  <c r="F28" i="341"/>
  <c r="J28" i="341" s="1"/>
  <c r="M28" i="341" s="1"/>
  <c r="J132" i="53"/>
  <c r="M132" i="53" s="1"/>
  <c r="G11" i="393"/>
  <c r="H10" i="393"/>
  <c r="N10" i="393"/>
  <c r="K38" i="396" l="1"/>
  <c r="M37" i="396"/>
  <c r="S37" i="396"/>
  <c r="L37" i="396"/>
  <c r="J38" i="396"/>
  <c r="G30" i="395"/>
  <c r="L29" i="395"/>
  <c r="H29" i="395"/>
  <c r="O24" i="394"/>
  <c r="G25" i="394"/>
  <c r="H24" i="394"/>
  <c r="N11" i="393"/>
  <c r="G12" i="393"/>
  <c r="H11" i="393"/>
  <c r="J39" i="396" l="1"/>
  <c r="L38" i="396"/>
  <c r="S38" i="396"/>
  <c r="M38" i="396"/>
  <c r="K39" i="396"/>
  <c r="G31" i="395"/>
  <c r="L30" i="395"/>
  <c r="H30" i="395"/>
  <c r="G26" i="394"/>
  <c r="H25" i="394"/>
  <c r="O25" i="394"/>
  <c r="G13" i="393"/>
  <c r="H12" i="393"/>
  <c r="N12" i="393"/>
  <c r="K40" i="396" l="1"/>
  <c r="M39" i="396"/>
  <c r="S39" i="396"/>
  <c r="L39" i="396"/>
  <c r="J40" i="396"/>
  <c r="G32" i="395"/>
  <c r="L31" i="395"/>
  <c r="H31" i="395"/>
  <c r="O26" i="394"/>
  <c r="G27" i="394"/>
  <c r="H26" i="394"/>
  <c r="N13" i="393"/>
  <c r="G14" i="393"/>
  <c r="H13" i="393"/>
  <c r="G33" i="395" l="1"/>
  <c r="L32" i="395"/>
  <c r="H32" i="395"/>
  <c r="G28" i="394"/>
  <c r="H27" i="394"/>
  <c r="O27" i="394"/>
  <c r="G15" i="393"/>
  <c r="H14" i="393"/>
  <c r="N14" i="393"/>
  <c r="G34" i="395" l="1"/>
  <c r="L33" i="395"/>
  <c r="H33" i="395"/>
  <c r="O28" i="394"/>
  <c r="G29" i="394"/>
  <c r="H28" i="394"/>
  <c r="N15" i="393"/>
  <c r="G16" i="393"/>
  <c r="H15" i="393"/>
  <c r="G35" i="395" l="1"/>
  <c r="L34" i="395"/>
  <c r="H34" i="395"/>
  <c r="G30" i="394"/>
  <c r="H29" i="394"/>
  <c r="O29" i="394"/>
  <c r="G17" i="393"/>
  <c r="H16" i="393"/>
  <c r="N16" i="393"/>
  <c r="G36" i="395" l="1"/>
  <c r="L35" i="395"/>
  <c r="H35" i="395"/>
  <c r="O30" i="394"/>
  <c r="G31" i="394"/>
  <c r="H30" i="394"/>
  <c r="N17" i="393"/>
  <c r="G18" i="393"/>
  <c r="H17" i="393"/>
  <c r="G37" i="395" l="1"/>
  <c r="L36" i="395"/>
  <c r="H36" i="395"/>
  <c r="G32" i="394"/>
  <c r="H31" i="394"/>
  <c r="O31" i="394"/>
  <c r="G19" i="393"/>
  <c r="H18" i="393"/>
  <c r="N18" i="393"/>
  <c r="G38" i="395" l="1"/>
  <c r="L37" i="395"/>
  <c r="H37" i="395"/>
  <c r="O32" i="394"/>
  <c r="G33" i="394"/>
  <c r="H32" i="394"/>
  <c r="N19" i="393"/>
  <c r="G20" i="393"/>
  <c r="H19" i="393"/>
  <c r="G39" i="395" l="1"/>
  <c r="L38" i="395"/>
  <c r="H38" i="395"/>
  <c r="G34" i="394"/>
  <c r="H33" i="394"/>
  <c r="O33" i="394"/>
  <c r="G21" i="393"/>
  <c r="H20" i="393"/>
  <c r="N20" i="393"/>
  <c r="L39" i="395" l="1"/>
  <c r="G40" i="395"/>
  <c r="H39" i="395"/>
  <c r="O34" i="394"/>
  <c r="G35" i="394"/>
  <c r="H34" i="394"/>
  <c r="N21" i="393"/>
  <c r="G22" i="393"/>
  <c r="H21" i="393"/>
  <c r="G36" i="394" l="1"/>
  <c r="H35" i="394"/>
  <c r="O35" i="394"/>
  <c r="G23" i="393"/>
  <c r="H22" i="393"/>
  <c r="N22" i="393"/>
  <c r="O36" i="394" l="1"/>
  <c r="G37" i="394"/>
  <c r="H36" i="394"/>
  <c r="N23" i="393"/>
  <c r="G24" i="393"/>
  <c r="H23" i="393"/>
  <c r="G38" i="394" l="1"/>
  <c r="H37" i="394"/>
  <c r="O37" i="394"/>
  <c r="G25" i="393"/>
  <c r="H24" i="393"/>
  <c r="N24" i="393"/>
  <c r="O38" i="394" l="1"/>
  <c r="G39" i="394"/>
  <c r="H38" i="394"/>
  <c r="N25" i="393"/>
  <c r="G26" i="393"/>
  <c r="H25" i="393"/>
  <c r="G40" i="394" l="1"/>
  <c r="H39" i="394"/>
  <c r="O39" i="394"/>
  <c r="G27" i="393"/>
  <c r="H26" i="393"/>
  <c r="N26" i="393"/>
  <c r="N27" i="393" l="1"/>
  <c r="G28" i="393"/>
  <c r="H27" i="393"/>
  <c r="G29" i="393" l="1"/>
  <c r="H28" i="393"/>
  <c r="N28" i="393"/>
  <c r="N29" i="393" l="1"/>
  <c r="G30" i="393"/>
  <c r="H29" i="393"/>
  <c r="G31" i="393" l="1"/>
  <c r="H30" i="393"/>
  <c r="N30" i="393"/>
  <c r="N31" i="393" l="1"/>
  <c r="G32" i="393"/>
  <c r="H31" i="393"/>
  <c r="G33" i="393" l="1"/>
  <c r="H32" i="393"/>
  <c r="N32" i="393"/>
  <c r="N33" i="393" l="1"/>
  <c r="G34" i="393"/>
  <c r="H33" i="393"/>
  <c r="G35" i="393" l="1"/>
  <c r="H34" i="393"/>
  <c r="N34" i="393"/>
  <c r="N35" i="393" l="1"/>
  <c r="G36" i="393"/>
  <c r="H35" i="393"/>
  <c r="G37" i="393" l="1"/>
  <c r="H36" i="393"/>
  <c r="N36" i="393"/>
  <c r="N37" i="393" l="1"/>
  <c r="G38" i="393"/>
  <c r="H37" i="393"/>
  <c r="G39" i="393" l="1"/>
  <c r="H38" i="393"/>
  <c r="N38" i="393"/>
  <c r="N39" i="393" l="1"/>
  <c r="G40" i="393"/>
  <c r="H39" i="393"/>
  <c r="L208" i="53" l="1"/>
  <c r="D208" i="53"/>
  <c r="D94" i="341" s="1"/>
  <c r="E146" i="354" l="1"/>
  <c r="B208" i="53"/>
  <c r="B94" i="341" s="1"/>
  <c r="K40" i="392"/>
  <c r="J40" i="392"/>
  <c r="I40" i="392"/>
  <c r="D40" i="392"/>
  <c r="F208" i="53" s="1"/>
  <c r="F94" i="341" s="1"/>
  <c r="E39" i="392"/>
  <c r="B39" i="392"/>
  <c r="E38" i="392"/>
  <c r="B38" i="392"/>
  <c r="E37" i="392"/>
  <c r="B37" i="392"/>
  <c r="E36" i="392"/>
  <c r="B36" i="392"/>
  <c r="E35" i="392"/>
  <c r="B35" i="392"/>
  <c r="E34" i="392"/>
  <c r="B34" i="392"/>
  <c r="E33" i="392"/>
  <c r="B33" i="392"/>
  <c r="E32" i="392"/>
  <c r="B32" i="392"/>
  <c r="E31" i="392"/>
  <c r="B31" i="392"/>
  <c r="E30" i="392"/>
  <c r="B30" i="392"/>
  <c r="E29" i="392"/>
  <c r="B29" i="392"/>
  <c r="E28" i="392"/>
  <c r="B28" i="392"/>
  <c r="E27" i="392"/>
  <c r="B27" i="392"/>
  <c r="E26" i="392"/>
  <c r="B26" i="392"/>
  <c r="E25" i="392"/>
  <c r="B25" i="392"/>
  <c r="E24" i="392"/>
  <c r="B24" i="392"/>
  <c r="E23" i="392"/>
  <c r="B23" i="392"/>
  <c r="E22" i="392"/>
  <c r="B22" i="392"/>
  <c r="E21" i="392"/>
  <c r="B21" i="392"/>
  <c r="E20" i="392"/>
  <c r="B20" i="392"/>
  <c r="E19" i="392"/>
  <c r="B19" i="392"/>
  <c r="E18" i="392"/>
  <c r="B18" i="392"/>
  <c r="E17" i="392"/>
  <c r="B17" i="392"/>
  <c r="E16" i="392"/>
  <c r="B16" i="392"/>
  <c r="E15" i="392"/>
  <c r="B15" i="392"/>
  <c r="E14" i="392"/>
  <c r="B14" i="392"/>
  <c r="E13" i="392"/>
  <c r="B13" i="392"/>
  <c r="E12" i="392"/>
  <c r="B12" i="392"/>
  <c r="E11" i="392"/>
  <c r="B11" i="392"/>
  <c r="E10" i="392"/>
  <c r="B10" i="392"/>
  <c r="F9" i="392"/>
  <c r="F39" i="392" s="1"/>
  <c r="E9" i="392"/>
  <c r="B9" i="392"/>
  <c r="D8" i="392"/>
  <c r="D41" i="392" s="1"/>
  <c r="I5" i="392"/>
  <c r="H5" i="392"/>
  <c r="G5" i="392"/>
  <c r="F5" i="392"/>
  <c r="E5" i="392"/>
  <c r="D5" i="392"/>
  <c r="C5" i="392"/>
  <c r="B5" i="392"/>
  <c r="C4" i="392"/>
  <c r="E40" i="392" l="1"/>
  <c r="H208" i="53" s="1"/>
  <c r="G9" i="392"/>
  <c r="F10" i="392"/>
  <c r="F11" i="392"/>
  <c r="F12" i="392"/>
  <c r="F13" i="392"/>
  <c r="F14" i="392"/>
  <c r="F15" i="392"/>
  <c r="F16" i="392"/>
  <c r="F17" i="392"/>
  <c r="F18" i="392"/>
  <c r="F19" i="392"/>
  <c r="F20" i="392"/>
  <c r="F21" i="392"/>
  <c r="F22" i="392"/>
  <c r="F23" i="392"/>
  <c r="F24" i="392"/>
  <c r="F25" i="392"/>
  <c r="F26" i="392"/>
  <c r="F27" i="392"/>
  <c r="F28" i="392"/>
  <c r="F29" i="392"/>
  <c r="F30" i="392"/>
  <c r="F31" i="392"/>
  <c r="F32" i="392"/>
  <c r="F33" i="392"/>
  <c r="F34" i="392"/>
  <c r="F35" i="392"/>
  <c r="F36" i="392"/>
  <c r="F37" i="392"/>
  <c r="F38" i="392"/>
  <c r="J208" i="53" l="1"/>
  <c r="M208" i="53" s="1"/>
  <c r="H94" i="341"/>
  <c r="E41" i="392"/>
  <c r="G41" i="392" s="1"/>
  <c r="E8" i="392"/>
  <c r="H9" i="392"/>
  <c r="G10" i="392"/>
  <c r="L9" i="392"/>
  <c r="L17" i="341"/>
  <c r="L124" i="53"/>
  <c r="D124" i="53"/>
  <c r="D17" i="341" s="1"/>
  <c r="B124" i="53"/>
  <c r="B17" i="341" s="1"/>
  <c r="K40" i="391"/>
  <c r="J40" i="391"/>
  <c r="I40" i="391"/>
  <c r="D40" i="391"/>
  <c r="F124" i="53" s="1"/>
  <c r="F17" i="341" s="1"/>
  <c r="B39" i="391"/>
  <c r="B38" i="391"/>
  <c r="B37" i="391"/>
  <c r="B36" i="391"/>
  <c r="B35" i="391"/>
  <c r="B34" i="391"/>
  <c r="B33" i="391"/>
  <c r="B32" i="391"/>
  <c r="B31" i="391"/>
  <c r="B30" i="391"/>
  <c r="B29" i="391"/>
  <c r="B28" i="391"/>
  <c r="B27" i="391"/>
  <c r="B26" i="391"/>
  <c r="B25" i="391"/>
  <c r="B24" i="391"/>
  <c r="B23" i="391"/>
  <c r="B22" i="391"/>
  <c r="B21" i="391"/>
  <c r="B20" i="391"/>
  <c r="B19" i="391"/>
  <c r="B18" i="391"/>
  <c r="B17" i="391"/>
  <c r="B16" i="391"/>
  <c r="B15" i="391"/>
  <c r="B14" i="391"/>
  <c r="B13" i="391"/>
  <c r="B12" i="391"/>
  <c r="B11" i="391"/>
  <c r="B10" i="391"/>
  <c r="B9" i="391"/>
  <c r="D8" i="391"/>
  <c r="G9" i="391" s="1"/>
  <c r="I5" i="391"/>
  <c r="H5" i="391"/>
  <c r="G5" i="391"/>
  <c r="F5" i="391"/>
  <c r="E5" i="391"/>
  <c r="D5" i="391"/>
  <c r="C5" i="391"/>
  <c r="B5" i="391"/>
  <c r="G10" i="391" l="1"/>
  <c r="H9" i="391"/>
  <c r="J94" i="341"/>
  <c r="I146" i="354"/>
  <c r="L146" i="354" s="1"/>
  <c r="E145" i="354"/>
  <c r="G145" i="354"/>
  <c r="D41" i="391"/>
  <c r="H10" i="392"/>
  <c r="G11" i="392"/>
  <c r="L10" i="392"/>
  <c r="E40" i="391"/>
  <c r="H10" i="391" l="1"/>
  <c r="G11" i="391"/>
  <c r="G75" i="421"/>
  <c r="P75" i="421" s="1"/>
  <c r="M94" i="341"/>
  <c r="E41" i="391"/>
  <c r="G41" i="391" s="1"/>
  <c r="H124" i="53"/>
  <c r="H11" i="392"/>
  <c r="G12" i="392"/>
  <c r="L11" i="392"/>
  <c r="M9" i="391"/>
  <c r="H11" i="391" l="1"/>
  <c r="G12" i="391"/>
  <c r="H75" i="421"/>
  <c r="H17" i="341"/>
  <c r="J124" i="53"/>
  <c r="M124" i="53" s="1"/>
  <c r="H12" i="392"/>
  <c r="G13" i="392"/>
  <c r="L12" i="392"/>
  <c r="M10" i="391"/>
  <c r="H12" i="391" l="1"/>
  <c r="G13" i="391"/>
  <c r="J17" i="341"/>
  <c r="I145" i="354"/>
  <c r="L145" i="354" s="1"/>
  <c r="H13" i="392"/>
  <c r="G14" i="392"/>
  <c r="L13" i="392"/>
  <c r="M11" i="391"/>
  <c r="G14" i="391" l="1"/>
  <c r="H13" i="391"/>
  <c r="G74" i="421"/>
  <c r="P74" i="421" s="1"/>
  <c r="M17" i="341"/>
  <c r="K145" i="354"/>
  <c r="H14" i="392"/>
  <c r="G15" i="392"/>
  <c r="L14" i="392"/>
  <c r="M12" i="391"/>
  <c r="H14" i="391" l="1"/>
  <c r="G15" i="391"/>
  <c r="G52" i="421"/>
  <c r="P52" i="421" s="1"/>
  <c r="N52" i="421"/>
  <c r="H74" i="421"/>
  <c r="H15" i="392"/>
  <c r="G16" i="392"/>
  <c r="L15" i="392"/>
  <c r="M13" i="391"/>
  <c r="L32" i="341"/>
  <c r="H15" i="391" l="1"/>
  <c r="G16" i="391"/>
  <c r="H16" i="392"/>
  <c r="G17" i="392"/>
  <c r="L16" i="392"/>
  <c r="M14" i="391"/>
  <c r="L135" i="53"/>
  <c r="D135" i="53"/>
  <c r="D32" i="341" s="1"/>
  <c r="B135" i="53"/>
  <c r="B32" i="341" s="1"/>
  <c r="K40" i="390"/>
  <c r="J40" i="390"/>
  <c r="I40" i="390"/>
  <c r="D40" i="390"/>
  <c r="F135" i="53" s="1"/>
  <c r="F32" i="341" s="1"/>
  <c r="B39" i="390"/>
  <c r="B38" i="390"/>
  <c r="B37" i="390"/>
  <c r="B36" i="390"/>
  <c r="B35" i="390"/>
  <c r="B34" i="390"/>
  <c r="B33" i="390"/>
  <c r="B32" i="390"/>
  <c r="B31" i="390"/>
  <c r="B30" i="390"/>
  <c r="B29" i="390"/>
  <c r="B28" i="390"/>
  <c r="B27" i="390"/>
  <c r="B26" i="390"/>
  <c r="B25" i="390"/>
  <c r="B24" i="390"/>
  <c r="B23" i="390"/>
  <c r="B22" i="390"/>
  <c r="B21" i="390"/>
  <c r="B20" i="390"/>
  <c r="B19" i="390"/>
  <c r="B18" i="390"/>
  <c r="B17" i="390"/>
  <c r="B16" i="390"/>
  <c r="B15" i="390"/>
  <c r="B14" i="390"/>
  <c r="B13" i="390"/>
  <c r="B12" i="390"/>
  <c r="B11" i="390"/>
  <c r="B10" i="390"/>
  <c r="B9" i="390"/>
  <c r="D8" i="390"/>
  <c r="I5" i="390"/>
  <c r="G5" i="390"/>
  <c r="F5" i="390"/>
  <c r="E5" i="390"/>
  <c r="D5" i="390"/>
  <c r="C5" i="390"/>
  <c r="B5" i="390"/>
  <c r="H16" i="391" l="1"/>
  <c r="G17" i="391"/>
  <c r="E161" i="354"/>
  <c r="G161" i="354"/>
  <c r="D41" i="390"/>
  <c r="H17" i="392"/>
  <c r="G18" i="392"/>
  <c r="L17" i="392"/>
  <c r="E40" i="390"/>
  <c r="M15" i="391"/>
  <c r="L21" i="341"/>
  <c r="L8" i="341"/>
  <c r="L79" i="341"/>
  <c r="L80" i="341"/>
  <c r="G18" i="391" l="1"/>
  <c r="H17" i="391"/>
  <c r="H135" i="53"/>
  <c r="H32" i="341" s="1"/>
  <c r="I161" i="354"/>
  <c r="L161" i="354" s="1"/>
  <c r="J32" i="341"/>
  <c r="M32" i="341" s="1"/>
  <c r="E41" i="390"/>
  <c r="G41" i="390" s="1"/>
  <c r="H18" i="392"/>
  <c r="G19" i="392"/>
  <c r="L18" i="392"/>
  <c r="E8" i="390"/>
  <c r="F39" i="390" s="1"/>
  <c r="J135" i="53"/>
  <c r="M135" i="53" s="1"/>
  <c r="M16" i="391"/>
  <c r="M9" i="390"/>
  <c r="L193" i="53"/>
  <c r="L194" i="53"/>
  <c r="D193" i="53"/>
  <c r="D79" i="341" s="1"/>
  <c r="B193" i="53"/>
  <c r="B79" i="341" s="1"/>
  <c r="M40" i="389"/>
  <c r="L40" i="389"/>
  <c r="J40" i="389"/>
  <c r="I40" i="389"/>
  <c r="D39" i="389"/>
  <c r="B39" i="389"/>
  <c r="D38" i="389"/>
  <c r="B38" i="389"/>
  <c r="D37" i="389"/>
  <c r="B37" i="389"/>
  <c r="D36" i="389"/>
  <c r="B36" i="389"/>
  <c r="D35" i="389"/>
  <c r="B35" i="389"/>
  <c r="D34" i="389"/>
  <c r="B34" i="389"/>
  <c r="D33" i="389"/>
  <c r="B33" i="389"/>
  <c r="D32" i="389"/>
  <c r="B32" i="389"/>
  <c r="D31" i="389"/>
  <c r="B31" i="389"/>
  <c r="D30" i="389"/>
  <c r="B30" i="389"/>
  <c r="D29" i="389"/>
  <c r="B29" i="389"/>
  <c r="D28" i="389"/>
  <c r="B28" i="389"/>
  <c r="D27" i="389"/>
  <c r="B27" i="389"/>
  <c r="B26" i="389"/>
  <c r="B25" i="389"/>
  <c r="B24" i="389"/>
  <c r="D23" i="389"/>
  <c r="B23" i="389"/>
  <c r="D22" i="389"/>
  <c r="B22" i="389"/>
  <c r="N40" i="389"/>
  <c r="D21" i="389"/>
  <c r="B21" i="389"/>
  <c r="D20" i="389"/>
  <c r="B20" i="389"/>
  <c r="D19" i="389"/>
  <c r="B19" i="389"/>
  <c r="D18" i="389"/>
  <c r="B18" i="389"/>
  <c r="D17" i="389"/>
  <c r="B17" i="389"/>
  <c r="D16" i="389"/>
  <c r="B16" i="389"/>
  <c r="D15" i="389"/>
  <c r="B15" i="389"/>
  <c r="D14" i="389"/>
  <c r="B14" i="389"/>
  <c r="D13" i="389"/>
  <c r="B13" i="389"/>
  <c r="D12" i="389"/>
  <c r="B12" i="389"/>
  <c r="D11" i="389"/>
  <c r="B11" i="389"/>
  <c r="D10" i="389"/>
  <c r="B10" i="389"/>
  <c r="F9" i="389"/>
  <c r="F24" i="389" s="1"/>
  <c r="D9" i="389"/>
  <c r="B9" i="389"/>
  <c r="D8" i="389"/>
  <c r="I5" i="389"/>
  <c r="H5" i="389"/>
  <c r="G5" i="389"/>
  <c r="F5" i="389"/>
  <c r="E5" i="389"/>
  <c r="D5" i="389"/>
  <c r="C5" i="389"/>
  <c r="B5" i="389"/>
  <c r="C4" i="389"/>
  <c r="L126" i="53"/>
  <c r="D126" i="53"/>
  <c r="D21" i="341" s="1"/>
  <c r="B126" i="53"/>
  <c r="B21" i="341" s="1"/>
  <c r="N40" i="388"/>
  <c r="M40" i="388"/>
  <c r="K40" i="388"/>
  <c r="J40" i="388"/>
  <c r="I40" i="388"/>
  <c r="D39" i="388"/>
  <c r="B39" i="388"/>
  <c r="D38" i="388"/>
  <c r="B38" i="388"/>
  <c r="D37" i="388"/>
  <c r="B37" i="388"/>
  <c r="D36" i="388"/>
  <c r="B36" i="388"/>
  <c r="D35" i="388"/>
  <c r="B35" i="388"/>
  <c r="D34" i="388"/>
  <c r="B34" i="388"/>
  <c r="D33" i="388"/>
  <c r="B33" i="388"/>
  <c r="D32" i="388"/>
  <c r="B32" i="388"/>
  <c r="D31" i="388"/>
  <c r="B31" i="388"/>
  <c r="D30" i="388"/>
  <c r="B30" i="388"/>
  <c r="D29" i="388"/>
  <c r="B29" i="388"/>
  <c r="B28" i="388"/>
  <c r="B27" i="388"/>
  <c r="B26" i="388"/>
  <c r="D25" i="388"/>
  <c r="B25" i="388"/>
  <c r="D24" i="388"/>
  <c r="B24" i="388"/>
  <c r="D23" i="388"/>
  <c r="B23" i="388"/>
  <c r="D22" i="388"/>
  <c r="B22" i="388"/>
  <c r="D21" i="388"/>
  <c r="B21" i="388"/>
  <c r="D20" i="388"/>
  <c r="B20" i="388"/>
  <c r="D19" i="388"/>
  <c r="B19" i="388"/>
  <c r="D18" i="388"/>
  <c r="B18" i="388"/>
  <c r="D17" i="388"/>
  <c r="B17" i="388"/>
  <c r="D16" i="388"/>
  <c r="B16" i="388"/>
  <c r="D15" i="388"/>
  <c r="B15" i="388"/>
  <c r="D14" i="388"/>
  <c r="B14" i="388"/>
  <c r="D13" i="388"/>
  <c r="B13" i="388"/>
  <c r="D12" i="388"/>
  <c r="B12" i="388"/>
  <c r="D11" i="388"/>
  <c r="B11" i="388"/>
  <c r="D10" i="388"/>
  <c r="B10" i="388"/>
  <c r="F9" i="388"/>
  <c r="F39" i="388" s="1"/>
  <c r="D9" i="388"/>
  <c r="B9" i="388"/>
  <c r="D8" i="388"/>
  <c r="I5" i="388"/>
  <c r="H5" i="388"/>
  <c r="G5" i="388"/>
  <c r="F5" i="388"/>
  <c r="E5" i="388"/>
  <c r="D5" i="388"/>
  <c r="C5" i="388"/>
  <c r="B5" i="388"/>
  <c r="L119" i="53"/>
  <c r="D119" i="53"/>
  <c r="D8" i="341" s="1"/>
  <c r="B119" i="53"/>
  <c r="B8" i="341" s="1"/>
  <c r="M40" i="387"/>
  <c r="K40" i="387"/>
  <c r="J40" i="387"/>
  <c r="I40" i="387"/>
  <c r="B39" i="387"/>
  <c r="B38" i="387"/>
  <c r="B37" i="387"/>
  <c r="B36" i="387"/>
  <c r="B35" i="387"/>
  <c r="B34" i="387"/>
  <c r="B33" i="387"/>
  <c r="B32" i="387"/>
  <c r="B31" i="387"/>
  <c r="B30" i="387"/>
  <c r="B29" i="387"/>
  <c r="B28" i="387"/>
  <c r="B27" i="387"/>
  <c r="B26" i="387"/>
  <c r="B25" i="387"/>
  <c r="B24" i="387"/>
  <c r="B23" i="387"/>
  <c r="B22" i="387"/>
  <c r="B21" i="387"/>
  <c r="B20" i="387"/>
  <c r="B19" i="387"/>
  <c r="B18" i="387"/>
  <c r="B17" i="387"/>
  <c r="B16" i="387"/>
  <c r="B15" i="387"/>
  <c r="B14" i="387"/>
  <c r="B13" i="387"/>
  <c r="B12" i="387"/>
  <c r="B11" i="387"/>
  <c r="B10" i="387"/>
  <c r="B9" i="387"/>
  <c r="D8" i="387"/>
  <c r="I5" i="387"/>
  <c r="H5" i="387"/>
  <c r="G5" i="387"/>
  <c r="F5" i="387"/>
  <c r="E5" i="387"/>
  <c r="D5" i="387"/>
  <c r="C5" i="387"/>
  <c r="B5" i="387"/>
  <c r="G19" i="391" l="1"/>
  <c r="H18" i="391"/>
  <c r="E159" i="354"/>
  <c r="E160" i="354"/>
  <c r="E156" i="354"/>
  <c r="F12" i="388"/>
  <c r="F16" i="388"/>
  <c r="F20" i="388"/>
  <c r="F24" i="388"/>
  <c r="F28" i="388"/>
  <c r="F32" i="388"/>
  <c r="F36" i="388"/>
  <c r="F22" i="389"/>
  <c r="F10" i="388"/>
  <c r="F14" i="388"/>
  <c r="F18" i="388"/>
  <c r="F22" i="388"/>
  <c r="F26" i="388"/>
  <c r="F30" i="388"/>
  <c r="F34" i="388"/>
  <c r="F38" i="388"/>
  <c r="F26" i="389"/>
  <c r="K161" i="354"/>
  <c r="H19" i="392"/>
  <c r="G20" i="392"/>
  <c r="L19" i="392"/>
  <c r="M17" i="391"/>
  <c r="M10" i="390"/>
  <c r="D40" i="388"/>
  <c r="F126" i="53" s="1"/>
  <c r="F21" i="341" s="1"/>
  <c r="E40" i="389"/>
  <c r="E8" i="389" s="1"/>
  <c r="G9" i="389"/>
  <c r="D40" i="389"/>
  <c r="F38" i="389"/>
  <c r="F36" i="389"/>
  <c r="F34" i="389"/>
  <c r="F32" i="389"/>
  <c r="F30" i="389"/>
  <c r="F28" i="389"/>
  <c r="F25" i="389"/>
  <c r="F23" i="389"/>
  <c r="F20" i="389"/>
  <c r="F18" i="389"/>
  <c r="F16" i="389"/>
  <c r="F14" i="389"/>
  <c r="F12" i="389"/>
  <c r="F10" i="389"/>
  <c r="F39" i="389"/>
  <c r="F37" i="389"/>
  <c r="F35" i="389"/>
  <c r="F33" i="389"/>
  <c r="F31" i="389"/>
  <c r="F11" i="389"/>
  <c r="F13" i="389"/>
  <c r="F15" i="389"/>
  <c r="F17" i="389"/>
  <c r="F19" i="389"/>
  <c r="F21" i="389"/>
  <c r="F27" i="389"/>
  <c r="F29" i="389"/>
  <c r="E40" i="388"/>
  <c r="H126" i="53" s="1"/>
  <c r="G9" i="388"/>
  <c r="F11" i="388"/>
  <c r="F13" i="388"/>
  <c r="F15" i="388"/>
  <c r="F17" i="388"/>
  <c r="F19" i="388"/>
  <c r="F21" i="388"/>
  <c r="F23" i="388"/>
  <c r="F25" i="388"/>
  <c r="F27" i="388"/>
  <c r="F29" i="388"/>
  <c r="F31" i="388"/>
  <c r="F33" i="388"/>
  <c r="F35" i="388"/>
  <c r="F37" i="388"/>
  <c r="E40" i="387"/>
  <c r="H119" i="53" s="1"/>
  <c r="H8" i="341" s="1"/>
  <c r="D40" i="387"/>
  <c r="N40" i="387"/>
  <c r="I40" i="204"/>
  <c r="H19" i="391" l="1"/>
  <c r="G20" i="391"/>
  <c r="I159" i="354"/>
  <c r="L159" i="354" s="1"/>
  <c r="G160" i="354"/>
  <c r="E41" i="387"/>
  <c r="E8" i="387"/>
  <c r="H20" i="392"/>
  <c r="G21" i="392"/>
  <c r="L20" i="392"/>
  <c r="M18" i="391"/>
  <c r="J126" i="53"/>
  <c r="M126" i="53" s="1"/>
  <c r="H21" i="341"/>
  <c r="M11" i="390"/>
  <c r="D41" i="388"/>
  <c r="D41" i="387"/>
  <c r="F119" i="53"/>
  <c r="D41" i="389"/>
  <c r="F193" i="53"/>
  <c r="F79" i="341" s="1"/>
  <c r="E41" i="389"/>
  <c r="H193" i="53"/>
  <c r="O9" i="389"/>
  <c r="G10" i="389"/>
  <c r="H9" i="389"/>
  <c r="G10" i="388"/>
  <c r="H9" i="388"/>
  <c r="O9" i="388"/>
  <c r="E8" i="388"/>
  <c r="E41" i="388"/>
  <c r="Q9" i="387"/>
  <c r="H20" i="391" l="1"/>
  <c r="G21" i="391"/>
  <c r="G89" i="421"/>
  <c r="P89" i="421" s="1"/>
  <c r="G41" i="388"/>
  <c r="G156" i="354"/>
  <c r="I160" i="354"/>
  <c r="L160" i="354" s="1"/>
  <c r="G41" i="387"/>
  <c r="G41" i="389"/>
  <c r="H21" i="392"/>
  <c r="G22" i="392"/>
  <c r="L21" i="392"/>
  <c r="J21" i="341"/>
  <c r="M21" i="341" s="1"/>
  <c r="M19" i="391"/>
  <c r="M12" i="390"/>
  <c r="J193" i="53"/>
  <c r="M193" i="53" s="1"/>
  <c r="H79" i="341"/>
  <c r="F8" i="341"/>
  <c r="J119" i="53"/>
  <c r="M119" i="53" s="1"/>
  <c r="G11" i="389"/>
  <c r="H10" i="389"/>
  <c r="O10" i="389"/>
  <c r="O10" i="388"/>
  <c r="G11" i="388"/>
  <c r="H10" i="388"/>
  <c r="Q10" i="387"/>
  <c r="H21" i="391" l="1"/>
  <c r="G22" i="391"/>
  <c r="H89" i="421"/>
  <c r="K160" i="354"/>
  <c r="H22" i="392"/>
  <c r="G23" i="392"/>
  <c r="L22" i="392"/>
  <c r="M20" i="391"/>
  <c r="J8" i="341"/>
  <c r="M8" i="341" s="1"/>
  <c r="G159" i="354"/>
  <c r="K159" i="354" s="1"/>
  <c r="J79" i="341"/>
  <c r="M79" i="341" s="1"/>
  <c r="I156" i="354"/>
  <c r="L156" i="354" s="1"/>
  <c r="M13" i="390"/>
  <c r="O11" i="389"/>
  <c r="G12" i="389"/>
  <c r="H11" i="389"/>
  <c r="G12" i="388"/>
  <c r="H11" i="388"/>
  <c r="O11" i="388"/>
  <c r="Q11" i="387"/>
  <c r="G23" i="391" l="1"/>
  <c r="H22" i="391"/>
  <c r="K156" i="354"/>
  <c r="N63" i="421" s="1"/>
  <c r="H23" i="392"/>
  <c r="G24" i="392"/>
  <c r="L23" i="392"/>
  <c r="M21" i="391"/>
  <c r="M14" i="390"/>
  <c r="G13" i="389"/>
  <c r="H12" i="389"/>
  <c r="O12" i="389"/>
  <c r="O12" i="388"/>
  <c r="G13" i="388"/>
  <c r="H12" i="388"/>
  <c r="Q12" i="387"/>
  <c r="H23" i="391" l="1"/>
  <c r="G24" i="391"/>
  <c r="G88" i="421"/>
  <c r="P88" i="421" s="1"/>
  <c r="G87" i="421"/>
  <c r="P87" i="421" s="1"/>
  <c r="H85" i="421"/>
  <c r="H24" i="392"/>
  <c r="G25" i="392"/>
  <c r="L24" i="392"/>
  <c r="M22" i="391"/>
  <c r="M15" i="390"/>
  <c r="O13" i="389"/>
  <c r="G14" i="389"/>
  <c r="H13" i="389"/>
  <c r="G14" i="388"/>
  <c r="H13" i="388"/>
  <c r="O13" i="388"/>
  <c r="Q13" i="387"/>
  <c r="H24" i="391" l="1"/>
  <c r="G25" i="391"/>
  <c r="H87" i="421"/>
  <c r="H88" i="421"/>
  <c r="H25" i="392"/>
  <c r="G26" i="392"/>
  <c r="L25" i="392"/>
  <c r="M23" i="391"/>
  <c r="M16" i="390"/>
  <c r="G15" i="389"/>
  <c r="H14" i="389"/>
  <c r="O14" i="389"/>
  <c r="O14" i="388"/>
  <c r="G15" i="388"/>
  <c r="H14" i="388"/>
  <c r="Q14" i="387"/>
  <c r="H25" i="391" l="1"/>
  <c r="G26" i="391"/>
  <c r="H26" i="392"/>
  <c r="G27" i="392"/>
  <c r="L26" i="392"/>
  <c r="M24" i="391"/>
  <c r="M17" i="390"/>
  <c r="O15" i="389"/>
  <c r="G16" i="389"/>
  <c r="H15" i="389"/>
  <c r="G16" i="388"/>
  <c r="H15" i="388"/>
  <c r="O15" i="388"/>
  <c r="Q15" i="387"/>
  <c r="H26" i="391" l="1"/>
  <c r="G27" i="391"/>
  <c r="H27" i="392"/>
  <c r="G28" i="392"/>
  <c r="L27" i="392"/>
  <c r="M25" i="391"/>
  <c r="M18" i="390"/>
  <c r="G17" i="389"/>
  <c r="H16" i="389"/>
  <c r="O16" i="389"/>
  <c r="O16" i="388"/>
  <c r="G17" i="388"/>
  <c r="H16" i="388"/>
  <c r="Q16" i="387"/>
  <c r="L93" i="341"/>
  <c r="L207" i="53"/>
  <c r="D207" i="53"/>
  <c r="D93" i="341" s="1"/>
  <c r="B207" i="53"/>
  <c r="B93" i="341" s="1"/>
  <c r="L40" i="386"/>
  <c r="K40" i="386"/>
  <c r="J40" i="386"/>
  <c r="I40" i="386"/>
  <c r="E39" i="386"/>
  <c r="D39" i="386"/>
  <c r="B39" i="386"/>
  <c r="E38" i="386"/>
  <c r="D38" i="386"/>
  <c r="B38" i="386"/>
  <c r="E37" i="386"/>
  <c r="D37" i="386"/>
  <c r="B37" i="386"/>
  <c r="E36" i="386"/>
  <c r="D36" i="386"/>
  <c r="B36" i="386"/>
  <c r="E35" i="386"/>
  <c r="D35" i="386"/>
  <c r="B35" i="386"/>
  <c r="E34" i="386"/>
  <c r="D34" i="386"/>
  <c r="B34" i="386"/>
  <c r="E33" i="386"/>
  <c r="D33" i="386"/>
  <c r="B33" i="386"/>
  <c r="E32" i="386"/>
  <c r="D32" i="386"/>
  <c r="B32" i="386"/>
  <c r="E31" i="386"/>
  <c r="D31" i="386"/>
  <c r="B31" i="386"/>
  <c r="E30" i="386"/>
  <c r="D30" i="386"/>
  <c r="B30" i="386"/>
  <c r="E29" i="386"/>
  <c r="D29" i="386"/>
  <c r="B29" i="386"/>
  <c r="E28" i="386"/>
  <c r="D28" i="386"/>
  <c r="B28" i="386"/>
  <c r="E27" i="386"/>
  <c r="D27" i="386"/>
  <c r="B27" i="386"/>
  <c r="D26" i="386"/>
  <c r="E26" i="386"/>
  <c r="B26" i="386"/>
  <c r="E25" i="386"/>
  <c r="D25" i="386"/>
  <c r="B25" i="386"/>
  <c r="E24" i="386"/>
  <c r="D24" i="386"/>
  <c r="B24" i="386"/>
  <c r="E23" i="386"/>
  <c r="D23" i="386"/>
  <c r="B23" i="386"/>
  <c r="E22" i="386"/>
  <c r="D22" i="386"/>
  <c r="B22" i="386"/>
  <c r="E21" i="386"/>
  <c r="B21" i="386"/>
  <c r="E20" i="386"/>
  <c r="D20" i="386"/>
  <c r="B20" i="386"/>
  <c r="E19" i="386"/>
  <c r="D19" i="386"/>
  <c r="B19" i="386"/>
  <c r="E18" i="386"/>
  <c r="D18" i="386"/>
  <c r="B18" i="386"/>
  <c r="E17" i="386"/>
  <c r="D17" i="386"/>
  <c r="B17" i="386"/>
  <c r="E16" i="386"/>
  <c r="D16" i="386"/>
  <c r="B16" i="386"/>
  <c r="E15" i="386"/>
  <c r="D15" i="386"/>
  <c r="B15" i="386"/>
  <c r="E14" i="386"/>
  <c r="D14" i="386"/>
  <c r="B14" i="386"/>
  <c r="E13" i="386"/>
  <c r="D13" i="386"/>
  <c r="B13" i="386"/>
  <c r="E12" i="386"/>
  <c r="D12" i="386"/>
  <c r="B12" i="386"/>
  <c r="E11" i="386"/>
  <c r="D11" i="386"/>
  <c r="B11" i="386"/>
  <c r="E10" i="386"/>
  <c r="D10" i="386"/>
  <c r="B10" i="386"/>
  <c r="F9" i="386"/>
  <c r="F39" i="386" s="1"/>
  <c r="E9" i="386"/>
  <c r="D9" i="386"/>
  <c r="B9" i="386"/>
  <c r="D8" i="386"/>
  <c r="I5" i="386"/>
  <c r="H5" i="386"/>
  <c r="G5" i="386"/>
  <c r="F5" i="386"/>
  <c r="E5" i="386"/>
  <c r="D5" i="386"/>
  <c r="C5" i="386"/>
  <c r="B5" i="386"/>
  <c r="C4" i="386"/>
  <c r="G28" i="391" l="1"/>
  <c r="H27" i="391"/>
  <c r="E157" i="354"/>
  <c r="F10" i="386"/>
  <c r="F14" i="386"/>
  <c r="F18" i="386"/>
  <c r="F23" i="386"/>
  <c r="F30" i="386"/>
  <c r="F34" i="386"/>
  <c r="F38" i="386"/>
  <c r="F12" i="386"/>
  <c r="F16" i="386"/>
  <c r="F20" i="386"/>
  <c r="F25" i="386"/>
  <c r="F28" i="386"/>
  <c r="F32" i="386"/>
  <c r="F36" i="386"/>
  <c r="H28" i="392"/>
  <c r="G29" i="392"/>
  <c r="L28" i="392"/>
  <c r="M26" i="391"/>
  <c r="M19" i="390"/>
  <c r="O17" i="389"/>
  <c r="G18" i="389"/>
  <c r="H17" i="389"/>
  <c r="G18" i="388"/>
  <c r="H17" i="388"/>
  <c r="O17" i="388"/>
  <c r="Q17" i="387"/>
  <c r="E40" i="386"/>
  <c r="H207" i="53" s="1"/>
  <c r="H93" i="341" s="1"/>
  <c r="G9" i="386"/>
  <c r="D21" i="386"/>
  <c r="D40" i="386" s="1"/>
  <c r="M40" i="386"/>
  <c r="F11" i="386"/>
  <c r="F13" i="386"/>
  <c r="F15" i="386"/>
  <c r="F17" i="386"/>
  <c r="F19" i="386"/>
  <c r="F21" i="386"/>
  <c r="F22" i="386"/>
  <c r="F24" i="386"/>
  <c r="F26" i="386"/>
  <c r="F27" i="386"/>
  <c r="F29" i="386"/>
  <c r="F31" i="386"/>
  <c r="F33" i="386"/>
  <c r="F35" i="386"/>
  <c r="F37" i="386"/>
  <c r="G29" i="391" l="1"/>
  <c r="H28" i="391"/>
  <c r="I157" i="354"/>
  <c r="L157" i="354" s="1"/>
  <c r="H29" i="392"/>
  <c r="G30" i="392"/>
  <c r="L29" i="392"/>
  <c r="M27" i="391"/>
  <c r="M20" i="390"/>
  <c r="G19" i="389"/>
  <c r="H18" i="389"/>
  <c r="O18" i="389"/>
  <c r="O18" i="388"/>
  <c r="G19" i="388"/>
  <c r="H18" i="388"/>
  <c r="Q18" i="387"/>
  <c r="E41" i="386"/>
  <c r="E8" i="386"/>
  <c r="D41" i="386"/>
  <c r="G41" i="386" s="1"/>
  <c r="F207" i="53"/>
  <c r="G10" i="386"/>
  <c r="H9" i="386"/>
  <c r="N9" i="386"/>
  <c r="G30" i="391" l="1"/>
  <c r="H29" i="391"/>
  <c r="H30" i="392"/>
  <c r="G31" i="392"/>
  <c r="L30" i="392"/>
  <c r="M28" i="391"/>
  <c r="M21" i="390"/>
  <c r="O19" i="389"/>
  <c r="G20" i="389"/>
  <c r="H19" i="389"/>
  <c r="G20" i="388"/>
  <c r="H19" i="388"/>
  <c r="O19" i="388"/>
  <c r="Q19" i="387"/>
  <c r="J207" i="53"/>
  <c r="M207" i="53" s="1"/>
  <c r="F93" i="341"/>
  <c r="N10" i="386"/>
  <c r="G11" i="386"/>
  <c r="H10" i="386"/>
  <c r="G31" i="391" l="1"/>
  <c r="H30" i="391"/>
  <c r="H31" i="392"/>
  <c r="G32" i="392"/>
  <c r="L31" i="392"/>
  <c r="M29" i="391"/>
  <c r="J93" i="341"/>
  <c r="M93" i="341" s="1"/>
  <c r="G157" i="354"/>
  <c r="K157" i="354" s="1"/>
  <c r="N64" i="421" s="1"/>
  <c r="M22" i="390"/>
  <c r="G21" i="389"/>
  <c r="H20" i="389"/>
  <c r="O20" i="389"/>
  <c r="O20" i="388"/>
  <c r="G21" i="388"/>
  <c r="H20" i="388"/>
  <c r="Q20" i="387"/>
  <c r="G12" i="386"/>
  <c r="H11" i="386"/>
  <c r="N11" i="386"/>
  <c r="H31" i="391" l="1"/>
  <c r="G32" i="391"/>
  <c r="H32" i="392"/>
  <c r="G33" i="392"/>
  <c r="L32" i="392"/>
  <c r="M30" i="391"/>
  <c r="M23" i="390"/>
  <c r="G22" i="389"/>
  <c r="O21" i="389"/>
  <c r="H21" i="389"/>
  <c r="G22" i="388"/>
  <c r="H21" i="388"/>
  <c r="O21" i="388"/>
  <c r="Q21" i="387"/>
  <c r="N12" i="386"/>
  <c r="G13" i="386"/>
  <c r="H12" i="386"/>
  <c r="G33" i="391" l="1"/>
  <c r="H32" i="391"/>
  <c r="G86" i="421"/>
  <c r="P86" i="421" s="1"/>
  <c r="H33" i="392"/>
  <c r="G34" i="392"/>
  <c r="L33" i="392"/>
  <c r="M31" i="391"/>
  <c r="M24" i="390"/>
  <c r="O22" i="389"/>
  <c r="G23" i="389"/>
  <c r="H22" i="389"/>
  <c r="O22" i="388"/>
  <c r="G23" i="388"/>
  <c r="H22" i="388"/>
  <c r="Q22" i="387"/>
  <c r="G14" i="386"/>
  <c r="H13" i="386"/>
  <c r="N13" i="386"/>
  <c r="H33" i="391" l="1"/>
  <c r="G34" i="391"/>
  <c r="H86" i="421"/>
  <c r="H34" i="392"/>
  <c r="G35" i="392"/>
  <c r="L34" i="392"/>
  <c r="M32" i="391"/>
  <c r="M25" i="390"/>
  <c r="G24" i="389"/>
  <c r="H23" i="389"/>
  <c r="O23" i="389"/>
  <c r="G24" i="388"/>
  <c r="H23" i="388"/>
  <c r="O23" i="388"/>
  <c r="Q23" i="387"/>
  <c r="N14" i="386"/>
  <c r="G15" i="386"/>
  <c r="H14" i="386"/>
  <c r="G35" i="391" l="1"/>
  <c r="H34" i="391"/>
  <c r="H35" i="392"/>
  <c r="G36" i="392"/>
  <c r="L35" i="392"/>
  <c r="M33" i="391"/>
  <c r="M26" i="390"/>
  <c r="O24" i="389"/>
  <c r="G25" i="389"/>
  <c r="H24" i="389"/>
  <c r="O24" i="388"/>
  <c r="G25" i="388"/>
  <c r="H24" i="388"/>
  <c r="Q24" i="387"/>
  <c r="G16" i="386"/>
  <c r="H15" i="386"/>
  <c r="N15" i="386"/>
  <c r="G36" i="391" l="1"/>
  <c r="H35" i="391"/>
  <c r="H36" i="392"/>
  <c r="G37" i="392"/>
  <c r="L36" i="392"/>
  <c r="M34" i="391"/>
  <c r="M27" i="390"/>
  <c r="G26" i="389"/>
  <c r="H25" i="389"/>
  <c r="O25" i="389"/>
  <c r="G26" i="388"/>
  <c r="H25" i="388"/>
  <c r="O25" i="388"/>
  <c r="Q25" i="387"/>
  <c r="N16" i="386"/>
  <c r="G17" i="386"/>
  <c r="H16" i="386"/>
  <c r="G37" i="391" l="1"/>
  <c r="H36" i="391"/>
  <c r="H37" i="392"/>
  <c r="G38" i="392"/>
  <c r="L37" i="392"/>
  <c r="M35" i="391"/>
  <c r="M28" i="390"/>
  <c r="G27" i="389"/>
  <c r="O26" i="389"/>
  <c r="H26" i="389"/>
  <c r="O26" i="388"/>
  <c r="G27" i="388"/>
  <c r="H26" i="388"/>
  <c r="Q26" i="387"/>
  <c r="G18" i="386"/>
  <c r="H17" i="386"/>
  <c r="N17" i="386"/>
  <c r="H37" i="391" l="1"/>
  <c r="G38" i="391"/>
  <c r="H38" i="392"/>
  <c r="G39" i="392"/>
  <c r="L38" i="392"/>
  <c r="M36" i="391"/>
  <c r="M29" i="390"/>
  <c r="O27" i="389"/>
  <c r="G28" i="389"/>
  <c r="H27" i="389"/>
  <c r="G28" i="388"/>
  <c r="H27" i="388"/>
  <c r="O27" i="388"/>
  <c r="Q27" i="387"/>
  <c r="N18" i="386"/>
  <c r="G19" i="386"/>
  <c r="H18" i="386"/>
  <c r="G39" i="391" l="1"/>
  <c r="H39" i="391" s="1"/>
  <c r="H38" i="391"/>
  <c r="G40" i="392"/>
  <c r="H39" i="392"/>
  <c r="L39" i="392"/>
  <c r="M37" i="391"/>
  <c r="M30" i="390"/>
  <c r="G29" i="389"/>
  <c r="H28" i="389"/>
  <c r="O28" i="389"/>
  <c r="O28" i="388"/>
  <c r="G29" i="388"/>
  <c r="H28" i="388"/>
  <c r="Q28" i="387"/>
  <c r="G20" i="386"/>
  <c r="H19" i="386"/>
  <c r="N19" i="386"/>
  <c r="M38" i="391" l="1"/>
  <c r="M31" i="390"/>
  <c r="O29" i="389"/>
  <c r="G30" i="389"/>
  <c r="H29" i="389"/>
  <c r="G30" i="388"/>
  <c r="H29" i="388"/>
  <c r="O29" i="388"/>
  <c r="Q29" i="387"/>
  <c r="N20" i="386"/>
  <c r="G21" i="386"/>
  <c r="H20" i="386"/>
  <c r="G40" i="391" l="1"/>
  <c r="M39" i="391"/>
  <c r="M32" i="390"/>
  <c r="G31" i="389"/>
  <c r="H30" i="389"/>
  <c r="O30" i="389"/>
  <c r="O30" i="388"/>
  <c r="G31" i="388"/>
  <c r="H30" i="388"/>
  <c r="Q30" i="387"/>
  <c r="N21" i="386"/>
  <c r="H21" i="386"/>
  <c r="G22" i="386"/>
  <c r="M33" i="390" l="1"/>
  <c r="O31" i="389"/>
  <c r="G32" i="389"/>
  <c r="H31" i="389"/>
  <c r="G32" i="388"/>
  <c r="H31" i="388"/>
  <c r="O31" i="388"/>
  <c r="Q31" i="387"/>
  <c r="G23" i="386"/>
  <c r="H22" i="386"/>
  <c r="N22" i="386"/>
  <c r="M34" i="390" l="1"/>
  <c r="G33" i="389"/>
  <c r="H32" i="389"/>
  <c r="O32" i="389"/>
  <c r="O32" i="388"/>
  <c r="G33" i="388"/>
  <c r="H32" i="388"/>
  <c r="Q32" i="387"/>
  <c r="N23" i="386"/>
  <c r="G24" i="386"/>
  <c r="H23" i="386"/>
  <c r="M35" i="390" l="1"/>
  <c r="O33" i="389"/>
  <c r="G34" i="389"/>
  <c r="H33" i="389"/>
  <c r="G34" i="388"/>
  <c r="H33" i="388"/>
  <c r="O33" i="388"/>
  <c r="Q33" i="387"/>
  <c r="G25" i="386"/>
  <c r="H24" i="386"/>
  <c r="N24" i="386"/>
  <c r="M36" i="390" l="1"/>
  <c r="G35" i="389"/>
  <c r="H34" i="389"/>
  <c r="O34" i="389"/>
  <c r="O34" i="388"/>
  <c r="G35" i="388"/>
  <c r="H34" i="388"/>
  <c r="Q34" i="387"/>
  <c r="N25" i="386"/>
  <c r="G26" i="386"/>
  <c r="H25" i="386"/>
  <c r="M37" i="390" l="1"/>
  <c r="O35" i="389"/>
  <c r="G36" i="389"/>
  <c r="H35" i="389"/>
  <c r="G36" i="388"/>
  <c r="H35" i="388"/>
  <c r="O35" i="388"/>
  <c r="Q35" i="387"/>
  <c r="N26" i="386"/>
  <c r="H26" i="386"/>
  <c r="G27" i="386"/>
  <c r="M38" i="390" l="1"/>
  <c r="G37" i="389"/>
  <c r="H36" i="389"/>
  <c r="O36" i="389"/>
  <c r="O36" i="388"/>
  <c r="G37" i="388"/>
  <c r="H36" i="388"/>
  <c r="Q36" i="387"/>
  <c r="G28" i="386"/>
  <c r="H27" i="386"/>
  <c r="N27" i="386"/>
  <c r="M39" i="390" l="1"/>
  <c r="G40" i="390"/>
  <c r="O37" i="389"/>
  <c r="G38" i="389"/>
  <c r="H37" i="389"/>
  <c r="G38" i="388"/>
  <c r="H37" i="388"/>
  <c r="O37" i="388"/>
  <c r="Q37" i="387"/>
  <c r="N28" i="386"/>
  <c r="G29" i="386"/>
  <c r="H28" i="386"/>
  <c r="G39" i="389" l="1"/>
  <c r="H38" i="389"/>
  <c r="O38" i="389"/>
  <c r="O38" i="388"/>
  <c r="G39" i="388"/>
  <c r="H38" i="388"/>
  <c r="Q38" i="387"/>
  <c r="G30" i="386"/>
  <c r="H29" i="386"/>
  <c r="N29" i="386"/>
  <c r="O39" i="389" l="1"/>
  <c r="G40" i="389"/>
  <c r="H39" i="389"/>
  <c r="G40" i="388"/>
  <c r="H39" i="388"/>
  <c r="O39" i="388"/>
  <c r="G40" i="387"/>
  <c r="Q39" i="387"/>
  <c r="N30" i="386"/>
  <c r="G31" i="386"/>
  <c r="H30" i="386"/>
  <c r="G32" i="386" l="1"/>
  <c r="H31" i="386"/>
  <c r="N31" i="386"/>
  <c r="N32" i="386" l="1"/>
  <c r="G33" i="386"/>
  <c r="H32" i="386"/>
  <c r="G34" i="386" l="1"/>
  <c r="H33" i="386"/>
  <c r="N33" i="386"/>
  <c r="N34" i="386" l="1"/>
  <c r="G35" i="386"/>
  <c r="H34" i="386"/>
  <c r="G36" i="386" l="1"/>
  <c r="H35" i="386"/>
  <c r="N35" i="386"/>
  <c r="N36" i="386" l="1"/>
  <c r="G37" i="386"/>
  <c r="H36" i="386"/>
  <c r="G38" i="386" l="1"/>
  <c r="H37" i="386"/>
  <c r="N37" i="386"/>
  <c r="N38" i="386" l="1"/>
  <c r="G39" i="386"/>
  <c r="H38" i="386"/>
  <c r="G40" i="386" l="1"/>
  <c r="H39" i="386"/>
  <c r="N39" i="386"/>
  <c r="D34" i="385" l="1"/>
  <c r="D35" i="385"/>
  <c r="H39" i="382" l="1"/>
  <c r="E35" i="354" l="1"/>
  <c r="K35" i="354" s="1"/>
  <c r="E45" i="355" l="1"/>
  <c r="E85" i="53"/>
  <c r="C85" i="53"/>
  <c r="B85" i="53"/>
  <c r="J46" i="385"/>
  <c r="G40" i="385"/>
  <c r="G41" i="385" s="1"/>
  <c r="F40" i="385"/>
  <c r="F41" i="385" s="1"/>
  <c r="E40" i="385"/>
  <c r="G85" i="53" s="1"/>
  <c r="I39" i="385"/>
  <c r="H39" i="385"/>
  <c r="D39" i="385"/>
  <c r="B39" i="385"/>
  <c r="I38" i="385"/>
  <c r="H38" i="385"/>
  <c r="D38" i="385"/>
  <c r="B38" i="385"/>
  <c r="I37" i="385"/>
  <c r="H37" i="385"/>
  <c r="D37" i="385"/>
  <c r="B37" i="385"/>
  <c r="I36" i="385"/>
  <c r="H36" i="385"/>
  <c r="D36" i="385"/>
  <c r="B36" i="385"/>
  <c r="I35" i="385"/>
  <c r="H35" i="385"/>
  <c r="B35" i="385"/>
  <c r="I34" i="385"/>
  <c r="H34" i="385"/>
  <c r="B34" i="385"/>
  <c r="I33" i="385"/>
  <c r="H33" i="385"/>
  <c r="D33" i="385"/>
  <c r="B33" i="385"/>
  <c r="I32" i="385"/>
  <c r="H32" i="385"/>
  <c r="D32" i="385"/>
  <c r="B32" i="385"/>
  <c r="I31" i="385"/>
  <c r="H31" i="385"/>
  <c r="D31" i="385"/>
  <c r="B31" i="385"/>
  <c r="I30" i="385"/>
  <c r="H30" i="385"/>
  <c r="D30" i="385"/>
  <c r="B30" i="385"/>
  <c r="I29" i="385"/>
  <c r="H29" i="385"/>
  <c r="D29" i="385"/>
  <c r="B29" i="385"/>
  <c r="I28" i="385"/>
  <c r="H28" i="385"/>
  <c r="D28" i="385"/>
  <c r="B28" i="385"/>
  <c r="I27" i="385"/>
  <c r="H27" i="385"/>
  <c r="D27" i="385"/>
  <c r="B27" i="385"/>
  <c r="I26" i="385"/>
  <c r="H26" i="385"/>
  <c r="D26" i="385"/>
  <c r="B26" i="385"/>
  <c r="I25" i="385"/>
  <c r="H25" i="385"/>
  <c r="B25" i="385"/>
  <c r="I24" i="385"/>
  <c r="H24" i="385"/>
  <c r="B24" i="385"/>
  <c r="I23" i="385"/>
  <c r="H23" i="385"/>
  <c r="D23" i="385"/>
  <c r="B23" i="385"/>
  <c r="I22" i="385"/>
  <c r="H22" i="385"/>
  <c r="D22" i="385"/>
  <c r="B22" i="385"/>
  <c r="I21" i="385"/>
  <c r="H21" i="385"/>
  <c r="D21" i="385"/>
  <c r="B21" i="385"/>
  <c r="I20" i="385"/>
  <c r="H20" i="385"/>
  <c r="D20" i="385"/>
  <c r="B20" i="385"/>
  <c r="I19" i="385"/>
  <c r="H19" i="385"/>
  <c r="D19" i="385"/>
  <c r="B19" i="385"/>
  <c r="I18" i="385"/>
  <c r="H18" i="385"/>
  <c r="D18" i="385"/>
  <c r="B18" i="385"/>
  <c r="I17" i="385"/>
  <c r="H17" i="385"/>
  <c r="D17" i="385"/>
  <c r="B17" i="385"/>
  <c r="I16" i="385"/>
  <c r="H16" i="385"/>
  <c r="D16" i="385"/>
  <c r="B16" i="385"/>
  <c r="I15" i="385"/>
  <c r="H15" i="385"/>
  <c r="D15" i="385"/>
  <c r="B15" i="385"/>
  <c r="I14" i="385"/>
  <c r="H14" i="385"/>
  <c r="D14" i="385"/>
  <c r="B14" i="385"/>
  <c r="I13" i="385"/>
  <c r="H13" i="385"/>
  <c r="D13" i="385"/>
  <c r="B13" i="385"/>
  <c r="I12" i="385"/>
  <c r="H12" i="385"/>
  <c r="D12" i="385"/>
  <c r="B12" i="385"/>
  <c r="I11" i="385"/>
  <c r="H11" i="385"/>
  <c r="D11" i="385"/>
  <c r="B11" i="385"/>
  <c r="I10" i="385"/>
  <c r="H10" i="385"/>
  <c r="D10" i="385"/>
  <c r="B10" i="385"/>
  <c r="K9" i="385"/>
  <c r="I9" i="385"/>
  <c r="H9" i="385"/>
  <c r="D9" i="385"/>
  <c r="B9" i="385"/>
  <c r="J8" i="385"/>
  <c r="D85" i="53" s="1"/>
  <c r="E8" i="385"/>
  <c r="I7" i="385"/>
  <c r="K7" i="385" s="1"/>
  <c r="M7" i="385" s="1"/>
  <c r="M5" i="385"/>
  <c r="I5" i="385"/>
  <c r="H5" i="385"/>
  <c r="G5" i="385"/>
  <c r="F5" i="385"/>
  <c r="E5" i="385"/>
  <c r="D5" i="385"/>
  <c r="C5" i="385"/>
  <c r="B5" i="385"/>
  <c r="C4" i="385"/>
  <c r="F45" i="355" l="1"/>
  <c r="G61" i="354"/>
  <c r="E61" i="354"/>
  <c r="E41" i="385"/>
  <c r="K41" i="385" s="1"/>
  <c r="M9" i="385"/>
  <c r="D8" i="385"/>
  <c r="D40" i="385"/>
  <c r="F85" i="53" s="1"/>
  <c r="I85" i="53"/>
  <c r="H85" i="53"/>
  <c r="J9" i="385"/>
  <c r="J10" i="385" s="1"/>
  <c r="L10" i="385" s="1"/>
  <c r="K10" i="385"/>
  <c r="K11" i="385" s="1"/>
  <c r="M11" i="385" s="1"/>
  <c r="G45" i="355" l="1"/>
  <c r="H45" i="355"/>
  <c r="H61" i="354"/>
  <c r="K12" i="385"/>
  <c r="M12" i="385" s="1"/>
  <c r="M10" i="385"/>
  <c r="I61" i="354"/>
  <c r="K61" i="354" s="1"/>
  <c r="S10" i="385"/>
  <c r="D41" i="385"/>
  <c r="J41" i="385" s="1"/>
  <c r="S9" i="385"/>
  <c r="L9" i="385"/>
  <c r="J85" i="53"/>
  <c r="K85" i="53"/>
  <c r="J11" i="385"/>
  <c r="J12" i="385" s="1"/>
  <c r="K13" i="385"/>
  <c r="L82" i="341"/>
  <c r="L196" i="53"/>
  <c r="D196" i="53"/>
  <c r="D82" i="341" s="1"/>
  <c r="B196" i="53"/>
  <c r="B82" i="341" s="1"/>
  <c r="C4" i="384"/>
  <c r="K40" i="384"/>
  <c r="J40" i="384"/>
  <c r="I40" i="384"/>
  <c r="D40" i="384"/>
  <c r="F196" i="53" s="1"/>
  <c r="F82" i="341" s="1"/>
  <c r="E39" i="384"/>
  <c r="B39" i="384"/>
  <c r="E38" i="384"/>
  <c r="B38" i="384"/>
  <c r="E37" i="384"/>
  <c r="B37" i="384"/>
  <c r="E36" i="384"/>
  <c r="B36" i="384"/>
  <c r="E35" i="384"/>
  <c r="B35" i="384"/>
  <c r="E34" i="384"/>
  <c r="B34" i="384"/>
  <c r="E33" i="384"/>
  <c r="B33" i="384"/>
  <c r="E32" i="384"/>
  <c r="B32" i="384"/>
  <c r="E31" i="384"/>
  <c r="B31" i="384"/>
  <c r="E30" i="384"/>
  <c r="B30" i="384"/>
  <c r="E29" i="384"/>
  <c r="B29" i="384"/>
  <c r="E28" i="384"/>
  <c r="B28" i="384"/>
  <c r="E27" i="384"/>
  <c r="B27" i="384"/>
  <c r="E26" i="384"/>
  <c r="B26" i="384"/>
  <c r="E25" i="384"/>
  <c r="B25" i="384"/>
  <c r="E24" i="384"/>
  <c r="B24" i="384"/>
  <c r="E23" i="384"/>
  <c r="B23" i="384"/>
  <c r="E22" i="384"/>
  <c r="B22" i="384"/>
  <c r="E21" i="384"/>
  <c r="B21" i="384"/>
  <c r="E20" i="384"/>
  <c r="B20" i="384"/>
  <c r="E19" i="384"/>
  <c r="B19" i="384"/>
  <c r="E18" i="384"/>
  <c r="B18" i="384"/>
  <c r="E17" i="384"/>
  <c r="B17" i="384"/>
  <c r="E16" i="384"/>
  <c r="B16" i="384"/>
  <c r="E15" i="384"/>
  <c r="B15" i="384"/>
  <c r="E14" i="384"/>
  <c r="B14" i="384"/>
  <c r="E13" i="384"/>
  <c r="B13" i="384"/>
  <c r="E12" i="384"/>
  <c r="B12" i="384"/>
  <c r="E11" i="384"/>
  <c r="B11" i="384"/>
  <c r="E10" i="384"/>
  <c r="B10" i="384"/>
  <c r="F9" i="384"/>
  <c r="E9" i="384"/>
  <c r="B9" i="384"/>
  <c r="D8" i="384"/>
  <c r="I5" i="384"/>
  <c r="H5" i="384"/>
  <c r="G5" i="384"/>
  <c r="F5" i="384"/>
  <c r="E5" i="384"/>
  <c r="D5" i="384"/>
  <c r="C5" i="384"/>
  <c r="B5" i="384"/>
  <c r="E71" i="355" l="1"/>
  <c r="D41" i="384"/>
  <c r="G144" i="354"/>
  <c r="E144" i="354"/>
  <c r="L11" i="385"/>
  <c r="S11" i="385"/>
  <c r="E40" i="384"/>
  <c r="H196" i="53" s="1"/>
  <c r="H82" i="341" s="1"/>
  <c r="S12" i="385"/>
  <c r="L12" i="385"/>
  <c r="J13" i="385"/>
  <c r="M13" i="385"/>
  <c r="K14" i="385"/>
  <c r="F38" i="384"/>
  <c r="F37" i="384"/>
  <c r="F36" i="384"/>
  <c r="F35" i="384"/>
  <c r="F34" i="384"/>
  <c r="F33" i="384"/>
  <c r="F32" i="384"/>
  <c r="F10" i="384"/>
  <c r="F11" i="384"/>
  <c r="F12" i="384"/>
  <c r="F13" i="384"/>
  <c r="F14" i="384"/>
  <c r="F15" i="384"/>
  <c r="F16" i="384"/>
  <c r="F17" i="384"/>
  <c r="F18" i="384"/>
  <c r="F19" i="384"/>
  <c r="F20" i="384"/>
  <c r="F21" i="384"/>
  <c r="F22" i="384"/>
  <c r="F23" i="384"/>
  <c r="F24" i="384"/>
  <c r="F25" i="384"/>
  <c r="F26" i="384"/>
  <c r="F27" i="384"/>
  <c r="F28" i="384"/>
  <c r="F29" i="384"/>
  <c r="F30" i="384"/>
  <c r="F31" i="384"/>
  <c r="G9" i="384"/>
  <c r="L195" i="53"/>
  <c r="D195" i="53"/>
  <c r="D81" i="341" s="1"/>
  <c r="B195" i="53"/>
  <c r="B81" i="341" s="1"/>
  <c r="L81" i="341"/>
  <c r="L83" i="341"/>
  <c r="C4" i="383"/>
  <c r="M40" i="383"/>
  <c r="L40" i="383"/>
  <c r="K40" i="383"/>
  <c r="J40" i="383"/>
  <c r="I40" i="383"/>
  <c r="E39" i="383"/>
  <c r="D39" i="383"/>
  <c r="B39" i="383"/>
  <c r="E38" i="383"/>
  <c r="D38" i="383"/>
  <c r="B38" i="383"/>
  <c r="E37" i="383"/>
  <c r="D37" i="383"/>
  <c r="B37" i="383"/>
  <c r="E36" i="383"/>
  <c r="D36" i="383"/>
  <c r="B36" i="383"/>
  <c r="E35" i="383"/>
  <c r="D35" i="383"/>
  <c r="B35" i="383"/>
  <c r="E34" i="383"/>
  <c r="D34" i="383"/>
  <c r="B34" i="383"/>
  <c r="E33" i="383"/>
  <c r="D33" i="383"/>
  <c r="B33" i="383"/>
  <c r="E32" i="383"/>
  <c r="D32" i="383"/>
  <c r="B32" i="383"/>
  <c r="E31" i="383"/>
  <c r="D31" i="383"/>
  <c r="B31" i="383"/>
  <c r="E30" i="383"/>
  <c r="D30" i="383"/>
  <c r="B30" i="383"/>
  <c r="E29" i="383"/>
  <c r="D29" i="383"/>
  <c r="B29" i="383"/>
  <c r="E28" i="383"/>
  <c r="D28" i="383"/>
  <c r="B28" i="383"/>
  <c r="E27" i="383"/>
  <c r="D27" i="383"/>
  <c r="B27" i="383"/>
  <c r="E26" i="383"/>
  <c r="D26" i="383"/>
  <c r="B26" i="383"/>
  <c r="E25" i="383"/>
  <c r="D25" i="383"/>
  <c r="B25" i="383"/>
  <c r="E24" i="383"/>
  <c r="D24" i="383"/>
  <c r="B24" i="383"/>
  <c r="E23" i="383"/>
  <c r="D23" i="383"/>
  <c r="B23" i="383"/>
  <c r="E22" i="383"/>
  <c r="D22" i="383"/>
  <c r="B22" i="383"/>
  <c r="E21" i="383"/>
  <c r="D21" i="383"/>
  <c r="B21" i="383"/>
  <c r="E20" i="383"/>
  <c r="D20" i="383"/>
  <c r="B20" i="383"/>
  <c r="E19" i="383"/>
  <c r="D19" i="383"/>
  <c r="B19" i="383"/>
  <c r="E18" i="383"/>
  <c r="D18" i="383"/>
  <c r="B18" i="383"/>
  <c r="E17" i="383"/>
  <c r="D17" i="383"/>
  <c r="B17" i="383"/>
  <c r="E16" i="383"/>
  <c r="D16" i="383"/>
  <c r="B16" i="383"/>
  <c r="E15" i="383"/>
  <c r="D15" i="383"/>
  <c r="B15" i="383"/>
  <c r="E14" i="383"/>
  <c r="D14" i="383"/>
  <c r="B14" i="383"/>
  <c r="E13" i="383"/>
  <c r="D13" i="383"/>
  <c r="B13" i="383"/>
  <c r="E12" i="383"/>
  <c r="D12" i="383"/>
  <c r="B12" i="383"/>
  <c r="E11" i="383"/>
  <c r="D11" i="383"/>
  <c r="B11" i="383"/>
  <c r="E10" i="383"/>
  <c r="D10" i="383"/>
  <c r="B10" i="383"/>
  <c r="F9" i="383"/>
  <c r="E9" i="383"/>
  <c r="D9" i="383"/>
  <c r="B9" i="383"/>
  <c r="D8" i="383"/>
  <c r="I5" i="383"/>
  <c r="G5" i="383"/>
  <c r="F5" i="383"/>
  <c r="E5" i="383"/>
  <c r="D5" i="383"/>
  <c r="C5" i="383"/>
  <c r="B5" i="383"/>
  <c r="E136" i="354" l="1"/>
  <c r="J196" i="53"/>
  <c r="M196" i="53" s="1"/>
  <c r="I144" i="354"/>
  <c r="L144" i="354" s="1"/>
  <c r="E41" i="384"/>
  <c r="G41" i="384" s="1"/>
  <c r="E8" i="384"/>
  <c r="F39" i="384" s="1"/>
  <c r="J82" i="341"/>
  <c r="K15" i="385"/>
  <c r="M14" i="385"/>
  <c r="J14" i="385"/>
  <c r="S13" i="385"/>
  <c r="L13" i="385"/>
  <c r="G10" i="384"/>
  <c r="L9" i="384"/>
  <c r="H9" i="384"/>
  <c r="G9" i="383"/>
  <c r="D40" i="383"/>
  <c r="F38" i="383"/>
  <c r="F36" i="383"/>
  <c r="F34" i="383"/>
  <c r="F32" i="383"/>
  <c r="F30" i="383"/>
  <c r="F28" i="383"/>
  <c r="F26" i="383"/>
  <c r="F24" i="383"/>
  <c r="F22" i="383"/>
  <c r="F20" i="383"/>
  <c r="F18" i="383"/>
  <c r="F16" i="383"/>
  <c r="F14" i="383"/>
  <c r="F12" i="383"/>
  <c r="F10" i="383"/>
  <c r="F37" i="383"/>
  <c r="F35" i="383"/>
  <c r="F33" i="383"/>
  <c r="F11" i="383"/>
  <c r="F13" i="383"/>
  <c r="F15" i="383"/>
  <c r="F17" i="383"/>
  <c r="F19" i="383"/>
  <c r="F21" i="383"/>
  <c r="F23" i="383"/>
  <c r="F25" i="383"/>
  <c r="F27" i="383"/>
  <c r="F29" i="383"/>
  <c r="F31" i="383"/>
  <c r="E40" i="383"/>
  <c r="H195" i="53" s="1"/>
  <c r="H81" i="341" s="1"/>
  <c r="G73" i="421" l="1"/>
  <c r="P73" i="421" s="1"/>
  <c r="M82" i="341"/>
  <c r="I136" i="354"/>
  <c r="L136" i="354" s="1"/>
  <c r="K144" i="354"/>
  <c r="S14" i="385"/>
  <c r="L14" i="385"/>
  <c r="J15" i="385"/>
  <c r="M15" i="385"/>
  <c r="K16" i="385"/>
  <c r="G11" i="384"/>
  <c r="L10" i="384"/>
  <c r="H10" i="384"/>
  <c r="D41" i="383"/>
  <c r="F195" i="53"/>
  <c r="N9" i="383"/>
  <c r="G10" i="383"/>
  <c r="H9" i="383"/>
  <c r="E41" i="383"/>
  <c r="E8" i="383"/>
  <c r="F39" i="383" s="1"/>
  <c r="G51" i="421" l="1"/>
  <c r="P51" i="421" s="1"/>
  <c r="N51" i="421"/>
  <c r="H73" i="421"/>
  <c r="G41" i="383"/>
  <c r="K17" i="385"/>
  <c r="M16" i="385"/>
  <c r="J16" i="385"/>
  <c r="L15" i="385"/>
  <c r="S15" i="385"/>
  <c r="G12" i="384"/>
  <c r="L11" i="384"/>
  <c r="H11" i="384"/>
  <c r="J195" i="53"/>
  <c r="M195" i="53" s="1"/>
  <c r="F81" i="341"/>
  <c r="G11" i="383"/>
  <c r="H10" i="383"/>
  <c r="N10" i="383"/>
  <c r="G136" i="354" l="1"/>
  <c r="K136" i="354" s="1"/>
  <c r="J81" i="341"/>
  <c r="S16" i="385"/>
  <c r="L16" i="385"/>
  <c r="J17" i="385"/>
  <c r="M17" i="385"/>
  <c r="K18" i="385"/>
  <c r="G13" i="384"/>
  <c r="L12" i="384"/>
  <c r="H12" i="384"/>
  <c r="N11" i="383"/>
  <c r="G12" i="383"/>
  <c r="H11" i="383"/>
  <c r="G43" i="421" l="1"/>
  <c r="P43" i="421" s="1"/>
  <c r="N43" i="421"/>
  <c r="G65" i="421"/>
  <c r="P65" i="421" s="1"/>
  <c r="M81" i="341"/>
  <c r="K19" i="385"/>
  <c r="M18" i="385"/>
  <c r="J18" i="385"/>
  <c r="S17" i="385"/>
  <c r="L17" i="385"/>
  <c r="G14" i="384"/>
  <c r="L13" i="384"/>
  <c r="H13" i="384"/>
  <c r="G13" i="383"/>
  <c r="H12" i="383"/>
  <c r="N12" i="383"/>
  <c r="H65" i="421" l="1"/>
  <c r="S18" i="385"/>
  <c r="L18" i="385"/>
  <c r="J19" i="385"/>
  <c r="M19" i="385"/>
  <c r="K20" i="385"/>
  <c r="G15" i="384"/>
  <c r="L14" i="384"/>
  <c r="H14" i="384"/>
  <c r="N13" i="383"/>
  <c r="G14" i="383"/>
  <c r="H13" i="383"/>
  <c r="K21" i="385" l="1"/>
  <c r="M20" i="385"/>
  <c r="J20" i="385"/>
  <c r="L19" i="385"/>
  <c r="S19" i="385"/>
  <c r="G16" i="384"/>
  <c r="L15" i="384"/>
  <c r="H15" i="384"/>
  <c r="G15" i="383"/>
  <c r="H14" i="383"/>
  <c r="N14" i="383"/>
  <c r="S20" i="385" l="1"/>
  <c r="L20" i="385"/>
  <c r="J21" i="385"/>
  <c r="M21" i="385"/>
  <c r="K22" i="385"/>
  <c r="G17" i="384"/>
  <c r="L16" i="384"/>
  <c r="H16" i="384"/>
  <c r="N15" i="383"/>
  <c r="G16" i="383"/>
  <c r="H15" i="383"/>
  <c r="K23" i="385" l="1"/>
  <c r="M22" i="385"/>
  <c r="J22" i="385"/>
  <c r="S21" i="385"/>
  <c r="L21" i="385"/>
  <c r="G18" i="384"/>
  <c r="L17" i="384"/>
  <c r="H17" i="384"/>
  <c r="G17" i="383"/>
  <c r="H16" i="383"/>
  <c r="N16" i="383"/>
  <c r="S22" i="385" l="1"/>
  <c r="L22" i="385"/>
  <c r="J23" i="385"/>
  <c r="M23" i="385"/>
  <c r="K24" i="385"/>
  <c r="G19" i="384"/>
  <c r="L18" i="384"/>
  <c r="H18" i="384"/>
  <c r="N17" i="383"/>
  <c r="G18" i="383"/>
  <c r="H17" i="383"/>
  <c r="K25" i="385" l="1"/>
  <c r="M24" i="385"/>
  <c r="J24" i="385"/>
  <c r="L23" i="385"/>
  <c r="S23" i="385"/>
  <c r="G20" i="384"/>
  <c r="L19" i="384"/>
  <c r="H19" i="384"/>
  <c r="G19" i="383"/>
  <c r="H18" i="383"/>
  <c r="N18" i="383"/>
  <c r="J25" i="385" l="1"/>
  <c r="S24" i="385"/>
  <c r="L24" i="385"/>
  <c r="K26" i="385"/>
  <c r="M25" i="385"/>
  <c r="G21" i="384"/>
  <c r="L20" i="384"/>
  <c r="H20" i="384"/>
  <c r="N19" i="383"/>
  <c r="G20" i="383"/>
  <c r="H19" i="383"/>
  <c r="S25" i="385" l="1"/>
  <c r="L25" i="385"/>
  <c r="J26" i="385"/>
  <c r="M26" i="385"/>
  <c r="K27" i="385"/>
  <c r="G22" i="384"/>
  <c r="L21" i="384"/>
  <c r="H21" i="384"/>
  <c r="G21" i="383"/>
  <c r="H20" i="383"/>
  <c r="N20" i="383"/>
  <c r="E90" i="53"/>
  <c r="B90" i="53"/>
  <c r="E89" i="53"/>
  <c r="B89" i="53"/>
  <c r="J46" i="382"/>
  <c r="G40" i="382"/>
  <c r="G41" i="382" s="1"/>
  <c r="F40" i="382"/>
  <c r="F41" i="382" s="1"/>
  <c r="E40" i="382"/>
  <c r="G90" i="53" s="1"/>
  <c r="I39" i="382"/>
  <c r="D39" i="382"/>
  <c r="B39" i="382"/>
  <c r="I38" i="382"/>
  <c r="H38" i="382"/>
  <c r="D38" i="382"/>
  <c r="B38" i="382"/>
  <c r="I37" i="382"/>
  <c r="H37" i="382"/>
  <c r="D37" i="382"/>
  <c r="B37" i="382"/>
  <c r="I36" i="382"/>
  <c r="H36" i="382"/>
  <c r="D36" i="382"/>
  <c r="B36" i="382"/>
  <c r="I35" i="382"/>
  <c r="H35" i="382"/>
  <c r="D35" i="382"/>
  <c r="B35" i="382"/>
  <c r="I34" i="382"/>
  <c r="H34" i="382"/>
  <c r="D34" i="382"/>
  <c r="B34" i="382"/>
  <c r="I33" i="382"/>
  <c r="H33" i="382"/>
  <c r="D33" i="382"/>
  <c r="B33" i="382"/>
  <c r="I32" i="382"/>
  <c r="H32" i="382"/>
  <c r="D32" i="382"/>
  <c r="B32" i="382"/>
  <c r="I31" i="382"/>
  <c r="H31" i="382"/>
  <c r="D31" i="382"/>
  <c r="B31" i="382"/>
  <c r="I30" i="382"/>
  <c r="H30" i="382"/>
  <c r="D30" i="382"/>
  <c r="B30" i="382"/>
  <c r="I29" i="382"/>
  <c r="H29" i="382"/>
  <c r="D29" i="382"/>
  <c r="B29" i="382"/>
  <c r="I28" i="382"/>
  <c r="H28" i="382"/>
  <c r="D28" i="382"/>
  <c r="B28" i="382"/>
  <c r="I27" i="382"/>
  <c r="H27" i="382"/>
  <c r="D27" i="382"/>
  <c r="B27" i="382"/>
  <c r="I26" i="382"/>
  <c r="H26" i="382"/>
  <c r="D26" i="382"/>
  <c r="B26" i="382"/>
  <c r="I25" i="382"/>
  <c r="H25" i="382"/>
  <c r="B25" i="382"/>
  <c r="I24" i="382"/>
  <c r="H24" i="382"/>
  <c r="B24" i="382"/>
  <c r="I23" i="382"/>
  <c r="H23" i="382"/>
  <c r="D23" i="382"/>
  <c r="B23" i="382"/>
  <c r="I22" i="382"/>
  <c r="H22" i="382"/>
  <c r="D22" i="382"/>
  <c r="B22" i="382"/>
  <c r="I21" i="382"/>
  <c r="H21" i="382"/>
  <c r="D21" i="382"/>
  <c r="B21" i="382"/>
  <c r="I20" i="382"/>
  <c r="H20" i="382"/>
  <c r="D20" i="382"/>
  <c r="B20" i="382"/>
  <c r="I19" i="382"/>
  <c r="H19" i="382"/>
  <c r="D19" i="382"/>
  <c r="B19" i="382"/>
  <c r="I18" i="382"/>
  <c r="H18" i="382"/>
  <c r="D18" i="382"/>
  <c r="B18" i="382"/>
  <c r="I17" i="382"/>
  <c r="H17" i="382"/>
  <c r="D17" i="382"/>
  <c r="B17" i="382"/>
  <c r="I16" i="382"/>
  <c r="H16" i="382"/>
  <c r="D16" i="382"/>
  <c r="B16" i="382"/>
  <c r="I15" i="382"/>
  <c r="H15" i="382"/>
  <c r="D15" i="382"/>
  <c r="B15" i="382"/>
  <c r="I14" i="382"/>
  <c r="H14" i="382"/>
  <c r="D14" i="382"/>
  <c r="B14" i="382"/>
  <c r="I13" i="382"/>
  <c r="H13" i="382"/>
  <c r="D13" i="382"/>
  <c r="B13" i="382"/>
  <c r="I12" i="382"/>
  <c r="H12" i="382"/>
  <c r="D12" i="382"/>
  <c r="B12" i="382"/>
  <c r="I11" i="382"/>
  <c r="H11" i="382"/>
  <c r="D11" i="382"/>
  <c r="B11" i="382"/>
  <c r="I10" i="382"/>
  <c r="H10" i="382"/>
  <c r="D10" i="382"/>
  <c r="B10" i="382"/>
  <c r="K9" i="382"/>
  <c r="K10" i="382" s="1"/>
  <c r="K11" i="382" s="1"/>
  <c r="M11" i="382" s="1"/>
  <c r="I9" i="382"/>
  <c r="H9" i="382"/>
  <c r="D9" i="382"/>
  <c r="B9" i="382"/>
  <c r="J8" i="382"/>
  <c r="D90" i="53" s="1"/>
  <c r="E8" i="382"/>
  <c r="I7" i="382"/>
  <c r="K7" i="382" s="1"/>
  <c r="M7" i="382" s="1"/>
  <c r="M5" i="382"/>
  <c r="I5" i="382"/>
  <c r="H5" i="382"/>
  <c r="G5" i="382"/>
  <c r="F5" i="382"/>
  <c r="E5" i="382"/>
  <c r="D5" i="382"/>
  <c r="C5" i="382"/>
  <c r="B5" i="382"/>
  <c r="C4" i="382"/>
  <c r="J46" i="381"/>
  <c r="G40" i="381"/>
  <c r="G41" i="381" s="1"/>
  <c r="F40" i="381"/>
  <c r="F41" i="381" s="1"/>
  <c r="E40" i="381"/>
  <c r="G89" i="53" s="1"/>
  <c r="I39" i="381"/>
  <c r="H39" i="381"/>
  <c r="D39" i="381"/>
  <c r="B39" i="381"/>
  <c r="I38" i="381"/>
  <c r="H38" i="381"/>
  <c r="D38" i="381"/>
  <c r="B38" i="381"/>
  <c r="I37" i="381"/>
  <c r="H37" i="381"/>
  <c r="D37" i="381"/>
  <c r="B37" i="381"/>
  <c r="I36" i="381"/>
  <c r="H36" i="381"/>
  <c r="D36" i="381"/>
  <c r="B36" i="381"/>
  <c r="I35" i="381"/>
  <c r="H35" i="381"/>
  <c r="D35" i="381"/>
  <c r="B35" i="381"/>
  <c r="I34" i="381"/>
  <c r="H34" i="381"/>
  <c r="D34" i="381"/>
  <c r="B34" i="381"/>
  <c r="I33" i="381"/>
  <c r="H33" i="381"/>
  <c r="D33" i="381"/>
  <c r="B33" i="381"/>
  <c r="I32" i="381"/>
  <c r="H32" i="381"/>
  <c r="D32" i="381"/>
  <c r="B32" i="381"/>
  <c r="I31" i="381"/>
  <c r="H31" i="381"/>
  <c r="D31" i="381"/>
  <c r="B31" i="381"/>
  <c r="I30" i="381"/>
  <c r="H30" i="381"/>
  <c r="D30" i="381"/>
  <c r="B30" i="381"/>
  <c r="I29" i="381"/>
  <c r="H29" i="381"/>
  <c r="D29" i="381"/>
  <c r="B29" i="381"/>
  <c r="I28" i="381"/>
  <c r="H28" i="381"/>
  <c r="D28" i="381"/>
  <c r="B28" i="381"/>
  <c r="I27" i="381"/>
  <c r="H27" i="381"/>
  <c r="D27" i="381"/>
  <c r="B27" i="381"/>
  <c r="I26" i="381"/>
  <c r="H26" i="381"/>
  <c r="D26" i="381"/>
  <c r="B26" i="381"/>
  <c r="I25" i="381"/>
  <c r="H25" i="381"/>
  <c r="B25" i="381"/>
  <c r="I24" i="381"/>
  <c r="H24" i="381"/>
  <c r="B24" i="381"/>
  <c r="I23" i="381"/>
  <c r="H23" i="381"/>
  <c r="B23" i="381"/>
  <c r="I22" i="381"/>
  <c r="H22" i="381"/>
  <c r="D22" i="381"/>
  <c r="B22" i="381"/>
  <c r="I21" i="381"/>
  <c r="H21" i="381"/>
  <c r="D21" i="381"/>
  <c r="B21" i="381"/>
  <c r="I20" i="381"/>
  <c r="H20" i="381"/>
  <c r="D20" i="381"/>
  <c r="B20" i="381"/>
  <c r="I19" i="381"/>
  <c r="H19" i="381"/>
  <c r="D19" i="381"/>
  <c r="B19" i="381"/>
  <c r="I18" i="381"/>
  <c r="H18" i="381"/>
  <c r="D18" i="381"/>
  <c r="B18" i="381"/>
  <c r="I17" i="381"/>
  <c r="H17" i="381"/>
  <c r="D17" i="381"/>
  <c r="B17" i="381"/>
  <c r="I16" i="381"/>
  <c r="H16" i="381"/>
  <c r="D16" i="381"/>
  <c r="B16" i="381"/>
  <c r="I15" i="381"/>
  <c r="H15" i="381"/>
  <c r="D15" i="381"/>
  <c r="B15" i="381"/>
  <c r="I14" i="381"/>
  <c r="H14" i="381"/>
  <c r="D14" i="381"/>
  <c r="B14" i="381"/>
  <c r="I13" i="381"/>
  <c r="H13" i="381"/>
  <c r="D13" i="381"/>
  <c r="B13" i="381"/>
  <c r="I12" i="381"/>
  <c r="H12" i="381"/>
  <c r="D12" i="381"/>
  <c r="B12" i="381"/>
  <c r="I11" i="381"/>
  <c r="H11" i="381"/>
  <c r="D11" i="381"/>
  <c r="B11" i="381"/>
  <c r="I10" i="381"/>
  <c r="H10" i="381"/>
  <c r="D10" i="381"/>
  <c r="B10" i="381"/>
  <c r="K9" i="381"/>
  <c r="I9" i="381"/>
  <c r="H9" i="381"/>
  <c r="D9" i="381"/>
  <c r="B9" i="381"/>
  <c r="J8" i="381"/>
  <c r="D89" i="53" s="1"/>
  <c r="E8" i="381"/>
  <c r="E41" i="381" s="1"/>
  <c r="K41" i="381" s="1"/>
  <c r="I7" i="381"/>
  <c r="K7" i="381" s="1"/>
  <c r="M7" i="381" s="1"/>
  <c r="M5" i="381"/>
  <c r="I5" i="381"/>
  <c r="H5" i="381"/>
  <c r="G5" i="381"/>
  <c r="F5" i="381"/>
  <c r="E5" i="381"/>
  <c r="D5" i="381"/>
  <c r="C5" i="381"/>
  <c r="B5" i="381"/>
  <c r="C4" i="381"/>
  <c r="C89" i="53"/>
  <c r="C90" i="53"/>
  <c r="D8" i="382" l="1"/>
  <c r="G51" i="354"/>
  <c r="E51" i="354"/>
  <c r="E52" i="354"/>
  <c r="G52" i="354"/>
  <c r="D40" i="382"/>
  <c r="F90" i="53" s="1"/>
  <c r="D8" i="381"/>
  <c r="J9" i="382"/>
  <c r="J10" i="382" s="1"/>
  <c r="L10" i="382" s="1"/>
  <c r="M9" i="382"/>
  <c r="M9" i="381"/>
  <c r="E41" i="382"/>
  <c r="K41" i="382" s="1"/>
  <c r="I89" i="53"/>
  <c r="K28" i="385"/>
  <c r="M27" i="385"/>
  <c r="J27" i="385"/>
  <c r="L26" i="385"/>
  <c r="S26" i="385"/>
  <c r="G23" i="384"/>
  <c r="L22" i="384"/>
  <c r="H22" i="384"/>
  <c r="N21" i="383"/>
  <c r="G22" i="383"/>
  <c r="H21" i="383"/>
  <c r="I90" i="53"/>
  <c r="H90" i="53"/>
  <c r="H89" i="53"/>
  <c r="D40" i="381"/>
  <c r="F89" i="53" s="1"/>
  <c r="J9" i="381"/>
  <c r="J10" i="381" s="1"/>
  <c r="S10" i="381" s="1"/>
  <c r="K10" i="381"/>
  <c r="K11" i="381" s="1"/>
  <c r="M11" i="381" s="1"/>
  <c r="M10" i="382"/>
  <c r="K12" i="382"/>
  <c r="E13" i="53"/>
  <c r="B13" i="53"/>
  <c r="J46" i="380"/>
  <c r="E40" i="380"/>
  <c r="G13" i="53" s="1"/>
  <c r="D39" i="380"/>
  <c r="B39" i="380"/>
  <c r="D38" i="380"/>
  <c r="B38" i="380"/>
  <c r="D37" i="380"/>
  <c r="B37" i="380"/>
  <c r="D36" i="380"/>
  <c r="B36" i="380"/>
  <c r="D35" i="380"/>
  <c r="B35" i="380"/>
  <c r="D34" i="380"/>
  <c r="B34" i="380"/>
  <c r="D33" i="380"/>
  <c r="B33" i="380"/>
  <c r="D32" i="380"/>
  <c r="B32" i="380"/>
  <c r="D31" i="380"/>
  <c r="B31" i="380"/>
  <c r="D30" i="380"/>
  <c r="B30" i="380"/>
  <c r="D29" i="380"/>
  <c r="B29" i="380"/>
  <c r="D28" i="380"/>
  <c r="B28" i="380"/>
  <c r="D27" i="380"/>
  <c r="B27" i="380"/>
  <c r="D26" i="380"/>
  <c r="B26" i="380"/>
  <c r="D25" i="380"/>
  <c r="B25" i="380"/>
  <c r="D24" i="380"/>
  <c r="B24" i="380"/>
  <c r="D23" i="380"/>
  <c r="B23" i="380"/>
  <c r="D22" i="380"/>
  <c r="B22" i="380"/>
  <c r="D21" i="380"/>
  <c r="B21" i="380"/>
  <c r="D20" i="380"/>
  <c r="B20" i="380"/>
  <c r="D19" i="380"/>
  <c r="B19" i="380"/>
  <c r="D18" i="380"/>
  <c r="B18" i="380"/>
  <c r="D17" i="380"/>
  <c r="B17" i="380"/>
  <c r="D16" i="380"/>
  <c r="B16" i="380"/>
  <c r="D15" i="380"/>
  <c r="B15" i="380"/>
  <c r="D14" i="380"/>
  <c r="B14" i="380"/>
  <c r="D13" i="380"/>
  <c r="B13" i="380"/>
  <c r="D12" i="380"/>
  <c r="B12" i="380"/>
  <c r="D11" i="380"/>
  <c r="B11" i="380"/>
  <c r="D10" i="380"/>
  <c r="B10" i="380"/>
  <c r="H28" i="380"/>
  <c r="D9" i="380"/>
  <c r="B9" i="380"/>
  <c r="J8" i="380"/>
  <c r="J9" i="380" s="1"/>
  <c r="E8" i="380"/>
  <c r="I7" i="380"/>
  <c r="K7" i="380" s="1"/>
  <c r="M7" i="380" s="1"/>
  <c r="M5" i="380"/>
  <c r="I5" i="380"/>
  <c r="H5" i="380"/>
  <c r="G5" i="380"/>
  <c r="F5" i="380"/>
  <c r="E5" i="380"/>
  <c r="D5" i="380"/>
  <c r="C5" i="380"/>
  <c r="B5" i="380"/>
  <c r="C4" i="380"/>
  <c r="D8" i="380" l="1"/>
  <c r="G50" i="354"/>
  <c r="E50" i="354"/>
  <c r="H51" i="354"/>
  <c r="I51" i="354"/>
  <c r="K51" i="354" s="1"/>
  <c r="E41" i="380"/>
  <c r="K89" i="53"/>
  <c r="D41" i="382"/>
  <c r="J41" i="382" s="1"/>
  <c r="S9" i="382"/>
  <c r="S10" i="382"/>
  <c r="L9" i="382"/>
  <c r="J11" i="382"/>
  <c r="L11" i="382" s="1"/>
  <c r="J11" i="381"/>
  <c r="J12" i="381" s="1"/>
  <c r="L10" i="381"/>
  <c r="S9" i="381"/>
  <c r="L9" i="381"/>
  <c r="M10" i="381"/>
  <c r="K90" i="53"/>
  <c r="I52" i="354"/>
  <c r="K52" i="354" s="1"/>
  <c r="J90" i="53"/>
  <c r="H52" i="354"/>
  <c r="S27" i="385"/>
  <c r="L27" i="385"/>
  <c r="J28" i="385"/>
  <c r="M28" i="385"/>
  <c r="K29" i="385"/>
  <c r="J89" i="53"/>
  <c r="G24" i="384"/>
  <c r="L23" i="384"/>
  <c r="H23" i="384"/>
  <c r="G23" i="383"/>
  <c r="H22" i="383"/>
  <c r="N22" i="383"/>
  <c r="D41" i="381"/>
  <c r="J41" i="381" s="1"/>
  <c r="K12" i="381"/>
  <c r="M12" i="381" s="1"/>
  <c r="K13" i="382"/>
  <c r="M12" i="382"/>
  <c r="J12" i="382"/>
  <c r="D40" i="380"/>
  <c r="F13" i="53" s="1"/>
  <c r="D13" i="53"/>
  <c r="S9" i="380"/>
  <c r="J10" i="380"/>
  <c r="I39" i="380"/>
  <c r="I37" i="380"/>
  <c r="I35" i="380"/>
  <c r="I33" i="380"/>
  <c r="I31" i="380"/>
  <c r="G40" i="380"/>
  <c r="I13" i="53" s="1"/>
  <c r="I38" i="380"/>
  <c r="I36" i="380"/>
  <c r="I34" i="380"/>
  <c r="I32" i="380"/>
  <c r="I30" i="380"/>
  <c r="I28" i="380"/>
  <c r="I26" i="380"/>
  <c r="I24" i="380"/>
  <c r="I22" i="380"/>
  <c r="I20" i="380"/>
  <c r="I18" i="380"/>
  <c r="I9" i="380"/>
  <c r="K9" i="380"/>
  <c r="H10" i="380"/>
  <c r="I11" i="380"/>
  <c r="H12" i="380"/>
  <c r="I13" i="380"/>
  <c r="H14" i="380"/>
  <c r="I15" i="380"/>
  <c r="H16" i="380"/>
  <c r="I17" i="380"/>
  <c r="H20" i="380"/>
  <c r="I21" i="380"/>
  <c r="H24" i="380"/>
  <c r="I25" i="380"/>
  <c r="I29" i="380"/>
  <c r="F40" i="380"/>
  <c r="H13" i="53" s="1"/>
  <c r="H38" i="380"/>
  <c r="H36" i="380"/>
  <c r="H34" i="380"/>
  <c r="H32" i="380"/>
  <c r="H39" i="380"/>
  <c r="H37" i="380"/>
  <c r="H35" i="380"/>
  <c r="H33" i="380"/>
  <c r="H31" i="380"/>
  <c r="H29" i="380"/>
  <c r="H27" i="380"/>
  <c r="H25" i="380"/>
  <c r="H23" i="380"/>
  <c r="H21" i="380"/>
  <c r="H19" i="380"/>
  <c r="H9" i="380"/>
  <c r="L9" i="380" s="1"/>
  <c r="I10" i="380"/>
  <c r="H11" i="380"/>
  <c r="I12" i="380"/>
  <c r="H13" i="380"/>
  <c r="I14" i="380"/>
  <c r="H15" i="380"/>
  <c r="I16" i="380"/>
  <c r="H17" i="380"/>
  <c r="H18" i="380"/>
  <c r="I19" i="380"/>
  <c r="H22" i="380"/>
  <c r="I23" i="380"/>
  <c r="H26" i="380"/>
  <c r="I27" i="380"/>
  <c r="H30" i="380"/>
  <c r="D194" i="53"/>
  <c r="B194" i="53"/>
  <c r="B80" i="341" s="1"/>
  <c r="C4" i="379"/>
  <c r="K40" i="379"/>
  <c r="J40" i="379"/>
  <c r="I40" i="379"/>
  <c r="D40" i="379"/>
  <c r="F194" i="53" s="1"/>
  <c r="F80" i="341" s="1"/>
  <c r="E39" i="379"/>
  <c r="B39" i="379"/>
  <c r="E38" i="379"/>
  <c r="B38" i="379"/>
  <c r="E37" i="379"/>
  <c r="B37" i="379"/>
  <c r="E36" i="379"/>
  <c r="B36" i="379"/>
  <c r="E35" i="379"/>
  <c r="B35" i="379"/>
  <c r="E34" i="379"/>
  <c r="B34" i="379"/>
  <c r="E33" i="379"/>
  <c r="B33" i="379"/>
  <c r="E32" i="379"/>
  <c r="B32" i="379"/>
  <c r="E31" i="379"/>
  <c r="B31" i="379"/>
  <c r="E30" i="379"/>
  <c r="B30" i="379"/>
  <c r="E29" i="379"/>
  <c r="B29" i="379"/>
  <c r="E28" i="379"/>
  <c r="B28" i="379"/>
  <c r="E27" i="379"/>
  <c r="B27" i="379"/>
  <c r="E26" i="379"/>
  <c r="B26" i="379"/>
  <c r="E25" i="379"/>
  <c r="B25" i="379"/>
  <c r="E24" i="379"/>
  <c r="B24" i="379"/>
  <c r="E23" i="379"/>
  <c r="B23" i="379"/>
  <c r="E22" i="379"/>
  <c r="B22" i="379"/>
  <c r="E21" i="379"/>
  <c r="B21" i="379"/>
  <c r="E20" i="379"/>
  <c r="B20" i="379"/>
  <c r="E19" i="379"/>
  <c r="B19" i="379"/>
  <c r="E18" i="379"/>
  <c r="B18" i="379"/>
  <c r="E17" i="379"/>
  <c r="B17" i="379"/>
  <c r="E16" i="379"/>
  <c r="B16" i="379"/>
  <c r="E15" i="379"/>
  <c r="B15" i="379"/>
  <c r="E14" i="379"/>
  <c r="B14" i="379"/>
  <c r="E13" i="379"/>
  <c r="B13" i="379"/>
  <c r="E12" i="379"/>
  <c r="B12" i="379"/>
  <c r="E11" i="379"/>
  <c r="B11" i="379"/>
  <c r="E10" i="379"/>
  <c r="B10" i="379"/>
  <c r="F9" i="379"/>
  <c r="E9" i="379"/>
  <c r="B9" i="379"/>
  <c r="D8" i="379"/>
  <c r="I5" i="379"/>
  <c r="H5" i="379"/>
  <c r="G5" i="379"/>
  <c r="F5" i="379"/>
  <c r="E5" i="379"/>
  <c r="D5" i="379"/>
  <c r="C5" i="379"/>
  <c r="B5" i="379"/>
  <c r="E62" i="355" l="1"/>
  <c r="F62" i="355" s="1"/>
  <c r="G62" i="355" s="1"/>
  <c r="E61" i="355"/>
  <c r="F61" i="355" s="1"/>
  <c r="K13" i="381"/>
  <c r="K14" i="381" s="1"/>
  <c r="H72" i="355"/>
  <c r="H73" i="355"/>
  <c r="G135" i="354"/>
  <c r="H50" i="354"/>
  <c r="D41" i="379"/>
  <c r="S11" i="382"/>
  <c r="D80" i="341"/>
  <c r="L11" i="381"/>
  <c r="S11" i="381"/>
  <c r="K13" i="53"/>
  <c r="I50" i="354"/>
  <c r="K50" i="354" s="1"/>
  <c r="K30" i="385"/>
  <c r="M29" i="385"/>
  <c r="J29" i="385"/>
  <c r="S28" i="385"/>
  <c r="L28" i="385"/>
  <c r="G25" i="384"/>
  <c r="L24" i="384"/>
  <c r="H24" i="384"/>
  <c r="N23" i="383"/>
  <c r="G24" i="383"/>
  <c r="H23" i="383"/>
  <c r="E40" i="379"/>
  <c r="H194" i="53" s="1"/>
  <c r="H80" i="341" s="1"/>
  <c r="S12" i="382"/>
  <c r="L12" i="382"/>
  <c r="J13" i="382"/>
  <c r="M13" i="382"/>
  <c r="K14" i="382"/>
  <c r="S12" i="381"/>
  <c r="L12" i="381"/>
  <c r="J13" i="381"/>
  <c r="M13" i="381"/>
  <c r="J13" i="53"/>
  <c r="D41" i="380"/>
  <c r="G41" i="380"/>
  <c r="G8" i="380"/>
  <c r="F41" i="380"/>
  <c r="F8" i="380"/>
  <c r="K10" i="380"/>
  <c r="M9" i="380"/>
  <c r="J11" i="380"/>
  <c r="S10" i="380"/>
  <c r="L10" i="380"/>
  <c r="F39" i="379"/>
  <c r="F38" i="379"/>
  <c r="F37" i="379"/>
  <c r="F36" i="379"/>
  <c r="F35" i="379"/>
  <c r="F34" i="379"/>
  <c r="F33" i="379"/>
  <c r="F32" i="379"/>
  <c r="F10" i="379"/>
  <c r="F11" i="379"/>
  <c r="F12" i="379"/>
  <c r="F13" i="379"/>
  <c r="F14" i="379"/>
  <c r="F15" i="379"/>
  <c r="F16" i="379"/>
  <c r="F17" i="379"/>
  <c r="F18" i="379"/>
  <c r="F19" i="379"/>
  <c r="F20" i="379"/>
  <c r="F21" i="379"/>
  <c r="F22" i="379"/>
  <c r="F23" i="379"/>
  <c r="F24" i="379"/>
  <c r="F25" i="379"/>
  <c r="F26" i="379"/>
  <c r="F27" i="379"/>
  <c r="F28" i="379"/>
  <c r="F29" i="379"/>
  <c r="F30" i="379"/>
  <c r="F31" i="379"/>
  <c r="G9" i="379"/>
  <c r="E60" i="355" l="1"/>
  <c r="H71" i="355"/>
  <c r="J80" i="341"/>
  <c r="E135" i="354"/>
  <c r="E41" i="379"/>
  <c r="G41" i="379" s="1"/>
  <c r="J194" i="53"/>
  <c r="M194" i="53" s="1"/>
  <c r="E8" i="379"/>
  <c r="I135" i="354"/>
  <c r="L135" i="354" s="1"/>
  <c r="S29" i="385"/>
  <c r="L29" i="385"/>
  <c r="J30" i="385"/>
  <c r="M30" i="385"/>
  <c r="K31" i="385"/>
  <c r="G26" i="384"/>
  <c r="L25" i="384"/>
  <c r="H25" i="384"/>
  <c r="G25" i="383"/>
  <c r="H24" i="383"/>
  <c r="N24" i="383"/>
  <c r="K15" i="382"/>
  <c r="M14" i="382"/>
  <c r="J14" i="382"/>
  <c r="S13" i="382"/>
  <c r="L13" i="382"/>
  <c r="K15" i="381"/>
  <c r="M14" i="381"/>
  <c r="J14" i="381"/>
  <c r="S13" i="381"/>
  <c r="L13" i="381"/>
  <c r="J41" i="380"/>
  <c r="S11" i="380"/>
  <c r="L11" i="380"/>
  <c r="J12" i="380"/>
  <c r="M10" i="380"/>
  <c r="K11" i="380"/>
  <c r="G10" i="379"/>
  <c r="L9" i="379"/>
  <c r="H9" i="379"/>
  <c r="G64" i="421" l="1"/>
  <c r="P64" i="421" s="1"/>
  <c r="M80" i="341"/>
  <c r="K135" i="354"/>
  <c r="K32" i="385"/>
  <c r="M31" i="385"/>
  <c r="J31" i="385"/>
  <c r="L30" i="385"/>
  <c r="S30" i="385"/>
  <c r="G27" i="384"/>
  <c r="L26" i="384"/>
  <c r="H26" i="384"/>
  <c r="N25" i="383"/>
  <c r="G26" i="383"/>
  <c r="H25" i="383"/>
  <c r="S14" i="382"/>
  <c r="L14" i="382"/>
  <c r="J15" i="382"/>
  <c r="M15" i="382"/>
  <c r="K16" i="382"/>
  <c r="S14" i="381"/>
  <c r="L14" i="381"/>
  <c r="J15" i="381"/>
  <c r="M15" i="381"/>
  <c r="K16" i="381"/>
  <c r="K12" i="380"/>
  <c r="M11" i="380"/>
  <c r="J13" i="380"/>
  <c r="S12" i="380"/>
  <c r="L12" i="380"/>
  <c r="G11" i="379"/>
  <c r="L10" i="379"/>
  <c r="H10" i="379"/>
  <c r="G42" i="421" l="1"/>
  <c r="P42" i="421" s="1"/>
  <c r="N42" i="421"/>
  <c r="H64" i="421"/>
  <c r="S31" i="385"/>
  <c r="L31" i="385"/>
  <c r="J32" i="385"/>
  <c r="M32" i="385"/>
  <c r="K33" i="385"/>
  <c r="G28" i="384"/>
  <c r="L27" i="384"/>
  <c r="H27" i="384"/>
  <c r="G27" i="383"/>
  <c r="H26" i="383"/>
  <c r="N26" i="383"/>
  <c r="K17" i="382"/>
  <c r="M16" i="382"/>
  <c r="J16" i="382"/>
  <c r="L15" i="382"/>
  <c r="S15" i="382"/>
  <c r="K17" i="381"/>
  <c r="M16" i="381"/>
  <c r="J16" i="381"/>
  <c r="L15" i="381"/>
  <c r="S15" i="381"/>
  <c r="S13" i="380"/>
  <c r="L13" i="380"/>
  <c r="J14" i="380"/>
  <c r="M12" i="380"/>
  <c r="K13" i="380"/>
  <c r="G12" i="379"/>
  <c r="L11" i="379"/>
  <c r="H11" i="379"/>
  <c r="K34" i="385" l="1"/>
  <c r="M33" i="385"/>
  <c r="J33" i="385"/>
  <c r="S32" i="385"/>
  <c r="L32" i="385"/>
  <c r="G29" i="384"/>
  <c r="L28" i="384"/>
  <c r="H28" i="384"/>
  <c r="N27" i="383"/>
  <c r="G28" i="383"/>
  <c r="H27" i="383"/>
  <c r="S16" i="382"/>
  <c r="L16" i="382"/>
  <c r="J17" i="382"/>
  <c r="M17" i="382"/>
  <c r="K18" i="382"/>
  <c r="S16" i="381"/>
  <c r="L16" i="381"/>
  <c r="J17" i="381"/>
  <c r="M17" i="381"/>
  <c r="K18" i="381"/>
  <c r="K14" i="380"/>
  <c r="M13" i="380"/>
  <c r="J15" i="380"/>
  <c r="S14" i="380"/>
  <c r="L14" i="380"/>
  <c r="G13" i="379"/>
  <c r="L12" i="379"/>
  <c r="H12" i="379"/>
  <c r="S33" i="385" l="1"/>
  <c r="L33" i="385"/>
  <c r="J34" i="385"/>
  <c r="M34" i="385"/>
  <c r="K35" i="385"/>
  <c r="G30" i="384"/>
  <c r="L29" i="384"/>
  <c r="H29" i="384"/>
  <c r="G29" i="383"/>
  <c r="H28" i="383"/>
  <c r="N28" i="383"/>
  <c r="K19" i="382"/>
  <c r="M18" i="382"/>
  <c r="J18" i="382"/>
  <c r="S17" i="382"/>
  <c r="L17" i="382"/>
  <c r="K19" i="381"/>
  <c r="M18" i="381"/>
  <c r="J18" i="381"/>
  <c r="S17" i="381"/>
  <c r="L17" i="381"/>
  <c r="S15" i="380"/>
  <c r="L15" i="380"/>
  <c r="J16" i="380"/>
  <c r="M14" i="380"/>
  <c r="K15" i="380"/>
  <c r="G14" i="379"/>
  <c r="L13" i="379"/>
  <c r="H13" i="379"/>
  <c r="L78" i="341"/>
  <c r="L192" i="53"/>
  <c r="D192" i="53"/>
  <c r="D78" i="341" s="1"/>
  <c r="B192" i="53"/>
  <c r="B78" i="341" s="1"/>
  <c r="C4" i="378"/>
  <c r="M40" i="378"/>
  <c r="L40" i="378"/>
  <c r="K40" i="378"/>
  <c r="J40" i="378"/>
  <c r="I40" i="378"/>
  <c r="E39" i="378"/>
  <c r="D39" i="378"/>
  <c r="B39" i="378"/>
  <c r="E38" i="378"/>
  <c r="D38" i="378"/>
  <c r="B38" i="378"/>
  <c r="E37" i="378"/>
  <c r="D37" i="378"/>
  <c r="B37" i="378"/>
  <c r="E36" i="378"/>
  <c r="D36" i="378"/>
  <c r="B36" i="378"/>
  <c r="E35" i="378"/>
  <c r="D35" i="378"/>
  <c r="B35" i="378"/>
  <c r="E34" i="378"/>
  <c r="D34" i="378"/>
  <c r="B34" i="378"/>
  <c r="E33" i="378"/>
  <c r="D33" i="378"/>
  <c r="B33" i="378"/>
  <c r="E32" i="378"/>
  <c r="D32" i="378"/>
  <c r="B32" i="378"/>
  <c r="E31" i="378"/>
  <c r="D31" i="378"/>
  <c r="B31" i="378"/>
  <c r="E30" i="378"/>
  <c r="D30" i="378"/>
  <c r="B30" i="378"/>
  <c r="E29" i="378"/>
  <c r="D29" i="378"/>
  <c r="B29" i="378"/>
  <c r="E28" i="378"/>
  <c r="D28" i="378"/>
  <c r="B28" i="378"/>
  <c r="E27" i="378"/>
  <c r="D27" i="378"/>
  <c r="B27" i="378"/>
  <c r="E26" i="378"/>
  <c r="D26" i="378"/>
  <c r="B26" i="378"/>
  <c r="E25" i="378"/>
  <c r="D25" i="378"/>
  <c r="B25" i="378"/>
  <c r="E24" i="378"/>
  <c r="D24" i="378"/>
  <c r="B24" i="378"/>
  <c r="E23" i="378"/>
  <c r="D23" i="378"/>
  <c r="B23" i="378"/>
  <c r="E22" i="378"/>
  <c r="D22" i="378"/>
  <c r="B22" i="378"/>
  <c r="E21" i="378"/>
  <c r="D21" i="378"/>
  <c r="B21" i="378"/>
  <c r="E20" i="378"/>
  <c r="D20" i="378"/>
  <c r="B20" i="378"/>
  <c r="E19" i="378"/>
  <c r="D19" i="378"/>
  <c r="B19" i="378"/>
  <c r="E18" i="378"/>
  <c r="D18" i="378"/>
  <c r="B18" i="378"/>
  <c r="E17" i="378"/>
  <c r="D17" i="378"/>
  <c r="B17" i="378"/>
  <c r="E16" i="378"/>
  <c r="D16" i="378"/>
  <c r="B16" i="378"/>
  <c r="E15" i="378"/>
  <c r="D15" i="378"/>
  <c r="B15" i="378"/>
  <c r="E14" i="378"/>
  <c r="D14" i="378"/>
  <c r="B14" i="378"/>
  <c r="E13" i="378"/>
  <c r="D13" i="378"/>
  <c r="B13" i="378"/>
  <c r="E12" i="378"/>
  <c r="D12" i="378"/>
  <c r="B12" i="378"/>
  <c r="E11" i="378"/>
  <c r="D11" i="378"/>
  <c r="B11" i="378"/>
  <c r="E10" i="378"/>
  <c r="D10" i="378"/>
  <c r="B10" i="378"/>
  <c r="F9" i="378"/>
  <c r="F39" i="378" s="1"/>
  <c r="E9" i="378"/>
  <c r="D9" i="378"/>
  <c r="B9" i="378"/>
  <c r="D8" i="378"/>
  <c r="I5" i="378"/>
  <c r="H5" i="378"/>
  <c r="G5" i="378"/>
  <c r="F5" i="378"/>
  <c r="E5" i="378"/>
  <c r="D5" i="378"/>
  <c r="C5" i="378"/>
  <c r="B5" i="378"/>
  <c r="E133" i="354" l="1"/>
  <c r="F12" i="378"/>
  <c r="F16" i="378"/>
  <c r="F20" i="378"/>
  <c r="F24" i="378"/>
  <c r="F28" i="378"/>
  <c r="F32" i="378"/>
  <c r="F36" i="378"/>
  <c r="F10" i="378"/>
  <c r="F14" i="378"/>
  <c r="F18" i="378"/>
  <c r="F22" i="378"/>
  <c r="F26" i="378"/>
  <c r="F30" i="378"/>
  <c r="F34" i="378"/>
  <c r="F38" i="378"/>
  <c r="K36" i="385"/>
  <c r="M35" i="385"/>
  <c r="J35" i="385"/>
  <c r="L34" i="385"/>
  <c r="S34" i="385"/>
  <c r="G31" i="384"/>
  <c r="L30" i="384"/>
  <c r="H30" i="384"/>
  <c r="N29" i="383"/>
  <c r="G30" i="383"/>
  <c r="H29" i="383"/>
  <c r="S18" i="382"/>
  <c r="L18" i="382"/>
  <c r="J19" i="382"/>
  <c r="M19" i="382"/>
  <c r="K20" i="382"/>
  <c r="S18" i="381"/>
  <c r="L18" i="381"/>
  <c r="J19" i="381"/>
  <c r="M19" i="381"/>
  <c r="K20" i="381"/>
  <c r="K16" i="380"/>
  <c r="M15" i="380"/>
  <c r="J17" i="380"/>
  <c r="S16" i="380"/>
  <c r="L16" i="380"/>
  <c r="G15" i="379"/>
  <c r="L14" i="379"/>
  <c r="H14" i="379"/>
  <c r="D40" i="378"/>
  <c r="F192" i="53" s="1"/>
  <c r="F78" i="341" s="1"/>
  <c r="E40" i="378"/>
  <c r="H192" i="53" s="1"/>
  <c r="H78" i="341" s="1"/>
  <c r="G9" i="378"/>
  <c r="F11" i="378"/>
  <c r="F13" i="378"/>
  <c r="F15" i="378"/>
  <c r="F17" i="378"/>
  <c r="F19" i="378"/>
  <c r="F21" i="378"/>
  <c r="F23" i="378"/>
  <c r="F25" i="378"/>
  <c r="F27" i="378"/>
  <c r="F29" i="378"/>
  <c r="F31" i="378"/>
  <c r="F33" i="378"/>
  <c r="F35" i="378"/>
  <c r="F37" i="378"/>
  <c r="G133" i="354" l="1"/>
  <c r="I133" i="354"/>
  <c r="L133" i="354" s="1"/>
  <c r="S35" i="385"/>
  <c r="L35" i="385"/>
  <c r="J36" i="385"/>
  <c r="M36" i="385"/>
  <c r="K37" i="385"/>
  <c r="G32" i="384"/>
  <c r="L31" i="384"/>
  <c r="H31" i="384"/>
  <c r="G31" i="383"/>
  <c r="H30" i="383"/>
  <c r="N30" i="383"/>
  <c r="K21" i="382"/>
  <c r="M20" i="382"/>
  <c r="J20" i="382"/>
  <c r="L19" i="382"/>
  <c r="S19" i="382"/>
  <c r="K21" i="381"/>
  <c r="M20" i="381"/>
  <c r="J20" i="381"/>
  <c r="L19" i="381"/>
  <c r="S19" i="381"/>
  <c r="S17" i="380"/>
  <c r="L17" i="380"/>
  <c r="J18" i="380"/>
  <c r="K17" i="380"/>
  <c r="M16" i="380"/>
  <c r="G16" i="379"/>
  <c r="L15" i="379"/>
  <c r="H15" i="379"/>
  <c r="J78" i="341"/>
  <c r="G62" i="421" s="1"/>
  <c r="P62" i="421" s="1"/>
  <c r="D41" i="378"/>
  <c r="J192" i="53"/>
  <c r="M192" i="53" s="1"/>
  <c r="G10" i="378"/>
  <c r="H9" i="378"/>
  <c r="N9" i="378"/>
  <c r="E8" i="378"/>
  <c r="E41" i="378"/>
  <c r="G41" i="378" s="1"/>
  <c r="M78" i="341" l="1"/>
  <c r="K133" i="354"/>
  <c r="K38" i="385"/>
  <c r="M37" i="385"/>
  <c r="J37" i="385"/>
  <c r="S36" i="385"/>
  <c r="L36" i="385"/>
  <c r="G33" i="384"/>
  <c r="L32" i="384"/>
  <c r="H32" i="384"/>
  <c r="N31" i="383"/>
  <c r="G32" i="383"/>
  <c r="H31" i="383"/>
  <c r="S20" i="382"/>
  <c r="L20" i="382"/>
  <c r="J21" i="382"/>
  <c r="M21" i="382"/>
  <c r="K22" i="382"/>
  <c r="S20" i="381"/>
  <c r="L20" i="381"/>
  <c r="J21" i="381"/>
  <c r="M21" i="381"/>
  <c r="K22" i="381"/>
  <c r="K18" i="380"/>
  <c r="M17" i="380"/>
  <c r="J19" i="380"/>
  <c r="L18" i="380"/>
  <c r="S18" i="380"/>
  <c r="G17" i="379"/>
  <c r="L16" i="379"/>
  <c r="H16" i="379"/>
  <c r="N10" i="378"/>
  <c r="G11" i="378"/>
  <c r="H10" i="378"/>
  <c r="G40" i="421" l="1"/>
  <c r="P40" i="421" s="1"/>
  <c r="N40" i="421"/>
  <c r="H62" i="421"/>
  <c r="S37" i="385"/>
  <c r="L37" i="385"/>
  <c r="J38" i="385"/>
  <c r="M38" i="385"/>
  <c r="K39" i="385"/>
  <c r="G34" i="384"/>
  <c r="L33" i="384"/>
  <c r="H33" i="384"/>
  <c r="G33" i="383"/>
  <c r="H32" i="383"/>
  <c r="N32" i="383"/>
  <c r="K23" i="382"/>
  <c r="M22" i="382"/>
  <c r="J22" i="382"/>
  <c r="S21" i="382"/>
  <c r="L21" i="382"/>
  <c r="K23" i="381"/>
  <c r="M22" i="381"/>
  <c r="J22" i="381"/>
  <c r="S21" i="381"/>
  <c r="L21" i="381"/>
  <c r="S19" i="380"/>
  <c r="L19" i="380"/>
  <c r="J20" i="380"/>
  <c r="M18" i="380"/>
  <c r="K19" i="380"/>
  <c r="G18" i="379"/>
  <c r="L17" i="379"/>
  <c r="H17" i="379"/>
  <c r="G12" i="378"/>
  <c r="H11" i="378"/>
  <c r="N11" i="378"/>
  <c r="K40" i="385" l="1"/>
  <c r="M39" i="385"/>
  <c r="J39" i="385"/>
  <c r="L38" i="385"/>
  <c r="S38" i="385"/>
  <c r="G35" i="384"/>
  <c r="L34" i="384"/>
  <c r="H34" i="384"/>
  <c r="N33" i="383"/>
  <c r="G34" i="383"/>
  <c r="H33" i="383"/>
  <c r="S22" i="382"/>
  <c r="L22" i="382"/>
  <c r="J23" i="382"/>
  <c r="M23" i="382"/>
  <c r="K24" i="382"/>
  <c r="S22" i="381"/>
  <c r="L22" i="381"/>
  <c r="J23" i="381"/>
  <c r="M23" i="381"/>
  <c r="K24" i="381"/>
  <c r="K20" i="380"/>
  <c r="M19" i="380"/>
  <c r="J21" i="380"/>
  <c r="S20" i="380"/>
  <c r="L20" i="380"/>
  <c r="G19" i="379"/>
  <c r="L18" i="379"/>
  <c r="H18" i="379"/>
  <c r="N12" i="378"/>
  <c r="G13" i="378"/>
  <c r="H12" i="378"/>
  <c r="S39" i="385" l="1"/>
  <c r="L39" i="385"/>
  <c r="J40" i="385"/>
  <c r="G36" i="384"/>
  <c r="L35" i="384"/>
  <c r="H35" i="384"/>
  <c r="G35" i="383"/>
  <c r="H34" i="383"/>
  <c r="N34" i="383"/>
  <c r="K25" i="382"/>
  <c r="M24" i="382"/>
  <c r="J24" i="382"/>
  <c r="L23" i="382"/>
  <c r="S23" i="382"/>
  <c r="K25" i="381"/>
  <c r="M24" i="381"/>
  <c r="J24" i="381"/>
  <c r="L23" i="381"/>
  <c r="S23" i="381"/>
  <c r="S21" i="380"/>
  <c r="L21" i="380"/>
  <c r="J22" i="380"/>
  <c r="M20" i="380"/>
  <c r="K21" i="380"/>
  <c r="G20" i="379"/>
  <c r="L19" i="379"/>
  <c r="H19" i="379"/>
  <c r="G14" i="378"/>
  <c r="H13" i="378"/>
  <c r="N13" i="378"/>
  <c r="G37" i="384" l="1"/>
  <c r="L36" i="384"/>
  <c r="H36" i="384"/>
  <c r="N35" i="383"/>
  <c r="G36" i="383"/>
  <c r="H35" i="383"/>
  <c r="J25" i="382"/>
  <c r="S24" i="382"/>
  <c r="L24" i="382"/>
  <c r="K26" i="382"/>
  <c r="M25" i="382"/>
  <c r="J25" i="381"/>
  <c r="S24" i="381"/>
  <c r="L24" i="381"/>
  <c r="K26" i="381"/>
  <c r="M25" i="381"/>
  <c r="K22" i="380"/>
  <c r="M21" i="380"/>
  <c r="J23" i="380"/>
  <c r="L22" i="380"/>
  <c r="S22" i="380"/>
  <c r="G21" i="379"/>
  <c r="L20" i="379"/>
  <c r="H20" i="379"/>
  <c r="N14" i="378"/>
  <c r="G15" i="378"/>
  <c r="H14" i="378"/>
  <c r="G38" i="384" l="1"/>
  <c r="L37" i="384"/>
  <c r="H37" i="384"/>
  <c r="G37" i="383"/>
  <c r="H36" i="383"/>
  <c r="N36" i="383"/>
  <c r="S25" i="382"/>
  <c r="L25" i="382"/>
  <c r="J26" i="382"/>
  <c r="M26" i="382"/>
  <c r="K27" i="382"/>
  <c r="S25" i="381"/>
  <c r="L25" i="381"/>
  <c r="J26" i="381"/>
  <c r="M26" i="381"/>
  <c r="K27" i="381"/>
  <c r="S23" i="380"/>
  <c r="L23" i="380"/>
  <c r="J24" i="380"/>
  <c r="M22" i="380"/>
  <c r="K23" i="380"/>
  <c r="G22" i="379"/>
  <c r="L21" i="379"/>
  <c r="H21" i="379"/>
  <c r="G16" i="378"/>
  <c r="H15" i="378"/>
  <c r="N15" i="378"/>
  <c r="O40" i="256"/>
  <c r="G39" i="384" l="1"/>
  <c r="L38" i="384"/>
  <c r="H38" i="384"/>
  <c r="N37" i="383"/>
  <c r="G38" i="383"/>
  <c r="H37" i="383"/>
  <c r="K28" i="382"/>
  <c r="M27" i="382"/>
  <c r="J27" i="382"/>
  <c r="L26" i="382"/>
  <c r="S26" i="382"/>
  <c r="K28" i="381"/>
  <c r="M27" i="381"/>
  <c r="J27" i="381"/>
  <c r="L26" i="381"/>
  <c r="S26" i="381"/>
  <c r="K24" i="380"/>
  <c r="M23" i="380"/>
  <c r="J25" i="380"/>
  <c r="S24" i="380"/>
  <c r="L24" i="380"/>
  <c r="G23" i="379"/>
  <c r="L22" i="379"/>
  <c r="H22" i="379"/>
  <c r="N16" i="378"/>
  <c r="G17" i="378"/>
  <c r="H16" i="378"/>
  <c r="L39" i="384" l="1"/>
  <c r="G40" i="384"/>
  <c r="H39" i="384"/>
  <c r="G39" i="383"/>
  <c r="H38" i="383"/>
  <c r="N38" i="383"/>
  <c r="S27" i="382"/>
  <c r="L27" i="382"/>
  <c r="J28" i="382"/>
  <c r="M28" i="382"/>
  <c r="K29" i="382"/>
  <c r="S27" i="381"/>
  <c r="L27" i="381"/>
  <c r="J28" i="381"/>
  <c r="M28" i="381"/>
  <c r="K29" i="381"/>
  <c r="S25" i="380"/>
  <c r="L25" i="380"/>
  <c r="J26" i="380"/>
  <c r="M24" i="380"/>
  <c r="K25" i="380"/>
  <c r="G24" i="379"/>
  <c r="L23" i="379"/>
  <c r="H23" i="379"/>
  <c r="G18" i="378"/>
  <c r="H17" i="378"/>
  <c r="N17" i="378"/>
  <c r="N39" i="383" l="1"/>
  <c r="G40" i="383"/>
  <c r="H39" i="383"/>
  <c r="K30" i="382"/>
  <c r="M29" i="382"/>
  <c r="J29" i="382"/>
  <c r="S28" i="382"/>
  <c r="L28" i="382"/>
  <c r="K30" i="381"/>
  <c r="M29" i="381"/>
  <c r="J29" i="381"/>
  <c r="S28" i="381"/>
  <c r="L28" i="381"/>
  <c r="K26" i="380"/>
  <c r="M25" i="380"/>
  <c r="J27" i="380"/>
  <c r="L26" i="380"/>
  <c r="S26" i="380"/>
  <c r="G25" i="379"/>
  <c r="L24" i="379"/>
  <c r="H24" i="379"/>
  <c r="N18" i="378"/>
  <c r="G19" i="378"/>
  <c r="H18" i="378"/>
  <c r="S29" i="382" l="1"/>
  <c r="L29" i="382"/>
  <c r="J30" i="382"/>
  <c r="M30" i="382"/>
  <c r="K31" i="382"/>
  <c r="S29" i="381"/>
  <c r="L29" i="381"/>
  <c r="J30" i="381"/>
  <c r="M30" i="381"/>
  <c r="K31" i="381"/>
  <c r="S27" i="380"/>
  <c r="L27" i="380"/>
  <c r="J28" i="380"/>
  <c r="M26" i="380"/>
  <c r="K27" i="380"/>
  <c r="G26" i="379"/>
  <c r="L25" i="379"/>
  <c r="H25" i="379"/>
  <c r="G20" i="378"/>
  <c r="H19" i="378"/>
  <c r="N19" i="378"/>
  <c r="K32" i="382" l="1"/>
  <c r="M31" i="382"/>
  <c r="J31" i="382"/>
  <c r="L30" i="382"/>
  <c r="S30" i="382"/>
  <c r="K32" i="381"/>
  <c r="M31" i="381"/>
  <c r="J31" i="381"/>
  <c r="L30" i="381"/>
  <c r="S30" i="381"/>
  <c r="K28" i="380"/>
  <c r="M27" i="380"/>
  <c r="J29" i="380"/>
  <c r="S28" i="380"/>
  <c r="L28" i="380"/>
  <c r="G27" i="379"/>
  <c r="L26" i="379"/>
  <c r="H26" i="379"/>
  <c r="N20" i="378"/>
  <c r="G21" i="378"/>
  <c r="H20" i="378"/>
  <c r="S31" i="382" l="1"/>
  <c r="L31" i="382"/>
  <c r="J32" i="382"/>
  <c r="M32" i="382"/>
  <c r="K33" i="382"/>
  <c r="S31" i="381"/>
  <c r="L31" i="381"/>
  <c r="J32" i="381"/>
  <c r="M32" i="381"/>
  <c r="K33" i="381"/>
  <c r="J30" i="380"/>
  <c r="S29" i="380"/>
  <c r="L29" i="380"/>
  <c r="M28" i="380"/>
  <c r="K29" i="380"/>
  <c r="G28" i="379"/>
  <c r="L27" i="379"/>
  <c r="H27" i="379"/>
  <c r="G22" i="378"/>
  <c r="H21" i="378"/>
  <c r="N21" i="378"/>
  <c r="L77" i="341"/>
  <c r="D191" i="53"/>
  <c r="D77" i="341" s="1"/>
  <c r="L191" i="53"/>
  <c r="B191" i="53"/>
  <c r="B77" i="341" s="1"/>
  <c r="C4" i="377"/>
  <c r="N40" i="377"/>
  <c r="M40" i="377"/>
  <c r="K40" i="377"/>
  <c r="J40" i="377"/>
  <c r="I40" i="377"/>
  <c r="D39" i="377"/>
  <c r="B39" i="377"/>
  <c r="D38" i="377"/>
  <c r="B38" i="377"/>
  <c r="D37" i="377"/>
  <c r="B37" i="377"/>
  <c r="D36" i="377"/>
  <c r="B36" i="377"/>
  <c r="D35" i="377"/>
  <c r="B35" i="377"/>
  <c r="D34" i="377"/>
  <c r="B34" i="377"/>
  <c r="D33" i="377"/>
  <c r="B33" i="377"/>
  <c r="D32" i="377"/>
  <c r="B32" i="377"/>
  <c r="D31" i="377"/>
  <c r="B31" i="377"/>
  <c r="D30" i="377"/>
  <c r="B30" i="377"/>
  <c r="D29" i="377"/>
  <c r="B29" i="377"/>
  <c r="D28" i="377"/>
  <c r="B28" i="377"/>
  <c r="D27" i="377"/>
  <c r="B27" i="377"/>
  <c r="D26" i="377"/>
  <c r="B26" i="377"/>
  <c r="D25" i="377"/>
  <c r="B25" i="377"/>
  <c r="D24" i="377"/>
  <c r="B24" i="377"/>
  <c r="D23" i="377"/>
  <c r="B23" i="377"/>
  <c r="D22" i="377"/>
  <c r="B22" i="377"/>
  <c r="D21" i="377"/>
  <c r="B21" i="377"/>
  <c r="D20" i="377"/>
  <c r="B20" i="377"/>
  <c r="D19" i="377"/>
  <c r="B19" i="377"/>
  <c r="D18" i="377"/>
  <c r="B18" i="377"/>
  <c r="D17" i="377"/>
  <c r="B17" i="377"/>
  <c r="D16" i="377"/>
  <c r="B16" i="377"/>
  <c r="D15" i="377"/>
  <c r="B15" i="377"/>
  <c r="D14" i="377"/>
  <c r="B14" i="377"/>
  <c r="D13" i="377"/>
  <c r="B13" i="377"/>
  <c r="D12" i="377"/>
  <c r="B12" i="377"/>
  <c r="D11" i="377"/>
  <c r="B11" i="377"/>
  <c r="D10" i="377"/>
  <c r="B10" i="377"/>
  <c r="F9" i="377"/>
  <c r="D9" i="377"/>
  <c r="B9" i="377"/>
  <c r="D8" i="377"/>
  <c r="I5" i="377"/>
  <c r="H5" i="377"/>
  <c r="G5" i="377"/>
  <c r="F5" i="377"/>
  <c r="E5" i="377"/>
  <c r="D5" i="377"/>
  <c r="C5" i="377"/>
  <c r="B5" i="377"/>
  <c r="E132" i="354" l="1"/>
  <c r="K34" i="382"/>
  <c r="M33" i="382"/>
  <c r="J33" i="382"/>
  <c r="S32" i="382"/>
  <c r="L32" i="382"/>
  <c r="K34" i="381"/>
  <c r="M33" i="381"/>
  <c r="J33" i="381"/>
  <c r="S32" i="381"/>
  <c r="L32" i="381"/>
  <c r="K30" i="380"/>
  <c r="M29" i="380"/>
  <c r="S30" i="380"/>
  <c r="L30" i="380"/>
  <c r="J31" i="380"/>
  <c r="G29" i="379"/>
  <c r="L28" i="379"/>
  <c r="H28" i="379"/>
  <c r="N22" i="378"/>
  <c r="G23" i="378"/>
  <c r="H22" i="378"/>
  <c r="E40" i="377"/>
  <c r="G9" i="377"/>
  <c r="D40" i="377"/>
  <c r="F38" i="377"/>
  <c r="F36" i="377"/>
  <c r="F34" i="377"/>
  <c r="F32" i="377"/>
  <c r="F30" i="377"/>
  <c r="F28" i="377"/>
  <c r="F26" i="377"/>
  <c r="F24" i="377"/>
  <c r="F22" i="377"/>
  <c r="F20" i="377"/>
  <c r="F18" i="377"/>
  <c r="F16" i="377"/>
  <c r="F14" i="377"/>
  <c r="F12" i="377"/>
  <c r="F10" i="377"/>
  <c r="F39" i="377"/>
  <c r="F37" i="377"/>
  <c r="F35" i="377"/>
  <c r="F33" i="377"/>
  <c r="F11" i="377"/>
  <c r="F13" i="377"/>
  <c r="F15" i="377"/>
  <c r="F17" i="377"/>
  <c r="F19" i="377"/>
  <c r="F21" i="377"/>
  <c r="F23" i="377"/>
  <c r="F25" i="377"/>
  <c r="F27" i="377"/>
  <c r="F29" i="377"/>
  <c r="F31" i="377"/>
  <c r="S33" i="382" l="1"/>
  <c r="L33" i="382"/>
  <c r="J34" i="382"/>
  <c r="M34" i="382"/>
  <c r="K35" i="382"/>
  <c r="S33" i="381"/>
  <c r="L33" i="381"/>
  <c r="J34" i="381"/>
  <c r="M34" i="381"/>
  <c r="K35" i="381"/>
  <c r="J32" i="380"/>
  <c r="S31" i="380"/>
  <c r="L31" i="380"/>
  <c r="K31" i="380"/>
  <c r="M30" i="380"/>
  <c r="G30" i="379"/>
  <c r="L29" i="379"/>
  <c r="H29" i="379"/>
  <c r="G24" i="378"/>
  <c r="H23" i="378"/>
  <c r="N23" i="378"/>
  <c r="E41" i="377"/>
  <c r="H191" i="53"/>
  <c r="H77" i="341" s="1"/>
  <c r="E8" i="377"/>
  <c r="D41" i="377"/>
  <c r="F191" i="53"/>
  <c r="F77" i="341" s="1"/>
  <c r="Q9" i="377"/>
  <c r="G10" i="377"/>
  <c r="H9" i="377"/>
  <c r="I132" i="354" l="1"/>
  <c r="L132" i="354" s="1"/>
  <c r="G132" i="354"/>
  <c r="K36" i="382"/>
  <c r="M35" i="382"/>
  <c r="J35" i="382"/>
  <c r="L34" i="382"/>
  <c r="S34" i="382"/>
  <c r="K36" i="381"/>
  <c r="M35" i="381"/>
  <c r="J35" i="381"/>
  <c r="L34" i="381"/>
  <c r="S34" i="381"/>
  <c r="M31" i="380"/>
  <c r="K32" i="380"/>
  <c r="S32" i="380"/>
  <c r="L32" i="380"/>
  <c r="J33" i="380"/>
  <c r="G31" i="379"/>
  <c r="L30" i="379"/>
  <c r="H30" i="379"/>
  <c r="N24" i="378"/>
  <c r="G25" i="378"/>
  <c r="H24" i="378"/>
  <c r="J77" i="341"/>
  <c r="J191" i="53"/>
  <c r="M191" i="53" s="1"/>
  <c r="G41" i="377"/>
  <c r="G11" i="377"/>
  <c r="H10" i="377"/>
  <c r="Q10" i="377"/>
  <c r="M77" i="341" l="1"/>
  <c r="K132" i="354"/>
  <c r="S35" i="382"/>
  <c r="L35" i="382"/>
  <c r="J36" i="382"/>
  <c r="M36" i="382"/>
  <c r="K37" i="382"/>
  <c r="S35" i="381"/>
  <c r="L35" i="381"/>
  <c r="J36" i="381"/>
  <c r="M36" i="381"/>
  <c r="K37" i="381"/>
  <c r="K33" i="380"/>
  <c r="M32" i="380"/>
  <c r="J34" i="380"/>
  <c r="S33" i="380"/>
  <c r="L33" i="380"/>
  <c r="G32" i="379"/>
  <c r="L31" i="379"/>
  <c r="H31" i="379"/>
  <c r="G26" i="378"/>
  <c r="H25" i="378"/>
  <c r="N25" i="378"/>
  <c r="Q11" i="377"/>
  <c r="G12" i="377"/>
  <c r="H11" i="377"/>
  <c r="G39" i="421" l="1"/>
  <c r="P39" i="421" s="1"/>
  <c r="N39" i="421"/>
  <c r="K38" i="382"/>
  <c r="M37" i="382"/>
  <c r="J37" i="382"/>
  <c r="S36" i="382"/>
  <c r="L36" i="382"/>
  <c r="K38" i="381"/>
  <c r="M37" i="381"/>
  <c r="J37" i="381"/>
  <c r="S36" i="381"/>
  <c r="L36" i="381"/>
  <c r="S34" i="380"/>
  <c r="L34" i="380"/>
  <c r="J35" i="380"/>
  <c r="M33" i="380"/>
  <c r="K34" i="380"/>
  <c r="G33" i="379"/>
  <c r="L32" i="379"/>
  <c r="H32" i="379"/>
  <c r="N26" i="378"/>
  <c r="G27" i="378"/>
  <c r="H26" i="378"/>
  <c r="G13" i="377"/>
  <c r="H12" i="377"/>
  <c r="Q12" i="377"/>
  <c r="S37" i="382" l="1"/>
  <c r="L37" i="382"/>
  <c r="J38" i="382"/>
  <c r="M38" i="382"/>
  <c r="K39" i="382"/>
  <c r="S37" i="381"/>
  <c r="L37" i="381"/>
  <c r="J38" i="381"/>
  <c r="M38" i="381"/>
  <c r="K39" i="381"/>
  <c r="K35" i="380"/>
  <c r="M34" i="380"/>
  <c r="J36" i="380"/>
  <c r="S35" i="380"/>
  <c r="L35" i="380"/>
  <c r="G34" i="379"/>
  <c r="L33" i="379"/>
  <c r="H33" i="379"/>
  <c r="G28" i="378"/>
  <c r="H27" i="378"/>
  <c r="N27" i="378"/>
  <c r="Q13" i="377"/>
  <c r="G14" i="377"/>
  <c r="H13" i="377"/>
  <c r="K40" i="382" l="1"/>
  <c r="M39" i="382"/>
  <c r="J39" i="382"/>
  <c r="L38" i="382"/>
  <c r="S38" i="382"/>
  <c r="K40" i="381"/>
  <c r="M39" i="381"/>
  <c r="J39" i="381"/>
  <c r="L38" i="381"/>
  <c r="S38" i="381"/>
  <c r="S36" i="380"/>
  <c r="L36" i="380"/>
  <c r="J37" i="380"/>
  <c r="M35" i="380"/>
  <c r="K36" i="380"/>
  <c r="G35" i="379"/>
  <c r="L34" i="379"/>
  <c r="H34" i="379"/>
  <c r="N28" i="378"/>
  <c r="G29" i="378"/>
  <c r="H28" i="378"/>
  <c r="G15" i="377"/>
  <c r="H14" i="377"/>
  <c r="Q14" i="377"/>
  <c r="K40" i="240"/>
  <c r="S39" i="382" l="1"/>
  <c r="L39" i="382"/>
  <c r="J40" i="382"/>
  <c r="S39" i="381"/>
  <c r="L39" i="381"/>
  <c r="J40" i="381"/>
  <c r="K37" i="380"/>
  <c r="M36" i="380"/>
  <c r="J38" i="380"/>
  <c r="S37" i="380"/>
  <c r="L37" i="380"/>
  <c r="G36" i="379"/>
  <c r="L35" i="379"/>
  <c r="H35" i="379"/>
  <c r="G30" i="378"/>
  <c r="H29" i="378"/>
  <c r="N29" i="378"/>
  <c r="Q15" i="377"/>
  <c r="G16" i="377"/>
  <c r="H15" i="377"/>
  <c r="D230" i="53"/>
  <c r="B230" i="53"/>
  <c r="J40" i="376"/>
  <c r="I40" i="376"/>
  <c r="D40" i="376"/>
  <c r="F230" i="53" s="1"/>
  <c r="E39" i="376"/>
  <c r="B39" i="376"/>
  <c r="E38" i="376"/>
  <c r="B38" i="376"/>
  <c r="E37" i="376"/>
  <c r="B37" i="376"/>
  <c r="E36" i="376"/>
  <c r="B36" i="376"/>
  <c r="E35" i="376"/>
  <c r="B35" i="376"/>
  <c r="E34" i="376"/>
  <c r="B34" i="376"/>
  <c r="E33" i="376"/>
  <c r="B33" i="376"/>
  <c r="E32" i="376"/>
  <c r="B32" i="376"/>
  <c r="E31" i="376"/>
  <c r="B31" i="376"/>
  <c r="E30" i="376"/>
  <c r="B30" i="376"/>
  <c r="E29" i="376"/>
  <c r="B29" i="376"/>
  <c r="E28" i="376"/>
  <c r="B28" i="376"/>
  <c r="E27" i="376"/>
  <c r="B27" i="376"/>
  <c r="E26" i="376"/>
  <c r="B26" i="376"/>
  <c r="E25" i="376"/>
  <c r="B25" i="376"/>
  <c r="E24" i="376"/>
  <c r="B24" i="376"/>
  <c r="E23" i="376"/>
  <c r="B23" i="376"/>
  <c r="E22" i="376"/>
  <c r="B22" i="376"/>
  <c r="E21" i="376"/>
  <c r="B21" i="376"/>
  <c r="E20" i="376"/>
  <c r="B20" i="376"/>
  <c r="E19" i="376"/>
  <c r="B19" i="376"/>
  <c r="E18" i="376"/>
  <c r="B18" i="376"/>
  <c r="E17" i="376"/>
  <c r="B17" i="376"/>
  <c r="E16" i="376"/>
  <c r="B16" i="376"/>
  <c r="E15" i="376"/>
  <c r="B15" i="376"/>
  <c r="E14" i="376"/>
  <c r="B14" i="376"/>
  <c r="E13" i="376"/>
  <c r="B13" i="376"/>
  <c r="E12" i="376"/>
  <c r="B12" i="376"/>
  <c r="E11" i="376"/>
  <c r="B11" i="376"/>
  <c r="E10" i="376"/>
  <c r="B10" i="376"/>
  <c r="F9" i="376"/>
  <c r="E9" i="376"/>
  <c r="B9" i="376"/>
  <c r="D8" i="376"/>
  <c r="D41" i="376" s="1"/>
  <c r="I5" i="376"/>
  <c r="H5" i="376"/>
  <c r="G5" i="376"/>
  <c r="F5" i="376"/>
  <c r="E5" i="376"/>
  <c r="D5" i="376"/>
  <c r="C5" i="376"/>
  <c r="B5" i="376"/>
  <c r="C4" i="376"/>
  <c r="D229" i="53"/>
  <c r="B229" i="53"/>
  <c r="J40" i="375"/>
  <c r="I40" i="375"/>
  <c r="D40" i="375"/>
  <c r="F229" i="53" s="1"/>
  <c r="E39" i="375"/>
  <c r="B39" i="375"/>
  <c r="E38" i="375"/>
  <c r="B38" i="375"/>
  <c r="E37" i="375"/>
  <c r="B37" i="375"/>
  <c r="E36" i="375"/>
  <c r="B36" i="375"/>
  <c r="E35" i="375"/>
  <c r="B35" i="375"/>
  <c r="E34" i="375"/>
  <c r="B34" i="375"/>
  <c r="E33" i="375"/>
  <c r="B33" i="375"/>
  <c r="E32" i="375"/>
  <c r="B32" i="375"/>
  <c r="E31" i="375"/>
  <c r="B31" i="375"/>
  <c r="E30" i="375"/>
  <c r="B30" i="375"/>
  <c r="E29" i="375"/>
  <c r="B29" i="375"/>
  <c r="E28" i="375"/>
  <c r="B28" i="375"/>
  <c r="E27" i="375"/>
  <c r="B27" i="375"/>
  <c r="E26" i="375"/>
  <c r="B26" i="375"/>
  <c r="E25" i="375"/>
  <c r="B25" i="375"/>
  <c r="E24" i="375"/>
  <c r="B24" i="375"/>
  <c r="E23" i="375"/>
  <c r="B23" i="375"/>
  <c r="E22" i="375"/>
  <c r="B22" i="375"/>
  <c r="E21" i="375"/>
  <c r="B21" i="375"/>
  <c r="E20" i="375"/>
  <c r="B20" i="375"/>
  <c r="E19" i="375"/>
  <c r="B19" i="375"/>
  <c r="E18" i="375"/>
  <c r="B18" i="375"/>
  <c r="E17" i="375"/>
  <c r="B17" i="375"/>
  <c r="E16" i="375"/>
  <c r="B16" i="375"/>
  <c r="E15" i="375"/>
  <c r="B15" i="375"/>
  <c r="E14" i="375"/>
  <c r="B14" i="375"/>
  <c r="E13" i="375"/>
  <c r="B13" i="375"/>
  <c r="E12" i="375"/>
  <c r="B12" i="375"/>
  <c r="E11" i="375"/>
  <c r="B11" i="375"/>
  <c r="E10" i="375"/>
  <c r="B10" i="375"/>
  <c r="F9" i="375"/>
  <c r="E9" i="375"/>
  <c r="B9" i="375"/>
  <c r="D8" i="375"/>
  <c r="I5" i="375"/>
  <c r="H5" i="375"/>
  <c r="G5" i="375"/>
  <c r="F5" i="375"/>
  <c r="E5" i="375"/>
  <c r="D5" i="375"/>
  <c r="C5" i="375"/>
  <c r="B5" i="375"/>
  <c r="C4" i="375"/>
  <c r="G152" i="354" l="1"/>
  <c r="E152" i="354"/>
  <c r="E40" i="376"/>
  <c r="H230" i="53" s="1"/>
  <c r="J230" i="53" s="1"/>
  <c r="M230" i="53" s="1"/>
  <c r="D41" i="375"/>
  <c r="S38" i="380"/>
  <c r="L38" i="380"/>
  <c r="J39" i="380"/>
  <c r="M37" i="380"/>
  <c r="K38" i="380"/>
  <c r="G37" i="379"/>
  <c r="L36" i="379"/>
  <c r="H36" i="379"/>
  <c r="N30" i="378"/>
  <c r="G31" i="378"/>
  <c r="H30" i="378"/>
  <c r="G17" i="377"/>
  <c r="H16" i="377"/>
  <c r="Q16" i="377"/>
  <c r="E40" i="375"/>
  <c r="H229" i="53" s="1"/>
  <c r="J229" i="53" s="1"/>
  <c r="M229" i="53" s="1"/>
  <c r="F39" i="376"/>
  <c r="F38" i="376"/>
  <c r="F37" i="376"/>
  <c r="F36" i="376"/>
  <c r="F35" i="376"/>
  <c r="F34" i="376"/>
  <c r="F33" i="376"/>
  <c r="F32" i="376"/>
  <c r="F10" i="376"/>
  <c r="F11" i="376"/>
  <c r="F12" i="376"/>
  <c r="F13" i="376"/>
  <c r="F14" i="376"/>
  <c r="F15" i="376"/>
  <c r="F16" i="376"/>
  <c r="F17" i="376"/>
  <c r="F18" i="376"/>
  <c r="F19" i="376"/>
  <c r="F20" i="376"/>
  <c r="F21" i="376"/>
  <c r="F22" i="376"/>
  <c r="F23" i="376"/>
  <c r="F24" i="376"/>
  <c r="F25" i="376"/>
  <c r="F26" i="376"/>
  <c r="F27" i="376"/>
  <c r="F28" i="376"/>
  <c r="F29" i="376"/>
  <c r="F30" i="376"/>
  <c r="F31" i="376"/>
  <c r="G9" i="376"/>
  <c r="F39" i="375"/>
  <c r="F38" i="375"/>
  <c r="F37" i="375"/>
  <c r="F36" i="375"/>
  <c r="F35" i="375"/>
  <c r="F34" i="375"/>
  <c r="F33" i="375"/>
  <c r="F32" i="375"/>
  <c r="F10" i="375"/>
  <c r="F11" i="375"/>
  <c r="F12" i="375"/>
  <c r="F13" i="375"/>
  <c r="F14" i="375"/>
  <c r="F15" i="375"/>
  <c r="F16" i="375"/>
  <c r="F17" i="375"/>
  <c r="F18" i="375"/>
  <c r="F19" i="375"/>
  <c r="F20" i="375"/>
  <c r="F21" i="375"/>
  <c r="F22" i="375"/>
  <c r="F23" i="375"/>
  <c r="F24" i="375"/>
  <c r="F25" i="375"/>
  <c r="F26" i="375"/>
  <c r="F27" i="375"/>
  <c r="F28" i="375"/>
  <c r="F29" i="375"/>
  <c r="F30" i="375"/>
  <c r="F31" i="375"/>
  <c r="G9" i="375"/>
  <c r="E8" i="376" l="1"/>
  <c r="E41" i="376"/>
  <c r="G41" i="376" s="1"/>
  <c r="I152" i="354"/>
  <c r="L152" i="354" s="1"/>
  <c r="E41" i="375"/>
  <c r="G41" i="375" s="1"/>
  <c r="K39" i="380"/>
  <c r="M38" i="380"/>
  <c r="J40" i="380"/>
  <c r="S39" i="380"/>
  <c r="L39" i="380"/>
  <c r="G38" i="379"/>
  <c r="L37" i="379"/>
  <c r="H37" i="379"/>
  <c r="G32" i="378"/>
  <c r="H31" i="378"/>
  <c r="N31" i="378"/>
  <c r="E8" i="375"/>
  <c r="Q17" i="377"/>
  <c r="G18" i="377"/>
  <c r="H17" i="377"/>
  <c r="G10" i="376"/>
  <c r="K9" i="376"/>
  <c r="H9" i="376"/>
  <c r="G10" i="375"/>
  <c r="K9" i="375"/>
  <c r="H9" i="375"/>
  <c r="G26" i="355"/>
  <c r="G34" i="355"/>
  <c r="G35" i="355"/>
  <c r="G57" i="355"/>
  <c r="G63" i="355"/>
  <c r="G68" i="355"/>
  <c r="G69" i="355"/>
  <c r="G80" i="355"/>
  <c r="G75" i="355"/>
  <c r="G76" i="355"/>
  <c r="G79" i="355"/>
  <c r="G89" i="355"/>
  <c r="G90" i="355"/>
  <c r="G92" i="355"/>
  <c r="G93" i="355"/>
  <c r="G94" i="355"/>
  <c r="G98" i="355"/>
  <c r="G101" i="355"/>
  <c r="K152" i="354" l="1"/>
  <c r="M39" i="380"/>
  <c r="K40" i="380"/>
  <c r="K41" i="380" s="1"/>
  <c r="G39" i="379"/>
  <c r="L38" i="379"/>
  <c r="H38" i="379"/>
  <c r="N32" i="378"/>
  <c r="G33" i="378"/>
  <c r="H32" i="378"/>
  <c r="G19" i="377"/>
  <c r="H18" i="377"/>
  <c r="Q18" i="377"/>
  <c r="G11" i="376"/>
  <c r="K10" i="376"/>
  <c r="H10" i="376"/>
  <c r="G11" i="375"/>
  <c r="K10" i="375"/>
  <c r="H10" i="375"/>
  <c r="G59" i="421" l="1"/>
  <c r="P59" i="421" s="1"/>
  <c r="N59" i="421"/>
  <c r="L39" i="379"/>
  <c r="G40" i="379"/>
  <c r="H39" i="379"/>
  <c r="G34" i="378"/>
  <c r="H33" i="378"/>
  <c r="N33" i="378"/>
  <c r="Q19" i="377"/>
  <c r="G20" i="377"/>
  <c r="H19" i="377"/>
  <c r="G12" i="376"/>
  <c r="K11" i="376"/>
  <c r="H11" i="376"/>
  <c r="G12" i="375"/>
  <c r="K11" i="375"/>
  <c r="H11" i="375"/>
  <c r="G81" i="421" l="1"/>
  <c r="P81" i="421" s="1"/>
  <c r="N34" i="378"/>
  <c r="G35" i="378"/>
  <c r="H34" i="378"/>
  <c r="G21" i="377"/>
  <c r="H20" i="377"/>
  <c r="Q20" i="377"/>
  <c r="G13" i="376"/>
  <c r="K12" i="376"/>
  <c r="H12" i="376"/>
  <c r="G13" i="375"/>
  <c r="K12" i="375"/>
  <c r="H12" i="375"/>
  <c r="H81" i="421" l="1"/>
  <c r="G36" i="378"/>
  <c r="H35" i="378"/>
  <c r="N35" i="378"/>
  <c r="Q21" i="377"/>
  <c r="G22" i="377"/>
  <c r="H21" i="377"/>
  <c r="G14" i="376"/>
  <c r="K13" i="376"/>
  <c r="H13" i="376"/>
  <c r="G14" i="375"/>
  <c r="K13" i="375"/>
  <c r="H13" i="375"/>
  <c r="E88" i="53"/>
  <c r="C88" i="53"/>
  <c r="B88" i="53"/>
  <c r="J46" i="374"/>
  <c r="G40" i="374"/>
  <c r="G41" i="374" s="1"/>
  <c r="F40" i="374"/>
  <c r="F41" i="374" s="1"/>
  <c r="E40" i="374"/>
  <c r="G88" i="53" s="1"/>
  <c r="I39" i="374"/>
  <c r="H39" i="374"/>
  <c r="D39" i="374"/>
  <c r="B39" i="374"/>
  <c r="I38" i="374"/>
  <c r="H38" i="374"/>
  <c r="D38" i="374"/>
  <c r="B38" i="374"/>
  <c r="I37" i="374"/>
  <c r="H37" i="374"/>
  <c r="D37" i="374"/>
  <c r="B37" i="374"/>
  <c r="I36" i="374"/>
  <c r="H36" i="374"/>
  <c r="D36" i="374"/>
  <c r="B36" i="374"/>
  <c r="I35" i="374"/>
  <c r="H35" i="374"/>
  <c r="D35" i="374"/>
  <c r="B35" i="374"/>
  <c r="I34" i="374"/>
  <c r="H34" i="374"/>
  <c r="D34" i="374"/>
  <c r="B34" i="374"/>
  <c r="I33" i="374"/>
  <c r="H33" i="374"/>
  <c r="D33" i="374"/>
  <c r="B33" i="374"/>
  <c r="I32" i="374"/>
  <c r="H32" i="374"/>
  <c r="D32" i="374"/>
  <c r="B32" i="374"/>
  <c r="I31" i="374"/>
  <c r="H31" i="374"/>
  <c r="D31" i="374"/>
  <c r="B31" i="374"/>
  <c r="I30" i="374"/>
  <c r="H30" i="374"/>
  <c r="D30" i="374"/>
  <c r="B30" i="374"/>
  <c r="I29" i="374"/>
  <c r="H29" i="374"/>
  <c r="D29" i="374"/>
  <c r="B29" i="374"/>
  <c r="I28" i="374"/>
  <c r="H28" i="374"/>
  <c r="D28" i="374"/>
  <c r="B28" i="374"/>
  <c r="I27" i="374"/>
  <c r="H27" i="374"/>
  <c r="D27" i="374"/>
  <c r="B27" i="374"/>
  <c r="I26" i="374"/>
  <c r="H26" i="374"/>
  <c r="D26" i="374"/>
  <c r="B26" i="374"/>
  <c r="I25" i="374"/>
  <c r="H25" i="374"/>
  <c r="B25" i="374"/>
  <c r="I24" i="374"/>
  <c r="H24" i="374"/>
  <c r="D24" i="374"/>
  <c r="B24" i="374"/>
  <c r="I23" i="374"/>
  <c r="H23" i="374"/>
  <c r="D23" i="374"/>
  <c r="B23" i="374"/>
  <c r="I22" i="374"/>
  <c r="H22" i="374"/>
  <c r="D22" i="374"/>
  <c r="B22" i="374"/>
  <c r="I21" i="374"/>
  <c r="H21" i="374"/>
  <c r="D21" i="374"/>
  <c r="B21" i="374"/>
  <c r="I20" i="374"/>
  <c r="H20" i="374"/>
  <c r="D20" i="374"/>
  <c r="B20" i="374"/>
  <c r="I19" i="374"/>
  <c r="H19" i="374"/>
  <c r="D19" i="374"/>
  <c r="B19" i="374"/>
  <c r="I18" i="374"/>
  <c r="H18" i="374"/>
  <c r="D18" i="374"/>
  <c r="B18" i="374"/>
  <c r="I17" i="374"/>
  <c r="H17" i="374"/>
  <c r="D17" i="374"/>
  <c r="B17" i="374"/>
  <c r="I16" i="374"/>
  <c r="H16" i="374"/>
  <c r="D16" i="374"/>
  <c r="B16" i="374"/>
  <c r="I15" i="374"/>
  <c r="H15" i="374"/>
  <c r="D15" i="374"/>
  <c r="B15" i="374"/>
  <c r="I14" i="374"/>
  <c r="H14" i="374"/>
  <c r="D14" i="374"/>
  <c r="B14" i="374"/>
  <c r="I13" i="374"/>
  <c r="H13" i="374"/>
  <c r="D13" i="374"/>
  <c r="B13" i="374"/>
  <c r="I12" i="374"/>
  <c r="H12" i="374"/>
  <c r="D12" i="374"/>
  <c r="B12" i="374"/>
  <c r="I11" i="374"/>
  <c r="H11" i="374"/>
  <c r="D11" i="374"/>
  <c r="B11" i="374"/>
  <c r="I10" i="374"/>
  <c r="H10" i="374"/>
  <c r="D10" i="374"/>
  <c r="B10" i="374"/>
  <c r="K9" i="374"/>
  <c r="I9" i="374"/>
  <c r="H9" i="374"/>
  <c r="D9" i="374"/>
  <c r="B9" i="374"/>
  <c r="J8" i="374"/>
  <c r="D88" i="53" s="1"/>
  <c r="E8" i="374"/>
  <c r="E41" i="374" s="1"/>
  <c r="K41" i="374" s="1"/>
  <c r="I7" i="374"/>
  <c r="K7" i="374" s="1"/>
  <c r="M7" i="374" s="1"/>
  <c r="M5" i="374"/>
  <c r="I5" i="374"/>
  <c r="H5" i="374"/>
  <c r="G5" i="374"/>
  <c r="F5" i="374"/>
  <c r="E5" i="374"/>
  <c r="D5" i="374"/>
  <c r="C5" i="374"/>
  <c r="B5" i="374"/>
  <c r="C4" i="374"/>
  <c r="D8" i="374" l="1"/>
  <c r="G49" i="354"/>
  <c r="E49" i="354"/>
  <c r="M9" i="374"/>
  <c r="I88" i="53"/>
  <c r="H88" i="53"/>
  <c r="N36" i="378"/>
  <c r="G37" i="378"/>
  <c r="H36" i="378"/>
  <c r="G23" i="377"/>
  <c r="H22" i="377"/>
  <c r="Q22" i="377"/>
  <c r="J9" i="374"/>
  <c r="J10" i="374" s="1"/>
  <c r="S10" i="374" s="1"/>
  <c r="K10" i="374"/>
  <c r="K11" i="374" s="1"/>
  <c r="M11" i="374" s="1"/>
  <c r="K88" i="53"/>
  <c r="G15" i="376"/>
  <c r="K14" i="376"/>
  <c r="H14" i="376"/>
  <c r="G15" i="375"/>
  <c r="K14" i="375"/>
  <c r="H14" i="375"/>
  <c r="D40" i="374"/>
  <c r="S9" i="374"/>
  <c r="L92" i="341"/>
  <c r="B206" i="53"/>
  <c r="B92" i="341" s="1"/>
  <c r="D206" i="53"/>
  <c r="L40" i="373"/>
  <c r="K40" i="373"/>
  <c r="J40" i="373"/>
  <c r="I40" i="373"/>
  <c r="D40" i="373"/>
  <c r="F206" i="53" s="1"/>
  <c r="E39" i="373"/>
  <c r="B39" i="373"/>
  <c r="E38" i="373"/>
  <c r="B38" i="373"/>
  <c r="E37" i="373"/>
  <c r="B37" i="373"/>
  <c r="E36" i="373"/>
  <c r="B36" i="373"/>
  <c r="E35" i="373"/>
  <c r="B35" i="373"/>
  <c r="E34" i="373"/>
  <c r="B34" i="373"/>
  <c r="E33" i="373"/>
  <c r="B33" i="373"/>
  <c r="E32" i="373"/>
  <c r="B32" i="373"/>
  <c r="E31" i="373"/>
  <c r="B31" i="373"/>
  <c r="E30" i="373"/>
  <c r="B30" i="373"/>
  <c r="E29" i="373"/>
  <c r="B29" i="373"/>
  <c r="E28" i="373"/>
  <c r="B28" i="373"/>
  <c r="E27" i="373"/>
  <c r="B27" i="373"/>
  <c r="E26" i="373"/>
  <c r="B26" i="373"/>
  <c r="E25" i="373"/>
  <c r="B25" i="373"/>
  <c r="E24" i="373"/>
  <c r="B24" i="373"/>
  <c r="E23" i="373"/>
  <c r="B23" i="373"/>
  <c r="E22" i="373"/>
  <c r="B22" i="373"/>
  <c r="E21" i="373"/>
  <c r="B21" i="373"/>
  <c r="E20" i="373"/>
  <c r="B20" i="373"/>
  <c r="E19" i="373"/>
  <c r="B19" i="373"/>
  <c r="E18" i="373"/>
  <c r="B18" i="373"/>
  <c r="E17" i="373"/>
  <c r="B17" i="373"/>
  <c r="E16" i="373"/>
  <c r="B16" i="373"/>
  <c r="E15" i="373"/>
  <c r="B15" i="373"/>
  <c r="E14" i="373"/>
  <c r="B14" i="373"/>
  <c r="E13" i="373"/>
  <c r="B13" i="373"/>
  <c r="E12" i="373"/>
  <c r="B12" i="373"/>
  <c r="E11" i="373"/>
  <c r="B11" i="373"/>
  <c r="E10" i="373"/>
  <c r="B10" i="373"/>
  <c r="F9" i="373"/>
  <c r="E9" i="373"/>
  <c r="B9" i="373"/>
  <c r="D8" i="373"/>
  <c r="D41" i="373" s="1"/>
  <c r="I5" i="373"/>
  <c r="H5" i="373"/>
  <c r="G5" i="373"/>
  <c r="F5" i="373"/>
  <c r="E5" i="373"/>
  <c r="D5" i="373"/>
  <c r="C5" i="373"/>
  <c r="B5" i="373"/>
  <c r="C4" i="373"/>
  <c r="L206" i="53"/>
  <c r="L197" i="53"/>
  <c r="D197" i="53"/>
  <c r="B197" i="53"/>
  <c r="B83" i="341" s="1"/>
  <c r="C4" i="372"/>
  <c r="L40" i="372"/>
  <c r="K40" i="372"/>
  <c r="J40" i="372"/>
  <c r="I40" i="372"/>
  <c r="D40" i="372"/>
  <c r="F197" i="53" s="1"/>
  <c r="E39" i="372"/>
  <c r="B39" i="372"/>
  <c r="E38" i="372"/>
  <c r="B38" i="372"/>
  <c r="E37" i="372"/>
  <c r="B37" i="372"/>
  <c r="E36" i="372"/>
  <c r="B36" i="372"/>
  <c r="E35" i="372"/>
  <c r="B35" i="372"/>
  <c r="E34" i="372"/>
  <c r="B34" i="372"/>
  <c r="E33" i="372"/>
  <c r="B33" i="372"/>
  <c r="E32" i="372"/>
  <c r="B32" i="372"/>
  <c r="E31" i="372"/>
  <c r="B31" i="372"/>
  <c r="E30" i="372"/>
  <c r="B30" i="372"/>
  <c r="E29" i="372"/>
  <c r="B29" i="372"/>
  <c r="E28" i="372"/>
  <c r="B28" i="372"/>
  <c r="E27" i="372"/>
  <c r="B27" i="372"/>
  <c r="E26" i="372"/>
  <c r="B26" i="372"/>
  <c r="E25" i="372"/>
  <c r="B25" i="372"/>
  <c r="E24" i="372"/>
  <c r="B24" i="372"/>
  <c r="E23" i="372"/>
  <c r="B23" i="372"/>
  <c r="E22" i="372"/>
  <c r="B22" i="372"/>
  <c r="E21" i="372"/>
  <c r="B21" i="372"/>
  <c r="E20" i="372"/>
  <c r="B20" i="372"/>
  <c r="E19" i="372"/>
  <c r="B19" i="372"/>
  <c r="E18" i="372"/>
  <c r="B18" i="372"/>
  <c r="E17" i="372"/>
  <c r="B17" i="372"/>
  <c r="E16" i="372"/>
  <c r="B16" i="372"/>
  <c r="E15" i="372"/>
  <c r="B15" i="372"/>
  <c r="E14" i="372"/>
  <c r="B14" i="372"/>
  <c r="E13" i="372"/>
  <c r="B13" i="372"/>
  <c r="E12" i="372"/>
  <c r="B12" i="372"/>
  <c r="E11" i="372"/>
  <c r="B11" i="372"/>
  <c r="E10" i="372"/>
  <c r="B10" i="372"/>
  <c r="F9" i="372"/>
  <c r="E9" i="372"/>
  <c r="B9" i="372"/>
  <c r="D8" i="372"/>
  <c r="D41" i="372" s="1"/>
  <c r="I5" i="372"/>
  <c r="H5" i="372"/>
  <c r="G5" i="372"/>
  <c r="F5" i="372"/>
  <c r="E5" i="372"/>
  <c r="D5" i="372"/>
  <c r="C5" i="372"/>
  <c r="B5" i="372"/>
  <c r="G131" i="354" l="1"/>
  <c r="I49" i="354"/>
  <c r="K49" i="354" s="1"/>
  <c r="G130" i="354"/>
  <c r="H49" i="354"/>
  <c r="J11" i="374"/>
  <c r="J12" i="374" s="1"/>
  <c r="M10" i="374"/>
  <c r="L10" i="374"/>
  <c r="K12" i="374"/>
  <c r="K13" i="374" s="1"/>
  <c r="G38" i="378"/>
  <c r="H37" i="378"/>
  <c r="N37" i="378"/>
  <c r="Q23" i="377"/>
  <c r="G24" i="377"/>
  <c r="H23" i="377"/>
  <c r="E40" i="372"/>
  <c r="E41" i="372" s="1"/>
  <c r="G41" i="372" s="1"/>
  <c r="E40" i="373"/>
  <c r="F92" i="341"/>
  <c r="L9" i="374"/>
  <c r="G16" i="376"/>
  <c r="K15" i="376"/>
  <c r="H15" i="376"/>
  <c r="G16" i="375"/>
  <c r="K15" i="375"/>
  <c r="H15" i="375"/>
  <c r="D83" i="341"/>
  <c r="E130" i="354"/>
  <c r="D92" i="341"/>
  <c r="E131" i="354"/>
  <c r="D41" i="374"/>
  <c r="J41" i="374" s="1"/>
  <c r="F88" i="53"/>
  <c r="J88" i="53" s="1"/>
  <c r="F83" i="341"/>
  <c r="F39" i="373"/>
  <c r="F38" i="373"/>
  <c r="F37" i="373"/>
  <c r="F36" i="373"/>
  <c r="F35" i="373"/>
  <c r="F34" i="373"/>
  <c r="F33" i="373"/>
  <c r="F32" i="373"/>
  <c r="F31" i="373"/>
  <c r="F10" i="373"/>
  <c r="F11" i="373"/>
  <c r="F12" i="373"/>
  <c r="F13" i="373"/>
  <c r="F14" i="373"/>
  <c r="F15" i="373"/>
  <c r="F16" i="373"/>
  <c r="F17" i="373"/>
  <c r="F18" i="373"/>
  <c r="F19" i="373"/>
  <c r="F20" i="373"/>
  <c r="F21" i="373"/>
  <c r="F22" i="373"/>
  <c r="F23" i="373"/>
  <c r="F24" i="373"/>
  <c r="F25" i="373"/>
  <c r="F26" i="373"/>
  <c r="F27" i="373"/>
  <c r="F28" i="373"/>
  <c r="F29" i="373"/>
  <c r="F30" i="373"/>
  <c r="G9" i="373"/>
  <c r="F39" i="372"/>
  <c r="F38" i="372"/>
  <c r="F37" i="372"/>
  <c r="F36" i="372"/>
  <c r="F35" i="372"/>
  <c r="F34" i="372"/>
  <c r="F33" i="372"/>
  <c r="F32" i="372"/>
  <c r="F31" i="372"/>
  <c r="F10" i="372"/>
  <c r="F11" i="372"/>
  <c r="F12" i="372"/>
  <c r="F13" i="372"/>
  <c r="F14" i="372"/>
  <c r="F15" i="372"/>
  <c r="F16" i="372"/>
  <c r="F17" i="372"/>
  <c r="F18" i="372"/>
  <c r="F19" i="372"/>
  <c r="F20" i="372"/>
  <c r="F21" i="372"/>
  <c r="F22" i="372"/>
  <c r="F23" i="372"/>
  <c r="F24" i="372"/>
  <c r="F25" i="372"/>
  <c r="F26" i="372"/>
  <c r="F27" i="372"/>
  <c r="F28" i="372"/>
  <c r="F29" i="372"/>
  <c r="F30" i="372"/>
  <c r="G9" i="372"/>
  <c r="E59" i="355" l="1"/>
  <c r="H197" i="53"/>
  <c r="L11" i="374"/>
  <c r="S11" i="374"/>
  <c r="M12" i="374"/>
  <c r="N38" i="378"/>
  <c r="G39" i="378"/>
  <c r="H38" i="378"/>
  <c r="G25" i="377"/>
  <c r="H24" i="377"/>
  <c r="Q24" i="377"/>
  <c r="E41" i="373"/>
  <c r="G41" i="373" s="1"/>
  <c r="H206" i="53"/>
  <c r="G17" i="376"/>
  <c r="K16" i="376"/>
  <c r="H16" i="376"/>
  <c r="G17" i="375"/>
  <c r="K16" i="375"/>
  <c r="H16" i="375"/>
  <c r="M13" i="374"/>
  <c r="K14" i="374"/>
  <c r="S12" i="374"/>
  <c r="L12" i="374"/>
  <c r="J13" i="374"/>
  <c r="G10" i="373"/>
  <c r="M9" i="373"/>
  <c r="H9" i="373"/>
  <c r="G10" i="372"/>
  <c r="M9" i="372"/>
  <c r="H9" i="372"/>
  <c r="H83" i="341" l="1"/>
  <c r="J83" i="341" s="1"/>
  <c r="M83" i="341" s="1"/>
  <c r="I130" i="354"/>
  <c r="L130" i="354" s="1"/>
  <c r="J197" i="53"/>
  <c r="M197" i="53" s="1"/>
  <c r="K130" i="354"/>
  <c r="G40" i="378"/>
  <c r="H39" i="378"/>
  <c r="N39" i="378"/>
  <c r="Q25" i="377"/>
  <c r="G26" i="377"/>
  <c r="H25" i="377"/>
  <c r="I131" i="354"/>
  <c r="L131" i="354" s="1"/>
  <c r="H92" i="341"/>
  <c r="J92" i="341" s="1"/>
  <c r="M92" i="341" s="1"/>
  <c r="J206" i="53"/>
  <c r="M206" i="53" s="1"/>
  <c r="G18" i="376"/>
  <c r="K17" i="376"/>
  <c r="H17" i="376"/>
  <c r="G18" i="375"/>
  <c r="K17" i="375"/>
  <c r="H17" i="375"/>
  <c r="K15" i="374"/>
  <c r="M14" i="374"/>
  <c r="J14" i="374"/>
  <c r="S13" i="374"/>
  <c r="L13" i="374"/>
  <c r="G11" i="373"/>
  <c r="M10" i="373"/>
  <c r="H10" i="373"/>
  <c r="G11" i="372"/>
  <c r="M10" i="372"/>
  <c r="H10" i="372"/>
  <c r="E40" i="371"/>
  <c r="G84" i="53" s="1"/>
  <c r="E84" i="53"/>
  <c r="C84" i="53"/>
  <c r="B84" i="53"/>
  <c r="J46" i="371"/>
  <c r="D39" i="371"/>
  <c r="B39" i="371"/>
  <c r="D38" i="371"/>
  <c r="B38" i="371"/>
  <c r="D37" i="371"/>
  <c r="B37" i="371"/>
  <c r="D36" i="371"/>
  <c r="B36" i="371"/>
  <c r="D35" i="371"/>
  <c r="B35" i="371"/>
  <c r="D34" i="371"/>
  <c r="B34" i="371"/>
  <c r="D33" i="371"/>
  <c r="B33" i="371"/>
  <c r="D32" i="371"/>
  <c r="B32" i="371"/>
  <c r="D31" i="371"/>
  <c r="B31" i="371"/>
  <c r="D30" i="371"/>
  <c r="B30" i="371"/>
  <c r="D29" i="371"/>
  <c r="B29" i="371"/>
  <c r="H28" i="371"/>
  <c r="D28" i="371"/>
  <c r="B28" i="371"/>
  <c r="D27" i="371"/>
  <c r="B27" i="371"/>
  <c r="H26" i="371"/>
  <c r="D26" i="371"/>
  <c r="B26" i="371"/>
  <c r="B25" i="371"/>
  <c r="D24" i="371"/>
  <c r="B24" i="371"/>
  <c r="H23" i="371"/>
  <c r="D23" i="371"/>
  <c r="B23" i="371"/>
  <c r="D22" i="371"/>
  <c r="B22" i="371"/>
  <c r="H21" i="371"/>
  <c r="D21" i="371"/>
  <c r="B21" i="371"/>
  <c r="I22" i="371"/>
  <c r="F40" i="371"/>
  <c r="F41" i="371" s="1"/>
  <c r="D20" i="371"/>
  <c r="B20" i="371"/>
  <c r="I19" i="371"/>
  <c r="H19" i="371"/>
  <c r="D19" i="371"/>
  <c r="B19" i="371"/>
  <c r="I18" i="371"/>
  <c r="H18" i="371"/>
  <c r="D18" i="371"/>
  <c r="B18" i="371"/>
  <c r="I17" i="371"/>
  <c r="H17" i="371"/>
  <c r="D17" i="371"/>
  <c r="B17" i="371"/>
  <c r="I16" i="371"/>
  <c r="H16" i="371"/>
  <c r="D16" i="371"/>
  <c r="B16" i="371"/>
  <c r="I15" i="371"/>
  <c r="H15" i="371"/>
  <c r="D15" i="371"/>
  <c r="B15" i="371"/>
  <c r="I14" i="371"/>
  <c r="H14" i="371"/>
  <c r="D14" i="371"/>
  <c r="B14" i="371"/>
  <c r="I13" i="371"/>
  <c r="H13" i="371"/>
  <c r="D13" i="371"/>
  <c r="B13" i="371"/>
  <c r="I12" i="371"/>
  <c r="H12" i="371"/>
  <c r="D12" i="371"/>
  <c r="B12" i="371"/>
  <c r="I11" i="371"/>
  <c r="H11" i="371"/>
  <c r="D11" i="371"/>
  <c r="B11" i="371"/>
  <c r="I10" i="371"/>
  <c r="H10" i="371"/>
  <c r="D10" i="371"/>
  <c r="B10" i="371"/>
  <c r="K9" i="371"/>
  <c r="K10" i="371" s="1"/>
  <c r="I9" i="371"/>
  <c r="H9" i="371"/>
  <c r="D9" i="371"/>
  <c r="B9" i="371"/>
  <c r="J8" i="371"/>
  <c r="J9" i="371" s="1"/>
  <c r="E8" i="371"/>
  <c r="D8" i="371"/>
  <c r="I7" i="371"/>
  <c r="K7" i="371" s="1"/>
  <c r="M7" i="371" s="1"/>
  <c r="M5" i="371"/>
  <c r="I5" i="371"/>
  <c r="H5" i="371"/>
  <c r="G5" i="371"/>
  <c r="F5" i="371"/>
  <c r="E5" i="371"/>
  <c r="D5" i="371"/>
  <c r="C5" i="371"/>
  <c r="B5" i="371"/>
  <c r="C4" i="371"/>
  <c r="G37" i="421" l="1"/>
  <c r="P37" i="421" s="1"/>
  <c r="N37" i="421"/>
  <c r="G46" i="354"/>
  <c r="E46" i="354"/>
  <c r="K131" i="354"/>
  <c r="G27" i="377"/>
  <c r="H26" i="377"/>
  <c r="Q26" i="377"/>
  <c r="D40" i="371"/>
  <c r="F84" i="53" s="1"/>
  <c r="D84" i="53"/>
  <c r="G19" i="376"/>
  <c r="K18" i="376"/>
  <c r="H18" i="376"/>
  <c r="G19" i="375"/>
  <c r="K18" i="375"/>
  <c r="H18" i="375"/>
  <c r="S14" i="374"/>
  <c r="L14" i="374"/>
  <c r="J15" i="374"/>
  <c r="M15" i="374"/>
  <c r="K16" i="374"/>
  <c r="G12" i="373"/>
  <c r="M11" i="373"/>
  <c r="H11" i="373"/>
  <c r="G12" i="372"/>
  <c r="M11" i="372"/>
  <c r="H11" i="372"/>
  <c r="E41" i="371"/>
  <c r="H84" i="53"/>
  <c r="S9" i="371"/>
  <c r="L9" i="371"/>
  <c r="J10" i="371"/>
  <c r="M10" i="371"/>
  <c r="K11" i="371"/>
  <c r="M9" i="371"/>
  <c r="I39" i="371"/>
  <c r="I37" i="371"/>
  <c r="I35" i="371"/>
  <c r="I33" i="371"/>
  <c r="I31" i="371"/>
  <c r="I29" i="371"/>
  <c r="I27" i="371"/>
  <c r="G40" i="371"/>
  <c r="I38" i="371"/>
  <c r="I36" i="371"/>
  <c r="I34" i="371"/>
  <c r="I32" i="371"/>
  <c r="I30" i="371"/>
  <c r="I28" i="371"/>
  <c r="I26" i="371"/>
  <c r="I23" i="371"/>
  <c r="I21" i="371"/>
  <c r="I20" i="371"/>
  <c r="I24" i="371"/>
  <c r="I25" i="371"/>
  <c r="H20" i="371"/>
  <c r="H22" i="371"/>
  <c r="H24" i="371"/>
  <c r="H25" i="371"/>
  <c r="H27" i="371"/>
  <c r="H29" i="371"/>
  <c r="H31" i="371"/>
  <c r="H33" i="371"/>
  <c r="H35" i="371"/>
  <c r="H37" i="371"/>
  <c r="H39" i="371"/>
  <c r="H30" i="371"/>
  <c r="H32" i="371"/>
  <c r="H34" i="371"/>
  <c r="H36" i="371"/>
  <c r="H38" i="371"/>
  <c r="G38" i="421" l="1"/>
  <c r="P38" i="421" s="1"/>
  <c r="N38" i="421"/>
  <c r="H46" i="354"/>
  <c r="E35" i="318" s="1"/>
  <c r="Q27" i="377"/>
  <c r="G28" i="377"/>
  <c r="H27" i="377"/>
  <c r="D41" i="371"/>
  <c r="J41" i="371" s="1"/>
  <c r="G20" i="376"/>
  <c r="K19" i="376"/>
  <c r="H19" i="376"/>
  <c r="G20" i="375"/>
  <c r="K19" i="375"/>
  <c r="H19" i="375"/>
  <c r="K17" i="374"/>
  <c r="M16" i="374"/>
  <c r="J16" i="374"/>
  <c r="L15" i="374"/>
  <c r="S15" i="374"/>
  <c r="G13" i="373"/>
  <c r="M12" i="373"/>
  <c r="H12" i="373"/>
  <c r="G13" i="372"/>
  <c r="M12" i="372"/>
  <c r="H12" i="372"/>
  <c r="G41" i="371"/>
  <c r="K41" i="371" s="1"/>
  <c r="I84" i="53"/>
  <c r="J84" i="53"/>
  <c r="K12" i="371"/>
  <c r="M11" i="371"/>
  <c r="J11" i="371"/>
  <c r="S10" i="371"/>
  <c r="L10" i="371"/>
  <c r="D104" i="53"/>
  <c r="C104" i="53"/>
  <c r="B104" i="53"/>
  <c r="E104" i="354" l="1"/>
  <c r="G29" i="377"/>
  <c r="H28" i="377"/>
  <c r="Q28" i="377"/>
  <c r="G21" i="376"/>
  <c r="K20" i="376"/>
  <c r="H20" i="376"/>
  <c r="G21" i="375"/>
  <c r="K20" i="375"/>
  <c r="H20" i="375"/>
  <c r="K84" i="53"/>
  <c r="I46" i="354"/>
  <c r="S16" i="374"/>
  <c r="L16" i="374"/>
  <c r="J17" i="374"/>
  <c r="M17" i="374"/>
  <c r="K18" i="374"/>
  <c r="G14" i="373"/>
  <c r="M13" i="373"/>
  <c r="H13" i="373"/>
  <c r="G14" i="372"/>
  <c r="M13" i="372"/>
  <c r="H13" i="372"/>
  <c r="S11" i="371"/>
  <c r="L11" i="371"/>
  <c r="J12" i="371"/>
  <c r="M12" i="371"/>
  <c r="K13" i="371"/>
  <c r="Q29" i="377" l="1"/>
  <c r="G30" i="377"/>
  <c r="H29" i="377"/>
  <c r="G22" i="376"/>
  <c r="K21" i="376"/>
  <c r="H21" i="376"/>
  <c r="G22" i="375"/>
  <c r="K21" i="375"/>
  <c r="H21" i="375"/>
  <c r="F35" i="318"/>
  <c r="K46" i="354"/>
  <c r="K19" i="374"/>
  <c r="M18" i="374"/>
  <c r="J18" i="374"/>
  <c r="S17" i="374"/>
  <c r="L17" i="374"/>
  <c r="G15" i="373"/>
  <c r="M14" i="373"/>
  <c r="H14" i="373"/>
  <c r="G15" i="372"/>
  <c r="M14" i="372"/>
  <c r="H14" i="372"/>
  <c r="K14" i="371"/>
  <c r="M13" i="371"/>
  <c r="J13" i="371"/>
  <c r="S12" i="371"/>
  <c r="L12" i="371"/>
  <c r="J46" i="370"/>
  <c r="N40" i="370"/>
  <c r="M40" i="370"/>
  <c r="L40" i="370"/>
  <c r="D40" i="370"/>
  <c r="B39" i="370"/>
  <c r="B38" i="370"/>
  <c r="B37" i="370"/>
  <c r="B36" i="370"/>
  <c r="B35" i="370"/>
  <c r="B34" i="370"/>
  <c r="B33" i="370"/>
  <c r="B32" i="370"/>
  <c r="B31" i="370"/>
  <c r="B30" i="370"/>
  <c r="B29" i="370"/>
  <c r="B28" i="370"/>
  <c r="B27" i="370"/>
  <c r="B26" i="370"/>
  <c r="B25" i="370"/>
  <c r="B24" i="370"/>
  <c r="B23" i="370"/>
  <c r="B22" i="370"/>
  <c r="B21" i="370"/>
  <c r="B20" i="370"/>
  <c r="B19" i="370"/>
  <c r="B18" i="370"/>
  <c r="B17" i="370"/>
  <c r="B16" i="370"/>
  <c r="B15" i="370"/>
  <c r="B14" i="370"/>
  <c r="B13" i="370"/>
  <c r="B12" i="370"/>
  <c r="B11" i="370"/>
  <c r="B10" i="370"/>
  <c r="B9" i="370"/>
  <c r="J8" i="370"/>
  <c r="E104" i="53" s="1"/>
  <c r="D8" i="370"/>
  <c r="I5" i="370"/>
  <c r="H5" i="370"/>
  <c r="G5" i="370"/>
  <c r="F5" i="370"/>
  <c r="E5" i="370"/>
  <c r="D5" i="370"/>
  <c r="C5" i="370"/>
  <c r="B5" i="370"/>
  <c r="C4" i="370"/>
  <c r="E56" i="355" l="1"/>
  <c r="F104" i="53"/>
  <c r="G104" i="354"/>
  <c r="F40" i="370"/>
  <c r="H104" i="53" s="1"/>
  <c r="G31" i="377"/>
  <c r="H30" i="377"/>
  <c r="Q30" i="377"/>
  <c r="E40" i="370"/>
  <c r="G104" i="53" s="1"/>
  <c r="G23" i="376"/>
  <c r="K22" i="376"/>
  <c r="H22" i="376"/>
  <c r="G23" i="375"/>
  <c r="K22" i="375"/>
  <c r="H22" i="375"/>
  <c r="G40" i="370"/>
  <c r="G8" i="370" s="1"/>
  <c r="D41" i="370"/>
  <c r="S18" i="374"/>
  <c r="L18" i="374"/>
  <c r="J19" i="374"/>
  <c r="M19" i="374"/>
  <c r="K20" i="374"/>
  <c r="G16" i="373"/>
  <c r="M15" i="373"/>
  <c r="H15" i="373"/>
  <c r="G16" i="372"/>
  <c r="M15" i="372"/>
  <c r="H15" i="372"/>
  <c r="S13" i="371"/>
  <c r="L13" i="371"/>
  <c r="J14" i="371"/>
  <c r="M14" i="371"/>
  <c r="K15" i="371"/>
  <c r="E8" i="370"/>
  <c r="E82" i="53"/>
  <c r="E81" i="53"/>
  <c r="E79" i="53"/>
  <c r="C79" i="53"/>
  <c r="C82" i="53"/>
  <c r="C81" i="53"/>
  <c r="B82" i="53"/>
  <c r="B81" i="53"/>
  <c r="B79" i="53"/>
  <c r="J46" i="369"/>
  <c r="G40" i="369"/>
  <c r="G41" i="369" s="1"/>
  <c r="F40" i="369"/>
  <c r="F41" i="369" s="1"/>
  <c r="E40" i="369"/>
  <c r="G82" i="53" s="1"/>
  <c r="I39" i="369"/>
  <c r="H39" i="369"/>
  <c r="D39" i="369"/>
  <c r="B39" i="369"/>
  <c r="I38" i="369"/>
  <c r="H38" i="369"/>
  <c r="D38" i="369"/>
  <c r="B38" i="369"/>
  <c r="I37" i="369"/>
  <c r="H37" i="369"/>
  <c r="D37" i="369"/>
  <c r="B37" i="369"/>
  <c r="I36" i="369"/>
  <c r="H36" i="369"/>
  <c r="D36" i="369"/>
  <c r="B36" i="369"/>
  <c r="I35" i="369"/>
  <c r="H35" i="369"/>
  <c r="D35" i="369"/>
  <c r="B35" i="369"/>
  <c r="I34" i="369"/>
  <c r="H34" i="369"/>
  <c r="D34" i="369"/>
  <c r="B34" i="369"/>
  <c r="I33" i="369"/>
  <c r="H33" i="369"/>
  <c r="D33" i="369"/>
  <c r="B33" i="369"/>
  <c r="I32" i="369"/>
  <c r="H32" i="369"/>
  <c r="D32" i="369"/>
  <c r="B32" i="369"/>
  <c r="I31" i="369"/>
  <c r="H31" i="369"/>
  <c r="D31" i="369"/>
  <c r="B31" i="369"/>
  <c r="I30" i="369"/>
  <c r="H30" i="369"/>
  <c r="D30" i="369"/>
  <c r="B30" i="369"/>
  <c r="I29" i="369"/>
  <c r="H29" i="369"/>
  <c r="D29" i="369"/>
  <c r="B29" i="369"/>
  <c r="I28" i="369"/>
  <c r="H28" i="369"/>
  <c r="D28" i="369"/>
  <c r="B28" i="369"/>
  <c r="I27" i="369"/>
  <c r="H27" i="369"/>
  <c r="D27" i="369"/>
  <c r="B27" i="369"/>
  <c r="I26" i="369"/>
  <c r="H26" i="369"/>
  <c r="D26" i="369"/>
  <c r="B26" i="369"/>
  <c r="I25" i="369"/>
  <c r="H25" i="369"/>
  <c r="B25" i="369"/>
  <c r="I24" i="369"/>
  <c r="H24" i="369"/>
  <c r="D24" i="369"/>
  <c r="B24" i="369"/>
  <c r="I23" i="369"/>
  <c r="H23" i="369"/>
  <c r="D23" i="369"/>
  <c r="B23" i="369"/>
  <c r="I22" i="369"/>
  <c r="H22" i="369"/>
  <c r="D22" i="369"/>
  <c r="B22" i="369"/>
  <c r="I21" i="369"/>
  <c r="H21" i="369"/>
  <c r="D21" i="369"/>
  <c r="B21" i="369"/>
  <c r="I20" i="369"/>
  <c r="H20" i="369"/>
  <c r="D20" i="369"/>
  <c r="B20" i="369"/>
  <c r="I19" i="369"/>
  <c r="H19" i="369"/>
  <c r="D19" i="369"/>
  <c r="B19" i="369"/>
  <c r="I18" i="369"/>
  <c r="H18" i="369"/>
  <c r="D18" i="369"/>
  <c r="B18" i="369"/>
  <c r="I17" i="369"/>
  <c r="H17" i="369"/>
  <c r="D17" i="369"/>
  <c r="B17" i="369"/>
  <c r="I16" i="369"/>
  <c r="H16" i="369"/>
  <c r="D16" i="369"/>
  <c r="B16" i="369"/>
  <c r="I15" i="369"/>
  <c r="H15" i="369"/>
  <c r="D15" i="369"/>
  <c r="B15" i="369"/>
  <c r="I14" i="369"/>
  <c r="H14" i="369"/>
  <c r="D14" i="369"/>
  <c r="B14" i="369"/>
  <c r="I13" i="369"/>
  <c r="H13" i="369"/>
  <c r="D13" i="369"/>
  <c r="B13" i="369"/>
  <c r="I12" i="369"/>
  <c r="H12" i="369"/>
  <c r="D12" i="369"/>
  <c r="B12" i="369"/>
  <c r="I11" i="369"/>
  <c r="H11" i="369"/>
  <c r="D11" i="369"/>
  <c r="B11" i="369"/>
  <c r="I10" i="369"/>
  <c r="H10" i="369"/>
  <c r="D10" i="369"/>
  <c r="B10" i="369"/>
  <c r="K9" i="369"/>
  <c r="K10" i="369" s="1"/>
  <c r="K11" i="369" s="1"/>
  <c r="M11" i="369" s="1"/>
  <c r="I9" i="369"/>
  <c r="H9" i="369"/>
  <c r="D9" i="369"/>
  <c r="B9" i="369"/>
  <c r="J8" i="369"/>
  <c r="D82" i="53" s="1"/>
  <c r="E8" i="369"/>
  <c r="E41" i="369" s="1"/>
  <c r="I7" i="369"/>
  <c r="K7" i="369" s="1"/>
  <c r="M7" i="369" s="1"/>
  <c r="M5" i="369"/>
  <c r="I5" i="369"/>
  <c r="H5" i="369"/>
  <c r="G5" i="369"/>
  <c r="F5" i="369"/>
  <c r="E5" i="369"/>
  <c r="D5" i="369"/>
  <c r="C5" i="369"/>
  <c r="B5" i="369"/>
  <c r="C4" i="369"/>
  <c r="J46" i="368"/>
  <c r="G40" i="368"/>
  <c r="G41" i="368" s="1"/>
  <c r="F40" i="368"/>
  <c r="F41" i="368" s="1"/>
  <c r="E40" i="368"/>
  <c r="I39" i="368"/>
  <c r="H39" i="368"/>
  <c r="D39" i="368"/>
  <c r="B39" i="368"/>
  <c r="I38" i="368"/>
  <c r="H38" i="368"/>
  <c r="D38" i="368"/>
  <c r="B38" i="368"/>
  <c r="I37" i="368"/>
  <c r="H37" i="368"/>
  <c r="D37" i="368"/>
  <c r="B37" i="368"/>
  <c r="I36" i="368"/>
  <c r="H36" i="368"/>
  <c r="D36" i="368"/>
  <c r="B36" i="368"/>
  <c r="I35" i="368"/>
  <c r="H35" i="368"/>
  <c r="D35" i="368"/>
  <c r="B35" i="368"/>
  <c r="I34" i="368"/>
  <c r="H34" i="368"/>
  <c r="D34" i="368"/>
  <c r="B34" i="368"/>
  <c r="I33" i="368"/>
  <c r="H33" i="368"/>
  <c r="D33" i="368"/>
  <c r="B33" i="368"/>
  <c r="I32" i="368"/>
  <c r="H32" i="368"/>
  <c r="D32" i="368"/>
  <c r="B32" i="368"/>
  <c r="I31" i="368"/>
  <c r="H31" i="368"/>
  <c r="D31" i="368"/>
  <c r="B31" i="368"/>
  <c r="I30" i="368"/>
  <c r="H30" i="368"/>
  <c r="D30" i="368"/>
  <c r="B30" i="368"/>
  <c r="I29" i="368"/>
  <c r="H29" i="368"/>
  <c r="D29" i="368"/>
  <c r="B29" i="368"/>
  <c r="I28" i="368"/>
  <c r="H28" i="368"/>
  <c r="D28" i="368"/>
  <c r="B28" i="368"/>
  <c r="I27" i="368"/>
  <c r="H27" i="368"/>
  <c r="D27" i="368"/>
  <c r="B27" i="368"/>
  <c r="I26" i="368"/>
  <c r="H26" i="368"/>
  <c r="D26" i="368"/>
  <c r="B26" i="368"/>
  <c r="I25" i="368"/>
  <c r="H25" i="368"/>
  <c r="B25" i="368"/>
  <c r="I24" i="368"/>
  <c r="H24" i="368"/>
  <c r="B24" i="368"/>
  <c r="I23" i="368"/>
  <c r="H23" i="368"/>
  <c r="D23" i="368"/>
  <c r="B23" i="368"/>
  <c r="I22" i="368"/>
  <c r="H22" i="368"/>
  <c r="D22" i="368"/>
  <c r="B22" i="368"/>
  <c r="I21" i="368"/>
  <c r="H21" i="368"/>
  <c r="D21" i="368"/>
  <c r="B21" i="368"/>
  <c r="I20" i="368"/>
  <c r="H20" i="368"/>
  <c r="D20" i="368"/>
  <c r="B20" i="368"/>
  <c r="I19" i="368"/>
  <c r="H19" i="368"/>
  <c r="D19" i="368"/>
  <c r="B19" i="368"/>
  <c r="I18" i="368"/>
  <c r="H18" i="368"/>
  <c r="D18" i="368"/>
  <c r="B18" i="368"/>
  <c r="I17" i="368"/>
  <c r="H17" i="368"/>
  <c r="D17" i="368"/>
  <c r="B17" i="368"/>
  <c r="I16" i="368"/>
  <c r="H16" i="368"/>
  <c r="D16" i="368"/>
  <c r="B16" i="368"/>
  <c r="I15" i="368"/>
  <c r="H15" i="368"/>
  <c r="D15" i="368"/>
  <c r="B15" i="368"/>
  <c r="I14" i="368"/>
  <c r="H14" i="368"/>
  <c r="D14" i="368"/>
  <c r="B14" i="368"/>
  <c r="I13" i="368"/>
  <c r="H13" i="368"/>
  <c r="D13" i="368"/>
  <c r="B13" i="368"/>
  <c r="I12" i="368"/>
  <c r="H12" i="368"/>
  <c r="D12" i="368"/>
  <c r="B12" i="368"/>
  <c r="I11" i="368"/>
  <c r="H11" i="368"/>
  <c r="D11" i="368"/>
  <c r="B11" i="368"/>
  <c r="I10" i="368"/>
  <c r="H10" i="368"/>
  <c r="D10" i="368"/>
  <c r="B10" i="368"/>
  <c r="K9" i="368"/>
  <c r="K10" i="368" s="1"/>
  <c r="M10" i="368" s="1"/>
  <c r="I9" i="368"/>
  <c r="H9" i="368"/>
  <c r="D9" i="368"/>
  <c r="B9" i="368"/>
  <c r="J8" i="368"/>
  <c r="J9" i="368" s="1"/>
  <c r="E8" i="368"/>
  <c r="I7" i="368"/>
  <c r="K7" i="368" s="1"/>
  <c r="M7" i="368" s="1"/>
  <c r="M5" i="368"/>
  <c r="I5" i="368"/>
  <c r="H5" i="368"/>
  <c r="G5" i="368"/>
  <c r="F5" i="368"/>
  <c r="E5" i="368"/>
  <c r="D5" i="368"/>
  <c r="C5" i="368"/>
  <c r="B5" i="368"/>
  <c r="C4" i="368"/>
  <c r="J46" i="367"/>
  <c r="G40" i="367"/>
  <c r="G41" i="367" s="1"/>
  <c r="F40" i="367"/>
  <c r="F41" i="367" s="1"/>
  <c r="E40" i="367"/>
  <c r="G79" i="53" s="1"/>
  <c r="I39" i="367"/>
  <c r="H39" i="367"/>
  <c r="D39" i="367"/>
  <c r="B39" i="367"/>
  <c r="I38" i="367"/>
  <c r="H38" i="367"/>
  <c r="D38" i="367"/>
  <c r="B38" i="367"/>
  <c r="I37" i="367"/>
  <c r="H37" i="367"/>
  <c r="D37" i="367"/>
  <c r="B37" i="367"/>
  <c r="I36" i="367"/>
  <c r="H36" i="367"/>
  <c r="D36" i="367"/>
  <c r="B36" i="367"/>
  <c r="I35" i="367"/>
  <c r="H35" i="367"/>
  <c r="D35" i="367"/>
  <c r="B35" i="367"/>
  <c r="I34" i="367"/>
  <c r="H34" i="367"/>
  <c r="D34" i="367"/>
  <c r="B34" i="367"/>
  <c r="I33" i="367"/>
  <c r="H33" i="367"/>
  <c r="D33" i="367"/>
  <c r="B33" i="367"/>
  <c r="I32" i="367"/>
  <c r="H32" i="367"/>
  <c r="D32" i="367"/>
  <c r="B32" i="367"/>
  <c r="I31" i="367"/>
  <c r="H31" i="367"/>
  <c r="D31" i="367"/>
  <c r="B31" i="367"/>
  <c r="I30" i="367"/>
  <c r="H30" i="367"/>
  <c r="D30" i="367"/>
  <c r="B30" i="367"/>
  <c r="I29" i="367"/>
  <c r="H29" i="367"/>
  <c r="D29" i="367"/>
  <c r="B29" i="367"/>
  <c r="I28" i="367"/>
  <c r="H28" i="367"/>
  <c r="D28" i="367"/>
  <c r="B28" i="367"/>
  <c r="I27" i="367"/>
  <c r="H27" i="367"/>
  <c r="D27" i="367"/>
  <c r="B27" i="367"/>
  <c r="I26" i="367"/>
  <c r="H26" i="367"/>
  <c r="B26" i="367"/>
  <c r="I25" i="367"/>
  <c r="H25" i="367"/>
  <c r="B25" i="367"/>
  <c r="I24" i="367"/>
  <c r="H24" i="367"/>
  <c r="B24" i="367"/>
  <c r="I23" i="367"/>
  <c r="H23" i="367"/>
  <c r="D23" i="367"/>
  <c r="B23" i="367"/>
  <c r="I22" i="367"/>
  <c r="H22" i="367"/>
  <c r="D22" i="367"/>
  <c r="B22" i="367"/>
  <c r="I21" i="367"/>
  <c r="H21" i="367"/>
  <c r="D21" i="367"/>
  <c r="B21" i="367"/>
  <c r="I20" i="367"/>
  <c r="H20" i="367"/>
  <c r="D20" i="367"/>
  <c r="B20" i="367"/>
  <c r="I19" i="367"/>
  <c r="H19" i="367"/>
  <c r="D19" i="367"/>
  <c r="B19" i="367"/>
  <c r="I18" i="367"/>
  <c r="H18" i="367"/>
  <c r="D18" i="367"/>
  <c r="B18" i="367"/>
  <c r="I17" i="367"/>
  <c r="H17" i="367"/>
  <c r="D17" i="367"/>
  <c r="B17" i="367"/>
  <c r="I16" i="367"/>
  <c r="H16" i="367"/>
  <c r="D16" i="367"/>
  <c r="B16" i="367"/>
  <c r="I15" i="367"/>
  <c r="H15" i="367"/>
  <c r="D15" i="367"/>
  <c r="B15" i="367"/>
  <c r="I14" i="367"/>
  <c r="H14" i="367"/>
  <c r="D14" i="367"/>
  <c r="B14" i="367"/>
  <c r="I13" i="367"/>
  <c r="H13" i="367"/>
  <c r="D13" i="367"/>
  <c r="B13" i="367"/>
  <c r="I12" i="367"/>
  <c r="H12" i="367"/>
  <c r="D12" i="367"/>
  <c r="B12" i="367"/>
  <c r="I11" i="367"/>
  <c r="H11" i="367"/>
  <c r="D11" i="367"/>
  <c r="B11" i="367"/>
  <c r="I10" i="367"/>
  <c r="H10" i="367"/>
  <c r="D10" i="367"/>
  <c r="B10" i="367"/>
  <c r="K9" i="367"/>
  <c r="I9" i="367"/>
  <c r="H9" i="367"/>
  <c r="D9" i="367"/>
  <c r="B9" i="367"/>
  <c r="J8" i="367"/>
  <c r="D8" i="367" s="1"/>
  <c r="E8" i="367"/>
  <c r="I7" i="367"/>
  <c r="K7" i="367" s="1"/>
  <c r="M7" i="367" s="1"/>
  <c r="I5" i="367"/>
  <c r="H5" i="367"/>
  <c r="G5" i="367"/>
  <c r="F5" i="367"/>
  <c r="E5" i="367"/>
  <c r="D5" i="367"/>
  <c r="C5" i="367"/>
  <c r="B5" i="367"/>
  <c r="C4" i="367"/>
  <c r="D8" i="369" l="1"/>
  <c r="F56" i="355"/>
  <c r="G45" i="354"/>
  <c r="E15" i="354"/>
  <c r="G60" i="354"/>
  <c r="E45" i="354"/>
  <c r="E60" i="354"/>
  <c r="I104" i="354"/>
  <c r="L104" i="354" s="1"/>
  <c r="E41" i="367"/>
  <c r="K41" i="367" s="1"/>
  <c r="J9" i="369"/>
  <c r="J10" i="369" s="1"/>
  <c r="S10" i="369" s="1"/>
  <c r="D8" i="368"/>
  <c r="M9" i="367"/>
  <c r="K41" i="369"/>
  <c r="F8" i="370"/>
  <c r="E41" i="370"/>
  <c r="M9" i="369"/>
  <c r="J10" i="368"/>
  <c r="J11" i="368" s="1"/>
  <c r="L11" i="368" s="1"/>
  <c r="J9" i="367"/>
  <c r="J10" i="367" s="1"/>
  <c r="S10" i="367" s="1"/>
  <c r="F41" i="370"/>
  <c r="I41" i="370" s="1"/>
  <c r="J104" i="53"/>
  <c r="Q31" i="377"/>
  <c r="G32" i="377"/>
  <c r="H31" i="377"/>
  <c r="D40" i="369"/>
  <c r="F82" i="53" s="1"/>
  <c r="E41" i="368"/>
  <c r="K41" i="368" s="1"/>
  <c r="I81" i="53"/>
  <c r="I79" i="53"/>
  <c r="G24" i="376"/>
  <c r="K23" i="376"/>
  <c r="H23" i="376"/>
  <c r="G24" i="375"/>
  <c r="K23" i="375"/>
  <c r="H23" i="375"/>
  <c r="G41" i="370"/>
  <c r="I104" i="53"/>
  <c r="K104" i="53" s="1"/>
  <c r="K21" i="374"/>
  <c r="M20" i="374"/>
  <c r="J20" i="374"/>
  <c r="L19" i="374"/>
  <c r="S19" i="374"/>
  <c r="G17" i="373"/>
  <c r="M16" i="373"/>
  <c r="H16" i="373"/>
  <c r="G17" i="372"/>
  <c r="M16" i="372"/>
  <c r="H16" i="372"/>
  <c r="K16" i="371"/>
  <c r="M15" i="371"/>
  <c r="J15" i="371"/>
  <c r="S14" i="371"/>
  <c r="L14" i="371"/>
  <c r="I82" i="53"/>
  <c r="H82" i="53"/>
  <c r="H79" i="53"/>
  <c r="H81" i="53"/>
  <c r="G81" i="53"/>
  <c r="D81" i="53"/>
  <c r="D79" i="53"/>
  <c r="K10" i="367"/>
  <c r="K11" i="367" s="1"/>
  <c r="M11" i="367" s="1"/>
  <c r="D40" i="367"/>
  <c r="M10" i="369"/>
  <c r="K12" i="369"/>
  <c r="S9" i="368"/>
  <c r="L9" i="368"/>
  <c r="D40" i="368"/>
  <c r="M9" i="368"/>
  <c r="K11" i="368"/>
  <c r="K38" i="370" l="1"/>
  <c r="K36" i="370"/>
  <c r="K34" i="370"/>
  <c r="K32" i="370"/>
  <c r="K30" i="370"/>
  <c r="K28" i="370"/>
  <c r="K26" i="370"/>
  <c r="K24" i="370"/>
  <c r="K22" i="370"/>
  <c r="K20" i="370"/>
  <c r="K18" i="370"/>
  <c r="K16" i="370"/>
  <c r="K14" i="370"/>
  <c r="K12" i="370"/>
  <c r="K10" i="370"/>
  <c r="K39" i="370"/>
  <c r="K37" i="370"/>
  <c r="K35" i="370"/>
  <c r="K31" i="370"/>
  <c r="K27" i="370"/>
  <c r="K23" i="370"/>
  <c r="K19" i="370"/>
  <c r="K15" i="370"/>
  <c r="K11" i="370"/>
  <c r="K33" i="370"/>
  <c r="K29" i="370"/>
  <c r="K25" i="370"/>
  <c r="K21" i="370"/>
  <c r="K17" i="370"/>
  <c r="K13" i="370"/>
  <c r="K81" i="53"/>
  <c r="G56" i="355"/>
  <c r="H56" i="355"/>
  <c r="L10" i="369"/>
  <c r="K104" i="354"/>
  <c r="H45" i="354"/>
  <c r="E21" i="318" s="1"/>
  <c r="I15" i="354"/>
  <c r="F13" i="318" s="1"/>
  <c r="H15" i="354"/>
  <c r="E13" i="318" s="1"/>
  <c r="I45" i="354"/>
  <c r="F21" i="318" s="1"/>
  <c r="J11" i="369"/>
  <c r="L11" i="369" s="1"/>
  <c r="J41" i="370"/>
  <c r="S9" i="369"/>
  <c r="L9" i="369"/>
  <c r="S10" i="368"/>
  <c r="S11" i="368"/>
  <c r="J12" i="368"/>
  <c r="S12" i="368" s="1"/>
  <c r="L10" i="368"/>
  <c r="J11" i="367"/>
  <c r="J12" i="367" s="1"/>
  <c r="M10" i="367"/>
  <c r="L10" i="367"/>
  <c r="S9" i="367"/>
  <c r="L9" i="367"/>
  <c r="G33" i="377"/>
  <c r="H32" i="377"/>
  <c r="Q32" i="377"/>
  <c r="K79" i="53"/>
  <c r="D41" i="369"/>
  <c r="J41" i="369" s="1"/>
  <c r="G25" i="376"/>
  <c r="K24" i="376"/>
  <c r="H24" i="376"/>
  <c r="G25" i="375"/>
  <c r="K24" i="375"/>
  <c r="H24" i="375"/>
  <c r="J82" i="53"/>
  <c r="H60" i="354"/>
  <c r="E23" i="318" s="1"/>
  <c r="K82" i="53"/>
  <c r="I60" i="354"/>
  <c r="G15" i="354"/>
  <c r="S20" i="374"/>
  <c r="L20" i="374"/>
  <c r="J21" i="374"/>
  <c r="M21" i="374"/>
  <c r="K22" i="374"/>
  <c r="G18" i="373"/>
  <c r="M17" i="373"/>
  <c r="H17" i="373"/>
  <c r="G18" i="372"/>
  <c r="M17" i="372"/>
  <c r="H17" i="372"/>
  <c r="S15" i="371"/>
  <c r="L15" i="371"/>
  <c r="J16" i="371"/>
  <c r="K17" i="371"/>
  <c r="M16" i="371"/>
  <c r="D41" i="368"/>
  <c r="J41" i="368" s="1"/>
  <c r="F81" i="53"/>
  <c r="J81" i="53" s="1"/>
  <c r="K12" i="367"/>
  <c r="K13" i="367" s="1"/>
  <c r="D41" i="367"/>
  <c r="J41" i="367" s="1"/>
  <c r="F79" i="53"/>
  <c r="J79" i="53" s="1"/>
  <c r="K13" i="369"/>
  <c r="M12" i="369"/>
  <c r="J12" i="369"/>
  <c r="K12" i="368"/>
  <c r="M11" i="368"/>
  <c r="J13" i="368" l="1"/>
  <c r="S13" i="368" s="1"/>
  <c r="E112" i="355"/>
  <c r="K15" i="354"/>
  <c r="K45" i="354"/>
  <c r="S11" i="369"/>
  <c r="L11" i="367"/>
  <c r="S11" i="367"/>
  <c r="L12" i="368"/>
  <c r="M12" i="367"/>
  <c r="Q33" i="377"/>
  <c r="G34" i="377"/>
  <c r="H33" i="377"/>
  <c r="G26" i="376"/>
  <c r="K25" i="376"/>
  <c r="H25" i="376"/>
  <c r="G26" i="375"/>
  <c r="K25" i="375"/>
  <c r="H25" i="375"/>
  <c r="F23" i="318"/>
  <c r="K60" i="354"/>
  <c r="M22" i="374"/>
  <c r="K23" i="374"/>
  <c r="J22" i="374"/>
  <c r="S21" i="374"/>
  <c r="L21" i="374"/>
  <c r="G19" i="373"/>
  <c r="M18" i="373"/>
  <c r="H18" i="373"/>
  <c r="G19" i="372"/>
  <c r="M18" i="372"/>
  <c r="H18" i="372"/>
  <c r="M17" i="371"/>
  <c r="K18" i="371"/>
  <c r="S16" i="371"/>
  <c r="L16" i="371"/>
  <c r="J17" i="371"/>
  <c r="S12" i="369"/>
  <c r="L12" i="369"/>
  <c r="J13" i="369"/>
  <c r="M13" i="369"/>
  <c r="K14" i="369"/>
  <c r="M12" i="368"/>
  <c r="K13" i="368"/>
  <c r="S12" i="367"/>
  <c r="L12" i="367"/>
  <c r="J13" i="367"/>
  <c r="M13" i="367"/>
  <c r="K14" i="367"/>
  <c r="J14" i="368" l="1"/>
  <c r="L14" i="368" s="1"/>
  <c r="L13" i="368"/>
  <c r="E70" i="355"/>
  <c r="E55" i="355"/>
  <c r="H55" i="355" s="1"/>
  <c r="E25" i="355"/>
  <c r="G66" i="355"/>
  <c r="G25" i="355"/>
  <c r="G81" i="355"/>
  <c r="G35" i="377"/>
  <c r="H34" i="377"/>
  <c r="Q34" i="377"/>
  <c r="G27" i="376"/>
  <c r="K26" i="376"/>
  <c r="H26" i="376"/>
  <c r="G27" i="375"/>
  <c r="K26" i="375"/>
  <c r="H26" i="375"/>
  <c r="K24" i="374"/>
  <c r="M23" i="374"/>
  <c r="J23" i="374"/>
  <c r="S22" i="374"/>
  <c r="L22" i="374"/>
  <c r="G20" i="373"/>
  <c r="M19" i="373"/>
  <c r="H19" i="373"/>
  <c r="G20" i="372"/>
  <c r="M19" i="372"/>
  <c r="H19" i="372"/>
  <c r="K19" i="371"/>
  <c r="M18" i="371"/>
  <c r="J18" i="371"/>
  <c r="S17" i="371"/>
  <c r="L17" i="371"/>
  <c r="K15" i="369"/>
  <c r="M14" i="369"/>
  <c r="J14" i="369"/>
  <c r="S13" i="369"/>
  <c r="L13" i="369"/>
  <c r="K14" i="368"/>
  <c r="M13" i="368"/>
  <c r="J15" i="368"/>
  <c r="K15" i="367"/>
  <c r="M14" i="367"/>
  <c r="J14" i="367"/>
  <c r="S13" i="367"/>
  <c r="L13" i="367"/>
  <c r="S14" i="368" l="1"/>
  <c r="G55" i="355"/>
  <c r="H70" i="355"/>
  <c r="Q35" i="377"/>
  <c r="G36" i="377"/>
  <c r="H35" i="377"/>
  <c r="G28" i="376"/>
  <c r="K27" i="376"/>
  <c r="H27" i="376"/>
  <c r="G28" i="375"/>
  <c r="K27" i="375"/>
  <c r="H27" i="375"/>
  <c r="S23" i="374"/>
  <c r="L23" i="374"/>
  <c r="J24" i="374"/>
  <c r="K25" i="374"/>
  <c r="M24" i="374"/>
  <c r="G21" i="373"/>
  <c r="M20" i="373"/>
  <c r="H20" i="373"/>
  <c r="G21" i="372"/>
  <c r="M20" i="372"/>
  <c r="H20" i="372"/>
  <c r="S18" i="371"/>
  <c r="L18" i="371"/>
  <c r="J19" i="371"/>
  <c r="M19" i="371"/>
  <c r="K20" i="371"/>
  <c r="S14" i="369"/>
  <c r="L14" i="369"/>
  <c r="J15" i="369"/>
  <c r="M15" i="369"/>
  <c r="K16" i="369"/>
  <c r="S15" i="368"/>
  <c r="L15" i="368"/>
  <c r="J16" i="368"/>
  <c r="M14" i="368"/>
  <c r="K15" i="368"/>
  <c r="S14" i="367"/>
  <c r="L14" i="367"/>
  <c r="J15" i="367"/>
  <c r="M15" i="367"/>
  <c r="K16" i="367"/>
  <c r="G37" i="377" l="1"/>
  <c r="H36" i="377"/>
  <c r="Q36" i="377"/>
  <c r="G29" i="376"/>
  <c r="K28" i="376"/>
  <c r="H28" i="376"/>
  <c r="G29" i="375"/>
  <c r="K28" i="375"/>
  <c r="H28" i="375"/>
  <c r="M25" i="374"/>
  <c r="K26" i="374"/>
  <c r="L24" i="374"/>
  <c r="J25" i="374"/>
  <c r="S24" i="374"/>
  <c r="G22" i="373"/>
  <c r="M21" i="373"/>
  <c r="H21" i="373"/>
  <c r="G22" i="372"/>
  <c r="M21" i="372"/>
  <c r="H21" i="372"/>
  <c r="K21" i="371"/>
  <c r="M20" i="371"/>
  <c r="J20" i="371"/>
  <c r="L19" i="371"/>
  <c r="S19" i="371"/>
  <c r="K17" i="369"/>
  <c r="M16" i="369"/>
  <c r="J16" i="369"/>
  <c r="L15" i="369"/>
  <c r="S15" i="369"/>
  <c r="K16" i="368"/>
  <c r="M15" i="368"/>
  <c r="J17" i="368"/>
  <c r="S16" i="368"/>
  <c r="L16" i="368"/>
  <c r="K17" i="367"/>
  <c r="M16" i="367"/>
  <c r="J16" i="367"/>
  <c r="L15" i="367"/>
  <c r="S15" i="367"/>
  <c r="Q37" i="377" l="1"/>
  <c r="G38" i="377"/>
  <c r="H37" i="377"/>
  <c r="G30" i="376"/>
  <c r="K29" i="376"/>
  <c r="H29" i="376"/>
  <c r="G30" i="375"/>
  <c r="K29" i="375"/>
  <c r="H29" i="375"/>
  <c r="J26" i="374"/>
  <c r="L25" i="374"/>
  <c r="S25" i="374"/>
  <c r="K27" i="374"/>
  <c r="M26" i="374"/>
  <c r="G23" i="373"/>
  <c r="M22" i="373"/>
  <c r="H22" i="373"/>
  <c r="G23" i="372"/>
  <c r="M22" i="372"/>
  <c r="H22" i="372"/>
  <c r="S20" i="371"/>
  <c r="L20" i="371"/>
  <c r="J21" i="371"/>
  <c r="M21" i="371"/>
  <c r="K22" i="371"/>
  <c r="S16" i="369"/>
  <c r="L16" i="369"/>
  <c r="J17" i="369"/>
  <c r="M17" i="369"/>
  <c r="K18" i="369"/>
  <c r="S17" i="368"/>
  <c r="L17" i="368"/>
  <c r="J18" i="368"/>
  <c r="M16" i="368"/>
  <c r="K17" i="368"/>
  <c r="S16" i="367"/>
  <c r="L16" i="367"/>
  <c r="J17" i="367"/>
  <c r="M17" i="367"/>
  <c r="K18" i="367"/>
  <c r="G39" i="377" l="1"/>
  <c r="H38" i="377"/>
  <c r="Q38" i="377"/>
  <c r="G31" i="376"/>
  <c r="K30" i="376"/>
  <c r="H30" i="376"/>
  <c r="G31" i="375"/>
  <c r="K30" i="375"/>
  <c r="H30" i="375"/>
  <c r="M27" i="374"/>
  <c r="K28" i="374"/>
  <c r="S26" i="374"/>
  <c r="L26" i="374"/>
  <c r="J27" i="374"/>
  <c r="G24" i="373"/>
  <c r="M23" i="373"/>
  <c r="H23" i="373"/>
  <c r="G24" i="372"/>
  <c r="M23" i="372"/>
  <c r="H23" i="372"/>
  <c r="K23" i="371"/>
  <c r="M22" i="371"/>
  <c r="J22" i="371"/>
  <c r="S21" i="371"/>
  <c r="L21" i="371"/>
  <c r="K19" i="369"/>
  <c r="M18" i="369"/>
  <c r="J18" i="369"/>
  <c r="S17" i="369"/>
  <c r="L17" i="369"/>
  <c r="K18" i="368"/>
  <c r="M17" i="368"/>
  <c r="J19" i="368"/>
  <c r="L18" i="368"/>
  <c r="S18" i="368"/>
  <c r="K19" i="367"/>
  <c r="M18" i="367"/>
  <c r="J18" i="367"/>
  <c r="S17" i="367"/>
  <c r="L17" i="367"/>
  <c r="Q39" i="377" l="1"/>
  <c r="G40" i="377"/>
  <c r="H39" i="377"/>
  <c r="G32" i="376"/>
  <c r="K31" i="376"/>
  <c r="H31" i="376"/>
  <c r="G32" i="375"/>
  <c r="K31" i="375"/>
  <c r="H31" i="375"/>
  <c r="K29" i="374"/>
  <c r="M28" i="374"/>
  <c r="J28" i="374"/>
  <c r="S27" i="374"/>
  <c r="L27" i="374"/>
  <c r="G25" i="373"/>
  <c r="M24" i="373"/>
  <c r="H24" i="373"/>
  <c r="G25" i="372"/>
  <c r="M24" i="372"/>
  <c r="H24" i="372"/>
  <c r="S22" i="371"/>
  <c r="L22" i="371"/>
  <c r="J23" i="371"/>
  <c r="M23" i="371"/>
  <c r="K24" i="371"/>
  <c r="S18" i="369"/>
  <c r="L18" i="369"/>
  <c r="J19" i="369"/>
  <c r="M19" i="369"/>
  <c r="K20" i="369"/>
  <c r="S19" i="368"/>
  <c r="L19" i="368"/>
  <c r="J20" i="368"/>
  <c r="M18" i="368"/>
  <c r="K19" i="368"/>
  <c r="S18" i="367"/>
  <c r="L18" i="367"/>
  <c r="J19" i="367"/>
  <c r="M19" i="367"/>
  <c r="K20" i="367"/>
  <c r="G33" i="376" l="1"/>
  <c r="K32" i="376"/>
  <c r="H32" i="376"/>
  <c r="G33" i="375"/>
  <c r="K32" i="375"/>
  <c r="H32" i="375"/>
  <c r="S28" i="374"/>
  <c r="L28" i="374"/>
  <c r="J29" i="374"/>
  <c r="M29" i="374"/>
  <c r="K30" i="374"/>
  <c r="G26" i="373"/>
  <c r="M25" i="373"/>
  <c r="H25" i="373"/>
  <c r="G26" i="372"/>
  <c r="M25" i="372"/>
  <c r="H25" i="372"/>
  <c r="M24" i="371"/>
  <c r="K25" i="371"/>
  <c r="J24" i="371"/>
  <c r="L23" i="371"/>
  <c r="S23" i="371"/>
  <c r="K21" i="369"/>
  <c r="M20" i="369"/>
  <c r="J20" i="369"/>
  <c r="L19" i="369"/>
  <c r="S19" i="369"/>
  <c r="K20" i="368"/>
  <c r="M19" i="368"/>
  <c r="J21" i="368"/>
  <c r="S20" i="368"/>
  <c r="L20" i="368"/>
  <c r="K21" i="367"/>
  <c r="M20" i="367"/>
  <c r="J20" i="367"/>
  <c r="L19" i="367"/>
  <c r="S19" i="367"/>
  <c r="G34" i="376" l="1"/>
  <c r="K33" i="376"/>
  <c r="H33" i="376"/>
  <c r="G34" i="375"/>
  <c r="K33" i="375"/>
  <c r="H33" i="375"/>
  <c r="K31" i="374"/>
  <c r="M30" i="374"/>
  <c r="J30" i="374"/>
  <c r="L29" i="374"/>
  <c r="S29" i="374"/>
  <c r="G27" i="373"/>
  <c r="M26" i="373"/>
  <c r="H26" i="373"/>
  <c r="G27" i="372"/>
  <c r="M26" i="372"/>
  <c r="H26" i="372"/>
  <c r="K26" i="371"/>
  <c r="M25" i="371"/>
  <c r="J25" i="371"/>
  <c r="S24" i="371"/>
  <c r="L24" i="371"/>
  <c r="S20" i="369"/>
  <c r="L20" i="369"/>
  <c r="J21" i="369"/>
  <c r="M21" i="369"/>
  <c r="K22" i="369"/>
  <c r="S21" i="368"/>
  <c r="L21" i="368"/>
  <c r="J22" i="368"/>
  <c r="M20" i="368"/>
  <c r="K21" i="368"/>
  <c r="S20" i="367"/>
  <c r="L20" i="367"/>
  <c r="J21" i="367"/>
  <c r="M21" i="367"/>
  <c r="K22" i="367"/>
  <c r="G35" i="376" l="1"/>
  <c r="K34" i="376"/>
  <c r="H34" i="376"/>
  <c r="G35" i="375"/>
  <c r="K34" i="375"/>
  <c r="H34" i="375"/>
  <c r="S30" i="374"/>
  <c r="L30" i="374"/>
  <c r="J31" i="374"/>
  <c r="M31" i="374"/>
  <c r="K32" i="374"/>
  <c r="G28" i="373"/>
  <c r="M27" i="373"/>
  <c r="H27" i="373"/>
  <c r="G28" i="372"/>
  <c r="M27" i="372"/>
  <c r="H27" i="372"/>
  <c r="J26" i="371"/>
  <c r="S25" i="371"/>
  <c r="L25" i="371"/>
  <c r="K27" i="371"/>
  <c r="M26" i="371"/>
  <c r="K23" i="369"/>
  <c r="M22" i="369"/>
  <c r="J22" i="369"/>
  <c r="S21" i="369"/>
  <c r="L21" i="369"/>
  <c r="K22" i="368"/>
  <c r="M21" i="368"/>
  <c r="J23" i="368"/>
  <c r="L22" i="368"/>
  <c r="S22" i="368"/>
  <c r="K23" i="367"/>
  <c r="M22" i="367"/>
  <c r="J22" i="367"/>
  <c r="S21" i="367"/>
  <c r="L21" i="367"/>
  <c r="G36" i="376" l="1"/>
  <c r="K35" i="376"/>
  <c r="H35" i="376"/>
  <c r="G36" i="375"/>
  <c r="K35" i="375"/>
  <c r="H35" i="375"/>
  <c r="K33" i="374"/>
  <c r="M32" i="374"/>
  <c r="J32" i="374"/>
  <c r="S31" i="374"/>
  <c r="L31" i="374"/>
  <c r="G29" i="373"/>
  <c r="M28" i="373"/>
  <c r="H28" i="373"/>
  <c r="G29" i="372"/>
  <c r="M28" i="372"/>
  <c r="H28" i="372"/>
  <c r="M27" i="371"/>
  <c r="K28" i="371"/>
  <c r="S26" i="371"/>
  <c r="L26" i="371"/>
  <c r="J27" i="371"/>
  <c r="S22" i="369"/>
  <c r="L22" i="369"/>
  <c r="J23" i="369"/>
  <c r="M23" i="369"/>
  <c r="K24" i="369"/>
  <c r="S23" i="368"/>
  <c r="L23" i="368"/>
  <c r="J24" i="368"/>
  <c r="M22" i="368"/>
  <c r="K23" i="368"/>
  <c r="S22" i="367"/>
  <c r="L22" i="367"/>
  <c r="J23" i="367"/>
  <c r="M23" i="367"/>
  <c r="K24" i="367"/>
  <c r="E71" i="53"/>
  <c r="C71" i="53"/>
  <c r="B71" i="53"/>
  <c r="J46" i="366"/>
  <c r="G40" i="366"/>
  <c r="G41" i="366" s="1"/>
  <c r="F40" i="366"/>
  <c r="F41" i="366" s="1"/>
  <c r="E40" i="366"/>
  <c r="G71" i="53" s="1"/>
  <c r="I39" i="366"/>
  <c r="H39" i="366"/>
  <c r="D39" i="366"/>
  <c r="B39" i="366"/>
  <c r="I38" i="366"/>
  <c r="H38" i="366"/>
  <c r="D38" i="366"/>
  <c r="B38" i="366"/>
  <c r="I37" i="366"/>
  <c r="H37" i="366"/>
  <c r="D37" i="366"/>
  <c r="B37" i="366"/>
  <c r="I36" i="366"/>
  <c r="H36" i="366"/>
  <c r="D36" i="366"/>
  <c r="B36" i="366"/>
  <c r="I35" i="366"/>
  <c r="H35" i="366"/>
  <c r="D35" i="366"/>
  <c r="B35" i="366"/>
  <c r="I34" i="366"/>
  <c r="H34" i="366"/>
  <c r="D34" i="366"/>
  <c r="B34" i="366"/>
  <c r="I33" i="366"/>
  <c r="H33" i="366"/>
  <c r="D33" i="366"/>
  <c r="B33" i="366"/>
  <c r="I32" i="366"/>
  <c r="H32" i="366"/>
  <c r="D32" i="366"/>
  <c r="B32" i="366"/>
  <c r="I31" i="366"/>
  <c r="H31" i="366"/>
  <c r="D31" i="366"/>
  <c r="B31" i="366"/>
  <c r="I30" i="366"/>
  <c r="H30" i="366"/>
  <c r="D30" i="366"/>
  <c r="B30" i="366"/>
  <c r="I29" i="366"/>
  <c r="H29" i="366"/>
  <c r="D29" i="366"/>
  <c r="B29" i="366"/>
  <c r="I28" i="366"/>
  <c r="H28" i="366"/>
  <c r="D28" i="366"/>
  <c r="B28" i="366"/>
  <c r="I27" i="366"/>
  <c r="H27" i="366"/>
  <c r="D27" i="366"/>
  <c r="B27" i="366"/>
  <c r="I26" i="366"/>
  <c r="H26" i="366"/>
  <c r="D26" i="366"/>
  <c r="B26" i="366"/>
  <c r="I25" i="366"/>
  <c r="H25" i="366"/>
  <c r="B25" i="366"/>
  <c r="I24" i="366"/>
  <c r="H24" i="366"/>
  <c r="D24" i="366"/>
  <c r="B24" i="366"/>
  <c r="I23" i="366"/>
  <c r="H23" i="366"/>
  <c r="D23" i="366"/>
  <c r="B23" i="366"/>
  <c r="I22" i="366"/>
  <c r="H22" i="366"/>
  <c r="D22" i="366"/>
  <c r="B22" i="366"/>
  <c r="I21" i="366"/>
  <c r="H21" i="366"/>
  <c r="D21" i="366"/>
  <c r="B21" i="366"/>
  <c r="I20" i="366"/>
  <c r="H20" i="366"/>
  <c r="D20" i="366"/>
  <c r="B20" i="366"/>
  <c r="I19" i="366"/>
  <c r="H19" i="366"/>
  <c r="D19" i="366"/>
  <c r="B19" i="366"/>
  <c r="I18" i="366"/>
  <c r="H18" i="366"/>
  <c r="D18" i="366"/>
  <c r="B18" i="366"/>
  <c r="I17" i="366"/>
  <c r="H17" i="366"/>
  <c r="D17" i="366"/>
  <c r="B17" i="366"/>
  <c r="I16" i="366"/>
  <c r="H16" i="366"/>
  <c r="D16" i="366"/>
  <c r="B16" i="366"/>
  <c r="I15" i="366"/>
  <c r="H15" i="366"/>
  <c r="D15" i="366"/>
  <c r="B15" i="366"/>
  <c r="I14" i="366"/>
  <c r="H14" i="366"/>
  <c r="D14" i="366"/>
  <c r="B14" i="366"/>
  <c r="I13" i="366"/>
  <c r="H13" i="366"/>
  <c r="D13" i="366"/>
  <c r="B13" i="366"/>
  <c r="I12" i="366"/>
  <c r="H12" i="366"/>
  <c r="D12" i="366"/>
  <c r="B12" i="366"/>
  <c r="I11" i="366"/>
  <c r="H11" i="366"/>
  <c r="D11" i="366"/>
  <c r="B11" i="366"/>
  <c r="I10" i="366"/>
  <c r="H10" i="366"/>
  <c r="D10" i="366"/>
  <c r="B10" i="366"/>
  <c r="K9" i="366"/>
  <c r="I9" i="366"/>
  <c r="H9" i="366"/>
  <c r="D9" i="366"/>
  <c r="B9" i="366"/>
  <c r="J8" i="366"/>
  <c r="D71" i="53" s="1"/>
  <c r="E8" i="366"/>
  <c r="E41" i="366" s="1"/>
  <c r="K41" i="366" s="1"/>
  <c r="I7" i="366"/>
  <c r="K7" i="366" s="1"/>
  <c r="M7" i="366" s="1"/>
  <c r="M5" i="366"/>
  <c r="I5" i="366"/>
  <c r="H5" i="366"/>
  <c r="G5" i="366"/>
  <c r="F5" i="366"/>
  <c r="E5" i="366"/>
  <c r="D5" i="366"/>
  <c r="C5" i="366"/>
  <c r="B5" i="366"/>
  <c r="C4" i="366"/>
  <c r="G59" i="354" l="1"/>
  <c r="E59" i="354"/>
  <c r="D8" i="366"/>
  <c r="M9" i="366"/>
  <c r="D40" i="366"/>
  <c r="F71" i="53" s="1"/>
  <c r="I71" i="53"/>
  <c r="G37" i="376"/>
  <c r="K36" i="376"/>
  <c r="H36" i="376"/>
  <c r="G37" i="375"/>
  <c r="K36" i="375"/>
  <c r="H36" i="375"/>
  <c r="S32" i="374"/>
  <c r="L32" i="374"/>
  <c r="J33" i="374"/>
  <c r="M33" i="374"/>
  <c r="K34" i="374"/>
  <c r="G30" i="373"/>
  <c r="M29" i="373"/>
  <c r="H29" i="373"/>
  <c r="G30" i="372"/>
  <c r="M29" i="372"/>
  <c r="H29" i="372"/>
  <c r="K29" i="371"/>
  <c r="M28" i="371"/>
  <c r="J28" i="371"/>
  <c r="S27" i="371"/>
  <c r="L27" i="371"/>
  <c r="H71" i="53"/>
  <c r="K25" i="369"/>
  <c r="M24" i="369"/>
  <c r="J24" i="369"/>
  <c r="L23" i="369"/>
  <c r="S23" i="369"/>
  <c r="K24" i="368"/>
  <c r="M23" i="368"/>
  <c r="J25" i="368"/>
  <c r="S24" i="368"/>
  <c r="L24" i="368"/>
  <c r="K25" i="367"/>
  <c r="M24" i="367"/>
  <c r="J24" i="367"/>
  <c r="L23" i="367"/>
  <c r="S23" i="367"/>
  <c r="J9" i="366"/>
  <c r="J10" i="366" s="1"/>
  <c r="S10" i="366" s="1"/>
  <c r="K10" i="366"/>
  <c r="K11" i="366" s="1"/>
  <c r="M11" i="366" s="1"/>
  <c r="H59" i="354" l="1"/>
  <c r="E22" i="318" s="1"/>
  <c r="I59" i="354"/>
  <c r="F22" i="318" s="1"/>
  <c r="D41" i="366"/>
  <c r="J41" i="366" s="1"/>
  <c r="M10" i="366"/>
  <c r="K71" i="53"/>
  <c r="J11" i="366"/>
  <c r="L11" i="366" s="1"/>
  <c r="K12" i="366"/>
  <c r="M12" i="366" s="1"/>
  <c r="G38" i="376"/>
  <c r="K37" i="376"/>
  <c r="H37" i="376"/>
  <c r="G38" i="375"/>
  <c r="K37" i="375"/>
  <c r="H37" i="375"/>
  <c r="K35" i="374"/>
  <c r="M34" i="374"/>
  <c r="J34" i="374"/>
  <c r="L33" i="374"/>
  <c r="S33" i="374"/>
  <c r="G31" i="373"/>
  <c r="M30" i="373"/>
  <c r="H30" i="373"/>
  <c r="G31" i="372"/>
  <c r="M30" i="372"/>
  <c r="H30" i="372"/>
  <c r="S28" i="371"/>
  <c r="L28" i="371"/>
  <c r="J29" i="371"/>
  <c r="M29" i="371"/>
  <c r="K30" i="371"/>
  <c r="J71" i="53"/>
  <c r="L71" i="53"/>
  <c r="J25" i="369"/>
  <c r="S24" i="369"/>
  <c r="L24" i="369"/>
  <c r="K26" i="369"/>
  <c r="M25" i="369"/>
  <c r="J26" i="368"/>
  <c r="S25" i="368"/>
  <c r="L25" i="368"/>
  <c r="K25" i="368"/>
  <c r="M24" i="368"/>
  <c r="J25" i="367"/>
  <c r="S24" i="367"/>
  <c r="L24" i="367"/>
  <c r="K26" i="367"/>
  <c r="M25" i="367"/>
  <c r="L10" i="366"/>
  <c r="S9" i="366"/>
  <c r="L9" i="366"/>
  <c r="K13" i="366" l="1"/>
  <c r="M13" i="366" s="1"/>
  <c r="K59" i="354"/>
  <c r="S11" i="366"/>
  <c r="J12" i="366"/>
  <c r="L12" i="366" s="1"/>
  <c r="G39" i="376"/>
  <c r="K38" i="376"/>
  <c r="H38" i="376"/>
  <c r="G39" i="375"/>
  <c r="K38" i="375"/>
  <c r="H38" i="375"/>
  <c r="S34" i="374"/>
  <c r="L34" i="374"/>
  <c r="J35" i="374"/>
  <c r="M35" i="374"/>
  <c r="K36" i="374"/>
  <c r="M71" i="53"/>
  <c r="G32" i="373"/>
  <c r="M31" i="373"/>
  <c r="H31" i="373"/>
  <c r="G32" i="372"/>
  <c r="M31" i="372"/>
  <c r="H31" i="372"/>
  <c r="K31" i="371"/>
  <c r="M30" i="371"/>
  <c r="J30" i="371"/>
  <c r="S29" i="371"/>
  <c r="L29" i="371"/>
  <c r="S25" i="369"/>
  <c r="L25" i="369"/>
  <c r="J26" i="369"/>
  <c r="M26" i="369"/>
  <c r="K27" i="369"/>
  <c r="M25" i="368"/>
  <c r="K26" i="368"/>
  <c r="S26" i="368"/>
  <c r="L26" i="368"/>
  <c r="J27" i="368"/>
  <c r="S25" i="367"/>
  <c r="L25" i="367"/>
  <c r="J26" i="367"/>
  <c r="M26" i="367"/>
  <c r="K27" i="367"/>
  <c r="S12" i="366"/>
  <c r="K14" i="366"/>
  <c r="E69" i="355" l="1"/>
  <c r="J13" i="366"/>
  <c r="J14" i="366" s="1"/>
  <c r="K39" i="376"/>
  <c r="G40" i="376"/>
  <c r="H39" i="376"/>
  <c r="K39" i="375"/>
  <c r="G40" i="375"/>
  <c r="H39" i="375"/>
  <c r="K37" i="374"/>
  <c r="M36" i="374"/>
  <c r="J36" i="374"/>
  <c r="S35" i="374"/>
  <c r="L35" i="374"/>
  <c r="G33" i="373"/>
  <c r="M32" i="373"/>
  <c r="H32" i="373"/>
  <c r="G33" i="372"/>
  <c r="M32" i="372"/>
  <c r="H32" i="372"/>
  <c r="S30" i="371"/>
  <c r="L30" i="371"/>
  <c r="J31" i="371"/>
  <c r="M31" i="371"/>
  <c r="K32" i="371"/>
  <c r="K28" i="369"/>
  <c r="M27" i="369"/>
  <c r="J27" i="369"/>
  <c r="L26" i="369"/>
  <c r="S26" i="369"/>
  <c r="J28" i="368"/>
  <c r="L27" i="368"/>
  <c r="S27" i="368"/>
  <c r="K27" i="368"/>
  <c r="M26" i="368"/>
  <c r="K28" i="367"/>
  <c r="M27" i="367"/>
  <c r="J27" i="367"/>
  <c r="L26" i="367"/>
  <c r="S26" i="367"/>
  <c r="K15" i="366"/>
  <c r="M14" i="366"/>
  <c r="S13" i="366" l="1"/>
  <c r="L13" i="366"/>
  <c r="S36" i="374"/>
  <c r="L36" i="374"/>
  <c r="J37" i="374"/>
  <c r="M37" i="374"/>
  <c r="K38" i="374"/>
  <c r="G34" i="373"/>
  <c r="M33" i="373"/>
  <c r="H33" i="373"/>
  <c r="G34" i="372"/>
  <c r="M33" i="372"/>
  <c r="H33" i="372"/>
  <c r="K33" i="371"/>
  <c r="M32" i="371"/>
  <c r="J32" i="371"/>
  <c r="S31" i="371"/>
  <c r="L31" i="371"/>
  <c r="S27" i="369"/>
  <c r="L27" i="369"/>
  <c r="J28" i="369"/>
  <c r="M28" i="369"/>
  <c r="K29" i="369"/>
  <c r="M27" i="368"/>
  <c r="K28" i="368"/>
  <c r="S28" i="368"/>
  <c r="L28" i="368"/>
  <c r="J29" i="368"/>
  <c r="S27" i="367"/>
  <c r="L27" i="367"/>
  <c r="J28" i="367"/>
  <c r="M28" i="367"/>
  <c r="K29" i="367"/>
  <c r="S14" i="366"/>
  <c r="L14" i="366"/>
  <c r="J15" i="366"/>
  <c r="M15" i="366"/>
  <c r="K16" i="366"/>
  <c r="D10" i="344"/>
  <c r="D11" i="344"/>
  <c r="D12" i="344"/>
  <c r="D13" i="344"/>
  <c r="D14" i="344"/>
  <c r="D15" i="344"/>
  <c r="D16" i="344"/>
  <c r="D17" i="344"/>
  <c r="D18" i="344"/>
  <c r="D19" i="344"/>
  <c r="D20" i="344"/>
  <c r="D21" i="344"/>
  <c r="D22" i="344"/>
  <c r="D23" i="344"/>
  <c r="D24" i="344"/>
  <c r="D25" i="344"/>
  <c r="D26" i="344"/>
  <c r="D27" i="344"/>
  <c r="D28" i="344"/>
  <c r="D29" i="344"/>
  <c r="D30" i="344"/>
  <c r="D31" i="344"/>
  <c r="D32" i="344"/>
  <c r="D33" i="344"/>
  <c r="D34" i="344"/>
  <c r="D35" i="344"/>
  <c r="D36" i="344"/>
  <c r="D37" i="344"/>
  <c r="D38" i="344"/>
  <c r="D39" i="344"/>
  <c r="D9" i="344"/>
  <c r="M40" i="344"/>
  <c r="L40" i="344"/>
  <c r="D10" i="343"/>
  <c r="D11" i="343"/>
  <c r="D12" i="343"/>
  <c r="D13" i="343"/>
  <c r="D14" i="343"/>
  <c r="D15" i="343"/>
  <c r="D16" i="343"/>
  <c r="D17" i="343"/>
  <c r="D18" i="343"/>
  <c r="D19" i="343"/>
  <c r="D20" i="343"/>
  <c r="D21" i="343"/>
  <c r="D22" i="343"/>
  <c r="D23" i="343"/>
  <c r="D29" i="343"/>
  <c r="D30" i="343"/>
  <c r="D31" i="343"/>
  <c r="D32" i="343"/>
  <c r="D33" i="343"/>
  <c r="D34" i="343"/>
  <c r="D35" i="343"/>
  <c r="D36" i="343"/>
  <c r="D37" i="343"/>
  <c r="D38" i="343"/>
  <c r="D39" i="343"/>
  <c r="D9" i="343"/>
  <c r="N40" i="343"/>
  <c r="M40" i="343"/>
  <c r="D10" i="325"/>
  <c r="D11" i="325"/>
  <c r="D12" i="325"/>
  <c r="D13" i="325"/>
  <c r="D14" i="325"/>
  <c r="D15" i="325"/>
  <c r="D16" i="325"/>
  <c r="D17" i="325"/>
  <c r="D18" i="325"/>
  <c r="D19" i="325"/>
  <c r="D20" i="325"/>
  <c r="D21" i="325"/>
  <c r="D22" i="325"/>
  <c r="D23" i="325"/>
  <c r="D24" i="325"/>
  <c r="D25" i="325"/>
  <c r="D26" i="325"/>
  <c r="D27" i="325"/>
  <c r="D28" i="325"/>
  <c r="D29" i="325"/>
  <c r="D30" i="325"/>
  <c r="D31" i="325"/>
  <c r="D32" i="325"/>
  <c r="D33" i="325"/>
  <c r="D34" i="325"/>
  <c r="D35" i="325"/>
  <c r="D36" i="325"/>
  <c r="D37" i="325"/>
  <c r="D38" i="325"/>
  <c r="D39" i="325"/>
  <c r="D9" i="325"/>
  <c r="N40" i="325"/>
  <c r="D10" i="312"/>
  <c r="D11" i="312"/>
  <c r="D12" i="312"/>
  <c r="D13" i="312"/>
  <c r="D14" i="312"/>
  <c r="D15" i="312"/>
  <c r="D16" i="312"/>
  <c r="D17" i="312"/>
  <c r="D18" i="312"/>
  <c r="D19" i="312"/>
  <c r="D20" i="312"/>
  <c r="D21" i="312"/>
  <c r="D22" i="312"/>
  <c r="D23" i="312"/>
  <c r="D24" i="312"/>
  <c r="D25" i="312"/>
  <c r="D26" i="312"/>
  <c r="D27" i="312"/>
  <c r="D28" i="312"/>
  <c r="D29" i="312"/>
  <c r="D30" i="312"/>
  <c r="D31" i="312"/>
  <c r="D32" i="312"/>
  <c r="D33" i="312"/>
  <c r="D34" i="312"/>
  <c r="D35" i="312"/>
  <c r="D36" i="312"/>
  <c r="D37" i="312"/>
  <c r="D38" i="312"/>
  <c r="D39" i="312"/>
  <c r="D9" i="312"/>
  <c r="M40" i="312"/>
  <c r="L40" i="312"/>
  <c r="D10" i="297"/>
  <c r="D11" i="297"/>
  <c r="D12" i="297"/>
  <c r="D13" i="297"/>
  <c r="D14" i="297"/>
  <c r="D15" i="297"/>
  <c r="D16" i="297"/>
  <c r="D17" i="297"/>
  <c r="D18" i="297"/>
  <c r="D19" i="297"/>
  <c r="D20" i="297"/>
  <c r="D21" i="297"/>
  <c r="D22" i="297"/>
  <c r="D23" i="297"/>
  <c r="D24" i="297"/>
  <c r="D25" i="297"/>
  <c r="D26" i="297"/>
  <c r="D27" i="297"/>
  <c r="D28" i="297"/>
  <c r="D29" i="297"/>
  <c r="D30" i="297"/>
  <c r="D31" i="297"/>
  <c r="D32" i="297"/>
  <c r="D33" i="297"/>
  <c r="D34" i="297"/>
  <c r="D35" i="297"/>
  <c r="D36" i="297"/>
  <c r="D37" i="297"/>
  <c r="D38" i="297"/>
  <c r="D39" i="297"/>
  <c r="D9" i="297"/>
  <c r="M40" i="297"/>
  <c r="L40" i="297"/>
  <c r="K39" i="374" l="1"/>
  <c r="M38" i="374"/>
  <c r="J38" i="374"/>
  <c r="L37" i="374"/>
  <c r="S37" i="374"/>
  <c r="G35" i="373"/>
  <c r="M34" i="373"/>
  <c r="H34" i="373"/>
  <c r="G35" i="372"/>
  <c r="M34" i="372"/>
  <c r="H34" i="372"/>
  <c r="S32" i="371"/>
  <c r="L32" i="371"/>
  <c r="J33" i="371"/>
  <c r="M33" i="371"/>
  <c r="K34" i="371"/>
  <c r="K30" i="369"/>
  <c r="M29" i="369"/>
  <c r="J29" i="369"/>
  <c r="S28" i="369"/>
  <c r="L28" i="369"/>
  <c r="J30" i="368"/>
  <c r="S29" i="368"/>
  <c r="L29" i="368"/>
  <c r="K29" i="368"/>
  <c r="M28" i="368"/>
  <c r="K30" i="367"/>
  <c r="M29" i="367"/>
  <c r="J29" i="367"/>
  <c r="S28" i="367"/>
  <c r="L28" i="367"/>
  <c r="K17" i="366"/>
  <c r="M16" i="366"/>
  <c r="J16" i="366"/>
  <c r="L15" i="366"/>
  <c r="S15" i="366"/>
  <c r="D10" i="295"/>
  <c r="D11" i="295"/>
  <c r="D12" i="295"/>
  <c r="D13" i="295"/>
  <c r="D14" i="295"/>
  <c r="D15" i="295"/>
  <c r="D16" i="295"/>
  <c r="D17" i="295"/>
  <c r="D18" i="295"/>
  <c r="D19" i="295"/>
  <c r="D20" i="295"/>
  <c r="D21" i="295"/>
  <c r="D22" i="295"/>
  <c r="D23" i="295"/>
  <c r="D24" i="295"/>
  <c r="D25" i="295"/>
  <c r="D26" i="295"/>
  <c r="D27" i="295"/>
  <c r="D28" i="295"/>
  <c r="D29" i="295"/>
  <c r="D30" i="295"/>
  <c r="D31" i="295"/>
  <c r="D32" i="295"/>
  <c r="D33" i="295"/>
  <c r="D34" i="295"/>
  <c r="D35" i="295"/>
  <c r="D36" i="295"/>
  <c r="D37" i="295"/>
  <c r="D38" i="295"/>
  <c r="D39" i="295"/>
  <c r="D9" i="295"/>
  <c r="L40" i="295"/>
  <c r="M40" i="295"/>
  <c r="S38" i="374" l="1"/>
  <c r="L38" i="374"/>
  <c r="J39" i="374"/>
  <c r="M39" i="374"/>
  <c r="K40" i="374"/>
  <c r="G36" i="373"/>
  <c r="M35" i="373"/>
  <c r="H35" i="373"/>
  <c r="G36" i="372"/>
  <c r="M35" i="372"/>
  <c r="H35" i="372"/>
  <c r="K35" i="371"/>
  <c r="M34" i="371"/>
  <c r="J34" i="371"/>
  <c r="S33" i="371"/>
  <c r="L33" i="371"/>
  <c r="S29" i="369"/>
  <c r="L29" i="369"/>
  <c r="J30" i="369"/>
  <c r="M30" i="369"/>
  <c r="K31" i="369"/>
  <c r="M29" i="368"/>
  <c r="K30" i="368"/>
  <c r="S30" i="368"/>
  <c r="L30" i="368"/>
  <c r="J31" i="368"/>
  <c r="S29" i="367"/>
  <c r="L29" i="367"/>
  <c r="J30" i="367"/>
  <c r="M30" i="367"/>
  <c r="K31" i="367"/>
  <c r="S16" i="366"/>
  <c r="L16" i="366"/>
  <c r="J17" i="366"/>
  <c r="M17" i="366"/>
  <c r="K18" i="366"/>
  <c r="J40" i="374" l="1"/>
  <c r="S39" i="374"/>
  <c r="L39" i="374"/>
  <c r="G37" i="373"/>
  <c r="M36" i="373"/>
  <c r="H36" i="373"/>
  <c r="G37" i="372"/>
  <c r="M36" i="372"/>
  <c r="H36" i="372"/>
  <c r="S34" i="371"/>
  <c r="L34" i="371"/>
  <c r="J35" i="371"/>
  <c r="M35" i="371"/>
  <c r="K36" i="371"/>
  <c r="K32" i="369"/>
  <c r="M31" i="369"/>
  <c r="J31" i="369"/>
  <c r="L30" i="369"/>
  <c r="S30" i="369"/>
  <c r="J32" i="368"/>
  <c r="L31" i="368"/>
  <c r="S31" i="368"/>
  <c r="K31" i="368"/>
  <c r="M30" i="368"/>
  <c r="K32" i="367"/>
  <c r="M31" i="367"/>
  <c r="J31" i="367"/>
  <c r="L30" i="367"/>
  <c r="S30" i="367"/>
  <c r="K19" i="366"/>
  <c r="M18" i="366"/>
  <c r="J18" i="366"/>
  <c r="S17" i="366"/>
  <c r="L17" i="366"/>
  <c r="G38" i="373" l="1"/>
  <c r="M37" i="373"/>
  <c r="H37" i="373"/>
  <c r="G38" i="372"/>
  <c r="M37" i="372"/>
  <c r="H37" i="372"/>
  <c r="K37" i="371"/>
  <c r="M36" i="371"/>
  <c r="J36" i="371"/>
  <c r="S35" i="371"/>
  <c r="L35" i="371"/>
  <c r="S31" i="369"/>
  <c r="L31" i="369"/>
  <c r="J32" i="369"/>
  <c r="M32" i="369"/>
  <c r="K33" i="369"/>
  <c r="M31" i="368"/>
  <c r="K32" i="368"/>
  <c r="S32" i="368"/>
  <c r="L32" i="368"/>
  <c r="J33" i="368"/>
  <c r="S31" i="367"/>
  <c r="L31" i="367"/>
  <c r="J32" i="367"/>
  <c r="M32" i="367"/>
  <c r="K33" i="367"/>
  <c r="S18" i="366"/>
  <c r="L18" i="366"/>
  <c r="J19" i="366"/>
  <c r="M19" i="366"/>
  <c r="K20" i="366"/>
  <c r="G39" i="373" l="1"/>
  <c r="M38" i="373"/>
  <c r="H38" i="373"/>
  <c r="G39" i="372"/>
  <c r="M38" i="372"/>
  <c r="H38" i="372"/>
  <c r="S36" i="371"/>
  <c r="L36" i="371"/>
  <c r="J37" i="371"/>
  <c r="M37" i="371"/>
  <c r="K38" i="371"/>
  <c r="K34" i="369"/>
  <c r="M33" i="369"/>
  <c r="J33" i="369"/>
  <c r="S32" i="369"/>
  <c r="L32" i="369"/>
  <c r="J34" i="368"/>
  <c r="S33" i="368"/>
  <c r="L33" i="368"/>
  <c r="K33" i="368"/>
  <c r="M32" i="368"/>
  <c r="K34" i="367"/>
  <c r="M33" i="367"/>
  <c r="J33" i="367"/>
  <c r="S32" i="367"/>
  <c r="L32" i="367"/>
  <c r="K21" i="366"/>
  <c r="M20" i="366"/>
  <c r="J20" i="366"/>
  <c r="L19" i="366"/>
  <c r="S19" i="366"/>
  <c r="M39" i="373" l="1"/>
  <c r="G40" i="373"/>
  <c r="H39" i="373"/>
  <c r="M39" i="372"/>
  <c r="G40" i="372"/>
  <c r="H39" i="372"/>
  <c r="K39" i="371"/>
  <c r="M38" i="371"/>
  <c r="J38" i="371"/>
  <c r="S37" i="371"/>
  <c r="L37" i="371"/>
  <c r="S33" i="369"/>
  <c r="L33" i="369"/>
  <c r="J34" i="369"/>
  <c r="M34" i="369"/>
  <c r="K35" i="369"/>
  <c r="M33" i="368"/>
  <c r="K34" i="368"/>
  <c r="S34" i="368"/>
  <c r="L34" i="368"/>
  <c r="J35" i="368"/>
  <c r="S33" i="367"/>
  <c r="L33" i="367"/>
  <c r="J34" i="367"/>
  <c r="M34" i="367"/>
  <c r="K35" i="367"/>
  <c r="S20" i="366"/>
  <c r="L20" i="366"/>
  <c r="J21" i="366"/>
  <c r="M21" i="366"/>
  <c r="K22" i="366"/>
  <c r="S38" i="371" l="1"/>
  <c r="L38" i="371"/>
  <c r="J39" i="371"/>
  <c r="M39" i="371"/>
  <c r="K40" i="371"/>
  <c r="K36" i="369"/>
  <c r="M35" i="369"/>
  <c r="J35" i="369"/>
  <c r="L34" i="369"/>
  <c r="S34" i="369"/>
  <c r="J36" i="368"/>
  <c r="L35" i="368"/>
  <c r="S35" i="368"/>
  <c r="K35" i="368"/>
  <c r="M34" i="368"/>
  <c r="K36" i="367"/>
  <c r="M35" i="367"/>
  <c r="J35" i="367"/>
  <c r="L34" i="367"/>
  <c r="S34" i="367"/>
  <c r="K23" i="366"/>
  <c r="M22" i="366"/>
  <c r="J22" i="366"/>
  <c r="S21" i="366"/>
  <c r="L21" i="366"/>
  <c r="J40" i="371" l="1"/>
  <c r="S39" i="371"/>
  <c r="L39" i="371"/>
  <c r="S35" i="369"/>
  <c r="L35" i="369"/>
  <c r="J36" i="369"/>
  <c r="M36" i="369"/>
  <c r="K37" i="369"/>
  <c r="M35" i="368"/>
  <c r="K36" i="368"/>
  <c r="S36" i="368"/>
  <c r="L36" i="368"/>
  <c r="J37" i="368"/>
  <c r="S35" i="367"/>
  <c r="L35" i="367"/>
  <c r="J36" i="367"/>
  <c r="M36" i="367"/>
  <c r="K37" i="367"/>
  <c r="S22" i="366"/>
  <c r="L22" i="366"/>
  <c r="J23" i="366"/>
  <c r="M23" i="366"/>
  <c r="K24" i="366"/>
  <c r="K38" i="369" l="1"/>
  <c r="M37" i="369"/>
  <c r="J37" i="369"/>
  <c r="S36" i="369"/>
  <c r="L36" i="369"/>
  <c r="J38" i="368"/>
  <c r="S37" i="368"/>
  <c r="L37" i="368"/>
  <c r="K37" i="368"/>
  <c r="M36" i="368"/>
  <c r="K38" i="367"/>
  <c r="M37" i="367"/>
  <c r="J37" i="367"/>
  <c r="S36" i="367"/>
  <c r="L36" i="367"/>
  <c r="K25" i="366"/>
  <c r="M24" i="366"/>
  <c r="J24" i="366"/>
  <c r="L23" i="366"/>
  <c r="S23" i="366"/>
  <c r="S37" i="369" l="1"/>
  <c r="L37" i="369"/>
  <c r="J38" i="369"/>
  <c r="M38" i="369"/>
  <c r="K39" i="369"/>
  <c r="M37" i="368"/>
  <c r="K38" i="368"/>
  <c r="S38" i="368"/>
  <c r="L38" i="368"/>
  <c r="J39" i="368"/>
  <c r="S37" i="367"/>
  <c r="L37" i="367"/>
  <c r="J38" i="367"/>
  <c r="M38" i="367"/>
  <c r="K39" i="367"/>
  <c r="J25" i="366"/>
  <c r="S24" i="366"/>
  <c r="L24" i="366"/>
  <c r="K26" i="366"/>
  <c r="M25" i="366"/>
  <c r="K40" i="369" l="1"/>
  <c r="M39" i="369"/>
  <c r="J39" i="369"/>
  <c r="L38" i="369"/>
  <c r="S38" i="369"/>
  <c r="J40" i="368"/>
  <c r="L39" i="368"/>
  <c r="S39" i="368"/>
  <c r="K39" i="368"/>
  <c r="M38" i="368"/>
  <c r="K40" i="367"/>
  <c r="M39" i="367"/>
  <c r="J39" i="367"/>
  <c r="L38" i="367"/>
  <c r="S38" i="367"/>
  <c r="S25" i="366"/>
  <c r="L25" i="366"/>
  <c r="J26" i="366"/>
  <c r="M26" i="366"/>
  <c r="K27" i="366"/>
  <c r="J40" i="370" l="1"/>
  <c r="I40" i="370"/>
  <c r="S39" i="369"/>
  <c r="L39" i="369"/>
  <c r="J40" i="369"/>
  <c r="M39" i="368"/>
  <c r="K40" i="368"/>
  <c r="S39" i="367"/>
  <c r="L39" i="367"/>
  <c r="J40" i="367"/>
  <c r="K28" i="366"/>
  <c r="M27" i="366"/>
  <c r="J27" i="366"/>
  <c r="L26" i="366"/>
  <c r="S26" i="366"/>
  <c r="S27" i="366" l="1"/>
  <c r="L27" i="366"/>
  <c r="J28" i="366"/>
  <c r="M28" i="366"/>
  <c r="K29" i="366"/>
  <c r="K30" i="366" l="1"/>
  <c r="M29" i="366"/>
  <c r="J29" i="366"/>
  <c r="S28" i="366"/>
  <c r="L28" i="366"/>
  <c r="S29" i="366" l="1"/>
  <c r="L29" i="366"/>
  <c r="J30" i="366"/>
  <c r="M30" i="366"/>
  <c r="K31" i="366"/>
  <c r="K32" i="366" l="1"/>
  <c r="M31" i="366"/>
  <c r="J31" i="366"/>
  <c r="L30" i="366"/>
  <c r="S30" i="366"/>
  <c r="S31" i="366" l="1"/>
  <c r="L31" i="366"/>
  <c r="J32" i="366"/>
  <c r="M32" i="366"/>
  <c r="K33" i="366"/>
  <c r="K34" i="366" l="1"/>
  <c r="M33" i="366"/>
  <c r="J33" i="366"/>
  <c r="S32" i="366"/>
  <c r="L32" i="366"/>
  <c r="S33" i="366" l="1"/>
  <c r="L33" i="366"/>
  <c r="J34" i="366"/>
  <c r="M34" i="366"/>
  <c r="K35" i="366"/>
  <c r="K36" i="366" l="1"/>
  <c r="M35" i="366"/>
  <c r="J35" i="366"/>
  <c r="L34" i="366"/>
  <c r="S34" i="366"/>
  <c r="S35" i="366" l="1"/>
  <c r="L35" i="366"/>
  <c r="J36" i="366"/>
  <c r="M36" i="366"/>
  <c r="K37" i="366"/>
  <c r="D40" i="251"/>
  <c r="K38" i="366" l="1"/>
  <c r="M37" i="366"/>
  <c r="J37" i="366"/>
  <c r="S36" i="366"/>
  <c r="L36" i="366"/>
  <c r="K40" i="215"/>
  <c r="K40" i="214"/>
  <c r="S37" i="366" l="1"/>
  <c r="L37" i="366"/>
  <c r="J38" i="366"/>
  <c r="M38" i="366"/>
  <c r="K39" i="366"/>
  <c r="K63" i="365"/>
  <c r="G63" i="365"/>
  <c r="H57" i="365"/>
  <c r="H40" i="365"/>
  <c r="F25" i="365"/>
  <c r="K40" i="366" l="1"/>
  <c r="M39" i="366"/>
  <c r="J39" i="366"/>
  <c r="L38" i="366"/>
  <c r="S38" i="366"/>
  <c r="L53" i="341"/>
  <c r="L156" i="53"/>
  <c r="L164" i="53"/>
  <c r="D156" i="53"/>
  <c r="B156" i="53"/>
  <c r="B53" i="341" s="1"/>
  <c r="K40" i="364"/>
  <c r="J40" i="364"/>
  <c r="I40" i="364"/>
  <c r="D40" i="364"/>
  <c r="F156" i="53" s="1"/>
  <c r="F53" i="341" s="1"/>
  <c r="E39" i="364"/>
  <c r="B39" i="364"/>
  <c r="E38" i="364"/>
  <c r="B38" i="364"/>
  <c r="E37" i="364"/>
  <c r="B37" i="364"/>
  <c r="E36" i="364"/>
  <c r="B36" i="364"/>
  <c r="E35" i="364"/>
  <c r="B35" i="364"/>
  <c r="E34" i="364"/>
  <c r="B34" i="364"/>
  <c r="E33" i="364"/>
  <c r="B33" i="364"/>
  <c r="E32" i="364"/>
  <c r="B32" i="364"/>
  <c r="E31" i="364"/>
  <c r="B31" i="364"/>
  <c r="E30" i="364"/>
  <c r="B30" i="364"/>
  <c r="E29" i="364"/>
  <c r="B29" i="364"/>
  <c r="E28" i="364"/>
  <c r="B28" i="364"/>
  <c r="E27" i="364"/>
  <c r="B27" i="364"/>
  <c r="E26" i="364"/>
  <c r="B26" i="364"/>
  <c r="E25" i="364"/>
  <c r="B25" i="364"/>
  <c r="E24" i="364"/>
  <c r="B24" i="364"/>
  <c r="E23" i="364"/>
  <c r="B23" i="364"/>
  <c r="E22" i="364"/>
  <c r="B22" i="364"/>
  <c r="E21" i="364"/>
  <c r="B21" i="364"/>
  <c r="E20" i="364"/>
  <c r="B20" i="364"/>
  <c r="E19" i="364"/>
  <c r="B19" i="364"/>
  <c r="E18" i="364"/>
  <c r="B18" i="364"/>
  <c r="E17" i="364"/>
  <c r="B17" i="364"/>
  <c r="E16" i="364"/>
  <c r="B16" i="364"/>
  <c r="E15" i="364"/>
  <c r="B15" i="364"/>
  <c r="E14" i="364"/>
  <c r="B14" i="364"/>
  <c r="E13" i="364"/>
  <c r="B13" i="364"/>
  <c r="E12" i="364"/>
  <c r="B12" i="364"/>
  <c r="E11" i="364"/>
  <c r="B11" i="364"/>
  <c r="E10" i="364"/>
  <c r="B10" i="364"/>
  <c r="F9" i="364"/>
  <c r="E9" i="364"/>
  <c r="B9" i="364"/>
  <c r="D8" i="364"/>
  <c r="I5" i="364"/>
  <c r="H5" i="364"/>
  <c r="G5" i="364"/>
  <c r="F5" i="364"/>
  <c r="E5" i="364"/>
  <c r="D5" i="364"/>
  <c r="C5" i="364"/>
  <c r="B5" i="364"/>
  <c r="D41" i="364" l="1"/>
  <c r="D53" i="341"/>
  <c r="J54" i="341"/>
  <c r="M54" i="341" s="1"/>
  <c r="S39" i="366"/>
  <c r="L39" i="366"/>
  <c r="J40" i="366"/>
  <c r="H62" i="365"/>
  <c r="G151" i="354"/>
  <c r="E40" i="364"/>
  <c r="H156" i="53" s="1"/>
  <c r="H53" i="341" s="1"/>
  <c r="F38" i="364"/>
  <c r="F37" i="364"/>
  <c r="F36" i="364"/>
  <c r="F35" i="364"/>
  <c r="F34" i="364"/>
  <c r="F33" i="364"/>
  <c r="F32" i="364"/>
  <c r="F10" i="364"/>
  <c r="F11" i="364"/>
  <c r="F12" i="364"/>
  <c r="F13" i="364"/>
  <c r="F14" i="364"/>
  <c r="F15" i="364"/>
  <c r="F16" i="364"/>
  <c r="F17" i="364"/>
  <c r="F18" i="364"/>
  <c r="F19" i="364"/>
  <c r="F20" i="364"/>
  <c r="F21" i="364"/>
  <c r="F22" i="364"/>
  <c r="F23" i="364"/>
  <c r="F24" i="364"/>
  <c r="F25" i="364"/>
  <c r="F26" i="364"/>
  <c r="F27" i="364"/>
  <c r="F28" i="364"/>
  <c r="F29" i="364"/>
  <c r="F30" i="364"/>
  <c r="F31" i="364"/>
  <c r="G9" i="364"/>
  <c r="E151" i="354" l="1"/>
  <c r="F62" i="365"/>
  <c r="E8" i="364"/>
  <c r="F39" i="364" s="1"/>
  <c r="J53" i="341"/>
  <c r="M53" i="341" s="1"/>
  <c r="J62" i="365"/>
  <c r="I151" i="354"/>
  <c r="L151" i="354" s="1"/>
  <c r="E41" i="364"/>
  <c r="G41" i="364" s="1"/>
  <c r="J156" i="53"/>
  <c r="M156" i="53" s="1"/>
  <c r="G10" i="364"/>
  <c r="L9" i="364"/>
  <c r="H9" i="364"/>
  <c r="L62" i="365" l="1"/>
  <c r="K151" i="354"/>
  <c r="G11" i="364"/>
  <c r="L10" i="364"/>
  <c r="H10" i="364"/>
  <c r="G58" i="421" l="1"/>
  <c r="P58" i="421" s="1"/>
  <c r="N58" i="421"/>
  <c r="G12" i="364"/>
  <c r="L11" i="364"/>
  <c r="H11" i="364"/>
  <c r="H80" i="421" l="1"/>
  <c r="G80" i="421"/>
  <c r="P80" i="421" s="1"/>
  <c r="G13" i="364"/>
  <c r="L12" i="364"/>
  <c r="H12" i="364"/>
  <c r="G14" i="364" l="1"/>
  <c r="L13" i="364"/>
  <c r="H13" i="364"/>
  <c r="G15" i="364" l="1"/>
  <c r="L14" i="364"/>
  <c r="H14" i="364"/>
  <c r="G16" i="364" l="1"/>
  <c r="L15" i="364"/>
  <c r="H15" i="364"/>
  <c r="G17" i="364" l="1"/>
  <c r="L16" i="364"/>
  <c r="H16" i="364"/>
  <c r="G18" i="364" l="1"/>
  <c r="L17" i="364"/>
  <c r="H17" i="364"/>
  <c r="G19" i="364" l="1"/>
  <c r="L18" i="364"/>
  <c r="H18" i="364"/>
  <c r="G20" i="364" l="1"/>
  <c r="L19" i="364"/>
  <c r="H19" i="364"/>
  <c r="G21" i="364" l="1"/>
  <c r="L20" i="364"/>
  <c r="H20" i="364"/>
  <c r="G22" i="364" l="1"/>
  <c r="L21" i="364"/>
  <c r="H21" i="364"/>
  <c r="G23" i="364" l="1"/>
  <c r="L22" i="364"/>
  <c r="H22" i="364"/>
  <c r="G24" i="364" l="1"/>
  <c r="L23" i="364"/>
  <c r="H23" i="364"/>
  <c r="G25" i="364" l="1"/>
  <c r="L24" i="364"/>
  <c r="H24" i="364"/>
  <c r="G26" i="364" l="1"/>
  <c r="L25" i="364"/>
  <c r="H25" i="364"/>
  <c r="E12" i="53"/>
  <c r="B12" i="53"/>
  <c r="C4" i="363"/>
  <c r="J46" i="363"/>
  <c r="E40" i="363"/>
  <c r="G12" i="53" s="1"/>
  <c r="D39" i="363"/>
  <c r="B39" i="363"/>
  <c r="D38" i="363"/>
  <c r="B38" i="363"/>
  <c r="D37" i="363"/>
  <c r="B37" i="363"/>
  <c r="D36" i="363"/>
  <c r="B36" i="363"/>
  <c r="D35" i="363"/>
  <c r="B35" i="363"/>
  <c r="D34" i="363"/>
  <c r="B34" i="363"/>
  <c r="D33" i="363"/>
  <c r="B33" i="363"/>
  <c r="D32" i="363"/>
  <c r="B32" i="363"/>
  <c r="D31" i="363"/>
  <c r="B31" i="363"/>
  <c r="D30" i="363"/>
  <c r="B30" i="363"/>
  <c r="D29" i="363"/>
  <c r="B29" i="363"/>
  <c r="D28" i="363"/>
  <c r="B28" i="363"/>
  <c r="D27" i="363"/>
  <c r="B27" i="363"/>
  <c r="D26" i="363"/>
  <c r="B26" i="363"/>
  <c r="D25" i="363"/>
  <c r="B25" i="363"/>
  <c r="D24" i="363"/>
  <c r="B24" i="363"/>
  <c r="D23" i="363"/>
  <c r="B23" i="363"/>
  <c r="D22" i="363"/>
  <c r="B22" i="363"/>
  <c r="D21" i="363"/>
  <c r="B21" i="363"/>
  <c r="D20" i="363"/>
  <c r="B20" i="363"/>
  <c r="D19" i="363"/>
  <c r="B19" i="363"/>
  <c r="D18" i="363"/>
  <c r="B18" i="363"/>
  <c r="D17" i="363"/>
  <c r="B17" i="363"/>
  <c r="D16" i="363"/>
  <c r="B16" i="363"/>
  <c r="D15" i="363"/>
  <c r="B15" i="363"/>
  <c r="D14" i="363"/>
  <c r="B14" i="363"/>
  <c r="D13" i="363"/>
  <c r="B13" i="363"/>
  <c r="D12" i="363"/>
  <c r="B12" i="363"/>
  <c r="D11" i="363"/>
  <c r="B11" i="363"/>
  <c r="H37" i="363"/>
  <c r="D10" i="363"/>
  <c r="B10" i="363"/>
  <c r="D9" i="363"/>
  <c r="B9" i="363"/>
  <c r="J8" i="363"/>
  <c r="E8" i="363"/>
  <c r="I7" i="363"/>
  <c r="K7" i="363" s="1"/>
  <c r="M7" i="363" s="1"/>
  <c r="M5" i="363"/>
  <c r="I5" i="363"/>
  <c r="H5" i="363"/>
  <c r="G5" i="363"/>
  <c r="F5" i="363"/>
  <c r="E5" i="363"/>
  <c r="D5" i="363"/>
  <c r="C5" i="363"/>
  <c r="B5" i="363"/>
  <c r="J9" i="363" l="1"/>
  <c r="J10" i="363" s="1"/>
  <c r="G14" i="354"/>
  <c r="E14" i="354"/>
  <c r="D8" i="363"/>
  <c r="G27" i="364"/>
  <c r="L26" i="364"/>
  <c r="H26" i="364"/>
  <c r="D40" i="363"/>
  <c r="F12" i="53" s="1"/>
  <c r="E41" i="363"/>
  <c r="D12" i="53"/>
  <c r="I39" i="363"/>
  <c r="I37" i="363"/>
  <c r="I35" i="363"/>
  <c r="I33" i="363"/>
  <c r="I31" i="363"/>
  <c r="I29" i="363"/>
  <c r="I27" i="363"/>
  <c r="I25" i="363"/>
  <c r="I23" i="363"/>
  <c r="I21" i="363"/>
  <c r="I19" i="363"/>
  <c r="I9" i="363"/>
  <c r="K9" i="363"/>
  <c r="H10" i="363"/>
  <c r="I11" i="363"/>
  <c r="H12" i="363"/>
  <c r="I13" i="363"/>
  <c r="H14" i="363"/>
  <c r="I15" i="363"/>
  <c r="H16" i="363"/>
  <c r="I17" i="363"/>
  <c r="I18" i="363"/>
  <c r="H21" i="363"/>
  <c r="I22" i="363"/>
  <c r="H25" i="363"/>
  <c r="I26" i="363"/>
  <c r="H29" i="363"/>
  <c r="I30" i="363"/>
  <c r="H33" i="363"/>
  <c r="I34" i="363"/>
  <c r="I38" i="363"/>
  <c r="G40" i="363"/>
  <c r="I12" i="53" s="1"/>
  <c r="F40" i="363"/>
  <c r="H12" i="53" s="1"/>
  <c r="H38" i="363"/>
  <c r="H36" i="363"/>
  <c r="H34" i="363"/>
  <c r="H32" i="363"/>
  <c r="H30" i="363"/>
  <c r="H28" i="363"/>
  <c r="H26" i="363"/>
  <c r="H24" i="363"/>
  <c r="H22" i="363"/>
  <c r="H20" i="363"/>
  <c r="H18" i="363"/>
  <c r="H9" i="363"/>
  <c r="I10" i="363"/>
  <c r="H11" i="363"/>
  <c r="I12" i="363"/>
  <c r="H13" i="363"/>
  <c r="I14" i="363"/>
  <c r="H15" i="363"/>
  <c r="I16" i="363"/>
  <c r="H17" i="363"/>
  <c r="H19" i="363"/>
  <c r="I20" i="363"/>
  <c r="H23" i="363"/>
  <c r="I24" i="363"/>
  <c r="H27" i="363"/>
  <c r="I28" i="363"/>
  <c r="H31" i="363"/>
  <c r="I32" i="363"/>
  <c r="H35" i="363"/>
  <c r="I36" i="363"/>
  <c r="H39" i="363"/>
  <c r="L9" i="363" l="1"/>
  <c r="E12" i="318"/>
  <c r="H14" i="354"/>
  <c r="K12" i="53"/>
  <c r="F12" i="318"/>
  <c r="I14" i="354"/>
  <c r="K14" i="354" s="1"/>
  <c r="G28" i="364"/>
  <c r="L27" i="364"/>
  <c r="H27" i="364"/>
  <c r="D41" i="363"/>
  <c r="J12" i="53"/>
  <c r="G41" i="363"/>
  <c r="G8" i="363"/>
  <c r="F41" i="363"/>
  <c r="F8" i="363"/>
  <c r="K10" i="363"/>
  <c r="M9" i="363"/>
  <c r="J11" i="363"/>
  <c r="L10" i="363"/>
  <c r="E24" i="355" l="1"/>
  <c r="J41" i="363"/>
  <c r="G29" i="364"/>
  <c r="L28" i="364"/>
  <c r="H28" i="364"/>
  <c r="S11" i="363"/>
  <c r="L11" i="363"/>
  <c r="J12" i="363"/>
  <c r="M10" i="363"/>
  <c r="K11" i="363"/>
  <c r="G30" i="364" l="1"/>
  <c r="L29" i="364"/>
  <c r="H29" i="364"/>
  <c r="K12" i="363"/>
  <c r="M11" i="363"/>
  <c r="J13" i="363"/>
  <c r="S12" i="363"/>
  <c r="L12" i="363"/>
  <c r="G31" i="364" l="1"/>
  <c r="L30" i="364"/>
  <c r="H30" i="364"/>
  <c r="S13" i="363"/>
  <c r="L13" i="363"/>
  <c r="J14" i="363"/>
  <c r="M12" i="363"/>
  <c r="K13" i="363"/>
  <c r="L31" i="341"/>
  <c r="B134" i="53"/>
  <c r="B31" i="341" s="1"/>
  <c r="L134" i="53"/>
  <c r="D134" i="53"/>
  <c r="D31" i="341" s="1"/>
  <c r="K40" i="362"/>
  <c r="J40" i="362"/>
  <c r="F57" i="318" s="1"/>
  <c r="I40" i="362"/>
  <c r="D40" i="362"/>
  <c r="F134" i="53" s="1"/>
  <c r="F31" i="341" s="1"/>
  <c r="E39" i="362"/>
  <c r="B39" i="362"/>
  <c r="E38" i="362"/>
  <c r="B38" i="362"/>
  <c r="E37" i="362"/>
  <c r="B37" i="362"/>
  <c r="E36" i="362"/>
  <c r="B36" i="362"/>
  <c r="E35" i="362"/>
  <c r="B35" i="362"/>
  <c r="E34" i="362"/>
  <c r="B34" i="362"/>
  <c r="E33" i="362"/>
  <c r="B33" i="362"/>
  <c r="E32" i="362"/>
  <c r="B32" i="362"/>
  <c r="E31" i="362"/>
  <c r="B31" i="362"/>
  <c r="E30" i="362"/>
  <c r="B30" i="362"/>
  <c r="E29" i="362"/>
  <c r="B29" i="362"/>
  <c r="E28" i="362"/>
  <c r="B28" i="362"/>
  <c r="E27" i="362"/>
  <c r="B27" i="362"/>
  <c r="E26" i="362"/>
  <c r="B26" i="362"/>
  <c r="E25" i="362"/>
  <c r="B25" i="362"/>
  <c r="E24" i="362"/>
  <c r="B24" i="362"/>
  <c r="E23" i="362"/>
  <c r="B23" i="362"/>
  <c r="E22" i="362"/>
  <c r="B22" i="362"/>
  <c r="E21" i="362"/>
  <c r="B21" i="362"/>
  <c r="E20" i="362"/>
  <c r="B20" i="362"/>
  <c r="E19" i="362"/>
  <c r="B19" i="362"/>
  <c r="E18" i="362"/>
  <c r="B18" i="362"/>
  <c r="E17" i="362"/>
  <c r="B17" i="362"/>
  <c r="E16" i="362"/>
  <c r="B16" i="362"/>
  <c r="E15" i="362"/>
  <c r="B15" i="362"/>
  <c r="E14" i="362"/>
  <c r="B14" i="362"/>
  <c r="E13" i="362"/>
  <c r="B13" i="362"/>
  <c r="E12" i="362"/>
  <c r="B12" i="362"/>
  <c r="E11" i="362"/>
  <c r="B11" i="362"/>
  <c r="E10" i="362"/>
  <c r="B10" i="362"/>
  <c r="F9" i="362"/>
  <c r="E9" i="362"/>
  <c r="B9" i="362"/>
  <c r="D8" i="362"/>
  <c r="I5" i="362"/>
  <c r="G5" i="362"/>
  <c r="F5" i="362"/>
  <c r="E5" i="362"/>
  <c r="D5" i="362"/>
  <c r="C5" i="362"/>
  <c r="B5" i="362"/>
  <c r="D41" i="362" l="1"/>
  <c r="H60" i="365"/>
  <c r="G143" i="354"/>
  <c r="E143" i="354"/>
  <c r="F60" i="365"/>
  <c r="G32" i="364"/>
  <c r="L31" i="364"/>
  <c r="H31" i="364"/>
  <c r="K14" i="363"/>
  <c r="M13" i="363"/>
  <c r="J15" i="363"/>
  <c r="S14" i="363"/>
  <c r="L14" i="363"/>
  <c r="E40" i="362"/>
  <c r="H134" i="53" s="1"/>
  <c r="H31" i="341" s="1"/>
  <c r="F38" i="362"/>
  <c r="F37" i="362"/>
  <c r="F36" i="362"/>
  <c r="F35" i="362"/>
  <c r="F34" i="362"/>
  <c r="F33" i="362"/>
  <c r="F32" i="362"/>
  <c r="F10" i="362"/>
  <c r="F11" i="362"/>
  <c r="F12" i="362"/>
  <c r="F13" i="362"/>
  <c r="F14" i="362"/>
  <c r="F15" i="362"/>
  <c r="F16" i="362"/>
  <c r="F17" i="362"/>
  <c r="F18" i="362"/>
  <c r="F19" i="362"/>
  <c r="F20" i="362"/>
  <c r="F21" i="362"/>
  <c r="F22" i="362"/>
  <c r="F23" i="362"/>
  <c r="F24" i="362"/>
  <c r="F25" i="362"/>
  <c r="F26" i="362"/>
  <c r="F27" i="362"/>
  <c r="F28" i="362"/>
  <c r="F29" i="362"/>
  <c r="F30" i="362"/>
  <c r="F31" i="362"/>
  <c r="G9" i="362"/>
  <c r="J31" i="341" l="1"/>
  <c r="M31" i="341" s="1"/>
  <c r="J60" i="365"/>
  <c r="I143" i="354"/>
  <c r="L143" i="354" s="1"/>
  <c r="L60" i="365"/>
  <c r="G33" i="364"/>
  <c r="L32" i="364"/>
  <c r="H32" i="364"/>
  <c r="S15" i="363"/>
  <c r="L15" i="363"/>
  <c r="J16" i="363"/>
  <c r="M14" i="363"/>
  <c r="K15" i="363"/>
  <c r="E8" i="362"/>
  <c r="F39" i="362" s="1"/>
  <c r="E41" i="362"/>
  <c r="G41" i="362" s="1"/>
  <c r="J134" i="53"/>
  <c r="M134" i="53" s="1"/>
  <c r="G10" i="362"/>
  <c r="L9" i="362"/>
  <c r="H9" i="362"/>
  <c r="E8" i="333"/>
  <c r="D33" i="338"/>
  <c r="D34" i="338"/>
  <c r="D35" i="338"/>
  <c r="D37" i="346"/>
  <c r="D38" i="346"/>
  <c r="K143" i="354" l="1"/>
  <c r="G34" i="364"/>
  <c r="L33" i="364"/>
  <c r="H33" i="364"/>
  <c r="K16" i="363"/>
  <c r="M15" i="363"/>
  <c r="J17" i="363"/>
  <c r="S16" i="363"/>
  <c r="L16" i="363"/>
  <c r="G11" i="362"/>
  <c r="L10" i="362"/>
  <c r="H10" i="362"/>
  <c r="G50" i="421" l="1"/>
  <c r="P50" i="421" s="1"/>
  <c r="N50" i="421"/>
  <c r="G35" i="364"/>
  <c r="L34" i="364"/>
  <c r="H34" i="364"/>
  <c r="J18" i="363"/>
  <c r="S17" i="363"/>
  <c r="L17" i="363"/>
  <c r="K17" i="363"/>
  <c r="M16" i="363"/>
  <c r="G12" i="362"/>
  <c r="L11" i="362"/>
  <c r="H11" i="362"/>
  <c r="E57" i="53"/>
  <c r="B57" i="53"/>
  <c r="J46" i="361"/>
  <c r="G40" i="361"/>
  <c r="G41" i="361" s="1"/>
  <c r="F40" i="361"/>
  <c r="F41" i="361" s="1"/>
  <c r="E40" i="361"/>
  <c r="G57" i="53" s="1"/>
  <c r="I39" i="361"/>
  <c r="H39" i="361"/>
  <c r="D39" i="361"/>
  <c r="B39" i="361"/>
  <c r="I38" i="361"/>
  <c r="H38" i="361"/>
  <c r="D38" i="361"/>
  <c r="B38" i="361"/>
  <c r="I37" i="361"/>
  <c r="H37" i="361"/>
  <c r="D37" i="361"/>
  <c r="B37" i="361"/>
  <c r="I36" i="361"/>
  <c r="H36" i="361"/>
  <c r="D36" i="361"/>
  <c r="B36" i="361"/>
  <c r="I35" i="361"/>
  <c r="H35" i="361"/>
  <c r="D35" i="361"/>
  <c r="B35" i="361"/>
  <c r="I34" i="361"/>
  <c r="H34" i="361"/>
  <c r="D34" i="361"/>
  <c r="B34" i="361"/>
  <c r="I33" i="361"/>
  <c r="H33" i="361"/>
  <c r="D33" i="361"/>
  <c r="B33" i="361"/>
  <c r="I32" i="361"/>
  <c r="H32" i="361"/>
  <c r="D32" i="361"/>
  <c r="B32" i="361"/>
  <c r="I31" i="361"/>
  <c r="H31" i="361"/>
  <c r="D31" i="361"/>
  <c r="B31" i="361"/>
  <c r="I30" i="361"/>
  <c r="H30" i="361"/>
  <c r="D30" i="361"/>
  <c r="B30" i="361"/>
  <c r="I29" i="361"/>
  <c r="H29" i="361"/>
  <c r="D29" i="361"/>
  <c r="B29" i="361"/>
  <c r="I28" i="361"/>
  <c r="H28" i="361"/>
  <c r="D28" i="361"/>
  <c r="B28" i="361"/>
  <c r="I27" i="361"/>
  <c r="H27" i="361"/>
  <c r="D27" i="361"/>
  <c r="B27" i="361"/>
  <c r="I26" i="361"/>
  <c r="H26" i="361"/>
  <c r="D26" i="361"/>
  <c r="B26" i="361"/>
  <c r="I25" i="361"/>
  <c r="H25" i="361"/>
  <c r="D25" i="361"/>
  <c r="B25" i="361"/>
  <c r="I24" i="361"/>
  <c r="H24" i="361"/>
  <c r="D24" i="361"/>
  <c r="B24" i="361"/>
  <c r="I23" i="361"/>
  <c r="H23" i="361"/>
  <c r="D23" i="361"/>
  <c r="B23" i="361"/>
  <c r="I22" i="361"/>
  <c r="H22" i="361"/>
  <c r="D22" i="361"/>
  <c r="B22" i="361"/>
  <c r="I21" i="361"/>
  <c r="H21" i="361"/>
  <c r="D21" i="361"/>
  <c r="B21" i="361"/>
  <c r="I20" i="361"/>
  <c r="H20" i="361"/>
  <c r="D20" i="361"/>
  <c r="B20" i="361"/>
  <c r="I19" i="361"/>
  <c r="H19" i="361"/>
  <c r="D19" i="361"/>
  <c r="B19" i="361"/>
  <c r="I18" i="361"/>
  <c r="H18" i="361"/>
  <c r="D18" i="361"/>
  <c r="B18" i="361"/>
  <c r="I17" i="361"/>
  <c r="H17" i="361"/>
  <c r="D17" i="361"/>
  <c r="B17" i="361"/>
  <c r="I16" i="361"/>
  <c r="H16" i="361"/>
  <c r="D16" i="361"/>
  <c r="B16" i="361"/>
  <c r="I15" i="361"/>
  <c r="H15" i="361"/>
  <c r="D15" i="361"/>
  <c r="B15" i="361"/>
  <c r="I14" i="361"/>
  <c r="H14" i="361"/>
  <c r="D14" i="361"/>
  <c r="B14" i="361"/>
  <c r="I13" i="361"/>
  <c r="H13" i="361"/>
  <c r="D13" i="361"/>
  <c r="B13" i="361"/>
  <c r="I12" i="361"/>
  <c r="H12" i="361"/>
  <c r="D12" i="361"/>
  <c r="B12" i="361"/>
  <c r="I11" i="361"/>
  <c r="H11" i="361"/>
  <c r="D11" i="361"/>
  <c r="B11" i="361"/>
  <c r="I10" i="361"/>
  <c r="H10" i="361"/>
  <c r="D10" i="361"/>
  <c r="B10" i="361"/>
  <c r="K9" i="361"/>
  <c r="K10" i="361" s="1"/>
  <c r="M10" i="361" s="1"/>
  <c r="I9" i="361"/>
  <c r="H9" i="361"/>
  <c r="D9" i="361"/>
  <c r="B9" i="361"/>
  <c r="J8" i="361"/>
  <c r="E8" i="361"/>
  <c r="I7" i="361"/>
  <c r="K7" i="361" s="1"/>
  <c r="M7" i="361" s="1"/>
  <c r="M5" i="361"/>
  <c r="I5" i="361"/>
  <c r="H5" i="361"/>
  <c r="G5" i="361"/>
  <c r="F5" i="361"/>
  <c r="E5" i="361"/>
  <c r="D5" i="361"/>
  <c r="C5" i="361"/>
  <c r="B5" i="361"/>
  <c r="C4" i="361"/>
  <c r="H72" i="421" l="1"/>
  <c r="G72" i="421"/>
  <c r="P72" i="421" s="1"/>
  <c r="G92" i="354"/>
  <c r="H29" i="365"/>
  <c r="E92" i="354"/>
  <c r="F29" i="365"/>
  <c r="G36" i="364"/>
  <c r="L35" i="364"/>
  <c r="H35" i="364"/>
  <c r="M17" i="363"/>
  <c r="K18" i="363"/>
  <c r="S18" i="363"/>
  <c r="L18" i="363"/>
  <c r="J19" i="363"/>
  <c r="G13" i="362"/>
  <c r="L12" i="362"/>
  <c r="H12" i="362"/>
  <c r="J9" i="361"/>
  <c r="S9" i="361" s="1"/>
  <c r="D8" i="361"/>
  <c r="H57" i="53"/>
  <c r="D40" i="361"/>
  <c r="F57" i="53" s="1"/>
  <c r="E41" i="361"/>
  <c r="K41" i="361" s="1"/>
  <c r="M9" i="361"/>
  <c r="K11" i="361"/>
  <c r="K12" i="361" s="1"/>
  <c r="M12" i="361" s="1"/>
  <c r="I57" i="53"/>
  <c r="D57" i="53"/>
  <c r="J29" i="365" l="1"/>
  <c r="L29" i="365" s="1"/>
  <c r="I29" i="365"/>
  <c r="K13" i="361"/>
  <c r="K14" i="361" s="1"/>
  <c r="L9" i="361"/>
  <c r="G37" i="364"/>
  <c r="L36" i="364"/>
  <c r="H36" i="364"/>
  <c r="K19" i="363"/>
  <c r="M18" i="363"/>
  <c r="J20" i="363"/>
  <c r="L19" i="363"/>
  <c r="S19" i="363"/>
  <c r="G14" i="362"/>
  <c r="L13" i="362"/>
  <c r="H13" i="362"/>
  <c r="J10" i="361"/>
  <c r="J11" i="361" s="1"/>
  <c r="D41" i="361"/>
  <c r="J41" i="361" s="1"/>
  <c r="J57" i="53"/>
  <c r="K57" i="53"/>
  <c r="I92" i="354"/>
  <c r="K92" i="354" s="1"/>
  <c r="F34" i="318"/>
  <c r="H92" i="354"/>
  <c r="E34" i="318"/>
  <c r="M11" i="361"/>
  <c r="E100" i="355" l="1"/>
  <c r="G107" i="355"/>
  <c r="M13" i="361"/>
  <c r="L10" i="361"/>
  <c r="G38" i="364"/>
  <c r="L37" i="364"/>
  <c r="H37" i="364"/>
  <c r="S20" i="363"/>
  <c r="L20" i="363"/>
  <c r="J21" i="363"/>
  <c r="M19" i="363"/>
  <c r="K20" i="363"/>
  <c r="S10" i="361"/>
  <c r="G15" i="362"/>
  <c r="L14" i="362"/>
  <c r="H14" i="362"/>
  <c r="S11" i="361"/>
  <c r="L11" i="361"/>
  <c r="J12" i="361"/>
  <c r="M14" i="361"/>
  <c r="K15" i="361"/>
  <c r="G39" i="364" l="1"/>
  <c r="L38" i="364"/>
  <c r="H38" i="364"/>
  <c r="K21" i="363"/>
  <c r="M20" i="363"/>
  <c r="J22" i="363"/>
  <c r="S21" i="363"/>
  <c r="L21" i="363"/>
  <c r="G16" i="362"/>
  <c r="L15" i="362"/>
  <c r="H15" i="362"/>
  <c r="K16" i="361"/>
  <c r="M15" i="361"/>
  <c r="J13" i="361"/>
  <c r="L12" i="361"/>
  <c r="S12" i="361"/>
  <c r="L39" i="364" l="1"/>
  <c r="G40" i="364"/>
  <c r="H39" i="364"/>
  <c r="S22" i="363"/>
  <c r="L22" i="363"/>
  <c r="J23" i="363"/>
  <c r="M21" i="363"/>
  <c r="K22" i="363"/>
  <c r="G17" i="362"/>
  <c r="L16" i="362"/>
  <c r="H16" i="362"/>
  <c r="S13" i="361"/>
  <c r="L13" i="361"/>
  <c r="J14" i="361"/>
  <c r="M16" i="361"/>
  <c r="K17" i="361"/>
  <c r="K23" i="363" l="1"/>
  <c r="M22" i="363"/>
  <c r="J24" i="363"/>
  <c r="L23" i="363"/>
  <c r="S23" i="363"/>
  <c r="G18" i="362"/>
  <c r="L17" i="362"/>
  <c r="H17" i="362"/>
  <c r="K18" i="361"/>
  <c r="M17" i="361"/>
  <c r="J15" i="361"/>
  <c r="S14" i="361"/>
  <c r="L14" i="361"/>
  <c r="S24" i="363" l="1"/>
  <c r="L24" i="363"/>
  <c r="J25" i="363"/>
  <c r="M23" i="363"/>
  <c r="K24" i="363"/>
  <c r="G19" i="362"/>
  <c r="L18" i="362"/>
  <c r="H18" i="362"/>
  <c r="S15" i="361"/>
  <c r="L15" i="361"/>
  <c r="J16" i="361"/>
  <c r="M18" i="361"/>
  <c r="K19" i="361"/>
  <c r="K25" i="363" l="1"/>
  <c r="M24" i="363"/>
  <c r="J26" i="363"/>
  <c r="S25" i="363"/>
  <c r="L25" i="363"/>
  <c r="G20" i="362"/>
  <c r="L19" i="362"/>
  <c r="H19" i="362"/>
  <c r="K20" i="361"/>
  <c r="M19" i="361"/>
  <c r="J17" i="361"/>
  <c r="L16" i="361"/>
  <c r="S16" i="361"/>
  <c r="S26" i="363" l="1"/>
  <c r="L26" i="363"/>
  <c r="J27" i="363"/>
  <c r="M25" i="363"/>
  <c r="K26" i="363"/>
  <c r="G21" i="362"/>
  <c r="L20" i="362"/>
  <c r="H20" i="362"/>
  <c r="S17" i="361"/>
  <c r="L17" i="361"/>
  <c r="J18" i="361"/>
  <c r="M20" i="361"/>
  <c r="K21" i="361"/>
  <c r="K27" i="363" l="1"/>
  <c r="M26" i="363"/>
  <c r="J28" i="363"/>
  <c r="L27" i="363"/>
  <c r="S27" i="363"/>
  <c r="G22" i="362"/>
  <c r="L21" i="362"/>
  <c r="H21" i="362"/>
  <c r="K22" i="361"/>
  <c r="M21" i="361"/>
  <c r="J19" i="361"/>
  <c r="S18" i="361"/>
  <c r="L18" i="361"/>
  <c r="S28" i="363" l="1"/>
  <c r="L28" i="363"/>
  <c r="J29" i="363"/>
  <c r="M27" i="363"/>
  <c r="K28" i="363"/>
  <c r="G23" i="362"/>
  <c r="L22" i="362"/>
  <c r="H22" i="362"/>
  <c r="S19" i="361"/>
  <c r="L19" i="361"/>
  <c r="J20" i="361"/>
  <c r="M22" i="361"/>
  <c r="K23" i="361"/>
  <c r="K29" i="363" l="1"/>
  <c r="M28" i="363"/>
  <c r="J30" i="363"/>
  <c r="S29" i="363"/>
  <c r="L29" i="363"/>
  <c r="G24" i="362"/>
  <c r="L23" i="362"/>
  <c r="H23" i="362"/>
  <c r="K24" i="361"/>
  <c r="M23" i="361"/>
  <c r="J21" i="361"/>
  <c r="L20" i="361"/>
  <c r="S20" i="361"/>
  <c r="S30" i="363" l="1"/>
  <c r="L30" i="363"/>
  <c r="J31" i="363"/>
  <c r="M29" i="363"/>
  <c r="K30" i="363"/>
  <c r="G25" i="362"/>
  <c r="L24" i="362"/>
  <c r="H24" i="362"/>
  <c r="S21" i="361"/>
  <c r="L21" i="361"/>
  <c r="J22" i="361"/>
  <c r="M24" i="361"/>
  <c r="K25" i="361"/>
  <c r="K31" i="363" l="1"/>
  <c r="M30" i="363"/>
  <c r="J32" i="363"/>
  <c r="L31" i="363"/>
  <c r="S31" i="363"/>
  <c r="G26" i="362"/>
  <c r="L25" i="362"/>
  <c r="H25" i="362"/>
  <c r="K26" i="361"/>
  <c r="M25" i="361"/>
  <c r="J23" i="361"/>
  <c r="S22" i="361"/>
  <c r="L22" i="361"/>
  <c r="S32" i="363" l="1"/>
  <c r="L32" i="363"/>
  <c r="J33" i="363"/>
  <c r="M31" i="363"/>
  <c r="K32" i="363"/>
  <c r="G27" i="362"/>
  <c r="L26" i="362"/>
  <c r="H26" i="362"/>
  <c r="S23" i="361"/>
  <c r="L23" i="361"/>
  <c r="J24" i="361"/>
  <c r="M26" i="361"/>
  <c r="K27" i="361"/>
  <c r="D40" i="329"/>
  <c r="E8" i="149"/>
  <c r="K33" i="363" l="1"/>
  <c r="M32" i="363"/>
  <c r="J34" i="363"/>
  <c r="S33" i="363"/>
  <c r="L33" i="363"/>
  <c r="G28" i="362"/>
  <c r="L27" i="362"/>
  <c r="H27" i="362"/>
  <c r="K28" i="361"/>
  <c r="M27" i="361"/>
  <c r="J25" i="361"/>
  <c r="L24" i="361"/>
  <c r="S24" i="361"/>
  <c r="E61" i="53"/>
  <c r="B61" i="53"/>
  <c r="E60" i="53"/>
  <c r="B60" i="53"/>
  <c r="J46" i="359"/>
  <c r="G40" i="359"/>
  <c r="G41" i="359" s="1"/>
  <c r="F40" i="359"/>
  <c r="F41" i="359" s="1"/>
  <c r="E40" i="359"/>
  <c r="G61" i="53" s="1"/>
  <c r="I39" i="359"/>
  <c r="H39" i="359"/>
  <c r="D39" i="359"/>
  <c r="B39" i="359"/>
  <c r="I38" i="359"/>
  <c r="H38" i="359"/>
  <c r="D38" i="359"/>
  <c r="B38" i="359"/>
  <c r="I37" i="359"/>
  <c r="H37" i="359"/>
  <c r="D37" i="359"/>
  <c r="B37" i="359"/>
  <c r="I36" i="359"/>
  <c r="H36" i="359"/>
  <c r="D36" i="359"/>
  <c r="B36" i="359"/>
  <c r="I35" i="359"/>
  <c r="H35" i="359"/>
  <c r="D35" i="359"/>
  <c r="B35" i="359"/>
  <c r="I34" i="359"/>
  <c r="H34" i="359"/>
  <c r="D34" i="359"/>
  <c r="B34" i="359"/>
  <c r="I33" i="359"/>
  <c r="H33" i="359"/>
  <c r="D33" i="359"/>
  <c r="B33" i="359"/>
  <c r="I32" i="359"/>
  <c r="H32" i="359"/>
  <c r="D32" i="359"/>
  <c r="B32" i="359"/>
  <c r="I31" i="359"/>
  <c r="H31" i="359"/>
  <c r="D31" i="359"/>
  <c r="B31" i="359"/>
  <c r="I30" i="359"/>
  <c r="H30" i="359"/>
  <c r="D30" i="359"/>
  <c r="B30" i="359"/>
  <c r="I29" i="359"/>
  <c r="H29" i="359"/>
  <c r="D29" i="359"/>
  <c r="B29" i="359"/>
  <c r="I28" i="359"/>
  <c r="H28" i="359"/>
  <c r="D28" i="359"/>
  <c r="B28" i="359"/>
  <c r="I27" i="359"/>
  <c r="H27" i="359"/>
  <c r="D27" i="359"/>
  <c r="B27" i="359"/>
  <c r="I26" i="359"/>
  <c r="H26" i="359"/>
  <c r="D26" i="359"/>
  <c r="B26" i="359"/>
  <c r="I25" i="359"/>
  <c r="H25" i="359"/>
  <c r="D25" i="359"/>
  <c r="B25" i="359"/>
  <c r="I24" i="359"/>
  <c r="H24" i="359"/>
  <c r="D24" i="359"/>
  <c r="B24" i="359"/>
  <c r="I23" i="359"/>
  <c r="H23" i="359"/>
  <c r="D23" i="359"/>
  <c r="B23" i="359"/>
  <c r="I22" i="359"/>
  <c r="H22" i="359"/>
  <c r="D22" i="359"/>
  <c r="B22" i="359"/>
  <c r="I21" i="359"/>
  <c r="H21" i="359"/>
  <c r="D21" i="359"/>
  <c r="B21" i="359"/>
  <c r="I20" i="359"/>
  <c r="H20" i="359"/>
  <c r="D20" i="359"/>
  <c r="B20" i="359"/>
  <c r="I19" i="359"/>
  <c r="H19" i="359"/>
  <c r="D19" i="359"/>
  <c r="B19" i="359"/>
  <c r="I18" i="359"/>
  <c r="H18" i="359"/>
  <c r="D18" i="359"/>
  <c r="B18" i="359"/>
  <c r="I17" i="359"/>
  <c r="H17" i="359"/>
  <c r="D17" i="359"/>
  <c r="B17" i="359"/>
  <c r="I16" i="359"/>
  <c r="H16" i="359"/>
  <c r="D16" i="359"/>
  <c r="B16" i="359"/>
  <c r="I15" i="359"/>
  <c r="H15" i="359"/>
  <c r="D15" i="359"/>
  <c r="B15" i="359"/>
  <c r="I14" i="359"/>
  <c r="H14" i="359"/>
  <c r="D14" i="359"/>
  <c r="B14" i="359"/>
  <c r="I13" i="359"/>
  <c r="H13" i="359"/>
  <c r="D13" i="359"/>
  <c r="B13" i="359"/>
  <c r="I12" i="359"/>
  <c r="H12" i="359"/>
  <c r="D12" i="359"/>
  <c r="B12" i="359"/>
  <c r="I11" i="359"/>
  <c r="H11" i="359"/>
  <c r="D11" i="359"/>
  <c r="B11" i="359"/>
  <c r="I10" i="359"/>
  <c r="H10" i="359"/>
  <c r="D10" i="359"/>
  <c r="B10" i="359"/>
  <c r="K9" i="359"/>
  <c r="I9" i="359"/>
  <c r="H9" i="359"/>
  <c r="D9" i="359"/>
  <c r="B9" i="359"/>
  <c r="J8" i="359"/>
  <c r="D61" i="53" s="1"/>
  <c r="E8" i="359"/>
  <c r="D8" i="359"/>
  <c r="I7" i="359"/>
  <c r="K7" i="359" s="1"/>
  <c r="M7" i="359" s="1"/>
  <c r="M5" i="359"/>
  <c r="I5" i="359"/>
  <c r="H5" i="359"/>
  <c r="G5" i="359"/>
  <c r="F5" i="359"/>
  <c r="E5" i="359"/>
  <c r="D5" i="359"/>
  <c r="C5" i="359"/>
  <c r="B5" i="359"/>
  <c r="C4" i="359"/>
  <c r="J46" i="358"/>
  <c r="G40" i="358"/>
  <c r="G41" i="358" s="1"/>
  <c r="F40" i="358"/>
  <c r="F41" i="358" s="1"/>
  <c r="E40" i="358"/>
  <c r="G60" i="53" s="1"/>
  <c r="I39" i="358"/>
  <c r="H39" i="358"/>
  <c r="D39" i="358"/>
  <c r="B39" i="358"/>
  <c r="I38" i="358"/>
  <c r="H38" i="358"/>
  <c r="D38" i="358"/>
  <c r="B38" i="358"/>
  <c r="I37" i="358"/>
  <c r="H37" i="358"/>
  <c r="D37" i="358"/>
  <c r="B37" i="358"/>
  <c r="I36" i="358"/>
  <c r="H36" i="358"/>
  <c r="D36" i="358"/>
  <c r="B36" i="358"/>
  <c r="I35" i="358"/>
  <c r="H35" i="358"/>
  <c r="D35" i="358"/>
  <c r="B35" i="358"/>
  <c r="I34" i="358"/>
  <c r="H34" i="358"/>
  <c r="D34" i="358"/>
  <c r="B34" i="358"/>
  <c r="I33" i="358"/>
  <c r="H33" i="358"/>
  <c r="D33" i="358"/>
  <c r="B33" i="358"/>
  <c r="I32" i="358"/>
  <c r="H32" i="358"/>
  <c r="D32" i="358"/>
  <c r="B32" i="358"/>
  <c r="I31" i="358"/>
  <c r="H31" i="358"/>
  <c r="D31" i="358"/>
  <c r="B31" i="358"/>
  <c r="I30" i="358"/>
  <c r="H30" i="358"/>
  <c r="D30" i="358"/>
  <c r="B30" i="358"/>
  <c r="I29" i="358"/>
  <c r="H29" i="358"/>
  <c r="D29" i="358"/>
  <c r="B29" i="358"/>
  <c r="I28" i="358"/>
  <c r="H28" i="358"/>
  <c r="D28" i="358"/>
  <c r="B28" i="358"/>
  <c r="I27" i="358"/>
  <c r="H27" i="358"/>
  <c r="D27" i="358"/>
  <c r="B27" i="358"/>
  <c r="I26" i="358"/>
  <c r="H26" i="358"/>
  <c r="D26" i="358"/>
  <c r="B26" i="358"/>
  <c r="I25" i="358"/>
  <c r="H25" i="358"/>
  <c r="D25" i="358"/>
  <c r="B25" i="358"/>
  <c r="I24" i="358"/>
  <c r="H24" i="358"/>
  <c r="D24" i="358"/>
  <c r="B24" i="358"/>
  <c r="I23" i="358"/>
  <c r="H23" i="358"/>
  <c r="D23" i="358"/>
  <c r="B23" i="358"/>
  <c r="I22" i="358"/>
  <c r="H22" i="358"/>
  <c r="D22" i="358"/>
  <c r="B22" i="358"/>
  <c r="I21" i="358"/>
  <c r="H21" i="358"/>
  <c r="D21" i="358"/>
  <c r="B21" i="358"/>
  <c r="I20" i="358"/>
  <c r="H20" i="358"/>
  <c r="D20" i="358"/>
  <c r="B20" i="358"/>
  <c r="I19" i="358"/>
  <c r="H19" i="358"/>
  <c r="D19" i="358"/>
  <c r="B19" i="358"/>
  <c r="I18" i="358"/>
  <c r="H18" i="358"/>
  <c r="D18" i="358"/>
  <c r="B18" i="358"/>
  <c r="I17" i="358"/>
  <c r="H17" i="358"/>
  <c r="D17" i="358"/>
  <c r="B17" i="358"/>
  <c r="I16" i="358"/>
  <c r="H16" i="358"/>
  <c r="D16" i="358"/>
  <c r="B16" i="358"/>
  <c r="I15" i="358"/>
  <c r="H15" i="358"/>
  <c r="D15" i="358"/>
  <c r="B15" i="358"/>
  <c r="I14" i="358"/>
  <c r="H14" i="358"/>
  <c r="D14" i="358"/>
  <c r="B14" i="358"/>
  <c r="I13" i="358"/>
  <c r="H13" i="358"/>
  <c r="D13" i="358"/>
  <c r="B13" i="358"/>
  <c r="I12" i="358"/>
  <c r="H12" i="358"/>
  <c r="D12" i="358"/>
  <c r="B12" i="358"/>
  <c r="I11" i="358"/>
  <c r="H11" i="358"/>
  <c r="D11" i="358"/>
  <c r="B11" i="358"/>
  <c r="I10" i="358"/>
  <c r="H10" i="358"/>
  <c r="D10" i="358"/>
  <c r="B10" i="358"/>
  <c r="K9" i="358"/>
  <c r="K10" i="358" s="1"/>
  <c r="M10" i="358" s="1"/>
  <c r="I9" i="358"/>
  <c r="H9" i="358"/>
  <c r="D9" i="358"/>
  <c r="B9" i="358"/>
  <c r="J8" i="358"/>
  <c r="J9" i="358" s="1"/>
  <c r="E8" i="358"/>
  <c r="I7" i="358"/>
  <c r="K7" i="358" s="1"/>
  <c r="M7" i="358" s="1"/>
  <c r="M5" i="358"/>
  <c r="I5" i="358"/>
  <c r="H5" i="358"/>
  <c r="G5" i="358"/>
  <c r="F5" i="358"/>
  <c r="E5" i="358"/>
  <c r="D5" i="358"/>
  <c r="C5" i="358"/>
  <c r="B5" i="358"/>
  <c r="C4" i="358"/>
  <c r="D8" i="358" l="1"/>
  <c r="G89" i="354"/>
  <c r="E89" i="354"/>
  <c r="G91" i="354"/>
  <c r="D40" i="359"/>
  <c r="F61" i="53" s="1"/>
  <c r="D40" i="358"/>
  <c r="F60" i="53" s="1"/>
  <c r="J9" i="359"/>
  <c r="S9" i="359" s="1"/>
  <c r="M9" i="359"/>
  <c r="D60" i="53"/>
  <c r="H60" i="53"/>
  <c r="S34" i="363"/>
  <c r="L34" i="363"/>
  <c r="J35" i="363"/>
  <c r="M33" i="363"/>
  <c r="K34" i="363"/>
  <c r="G29" i="362"/>
  <c r="L28" i="362"/>
  <c r="H28" i="362"/>
  <c r="S25" i="361"/>
  <c r="L25" i="361"/>
  <c r="J26" i="361"/>
  <c r="M28" i="361"/>
  <c r="K29" i="361"/>
  <c r="E91" i="354"/>
  <c r="K10" i="359"/>
  <c r="K11" i="359" s="1"/>
  <c r="E41" i="358"/>
  <c r="K41" i="358" s="1"/>
  <c r="M9" i="358"/>
  <c r="K11" i="358"/>
  <c r="K12" i="358" s="1"/>
  <c r="M12" i="358" s="1"/>
  <c r="H61" i="53"/>
  <c r="I61" i="53"/>
  <c r="I60" i="53"/>
  <c r="E41" i="359"/>
  <c r="K41" i="359" s="1"/>
  <c r="J10" i="359"/>
  <c r="S9" i="358"/>
  <c r="L9" i="358"/>
  <c r="J10" i="358"/>
  <c r="M11" i="358" l="1"/>
  <c r="L9" i="359"/>
  <c r="I91" i="354"/>
  <c r="K91" i="354" s="1"/>
  <c r="H89" i="354"/>
  <c r="H91" i="354"/>
  <c r="D41" i="359"/>
  <c r="J41" i="359" s="1"/>
  <c r="K13" i="358"/>
  <c r="K14" i="358" s="1"/>
  <c r="D41" i="358"/>
  <c r="J41" i="358" s="1"/>
  <c r="J60" i="53"/>
  <c r="K35" i="363"/>
  <c r="M34" i="363"/>
  <c r="J36" i="363"/>
  <c r="L35" i="363"/>
  <c r="S35" i="363"/>
  <c r="K61" i="53"/>
  <c r="G30" i="362"/>
  <c r="L29" i="362"/>
  <c r="H29" i="362"/>
  <c r="K30" i="361"/>
  <c r="M29" i="361"/>
  <c r="J27" i="361"/>
  <c r="S26" i="361"/>
  <c r="L26" i="361"/>
  <c r="K60" i="53"/>
  <c r="I89" i="354"/>
  <c r="K89" i="354" s="1"/>
  <c r="M11" i="359"/>
  <c r="K12" i="359"/>
  <c r="M10" i="359"/>
  <c r="J61" i="53"/>
  <c r="S10" i="359"/>
  <c r="L10" i="359"/>
  <c r="J11" i="359"/>
  <c r="J11" i="358"/>
  <c r="S10" i="358"/>
  <c r="L10" i="358"/>
  <c r="E97" i="355" l="1"/>
  <c r="E99" i="355"/>
  <c r="G104" i="355"/>
  <c r="G106" i="355"/>
  <c r="M13" i="358"/>
  <c r="S36" i="363"/>
  <c r="L36" i="363"/>
  <c r="J37" i="363"/>
  <c r="M35" i="363"/>
  <c r="K36" i="363"/>
  <c r="G31" i="362"/>
  <c r="L30" i="362"/>
  <c r="H30" i="362"/>
  <c r="S27" i="361"/>
  <c r="L27" i="361"/>
  <c r="J28" i="361"/>
  <c r="M30" i="361"/>
  <c r="K31" i="361"/>
  <c r="K13" i="359"/>
  <c r="M12" i="359"/>
  <c r="J12" i="359"/>
  <c r="S11" i="359"/>
  <c r="L11" i="359"/>
  <c r="S11" i="358"/>
  <c r="L11" i="358"/>
  <c r="J12" i="358"/>
  <c r="M14" i="358"/>
  <c r="K15" i="358"/>
  <c r="H97" i="355" l="1"/>
  <c r="K37" i="363"/>
  <c r="M36" i="363"/>
  <c r="J38" i="363"/>
  <c r="S37" i="363"/>
  <c r="L37" i="363"/>
  <c r="G32" i="362"/>
  <c r="L31" i="362"/>
  <c r="H31" i="362"/>
  <c r="K32" i="361"/>
  <c r="M31" i="361"/>
  <c r="J29" i="361"/>
  <c r="L28" i="361"/>
  <c r="S28" i="361"/>
  <c r="M13" i="359"/>
  <c r="K14" i="359"/>
  <c r="S12" i="359"/>
  <c r="L12" i="359"/>
  <c r="J13" i="359"/>
  <c r="K16" i="358"/>
  <c r="M15" i="358"/>
  <c r="J13" i="358"/>
  <c r="L12" i="358"/>
  <c r="S12" i="358"/>
  <c r="S38" i="363" l="1"/>
  <c r="L38" i="363"/>
  <c r="J39" i="363"/>
  <c r="M37" i="363"/>
  <c r="K38" i="363"/>
  <c r="G33" i="362"/>
  <c r="L32" i="362"/>
  <c r="H32" i="362"/>
  <c r="S29" i="361"/>
  <c r="L29" i="361"/>
  <c r="J30" i="361"/>
  <c r="M32" i="361"/>
  <c r="K33" i="361"/>
  <c r="M14" i="359"/>
  <c r="K15" i="359"/>
  <c r="J14" i="359"/>
  <c r="L13" i="359"/>
  <c r="S13" i="359"/>
  <c r="S13" i="358"/>
  <c r="L13" i="358"/>
  <c r="J14" i="358"/>
  <c r="M16" i="358"/>
  <c r="K17" i="358"/>
  <c r="K39" i="363" l="1"/>
  <c r="M38" i="363"/>
  <c r="J40" i="363"/>
  <c r="L39" i="363"/>
  <c r="S39" i="363"/>
  <c r="G34" i="362"/>
  <c r="L33" i="362"/>
  <c r="H33" i="362"/>
  <c r="K34" i="361"/>
  <c r="M33" i="361"/>
  <c r="J31" i="361"/>
  <c r="S30" i="361"/>
  <c r="L30" i="361"/>
  <c r="M15" i="359"/>
  <c r="K16" i="359"/>
  <c r="S14" i="359"/>
  <c r="L14" i="359"/>
  <c r="J15" i="359"/>
  <c r="K18" i="358"/>
  <c r="M17" i="358"/>
  <c r="J15" i="358"/>
  <c r="S14" i="358"/>
  <c r="L14" i="358"/>
  <c r="M39" i="363" l="1"/>
  <c r="K40" i="363"/>
  <c r="K41" i="363" s="1"/>
  <c r="G35" i="362"/>
  <c r="L34" i="362"/>
  <c r="H34" i="362"/>
  <c r="S31" i="361"/>
  <c r="L31" i="361"/>
  <c r="J32" i="361"/>
  <c r="M34" i="361"/>
  <c r="K35" i="361"/>
  <c r="M16" i="359"/>
  <c r="K17" i="359"/>
  <c r="J16" i="359"/>
  <c r="S15" i="359"/>
  <c r="L15" i="359"/>
  <c r="S15" i="358"/>
  <c r="L15" i="358"/>
  <c r="J16" i="358"/>
  <c r="M18" i="358"/>
  <c r="K19" i="358"/>
  <c r="G36" i="362" l="1"/>
  <c r="L35" i="362"/>
  <c r="H35" i="362"/>
  <c r="K36" i="361"/>
  <c r="M35" i="361"/>
  <c r="J33" i="361"/>
  <c r="L32" i="361"/>
  <c r="S32" i="361"/>
  <c r="M17" i="359"/>
  <c r="K18" i="359"/>
  <c r="S16" i="359"/>
  <c r="L16" i="359"/>
  <c r="J17" i="359"/>
  <c r="K20" i="358"/>
  <c r="M19" i="358"/>
  <c r="J17" i="358"/>
  <c r="L16" i="358"/>
  <c r="S16" i="358"/>
  <c r="G37" i="362" l="1"/>
  <c r="L36" i="362"/>
  <c r="H36" i="362"/>
  <c r="S33" i="361"/>
  <c r="L33" i="361"/>
  <c r="J34" i="361"/>
  <c r="M36" i="361"/>
  <c r="K37" i="361"/>
  <c r="M18" i="359"/>
  <c r="K19" i="359"/>
  <c r="J18" i="359"/>
  <c r="L17" i="359"/>
  <c r="S17" i="359"/>
  <c r="S17" i="358"/>
  <c r="L17" i="358"/>
  <c r="J18" i="358"/>
  <c r="M20" i="358"/>
  <c r="K21" i="358"/>
  <c r="G38" i="362" l="1"/>
  <c r="L37" i="362"/>
  <c r="H37" i="362"/>
  <c r="K38" i="361"/>
  <c r="M37" i="361"/>
  <c r="J35" i="361"/>
  <c r="S34" i="361"/>
  <c r="L34" i="361"/>
  <c r="M19" i="359"/>
  <c r="K20" i="359"/>
  <c r="S18" i="359"/>
  <c r="L18" i="359"/>
  <c r="J19" i="359"/>
  <c r="K22" i="358"/>
  <c r="M21" i="358"/>
  <c r="J19" i="358"/>
  <c r="S18" i="358"/>
  <c r="L18" i="358"/>
  <c r="G39" i="362" l="1"/>
  <c r="L38" i="362"/>
  <c r="H38" i="362"/>
  <c r="S35" i="361"/>
  <c r="L35" i="361"/>
  <c r="J36" i="361"/>
  <c r="M38" i="361"/>
  <c r="K39" i="361"/>
  <c r="M20" i="359"/>
  <c r="K21" i="359"/>
  <c r="J20" i="359"/>
  <c r="S19" i="359"/>
  <c r="L19" i="359"/>
  <c r="S19" i="358"/>
  <c r="L19" i="358"/>
  <c r="J20" i="358"/>
  <c r="M22" i="358"/>
  <c r="K23" i="358"/>
  <c r="L39" i="362" l="1"/>
  <c r="G40" i="362"/>
  <c r="H39" i="362"/>
  <c r="K40" i="361"/>
  <c r="M39" i="361"/>
  <c r="J37" i="361"/>
  <c r="L36" i="361"/>
  <c r="S36" i="361"/>
  <c r="M21" i="359"/>
  <c r="K22" i="359"/>
  <c r="S20" i="359"/>
  <c r="L20" i="359"/>
  <c r="J21" i="359"/>
  <c r="K24" i="358"/>
  <c r="M23" i="358"/>
  <c r="J21" i="358"/>
  <c r="L20" i="358"/>
  <c r="S20" i="358"/>
  <c r="S37" i="361" l="1"/>
  <c r="L37" i="361"/>
  <c r="J38" i="361"/>
  <c r="M22" i="359"/>
  <c r="K23" i="359"/>
  <c r="J22" i="359"/>
  <c r="L21" i="359"/>
  <c r="S21" i="359"/>
  <c r="S21" i="358"/>
  <c r="L21" i="358"/>
  <c r="J22" i="358"/>
  <c r="M24" i="358"/>
  <c r="K25" i="358"/>
  <c r="J39" i="361" l="1"/>
  <c r="S38" i="361"/>
  <c r="L38" i="361"/>
  <c r="M23" i="359"/>
  <c r="K24" i="359"/>
  <c r="S22" i="359"/>
  <c r="L22" i="359"/>
  <c r="J23" i="359"/>
  <c r="K26" i="358"/>
  <c r="M25" i="358"/>
  <c r="J23" i="358"/>
  <c r="S22" i="358"/>
  <c r="L22" i="358"/>
  <c r="S39" i="361" l="1"/>
  <c r="L39" i="361"/>
  <c r="J40" i="361"/>
  <c r="M24" i="359"/>
  <c r="K25" i="359"/>
  <c r="J24" i="359"/>
  <c r="S23" i="359"/>
  <c r="L23" i="359"/>
  <c r="S23" i="358"/>
  <c r="L23" i="358"/>
  <c r="J24" i="358"/>
  <c r="M26" i="358"/>
  <c r="K27" i="358"/>
  <c r="M25" i="359" l="1"/>
  <c r="K26" i="359"/>
  <c r="S24" i="359"/>
  <c r="L24" i="359"/>
  <c r="J25" i="359"/>
  <c r="K28" i="358"/>
  <c r="M27" i="358"/>
  <c r="J25" i="358"/>
  <c r="L24" i="358"/>
  <c r="S24" i="358"/>
  <c r="M26" i="359" l="1"/>
  <c r="K27" i="359"/>
  <c r="J26" i="359"/>
  <c r="L25" i="359"/>
  <c r="S25" i="359"/>
  <c r="S25" i="358"/>
  <c r="L25" i="358"/>
  <c r="J26" i="358"/>
  <c r="M28" i="358"/>
  <c r="K29" i="358"/>
  <c r="M27" i="359" l="1"/>
  <c r="K28" i="359"/>
  <c r="S26" i="359"/>
  <c r="L26" i="359"/>
  <c r="J27" i="359"/>
  <c r="K30" i="358"/>
  <c r="M29" i="358"/>
  <c r="J27" i="358"/>
  <c r="S26" i="358"/>
  <c r="L26" i="358"/>
  <c r="M28" i="359" l="1"/>
  <c r="K29" i="359"/>
  <c r="J28" i="359"/>
  <c r="S27" i="359"/>
  <c r="L27" i="359"/>
  <c r="S27" i="358"/>
  <c r="L27" i="358"/>
  <c r="J28" i="358"/>
  <c r="M30" i="358"/>
  <c r="K31" i="358"/>
  <c r="M29" i="359" l="1"/>
  <c r="K30" i="359"/>
  <c r="S28" i="359"/>
  <c r="L28" i="359"/>
  <c r="J29" i="359"/>
  <c r="K32" i="358"/>
  <c r="M31" i="358"/>
  <c r="J29" i="358"/>
  <c r="L28" i="358"/>
  <c r="S28" i="358"/>
  <c r="M30" i="359" l="1"/>
  <c r="K31" i="359"/>
  <c r="J30" i="359"/>
  <c r="L29" i="359"/>
  <c r="S29" i="359"/>
  <c r="S29" i="358"/>
  <c r="L29" i="358"/>
  <c r="J30" i="358"/>
  <c r="M32" i="358"/>
  <c r="K33" i="358"/>
  <c r="M31" i="359" l="1"/>
  <c r="K32" i="359"/>
  <c r="S30" i="359"/>
  <c r="L30" i="359"/>
  <c r="J31" i="359"/>
  <c r="K34" i="358"/>
  <c r="M33" i="358"/>
  <c r="J31" i="358"/>
  <c r="S30" i="358"/>
  <c r="L30" i="358"/>
  <c r="M32" i="359" l="1"/>
  <c r="K33" i="359"/>
  <c r="J32" i="359"/>
  <c r="S31" i="359"/>
  <c r="L31" i="359"/>
  <c r="S31" i="358"/>
  <c r="L31" i="358"/>
  <c r="J32" i="358"/>
  <c r="M34" i="358"/>
  <c r="K35" i="358"/>
  <c r="M33" i="359" l="1"/>
  <c r="K34" i="359"/>
  <c r="S32" i="359"/>
  <c r="L32" i="359"/>
  <c r="J33" i="359"/>
  <c r="K36" i="358"/>
  <c r="M35" i="358"/>
  <c r="J33" i="358"/>
  <c r="L32" i="358"/>
  <c r="S32" i="358"/>
  <c r="M34" i="359" l="1"/>
  <c r="K35" i="359"/>
  <c r="J34" i="359"/>
  <c r="L33" i="359"/>
  <c r="S33" i="359"/>
  <c r="S33" i="358"/>
  <c r="L33" i="358"/>
  <c r="J34" i="358"/>
  <c r="M36" i="358"/>
  <c r="K37" i="358"/>
  <c r="M35" i="359" l="1"/>
  <c r="K36" i="359"/>
  <c r="S34" i="359"/>
  <c r="L34" i="359"/>
  <c r="J35" i="359"/>
  <c r="K38" i="358"/>
  <c r="M37" i="358"/>
  <c r="J35" i="358"/>
  <c r="S34" i="358"/>
  <c r="L34" i="358"/>
  <c r="M36" i="359" l="1"/>
  <c r="K37" i="359"/>
  <c r="J36" i="359"/>
  <c r="S35" i="359"/>
  <c r="L35" i="359"/>
  <c r="S35" i="358"/>
  <c r="L35" i="358"/>
  <c r="J36" i="358"/>
  <c r="M38" i="358"/>
  <c r="K39" i="358"/>
  <c r="M37" i="359" l="1"/>
  <c r="K38" i="359"/>
  <c r="S36" i="359"/>
  <c r="L36" i="359"/>
  <c r="J37" i="359"/>
  <c r="K40" i="358"/>
  <c r="M39" i="358"/>
  <c r="J37" i="358"/>
  <c r="L36" i="358"/>
  <c r="S36" i="358"/>
  <c r="M38" i="359" l="1"/>
  <c r="K39" i="359"/>
  <c r="J38" i="359"/>
  <c r="L37" i="359"/>
  <c r="S37" i="359"/>
  <c r="S37" i="358"/>
  <c r="L37" i="358"/>
  <c r="J38" i="358"/>
  <c r="M39" i="359" l="1"/>
  <c r="K40" i="359"/>
  <c r="S38" i="359"/>
  <c r="L38" i="359"/>
  <c r="J39" i="359"/>
  <c r="J39" i="358"/>
  <c r="S38" i="358"/>
  <c r="L38" i="358"/>
  <c r="J40" i="359" l="1"/>
  <c r="S39" i="359"/>
  <c r="L39" i="359"/>
  <c r="S39" i="358"/>
  <c r="L39" i="358"/>
  <c r="J40" i="358"/>
  <c r="E8" i="170" l="1"/>
  <c r="I40" i="247" l="1"/>
  <c r="J8" i="263" l="1"/>
  <c r="E29" i="53" l="1"/>
  <c r="B29" i="53"/>
  <c r="J46" i="357"/>
  <c r="G40" i="357"/>
  <c r="F40" i="357"/>
  <c r="E40" i="357"/>
  <c r="G29" i="53" s="1"/>
  <c r="I39" i="357"/>
  <c r="H39" i="357"/>
  <c r="D39" i="357"/>
  <c r="B39" i="357"/>
  <c r="I38" i="357"/>
  <c r="H38" i="357"/>
  <c r="D38" i="357"/>
  <c r="B38" i="357"/>
  <c r="I37" i="357"/>
  <c r="H37" i="357"/>
  <c r="D37" i="357"/>
  <c r="B37" i="357"/>
  <c r="I36" i="357"/>
  <c r="H36" i="357"/>
  <c r="D36" i="357"/>
  <c r="B36" i="357"/>
  <c r="I35" i="357"/>
  <c r="H35" i="357"/>
  <c r="D35" i="357"/>
  <c r="B35" i="357"/>
  <c r="I34" i="357"/>
  <c r="H34" i="357"/>
  <c r="D34" i="357"/>
  <c r="B34" i="357"/>
  <c r="I33" i="357"/>
  <c r="H33" i="357"/>
  <c r="D33" i="357"/>
  <c r="B33" i="357"/>
  <c r="I32" i="357"/>
  <c r="H32" i="357"/>
  <c r="D32" i="357"/>
  <c r="B32" i="357"/>
  <c r="I31" i="357"/>
  <c r="H31" i="357"/>
  <c r="D31" i="357"/>
  <c r="B31" i="357"/>
  <c r="I30" i="357"/>
  <c r="H30" i="357"/>
  <c r="D30" i="357"/>
  <c r="B30" i="357"/>
  <c r="I29" i="357"/>
  <c r="H29" i="357"/>
  <c r="D29" i="357"/>
  <c r="B29" i="357"/>
  <c r="I28" i="357"/>
  <c r="H28" i="357"/>
  <c r="D28" i="357"/>
  <c r="B28" i="357"/>
  <c r="I27" i="357"/>
  <c r="H27" i="357"/>
  <c r="D27" i="357"/>
  <c r="B27" i="357"/>
  <c r="I26" i="357"/>
  <c r="H26" i="357"/>
  <c r="D26" i="357"/>
  <c r="B26" i="357"/>
  <c r="I25" i="357"/>
  <c r="H25" i="357"/>
  <c r="B25" i="357"/>
  <c r="I24" i="357"/>
  <c r="H24" i="357"/>
  <c r="B24" i="357"/>
  <c r="I23" i="357"/>
  <c r="H23" i="357"/>
  <c r="D23" i="357"/>
  <c r="B23" i="357"/>
  <c r="I22" i="357"/>
  <c r="H22" i="357"/>
  <c r="D22" i="357"/>
  <c r="B22" i="357"/>
  <c r="I21" i="357"/>
  <c r="H21" i="357"/>
  <c r="D21" i="357"/>
  <c r="B21" i="357"/>
  <c r="I20" i="357"/>
  <c r="H20" i="357"/>
  <c r="D20" i="357"/>
  <c r="B20" i="357"/>
  <c r="I19" i="357"/>
  <c r="H19" i="357"/>
  <c r="D19" i="357"/>
  <c r="B19" i="357"/>
  <c r="I18" i="357"/>
  <c r="H18" i="357"/>
  <c r="D18" i="357"/>
  <c r="B18" i="357"/>
  <c r="I17" i="357"/>
  <c r="H17" i="357"/>
  <c r="D17" i="357"/>
  <c r="B17" i="357"/>
  <c r="I16" i="357"/>
  <c r="H16" i="357"/>
  <c r="D16" i="357"/>
  <c r="B16" i="357"/>
  <c r="I15" i="357"/>
  <c r="H15" i="357"/>
  <c r="D15" i="357"/>
  <c r="B15" i="357"/>
  <c r="I14" i="357"/>
  <c r="H14" i="357"/>
  <c r="D14" i="357"/>
  <c r="B14" i="357"/>
  <c r="I13" i="357"/>
  <c r="H13" i="357"/>
  <c r="D13" i="357"/>
  <c r="B13" i="357"/>
  <c r="I12" i="357"/>
  <c r="H12" i="357"/>
  <c r="D12" i="357"/>
  <c r="B12" i="357"/>
  <c r="I11" i="357"/>
  <c r="H11" i="357"/>
  <c r="D11" i="357"/>
  <c r="B11" i="357"/>
  <c r="I10" i="357"/>
  <c r="H10" i="357"/>
  <c r="D10" i="357"/>
  <c r="B10" i="357"/>
  <c r="K9" i="357"/>
  <c r="I9" i="357"/>
  <c r="D9" i="357"/>
  <c r="B9" i="357"/>
  <c r="J8" i="357"/>
  <c r="D29" i="53" s="1"/>
  <c r="I7" i="357"/>
  <c r="K7" i="357" s="1"/>
  <c r="M7" i="357" s="1"/>
  <c r="I5" i="357"/>
  <c r="H5" i="357"/>
  <c r="G5" i="357"/>
  <c r="F5" i="357"/>
  <c r="E5" i="357"/>
  <c r="D5" i="357"/>
  <c r="C5" i="357"/>
  <c r="B5" i="357"/>
  <c r="C4" i="357"/>
  <c r="G41" i="357" l="1"/>
  <c r="G8" i="357"/>
  <c r="F41" i="357"/>
  <c r="F8" i="357"/>
  <c r="G90" i="354"/>
  <c r="H28" i="365"/>
  <c r="E90" i="354"/>
  <c r="F28" i="365"/>
  <c r="D8" i="357"/>
  <c r="D40" i="357"/>
  <c r="F29" i="53" s="1"/>
  <c r="J9" i="357"/>
  <c r="S9" i="357" s="1"/>
  <c r="I29" i="53"/>
  <c r="M9" i="357"/>
  <c r="H29" i="53"/>
  <c r="K10" i="357"/>
  <c r="K11" i="357" s="1"/>
  <c r="E41" i="357"/>
  <c r="K41" i="357" l="1"/>
  <c r="J28" i="365"/>
  <c r="L28" i="365" s="1"/>
  <c r="H90" i="354"/>
  <c r="I28" i="365"/>
  <c r="K29" i="53"/>
  <c r="I90" i="354"/>
  <c r="K90" i="354" s="1"/>
  <c r="L9" i="357"/>
  <c r="J29" i="53"/>
  <c r="J10" i="357"/>
  <c r="S10" i="357" s="1"/>
  <c r="D41" i="357"/>
  <c r="J41" i="357" s="1"/>
  <c r="M11" i="357"/>
  <c r="K12" i="357"/>
  <c r="M10" i="357"/>
  <c r="E98" i="355" l="1"/>
  <c r="G105" i="355"/>
  <c r="L10" i="357"/>
  <c r="J11" i="357"/>
  <c r="S11" i="357" s="1"/>
  <c r="K13" i="357"/>
  <c r="M12" i="357"/>
  <c r="J12" i="357" l="1"/>
  <c r="L12" i="357" s="1"/>
  <c r="L11" i="357"/>
  <c r="M13" i="357"/>
  <c r="K14" i="357"/>
  <c r="S12" i="357" l="1"/>
  <c r="J13" i="357"/>
  <c r="J14" i="357" s="1"/>
  <c r="K15" i="357"/>
  <c r="M14" i="357"/>
  <c r="L13" i="357" l="1"/>
  <c r="S13" i="357"/>
  <c r="M15" i="357"/>
  <c r="K16" i="357"/>
  <c r="S14" i="357"/>
  <c r="L14" i="357"/>
  <c r="J15" i="357"/>
  <c r="M16" i="357" l="1"/>
  <c r="K17" i="357"/>
  <c r="J16" i="357"/>
  <c r="S15" i="357"/>
  <c r="L15" i="357"/>
  <c r="M17" i="357" l="1"/>
  <c r="K18" i="357"/>
  <c r="S16" i="357"/>
  <c r="L16" i="357"/>
  <c r="J17" i="357"/>
  <c r="M18" i="357" l="1"/>
  <c r="K19" i="357"/>
  <c r="J18" i="357"/>
  <c r="L17" i="357"/>
  <c r="S17" i="357"/>
  <c r="M19" i="357" l="1"/>
  <c r="K20" i="357"/>
  <c r="S18" i="357"/>
  <c r="L18" i="357"/>
  <c r="J19" i="357"/>
  <c r="J8" i="356"/>
  <c r="E59" i="53"/>
  <c r="D59" i="53"/>
  <c r="B59" i="53"/>
  <c r="C4" i="356"/>
  <c r="J46" i="356"/>
  <c r="F40" i="356"/>
  <c r="F41" i="356" s="1"/>
  <c r="H39" i="356"/>
  <c r="B39" i="356"/>
  <c r="H38" i="356"/>
  <c r="B38" i="356"/>
  <c r="H37" i="356"/>
  <c r="B37" i="356"/>
  <c r="H36" i="356"/>
  <c r="B36" i="356"/>
  <c r="H35" i="356"/>
  <c r="B35" i="356"/>
  <c r="H34" i="356"/>
  <c r="B34" i="356"/>
  <c r="H33" i="356"/>
  <c r="B33" i="356"/>
  <c r="H32" i="356"/>
  <c r="B32" i="356"/>
  <c r="H31" i="356"/>
  <c r="B31" i="356"/>
  <c r="H30" i="356"/>
  <c r="B30" i="356"/>
  <c r="H29" i="356"/>
  <c r="B29" i="356"/>
  <c r="H28" i="356"/>
  <c r="B28" i="356"/>
  <c r="H27" i="356"/>
  <c r="B27" i="356"/>
  <c r="H26" i="356"/>
  <c r="B26" i="356"/>
  <c r="H25" i="356"/>
  <c r="B25" i="356"/>
  <c r="H24" i="356"/>
  <c r="B24" i="356"/>
  <c r="H23" i="356"/>
  <c r="B23" i="356"/>
  <c r="H22" i="356"/>
  <c r="B22" i="356"/>
  <c r="H21" i="356"/>
  <c r="B21" i="356"/>
  <c r="H20" i="356"/>
  <c r="B20" i="356"/>
  <c r="H19" i="356"/>
  <c r="B19" i="356"/>
  <c r="H18" i="356"/>
  <c r="B18" i="356"/>
  <c r="H17" i="356"/>
  <c r="B17" i="356"/>
  <c r="H16" i="356"/>
  <c r="B16" i="356"/>
  <c r="H15" i="356"/>
  <c r="B15" i="356"/>
  <c r="H14" i="356"/>
  <c r="B14" i="356"/>
  <c r="H13" i="356"/>
  <c r="B13" i="356"/>
  <c r="H12" i="356"/>
  <c r="B12" i="356"/>
  <c r="H11" i="356"/>
  <c r="B11" i="356"/>
  <c r="H10" i="356"/>
  <c r="B10" i="356"/>
  <c r="H9" i="356"/>
  <c r="B9" i="356"/>
  <c r="E8" i="356"/>
  <c r="D8" i="356"/>
  <c r="I7" i="356"/>
  <c r="K7" i="356" s="1"/>
  <c r="M7" i="356" s="1"/>
  <c r="M5" i="356"/>
  <c r="I5" i="356"/>
  <c r="H5" i="356"/>
  <c r="G5" i="356"/>
  <c r="F5" i="356"/>
  <c r="E5" i="356"/>
  <c r="D5" i="356"/>
  <c r="C5" i="356"/>
  <c r="B5" i="356"/>
  <c r="E88" i="354" l="1"/>
  <c r="M20" i="357"/>
  <c r="K21" i="357"/>
  <c r="J20" i="357"/>
  <c r="S19" i="357"/>
  <c r="L19" i="357"/>
  <c r="H59" i="53"/>
  <c r="I39" i="356"/>
  <c r="I38" i="356"/>
  <c r="I37" i="356"/>
  <c r="I36" i="356"/>
  <c r="I35" i="356"/>
  <c r="I34" i="356"/>
  <c r="I33" i="356"/>
  <c r="I32" i="356"/>
  <c r="I31" i="356"/>
  <c r="I30" i="356"/>
  <c r="I29" i="356"/>
  <c r="I28" i="356"/>
  <c r="I27" i="356"/>
  <c r="I26" i="356"/>
  <c r="I25" i="356"/>
  <c r="I24" i="356"/>
  <c r="I23" i="356"/>
  <c r="I22" i="356"/>
  <c r="I21" i="356"/>
  <c r="I20" i="356"/>
  <c r="I19" i="356"/>
  <c r="I18" i="356"/>
  <c r="I17" i="356"/>
  <c r="I16" i="356"/>
  <c r="I15" i="356"/>
  <c r="I14" i="356"/>
  <c r="I13" i="356"/>
  <c r="I9" i="356"/>
  <c r="I10" i="356"/>
  <c r="I11" i="356"/>
  <c r="I12" i="356"/>
  <c r="G40" i="356"/>
  <c r="H88" i="354" l="1"/>
  <c r="M21" i="357"/>
  <c r="K22" i="357"/>
  <c r="S20" i="357"/>
  <c r="L20" i="357"/>
  <c r="J21" i="357"/>
  <c r="G41" i="356"/>
  <c r="I59" i="53"/>
  <c r="I88" i="354" l="1"/>
  <c r="M22" i="357"/>
  <c r="K23" i="357"/>
  <c r="J22" i="357"/>
  <c r="L21" i="357"/>
  <c r="S21" i="357"/>
  <c r="M23" i="357" l="1"/>
  <c r="K24" i="357"/>
  <c r="S22" i="357"/>
  <c r="L22" i="357"/>
  <c r="J23" i="357"/>
  <c r="M24" i="357" l="1"/>
  <c r="K25" i="357"/>
  <c r="J24" i="357"/>
  <c r="S23" i="357"/>
  <c r="L23" i="357"/>
  <c r="M25" i="357" l="1"/>
  <c r="K26" i="357"/>
  <c r="S24" i="357"/>
  <c r="L24" i="357"/>
  <c r="J25" i="357"/>
  <c r="M26" i="357" l="1"/>
  <c r="K27" i="357"/>
  <c r="J26" i="357"/>
  <c r="L25" i="357"/>
  <c r="S25" i="357"/>
  <c r="M27" i="357" l="1"/>
  <c r="K28" i="357"/>
  <c r="S26" i="357"/>
  <c r="L26" i="357"/>
  <c r="J27" i="357"/>
  <c r="M28" i="357" l="1"/>
  <c r="K29" i="357"/>
  <c r="K30" i="357" s="1"/>
  <c r="J28" i="357"/>
  <c r="S27" i="357"/>
  <c r="L27" i="357"/>
  <c r="M29" i="357" l="1"/>
  <c r="S28" i="357"/>
  <c r="L28" i="357"/>
  <c r="J29" i="357"/>
  <c r="M30" i="357" l="1"/>
  <c r="K31" i="357"/>
  <c r="J30" i="357"/>
  <c r="L29" i="357"/>
  <c r="S29" i="357"/>
  <c r="D50" i="341"/>
  <c r="E147" i="354" l="1"/>
  <c r="M31" i="357"/>
  <c r="K32" i="357"/>
  <c r="S30" i="357"/>
  <c r="L30" i="357"/>
  <c r="J31" i="357"/>
  <c r="G147" i="354"/>
  <c r="G140" i="354"/>
  <c r="E111" i="354"/>
  <c r="E84" i="354"/>
  <c r="E83" i="354"/>
  <c r="E44" i="354"/>
  <c r="G38" i="354"/>
  <c r="E36" i="354"/>
  <c r="E34" i="354"/>
  <c r="E33" i="354"/>
  <c r="E32" i="354"/>
  <c r="E31" i="354"/>
  <c r="E30" i="354"/>
  <c r="E29" i="354"/>
  <c r="E28" i="354"/>
  <c r="E27" i="354"/>
  <c r="E24" i="354"/>
  <c r="K24" i="354" s="1"/>
  <c r="E23" i="354"/>
  <c r="K23" i="354" s="1"/>
  <c r="E22" i="354"/>
  <c r="K22" i="354" s="1"/>
  <c r="E20" i="354"/>
  <c r="E19" i="354"/>
  <c r="E12" i="354"/>
  <c r="I9" i="354"/>
  <c r="H9" i="354"/>
  <c r="E9" i="354"/>
  <c r="I8" i="354"/>
  <c r="H8" i="354"/>
  <c r="E8" i="354"/>
  <c r="E216" i="354" l="1"/>
  <c r="E32" i="355"/>
  <c r="E34" i="355"/>
  <c r="E33" i="355"/>
  <c r="K19" i="354"/>
  <c r="K28" i="354"/>
  <c r="K30" i="354"/>
  <c r="K32" i="354"/>
  <c r="K34" i="354"/>
  <c r="K83" i="354"/>
  <c r="K111" i="354"/>
  <c r="K20" i="354"/>
  <c r="K27" i="354"/>
  <c r="K29" i="354"/>
  <c r="K31" i="354"/>
  <c r="K33" i="354"/>
  <c r="K36" i="354"/>
  <c r="K44" i="354"/>
  <c r="K84" i="354"/>
  <c r="M32" i="357"/>
  <c r="K33" i="357"/>
  <c r="J32" i="357"/>
  <c r="S31" i="357"/>
  <c r="L31" i="357"/>
  <c r="K8" i="354"/>
  <c r="K9" i="354"/>
  <c r="K12" i="354"/>
  <c r="E22" i="355" l="1"/>
  <c r="F22" i="355" s="1"/>
  <c r="G22" i="355" s="1"/>
  <c r="E46" i="355"/>
  <c r="E41" i="355"/>
  <c r="F41" i="355" s="1"/>
  <c r="G41" i="355" s="1"/>
  <c r="E37" i="355"/>
  <c r="E44" i="355"/>
  <c r="F44" i="355" s="1"/>
  <c r="G44" i="355" s="1"/>
  <c r="E40" i="355"/>
  <c r="F40" i="355" s="1"/>
  <c r="G40" i="355" s="1"/>
  <c r="E29" i="355"/>
  <c r="E19" i="355"/>
  <c r="E54" i="355"/>
  <c r="E43" i="355"/>
  <c r="E39" i="355"/>
  <c r="E30" i="355"/>
  <c r="E91" i="355"/>
  <c r="E42" i="355"/>
  <c r="E38" i="355"/>
  <c r="F38" i="355" s="1"/>
  <c r="G38" i="355" s="1"/>
  <c r="E18" i="355"/>
  <c r="E92" i="355"/>
  <c r="E114" i="355"/>
  <c r="F32" i="355"/>
  <c r="G32" i="355" s="1"/>
  <c r="F33" i="355"/>
  <c r="G33" i="355" s="1"/>
  <c r="F99" i="355"/>
  <c r="F37" i="355"/>
  <c r="G37" i="355" s="1"/>
  <c r="F31" i="355"/>
  <c r="G65" i="355"/>
  <c r="G30" i="355"/>
  <c r="M33" i="357"/>
  <c r="K34" i="357"/>
  <c r="S32" i="357"/>
  <c r="L32" i="357"/>
  <c r="J33" i="357"/>
  <c r="G31" i="355" l="1"/>
  <c r="F18" i="355"/>
  <c r="G18" i="355" s="1"/>
  <c r="F42" i="355"/>
  <c r="H42" i="355" s="1"/>
  <c r="H30" i="355"/>
  <c r="F43" i="355"/>
  <c r="G43" i="355" s="1"/>
  <c r="F19" i="355"/>
  <c r="G19" i="355" s="1"/>
  <c r="F46" i="355"/>
  <c r="F39" i="355"/>
  <c r="G39" i="355" s="1"/>
  <c r="F54" i="355"/>
  <c r="F29" i="355"/>
  <c r="G42" i="355"/>
  <c r="H29" i="355"/>
  <c r="H33" i="355"/>
  <c r="H39" i="355"/>
  <c r="H37" i="355"/>
  <c r="H40" i="355"/>
  <c r="H32" i="355"/>
  <c r="H31" i="355"/>
  <c r="H38" i="355"/>
  <c r="G99" i="355"/>
  <c r="H99" i="355"/>
  <c r="G100" i="355"/>
  <c r="H100" i="355"/>
  <c r="H41" i="355"/>
  <c r="H22" i="355"/>
  <c r="H19" i="355"/>
  <c r="M34" i="357"/>
  <c r="K35" i="357"/>
  <c r="J34" i="357"/>
  <c r="L33" i="357"/>
  <c r="S33" i="357"/>
  <c r="H43" i="355" l="1"/>
  <c r="G54" i="355"/>
  <c r="H54" i="355"/>
  <c r="G46" i="355"/>
  <c r="H46" i="355"/>
  <c r="H18" i="355"/>
  <c r="G29" i="355"/>
  <c r="M35" i="357"/>
  <c r="K36" i="357"/>
  <c r="S34" i="357"/>
  <c r="L34" i="357"/>
  <c r="J35" i="357"/>
  <c r="M36" i="357" l="1"/>
  <c r="K37" i="357"/>
  <c r="J36" i="357"/>
  <c r="S35" i="357"/>
  <c r="L35" i="357"/>
  <c r="E52" i="53"/>
  <c r="B52" i="53"/>
  <c r="J46" i="352"/>
  <c r="G40" i="352"/>
  <c r="G41" i="352" s="1"/>
  <c r="F40" i="352"/>
  <c r="F41" i="352" s="1"/>
  <c r="E40" i="352"/>
  <c r="G52" i="53" s="1"/>
  <c r="I39" i="352"/>
  <c r="H39" i="352"/>
  <c r="D39" i="352"/>
  <c r="B39" i="352"/>
  <c r="I38" i="352"/>
  <c r="H38" i="352"/>
  <c r="D38" i="352"/>
  <c r="B38" i="352"/>
  <c r="I37" i="352"/>
  <c r="H37" i="352"/>
  <c r="D37" i="352"/>
  <c r="B37" i="352"/>
  <c r="I36" i="352"/>
  <c r="H36" i="352"/>
  <c r="D36" i="352"/>
  <c r="B36" i="352"/>
  <c r="I35" i="352"/>
  <c r="H35" i="352"/>
  <c r="D35" i="352"/>
  <c r="B35" i="352"/>
  <c r="I34" i="352"/>
  <c r="H34" i="352"/>
  <c r="D34" i="352"/>
  <c r="B34" i="352"/>
  <c r="I33" i="352"/>
  <c r="H33" i="352"/>
  <c r="D33" i="352"/>
  <c r="B33" i="352"/>
  <c r="I32" i="352"/>
  <c r="H32" i="352"/>
  <c r="D32" i="352"/>
  <c r="B32" i="352"/>
  <c r="I31" i="352"/>
  <c r="H31" i="352"/>
  <c r="D31" i="352"/>
  <c r="B31" i="352"/>
  <c r="I30" i="352"/>
  <c r="H30" i="352"/>
  <c r="D30" i="352"/>
  <c r="B30" i="352"/>
  <c r="I29" i="352"/>
  <c r="H29" i="352"/>
  <c r="D29" i="352"/>
  <c r="B29" i="352"/>
  <c r="I28" i="352"/>
  <c r="H28" i="352"/>
  <c r="D28" i="352"/>
  <c r="B28" i="352"/>
  <c r="I27" i="352"/>
  <c r="H27" i="352"/>
  <c r="D27" i="352"/>
  <c r="B27" i="352"/>
  <c r="I26" i="352"/>
  <c r="H26" i="352"/>
  <c r="D26" i="352"/>
  <c r="B26" i="352"/>
  <c r="I25" i="352"/>
  <c r="H25" i="352"/>
  <c r="D25" i="352"/>
  <c r="B25" i="352"/>
  <c r="I24" i="352"/>
  <c r="H24" i="352"/>
  <c r="D24" i="352"/>
  <c r="B24" i="352"/>
  <c r="I23" i="352"/>
  <c r="H23" i="352"/>
  <c r="D23" i="352"/>
  <c r="B23" i="352"/>
  <c r="I22" i="352"/>
  <c r="H22" i="352"/>
  <c r="D22" i="352"/>
  <c r="B22" i="352"/>
  <c r="I21" i="352"/>
  <c r="H21" i="352"/>
  <c r="D21" i="352"/>
  <c r="B21" i="352"/>
  <c r="I20" i="352"/>
  <c r="H20" i="352"/>
  <c r="D20" i="352"/>
  <c r="B20" i="352"/>
  <c r="I19" i="352"/>
  <c r="H19" i="352"/>
  <c r="D19" i="352"/>
  <c r="B19" i="352"/>
  <c r="I18" i="352"/>
  <c r="H18" i="352"/>
  <c r="D18" i="352"/>
  <c r="B18" i="352"/>
  <c r="I17" i="352"/>
  <c r="H17" i="352"/>
  <c r="D17" i="352"/>
  <c r="B17" i="352"/>
  <c r="I16" i="352"/>
  <c r="H16" i="352"/>
  <c r="D16" i="352"/>
  <c r="B16" i="352"/>
  <c r="I15" i="352"/>
  <c r="H15" i="352"/>
  <c r="D15" i="352"/>
  <c r="B15" i="352"/>
  <c r="I14" i="352"/>
  <c r="H14" i="352"/>
  <c r="D14" i="352"/>
  <c r="B14" i="352"/>
  <c r="I13" i="352"/>
  <c r="H13" i="352"/>
  <c r="D13" i="352"/>
  <c r="B13" i="352"/>
  <c r="I12" i="352"/>
  <c r="H12" i="352"/>
  <c r="D12" i="352"/>
  <c r="B12" i="352"/>
  <c r="I11" i="352"/>
  <c r="H11" i="352"/>
  <c r="D11" i="352"/>
  <c r="B11" i="352"/>
  <c r="I10" i="352"/>
  <c r="H10" i="352"/>
  <c r="D10" i="352"/>
  <c r="B10" i="352"/>
  <c r="K9" i="352"/>
  <c r="I9" i="352"/>
  <c r="H9" i="352"/>
  <c r="D9" i="352"/>
  <c r="B9" i="352"/>
  <c r="J8" i="352"/>
  <c r="D52" i="53" s="1"/>
  <c r="F8" i="352"/>
  <c r="E8" i="352"/>
  <c r="I7" i="352"/>
  <c r="K7" i="352" s="1"/>
  <c r="M7" i="352" s="1"/>
  <c r="M5" i="352"/>
  <c r="I5" i="352"/>
  <c r="H5" i="352"/>
  <c r="G5" i="352"/>
  <c r="F5" i="352"/>
  <c r="E5" i="352"/>
  <c r="D5" i="352"/>
  <c r="C5" i="352"/>
  <c r="B5" i="352"/>
  <c r="C4" i="352"/>
  <c r="D8" i="352" l="1"/>
  <c r="J9" i="352"/>
  <c r="O9" i="352" s="1"/>
  <c r="M37" i="357"/>
  <c r="K38" i="357"/>
  <c r="S36" i="357"/>
  <c r="L36" i="357"/>
  <c r="J37" i="357"/>
  <c r="J10" i="352"/>
  <c r="O10" i="352" s="1"/>
  <c r="M9" i="352"/>
  <c r="I52" i="53"/>
  <c r="K52" i="53" s="1"/>
  <c r="E41" i="352"/>
  <c r="K41" i="352" s="1"/>
  <c r="G8" i="352"/>
  <c r="K10" i="352"/>
  <c r="K11" i="352" s="1"/>
  <c r="M11" i="352" s="1"/>
  <c r="H52" i="53"/>
  <c r="D40" i="352"/>
  <c r="L9" i="352" l="1"/>
  <c r="J11" i="352"/>
  <c r="J12" i="352" s="1"/>
  <c r="L10" i="352"/>
  <c r="K12" i="352"/>
  <c r="M12" i="352" s="1"/>
  <c r="M38" i="357"/>
  <c r="K39" i="357"/>
  <c r="J38" i="357"/>
  <c r="L37" i="357"/>
  <c r="S37" i="357"/>
  <c r="M10" i="352"/>
  <c r="D41" i="352"/>
  <c r="J41" i="352" s="1"/>
  <c r="F52" i="53"/>
  <c r="J52" i="53" s="1"/>
  <c r="E8" i="284"/>
  <c r="E8" i="263"/>
  <c r="K13" i="352" l="1"/>
  <c r="K14" i="352" s="1"/>
  <c r="L11" i="352"/>
  <c r="O11" i="352"/>
  <c r="M39" i="357"/>
  <c r="K40" i="357"/>
  <c r="S38" i="357"/>
  <c r="L38" i="357"/>
  <c r="J39" i="357"/>
  <c r="M13" i="352"/>
  <c r="O12" i="352"/>
  <c r="L12" i="352"/>
  <c r="J13" i="352"/>
  <c r="J40" i="357" l="1"/>
  <c r="S39" i="357"/>
  <c r="L39" i="357"/>
  <c r="K15" i="352"/>
  <c r="M14" i="352"/>
  <c r="J14" i="352"/>
  <c r="O13" i="352"/>
  <c r="L13" i="352"/>
  <c r="O14" i="352" l="1"/>
  <c r="L14" i="352"/>
  <c r="J15" i="352"/>
  <c r="M15" i="352"/>
  <c r="K16" i="352"/>
  <c r="K17" i="352" l="1"/>
  <c r="M16" i="352"/>
  <c r="J16" i="352"/>
  <c r="L15" i="352"/>
  <c r="O15" i="352"/>
  <c r="L52" i="341"/>
  <c r="D155" i="53"/>
  <c r="B155" i="53"/>
  <c r="B52" i="341" s="1"/>
  <c r="D52" i="341" l="1"/>
  <c r="E150" i="354" s="1"/>
  <c r="O16" i="352"/>
  <c r="L16" i="352"/>
  <c r="J17" i="352"/>
  <c r="M17" i="352"/>
  <c r="K18" i="352"/>
  <c r="K40" i="350"/>
  <c r="J40" i="350"/>
  <c r="I40" i="350"/>
  <c r="D40" i="350"/>
  <c r="F155" i="53" s="1"/>
  <c r="B39" i="350"/>
  <c r="B38" i="350"/>
  <c r="B37" i="350"/>
  <c r="B36" i="350"/>
  <c r="B35" i="350"/>
  <c r="B34" i="350"/>
  <c r="B33" i="350"/>
  <c r="B32" i="350"/>
  <c r="B31" i="350"/>
  <c r="B30" i="350"/>
  <c r="B29" i="350"/>
  <c r="B28" i="350"/>
  <c r="B27" i="350"/>
  <c r="B26" i="350"/>
  <c r="B25" i="350"/>
  <c r="B24" i="350"/>
  <c r="B23" i="350"/>
  <c r="B22" i="350"/>
  <c r="B21" i="350"/>
  <c r="B20" i="350"/>
  <c r="B19" i="350"/>
  <c r="B18" i="350"/>
  <c r="B17" i="350"/>
  <c r="B16" i="350"/>
  <c r="B15" i="350"/>
  <c r="B14" i="350"/>
  <c r="B13" i="350"/>
  <c r="B12" i="350"/>
  <c r="B11" i="350"/>
  <c r="B10" i="350"/>
  <c r="F9" i="350"/>
  <c r="B9" i="350"/>
  <c r="D8" i="350"/>
  <c r="I5" i="350"/>
  <c r="H5" i="350"/>
  <c r="G5" i="350"/>
  <c r="F5" i="350"/>
  <c r="E5" i="350"/>
  <c r="D5" i="350"/>
  <c r="C5" i="350"/>
  <c r="B5" i="350"/>
  <c r="F61" i="365" l="1"/>
  <c r="D41" i="350"/>
  <c r="K19" i="352"/>
  <c r="M18" i="352"/>
  <c r="J18" i="352"/>
  <c r="O17" i="352"/>
  <c r="L17" i="352"/>
  <c r="E40" i="350"/>
  <c r="H155" i="53" s="1"/>
  <c r="H52" i="341" s="1"/>
  <c r="F52" i="341"/>
  <c r="F38" i="350"/>
  <c r="F37" i="350"/>
  <c r="F36" i="350"/>
  <c r="F35" i="350"/>
  <c r="F34" i="350"/>
  <c r="F33" i="350"/>
  <c r="F32" i="350"/>
  <c r="F10" i="350"/>
  <c r="F11" i="350"/>
  <c r="F12" i="350"/>
  <c r="F13" i="350"/>
  <c r="F14" i="350"/>
  <c r="F15" i="350"/>
  <c r="F16" i="350"/>
  <c r="F17" i="350"/>
  <c r="F18" i="350"/>
  <c r="F19" i="350"/>
  <c r="F20" i="350"/>
  <c r="F21" i="350"/>
  <c r="F22" i="350"/>
  <c r="F23" i="350"/>
  <c r="F24" i="350"/>
  <c r="F25" i="350"/>
  <c r="F26" i="350"/>
  <c r="F27" i="350"/>
  <c r="F28" i="350"/>
  <c r="F29" i="350"/>
  <c r="F30" i="350"/>
  <c r="F31" i="350"/>
  <c r="G9" i="350"/>
  <c r="J155" i="53" l="1"/>
  <c r="M155" i="53" s="1"/>
  <c r="G150" i="354"/>
  <c r="H61" i="365"/>
  <c r="I150" i="354"/>
  <c r="L150" i="354" s="1"/>
  <c r="J61" i="365"/>
  <c r="E8" i="350"/>
  <c r="F39" i="350" s="1"/>
  <c r="O18" i="352"/>
  <c r="L18" i="352"/>
  <c r="J19" i="352"/>
  <c r="M19" i="352"/>
  <c r="K20" i="352"/>
  <c r="J52" i="341"/>
  <c r="M52" i="341" s="1"/>
  <c r="E41" i="350"/>
  <c r="G41" i="350" s="1"/>
  <c r="G10" i="350"/>
  <c r="M9" i="350"/>
  <c r="H9" i="350"/>
  <c r="M5" i="349"/>
  <c r="L61" i="365" l="1"/>
  <c r="K150" i="354"/>
  <c r="G57" i="421" s="1"/>
  <c r="P57" i="421" s="1"/>
  <c r="K21" i="352"/>
  <c r="M20" i="352"/>
  <c r="J20" i="352"/>
  <c r="L19" i="352"/>
  <c r="O19" i="352"/>
  <c r="G11" i="350"/>
  <c r="M10" i="350"/>
  <c r="H10" i="350"/>
  <c r="O20" i="352" l="1"/>
  <c r="L20" i="352"/>
  <c r="J21" i="352"/>
  <c r="M21" i="352"/>
  <c r="K22" i="352"/>
  <c r="G12" i="350"/>
  <c r="M11" i="350"/>
  <c r="H11" i="350"/>
  <c r="H79" i="421" l="1"/>
  <c r="G79" i="421"/>
  <c r="P79" i="421" s="1"/>
  <c r="K23" i="352"/>
  <c r="M22" i="352"/>
  <c r="J22" i="352"/>
  <c r="O21" i="352"/>
  <c r="L21" i="352"/>
  <c r="G13" i="350"/>
  <c r="M12" i="350"/>
  <c r="H12" i="350"/>
  <c r="O22" i="352" l="1"/>
  <c r="L22" i="352"/>
  <c r="J23" i="352"/>
  <c r="M23" i="352"/>
  <c r="K24" i="352"/>
  <c r="G14" i="350"/>
  <c r="M13" i="350"/>
  <c r="H13" i="350"/>
  <c r="K25" i="352" l="1"/>
  <c r="M24" i="352"/>
  <c r="J24" i="352"/>
  <c r="L23" i="352"/>
  <c r="O23" i="352"/>
  <c r="G15" i="350"/>
  <c r="M14" i="350"/>
  <c r="H14" i="350"/>
  <c r="K40" i="264"/>
  <c r="N46" i="365" s="1"/>
  <c r="G91" i="351" l="1"/>
  <c r="O24" i="352"/>
  <c r="L24" i="352"/>
  <c r="J25" i="352"/>
  <c r="M25" i="352"/>
  <c r="K26" i="352"/>
  <c r="G16" i="350"/>
  <c r="M15" i="350"/>
  <c r="H15" i="350"/>
  <c r="K27" i="352" l="1"/>
  <c r="M26" i="352"/>
  <c r="J26" i="352"/>
  <c r="O25" i="352"/>
  <c r="L25" i="352"/>
  <c r="G17" i="350"/>
  <c r="M16" i="350"/>
  <c r="H16" i="350"/>
  <c r="O26" i="352" l="1"/>
  <c r="L26" i="352"/>
  <c r="J27" i="352"/>
  <c r="M27" i="352"/>
  <c r="K28" i="352"/>
  <c r="G18" i="350"/>
  <c r="M17" i="350"/>
  <c r="H17" i="350"/>
  <c r="E28" i="53"/>
  <c r="B28" i="53"/>
  <c r="J46" i="349"/>
  <c r="E40" i="349"/>
  <c r="G28" i="53" s="1"/>
  <c r="D39" i="349"/>
  <c r="B39" i="349"/>
  <c r="D38" i="349"/>
  <c r="B38" i="349"/>
  <c r="D37" i="349"/>
  <c r="B37" i="349"/>
  <c r="D36" i="349"/>
  <c r="B36" i="349"/>
  <c r="D35" i="349"/>
  <c r="B35" i="349"/>
  <c r="D34" i="349"/>
  <c r="B34" i="349"/>
  <c r="D33" i="349"/>
  <c r="B33" i="349"/>
  <c r="D32" i="349"/>
  <c r="B32" i="349"/>
  <c r="D31" i="349"/>
  <c r="B31" i="349"/>
  <c r="D30" i="349"/>
  <c r="B30" i="349"/>
  <c r="D29" i="349"/>
  <c r="B29" i="349"/>
  <c r="D28" i="349"/>
  <c r="B28" i="349"/>
  <c r="D27" i="349"/>
  <c r="B27" i="349"/>
  <c r="D26" i="349"/>
  <c r="B26" i="349"/>
  <c r="D25" i="349"/>
  <c r="B25" i="349"/>
  <c r="B24" i="349"/>
  <c r="D23" i="349"/>
  <c r="B23" i="349"/>
  <c r="D22" i="349"/>
  <c r="B22" i="349"/>
  <c r="D21" i="349"/>
  <c r="B21" i="349"/>
  <c r="D20" i="349"/>
  <c r="B20" i="349"/>
  <c r="D19" i="349"/>
  <c r="B19" i="349"/>
  <c r="D18" i="349"/>
  <c r="B18" i="349"/>
  <c r="D17" i="349"/>
  <c r="B17" i="349"/>
  <c r="D16" i="349"/>
  <c r="B16" i="349"/>
  <c r="D15" i="349"/>
  <c r="B15" i="349"/>
  <c r="D14" i="349"/>
  <c r="B14" i="349"/>
  <c r="H38" i="349"/>
  <c r="D13" i="349"/>
  <c r="B13" i="349"/>
  <c r="D12" i="349"/>
  <c r="B12" i="349"/>
  <c r="I11" i="349"/>
  <c r="H11" i="349"/>
  <c r="D11" i="349"/>
  <c r="B11" i="349"/>
  <c r="I10" i="349"/>
  <c r="H10" i="349"/>
  <c r="D10" i="349"/>
  <c r="B10" i="349"/>
  <c r="K9" i="349"/>
  <c r="I9" i="349"/>
  <c r="H9" i="349"/>
  <c r="D9" i="349"/>
  <c r="B9" i="349"/>
  <c r="J8" i="349"/>
  <c r="D28" i="53" s="1"/>
  <c r="E8" i="349"/>
  <c r="I7" i="349"/>
  <c r="K7" i="349" s="1"/>
  <c r="M7" i="349" s="1"/>
  <c r="I5" i="349"/>
  <c r="H5" i="349"/>
  <c r="G5" i="349"/>
  <c r="F5" i="349"/>
  <c r="E5" i="349"/>
  <c r="D5" i="349"/>
  <c r="C5" i="349"/>
  <c r="B5" i="349"/>
  <c r="C4" i="349"/>
  <c r="E41" i="349" l="1"/>
  <c r="G57" i="354"/>
  <c r="H17" i="365"/>
  <c r="E57" i="354"/>
  <c r="F17" i="365"/>
  <c r="D8" i="349"/>
  <c r="D40" i="349"/>
  <c r="F28" i="53" s="1"/>
  <c r="K29" i="352"/>
  <c r="M28" i="352"/>
  <c r="J28" i="352"/>
  <c r="L27" i="352"/>
  <c r="O27" i="352"/>
  <c r="G19" i="350"/>
  <c r="M18" i="350"/>
  <c r="H18" i="350"/>
  <c r="M9" i="349"/>
  <c r="J9" i="349"/>
  <c r="K10" i="349"/>
  <c r="K11" i="349" s="1"/>
  <c r="M11" i="349" s="1"/>
  <c r="G40" i="349"/>
  <c r="I28" i="53" s="1"/>
  <c r="I38" i="349"/>
  <c r="I36" i="349"/>
  <c r="I34" i="349"/>
  <c r="I32" i="349"/>
  <c r="I30" i="349"/>
  <c r="I28" i="349"/>
  <c r="I26" i="349"/>
  <c r="I24" i="349"/>
  <c r="I22" i="349"/>
  <c r="I20" i="349"/>
  <c r="I18" i="349"/>
  <c r="I12" i="349"/>
  <c r="H13" i="349"/>
  <c r="I14" i="349"/>
  <c r="H15" i="349"/>
  <c r="I16" i="349"/>
  <c r="H17" i="349"/>
  <c r="H18" i="349"/>
  <c r="I19" i="349"/>
  <c r="H22" i="349"/>
  <c r="I23" i="349"/>
  <c r="H26" i="349"/>
  <c r="I27" i="349"/>
  <c r="H30" i="349"/>
  <c r="I31" i="349"/>
  <c r="H34" i="349"/>
  <c r="I35" i="349"/>
  <c r="I39" i="349"/>
  <c r="H39" i="349"/>
  <c r="H37" i="349"/>
  <c r="H35" i="349"/>
  <c r="H33" i="349"/>
  <c r="H31" i="349"/>
  <c r="H29" i="349"/>
  <c r="H27" i="349"/>
  <c r="H25" i="349"/>
  <c r="H23" i="349"/>
  <c r="H21" i="349"/>
  <c r="H19" i="349"/>
  <c r="H12" i="349"/>
  <c r="I13" i="349"/>
  <c r="H14" i="349"/>
  <c r="I15" i="349"/>
  <c r="H16" i="349"/>
  <c r="I17" i="349"/>
  <c r="H20" i="349"/>
  <c r="I21" i="349"/>
  <c r="H24" i="349"/>
  <c r="I25" i="349"/>
  <c r="H28" i="349"/>
  <c r="I29" i="349"/>
  <c r="H32" i="349"/>
  <c r="I33" i="349"/>
  <c r="H36" i="349"/>
  <c r="I37" i="349"/>
  <c r="F40" i="349"/>
  <c r="H28" i="53" s="1"/>
  <c r="J17" i="365" l="1"/>
  <c r="L17" i="365" s="1"/>
  <c r="H57" i="354"/>
  <c r="I17" i="365"/>
  <c r="J10" i="349"/>
  <c r="J11" i="349" s="1"/>
  <c r="S9" i="349"/>
  <c r="D41" i="349"/>
  <c r="L9" i="349"/>
  <c r="K28" i="53"/>
  <c r="I57" i="354"/>
  <c r="K57" i="354" s="1"/>
  <c r="O28" i="352"/>
  <c r="L28" i="352"/>
  <c r="J29" i="352"/>
  <c r="M29" i="352"/>
  <c r="K30" i="352"/>
  <c r="K12" i="349"/>
  <c r="M12" i="349" s="1"/>
  <c r="G20" i="350"/>
  <c r="M19" i="350"/>
  <c r="H19" i="350"/>
  <c r="J28" i="53"/>
  <c r="M10" i="349"/>
  <c r="F8" i="349"/>
  <c r="F41" i="349"/>
  <c r="G41" i="349"/>
  <c r="K41" i="349" s="1"/>
  <c r="G8" i="349"/>
  <c r="E67" i="355" l="1"/>
  <c r="K13" i="349"/>
  <c r="K14" i="349" s="1"/>
  <c r="E24" i="318"/>
  <c r="J12" i="349"/>
  <c r="L12" i="349" s="1"/>
  <c r="S11" i="349"/>
  <c r="L10" i="349"/>
  <c r="S10" i="349"/>
  <c r="J41" i="349"/>
  <c r="F24" i="318"/>
  <c r="K31" i="352"/>
  <c r="M30" i="352"/>
  <c r="J30" i="352"/>
  <c r="O29" i="352"/>
  <c r="L29" i="352"/>
  <c r="L11" i="349"/>
  <c r="G21" i="350"/>
  <c r="M20" i="350"/>
  <c r="H20" i="350"/>
  <c r="M13" i="349" l="1"/>
  <c r="H67" i="355"/>
  <c r="S12" i="349"/>
  <c r="J13" i="349"/>
  <c r="J14" i="349" s="1"/>
  <c r="O30" i="352"/>
  <c r="L30" i="352"/>
  <c r="J31" i="352"/>
  <c r="M31" i="352"/>
  <c r="K32" i="352"/>
  <c r="G22" i="350"/>
  <c r="M21" i="350"/>
  <c r="H21" i="350"/>
  <c r="K15" i="349"/>
  <c r="M14" i="349"/>
  <c r="J8" i="163"/>
  <c r="E70" i="53"/>
  <c r="B70" i="53"/>
  <c r="J46" i="348"/>
  <c r="G41" i="348"/>
  <c r="F40" i="348"/>
  <c r="F41" i="348" s="1"/>
  <c r="E40" i="348"/>
  <c r="I39" i="348"/>
  <c r="H39" i="348"/>
  <c r="D39" i="348"/>
  <c r="B39" i="348"/>
  <c r="I38" i="348"/>
  <c r="H38" i="348"/>
  <c r="D38" i="348"/>
  <c r="B38" i="348"/>
  <c r="I37" i="348"/>
  <c r="H37" i="348"/>
  <c r="D37" i="348"/>
  <c r="B37" i="348"/>
  <c r="I36" i="348"/>
  <c r="H36" i="348"/>
  <c r="D36" i="348"/>
  <c r="B36" i="348"/>
  <c r="I35" i="348"/>
  <c r="H35" i="348"/>
  <c r="D35" i="348"/>
  <c r="B35" i="348"/>
  <c r="I34" i="348"/>
  <c r="H34" i="348"/>
  <c r="D34" i="348"/>
  <c r="B34" i="348"/>
  <c r="I33" i="348"/>
  <c r="H33" i="348"/>
  <c r="D33" i="348"/>
  <c r="B33" i="348"/>
  <c r="I32" i="348"/>
  <c r="H32" i="348"/>
  <c r="D32" i="348"/>
  <c r="B32" i="348"/>
  <c r="I31" i="348"/>
  <c r="H31" i="348"/>
  <c r="D31" i="348"/>
  <c r="B31" i="348"/>
  <c r="I30" i="348"/>
  <c r="H30" i="348"/>
  <c r="D30" i="348"/>
  <c r="B30" i="348"/>
  <c r="I29" i="348"/>
  <c r="H29" i="348"/>
  <c r="D29" i="348"/>
  <c r="B29" i="348"/>
  <c r="I28" i="348"/>
  <c r="H28" i="348"/>
  <c r="D28" i="348"/>
  <c r="B28" i="348"/>
  <c r="I27" i="348"/>
  <c r="H27" i="348"/>
  <c r="D27" i="348"/>
  <c r="B27" i="348"/>
  <c r="I26" i="348"/>
  <c r="H26" i="348"/>
  <c r="D26" i="348"/>
  <c r="B26" i="348"/>
  <c r="I25" i="348"/>
  <c r="H25" i="348"/>
  <c r="B25" i="348"/>
  <c r="I24" i="348"/>
  <c r="H24" i="348"/>
  <c r="B24" i="348"/>
  <c r="I23" i="348"/>
  <c r="H23" i="348"/>
  <c r="D23" i="348"/>
  <c r="B23" i="348"/>
  <c r="I22" i="348"/>
  <c r="H22" i="348"/>
  <c r="D22" i="348"/>
  <c r="B22" i="348"/>
  <c r="I21" i="348"/>
  <c r="H21" i="348"/>
  <c r="D21" i="348"/>
  <c r="B21" i="348"/>
  <c r="I20" i="348"/>
  <c r="H20" i="348"/>
  <c r="D20" i="348"/>
  <c r="B20" i="348"/>
  <c r="I19" i="348"/>
  <c r="H19" i="348"/>
  <c r="D19" i="348"/>
  <c r="B19" i="348"/>
  <c r="I18" i="348"/>
  <c r="H18" i="348"/>
  <c r="D18" i="348"/>
  <c r="B18" i="348"/>
  <c r="I17" i="348"/>
  <c r="H17" i="348"/>
  <c r="D17" i="348"/>
  <c r="B17" i="348"/>
  <c r="I16" i="348"/>
  <c r="H16" i="348"/>
  <c r="D16" i="348"/>
  <c r="B16" i="348"/>
  <c r="I15" i="348"/>
  <c r="H15" i="348"/>
  <c r="D15" i="348"/>
  <c r="B15" i="348"/>
  <c r="I14" i="348"/>
  <c r="H14" i="348"/>
  <c r="D14" i="348"/>
  <c r="B14" i="348"/>
  <c r="I13" i="348"/>
  <c r="H13" i="348"/>
  <c r="D13" i="348"/>
  <c r="B13" i="348"/>
  <c r="I12" i="348"/>
  <c r="H12" i="348"/>
  <c r="D12" i="348"/>
  <c r="B12" i="348"/>
  <c r="I11" i="348"/>
  <c r="H11" i="348"/>
  <c r="D11" i="348"/>
  <c r="B11" i="348"/>
  <c r="I10" i="348"/>
  <c r="H10" i="348"/>
  <c r="D10" i="348"/>
  <c r="B10" i="348"/>
  <c r="K9" i="348"/>
  <c r="K10" i="348" s="1"/>
  <c r="M10" i="348" s="1"/>
  <c r="I9" i="348"/>
  <c r="H9" i="348"/>
  <c r="D9" i="348"/>
  <c r="B9" i="348"/>
  <c r="J8" i="348"/>
  <c r="J9" i="348" s="1"/>
  <c r="E8" i="348"/>
  <c r="I7" i="348"/>
  <c r="K7" i="348" s="1"/>
  <c r="M7" i="348" s="1"/>
  <c r="M5" i="348"/>
  <c r="I5" i="348"/>
  <c r="H5" i="348"/>
  <c r="G5" i="348"/>
  <c r="F5" i="348"/>
  <c r="E5" i="348"/>
  <c r="D5" i="348"/>
  <c r="C5" i="348"/>
  <c r="B5" i="348"/>
  <c r="C4" i="348"/>
  <c r="D9" i="347"/>
  <c r="D39" i="347"/>
  <c r="D38" i="347"/>
  <c r="D37" i="347"/>
  <c r="D36" i="347"/>
  <c r="D35" i="347"/>
  <c r="D34" i="347"/>
  <c r="D33" i="347"/>
  <c r="D32" i="347"/>
  <c r="D31" i="347"/>
  <c r="D30" i="347"/>
  <c r="D29" i="347"/>
  <c r="D28" i="347"/>
  <c r="D27" i="347"/>
  <c r="D26" i="347"/>
  <c r="D23" i="347"/>
  <c r="D22" i="347"/>
  <c r="D21" i="347"/>
  <c r="D20" i="347"/>
  <c r="D19" i="347"/>
  <c r="D18" i="347"/>
  <c r="D17" i="347"/>
  <c r="D16" i="347"/>
  <c r="D15" i="347"/>
  <c r="D14" i="347"/>
  <c r="D13" i="347"/>
  <c r="D12" i="347"/>
  <c r="D11" i="347"/>
  <c r="D10" i="347"/>
  <c r="J8" i="347"/>
  <c r="E69" i="53"/>
  <c r="D69" i="53"/>
  <c r="C70" i="53"/>
  <c r="B69" i="53"/>
  <c r="C4" i="347"/>
  <c r="J46" i="347"/>
  <c r="G40" i="347"/>
  <c r="G41" i="347" s="1"/>
  <c r="F40" i="347"/>
  <c r="F41" i="347" s="1"/>
  <c r="E40" i="347"/>
  <c r="G69" i="53" s="1"/>
  <c r="I39" i="347"/>
  <c r="H39" i="347"/>
  <c r="B39" i="347"/>
  <c r="I38" i="347"/>
  <c r="H38" i="347"/>
  <c r="B38" i="347"/>
  <c r="I37" i="347"/>
  <c r="H37" i="347"/>
  <c r="B37" i="347"/>
  <c r="I36" i="347"/>
  <c r="H36" i="347"/>
  <c r="B36" i="347"/>
  <c r="I35" i="347"/>
  <c r="H35" i="347"/>
  <c r="B35" i="347"/>
  <c r="I34" i="347"/>
  <c r="H34" i="347"/>
  <c r="B34" i="347"/>
  <c r="I33" i="347"/>
  <c r="H33" i="347"/>
  <c r="B33" i="347"/>
  <c r="I32" i="347"/>
  <c r="H32" i="347"/>
  <c r="B32" i="347"/>
  <c r="I31" i="347"/>
  <c r="H31" i="347"/>
  <c r="B31" i="347"/>
  <c r="I30" i="347"/>
  <c r="H30" i="347"/>
  <c r="B30" i="347"/>
  <c r="I29" i="347"/>
  <c r="H29" i="347"/>
  <c r="B29" i="347"/>
  <c r="I28" i="347"/>
  <c r="H28" i="347"/>
  <c r="B28" i="347"/>
  <c r="I27" i="347"/>
  <c r="H27" i="347"/>
  <c r="B27" i="347"/>
  <c r="I26" i="347"/>
  <c r="H26" i="347"/>
  <c r="B26" i="347"/>
  <c r="I25" i="347"/>
  <c r="B25" i="347"/>
  <c r="I24" i="347"/>
  <c r="B24" i="347"/>
  <c r="I23" i="347"/>
  <c r="H23" i="347"/>
  <c r="B23" i="347"/>
  <c r="I22" i="347"/>
  <c r="H22" i="347"/>
  <c r="B22" i="347"/>
  <c r="I21" i="347"/>
  <c r="H21" i="347"/>
  <c r="B21" i="347"/>
  <c r="I20" i="347"/>
  <c r="H20" i="347"/>
  <c r="B20" i="347"/>
  <c r="I19" i="347"/>
  <c r="H19" i="347"/>
  <c r="B19" i="347"/>
  <c r="I18" i="347"/>
  <c r="H18" i="347"/>
  <c r="B18" i="347"/>
  <c r="I17" i="347"/>
  <c r="H17" i="347"/>
  <c r="B17" i="347"/>
  <c r="I16" i="347"/>
  <c r="H16" i="347"/>
  <c r="B16" i="347"/>
  <c r="I15" i="347"/>
  <c r="H15" i="347"/>
  <c r="B15" i="347"/>
  <c r="I14" i="347"/>
  <c r="H14" i="347"/>
  <c r="B14" i="347"/>
  <c r="I13" i="347"/>
  <c r="H13" i="347"/>
  <c r="B13" i="347"/>
  <c r="I12" i="347"/>
  <c r="H12" i="347"/>
  <c r="B12" i="347"/>
  <c r="I11" i="347"/>
  <c r="H11" i="347"/>
  <c r="B11" i="347"/>
  <c r="I10" i="347"/>
  <c r="H10" i="347"/>
  <c r="B10" i="347"/>
  <c r="K9" i="347"/>
  <c r="K10" i="347" s="1"/>
  <c r="I9" i="347"/>
  <c r="H9" i="347"/>
  <c r="B9" i="347"/>
  <c r="I7" i="347"/>
  <c r="K7" i="347" s="1"/>
  <c r="M7" i="347" s="1"/>
  <c r="M5" i="347"/>
  <c r="I5" i="347"/>
  <c r="H5" i="347"/>
  <c r="G5" i="347"/>
  <c r="F5" i="347"/>
  <c r="E5" i="347"/>
  <c r="D5" i="347"/>
  <c r="C5" i="347"/>
  <c r="B5" i="347"/>
  <c r="J9" i="347" l="1"/>
  <c r="L9" i="347" s="1"/>
  <c r="E48" i="354"/>
  <c r="E47" i="354"/>
  <c r="D8" i="348"/>
  <c r="D8" i="347"/>
  <c r="D40" i="348"/>
  <c r="F70" i="53" s="1"/>
  <c r="S13" i="349"/>
  <c r="L13" i="349"/>
  <c r="M9" i="348"/>
  <c r="K11" i="348"/>
  <c r="K12" i="348" s="1"/>
  <c r="M12" i="348" s="1"/>
  <c r="E41" i="348"/>
  <c r="K41" i="348" s="1"/>
  <c r="D40" i="347"/>
  <c r="F69" i="53" s="1"/>
  <c r="G48" i="354"/>
  <c r="K33" i="352"/>
  <c r="M32" i="352"/>
  <c r="J32" i="352"/>
  <c r="L31" i="352"/>
  <c r="O31" i="352"/>
  <c r="D70" i="53"/>
  <c r="E41" i="347"/>
  <c r="K41" i="347" s="1"/>
  <c r="G23" i="350"/>
  <c r="M22" i="350"/>
  <c r="H22" i="350"/>
  <c r="I70" i="53"/>
  <c r="S14" i="349"/>
  <c r="L14" i="349"/>
  <c r="J15" i="349"/>
  <c r="M15" i="349"/>
  <c r="K16" i="349"/>
  <c r="H70" i="53"/>
  <c r="I69" i="53"/>
  <c r="H69" i="53"/>
  <c r="G70" i="53"/>
  <c r="S9" i="348"/>
  <c r="L9" i="348"/>
  <c r="J10" i="348"/>
  <c r="K11" i="347"/>
  <c r="M10" i="347"/>
  <c r="S9" i="347"/>
  <c r="M9" i="347"/>
  <c r="J10" i="347" l="1"/>
  <c r="J11" i="347" s="1"/>
  <c r="S11" i="347" s="1"/>
  <c r="G47" i="354"/>
  <c r="M11" i="348"/>
  <c r="D41" i="348"/>
  <c r="J41" i="348" s="1"/>
  <c r="K13" i="348"/>
  <c r="K14" i="348" s="1"/>
  <c r="D41" i="347"/>
  <c r="J41" i="347" s="1"/>
  <c r="I47" i="354"/>
  <c r="L69" i="53"/>
  <c r="H48" i="354"/>
  <c r="K69" i="53"/>
  <c r="I48" i="354"/>
  <c r="F20" i="318" s="1"/>
  <c r="L70" i="53"/>
  <c r="H47" i="354"/>
  <c r="O32" i="352"/>
  <c r="L32" i="352"/>
  <c r="J33" i="352"/>
  <c r="M33" i="352"/>
  <c r="K34" i="352"/>
  <c r="G24" i="350"/>
  <c r="M23" i="350"/>
  <c r="H23" i="350"/>
  <c r="K70" i="53"/>
  <c r="J70" i="53"/>
  <c r="K17" i="349"/>
  <c r="M16" i="349"/>
  <c r="J16" i="349"/>
  <c r="S15" i="349"/>
  <c r="L15" i="349"/>
  <c r="J69" i="53"/>
  <c r="J11" i="348"/>
  <c r="S10" i="348"/>
  <c r="L10" i="348"/>
  <c r="K12" i="347"/>
  <c r="M11" i="347"/>
  <c r="L11" i="347"/>
  <c r="E20" i="318" l="1"/>
  <c r="L10" i="347"/>
  <c r="J12" i="347"/>
  <c r="J13" i="347" s="1"/>
  <c r="S10" i="347"/>
  <c r="K47" i="354"/>
  <c r="K48" i="354"/>
  <c r="M13" i="348"/>
  <c r="M69" i="53"/>
  <c r="M70" i="53"/>
  <c r="K35" i="352"/>
  <c r="M34" i="352"/>
  <c r="J34" i="352"/>
  <c r="O33" i="352"/>
  <c r="L33" i="352"/>
  <c r="G25" i="350"/>
  <c r="M24" i="350"/>
  <c r="H24" i="350"/>
  <c r="J17" i="349"/>
  <c r="S16" i="349"/>
  <c r="L16" i="349"/>
  <c r="K18" i="349"/>
  <c r="M17" i="349"/>
  <c r="S11" i="348"/>
  <c r="L11" i="348"/>
  <c r="J12" i="348"/>
  <c r="M14" i="348"/>
  <c r="K15" i="348"/>
  <c r="K13" i="347"/>
  <c r="M12" i="347"/>
  <c r="S12" i="347" l="1"/>
  <c r="E57" i="355"/>
  <c r="E58" i="355"/>
  <c r="L12" i="347"/>
  <c r="H69" i="355"/>
  <c r="O34" i="352"/>
  <c r="L34" i="352"/>
  <c r="J35" i="352"/>
  <c r="M35" i="352"/>
  <c r="K36" i="352"/>
  <c r="G26" i="350"/>
  <c r="M25" i="350"/>
  <c r="H25" i="350"/>
  <c r="S17" i="349"/>
  <c r="L17" i="349"/>
  <c r="J18" i="349"/>
  <c r="M18" i="349"/>
  <c r="K19" i="349"/>
  <c r="K16" i="348"/>
  <c r="M15" i="348"/>
  <c r="J13" i="348"/>
  <c r="L12" i="348"/>
  <c r="S12" i="348"/>
  <c r="K14" i="347"/>
  <c r="M13" i="347"/>
  <c r="J14" i="347"/>
  <c r="S13" i="347"/>
  <c r="L13" i="347"/>
  <c r="F58" i="355" l="1"/>
  <c r="K37" i="352"/>
  <c r="M36" i="352"/>
  <c r="J36" i="352"/>
  <c r="L35" i="352"/>
  <c r="O35" i="352"/>
  <c r="G27" i="350"/>
  <c r="M26" i="350"/>
  <c r="H26" i="350"/>
  <c r="K20" i="349"/>
  <c r="M19" i="349"/>
  <c r="J19" i="349"/>
  <c r="S18" i="349"/>
  <c r="L18" i="349"/>
  <c r="S13" i="348"/>
  <c r="L13" i="348"/>
  <c r="J14" i="348"/>
  <c r="M16" i="348"/>
  <c r="K17" i="348"/>
  <c r="J15" i="347"/>
  <c r="S14" i="347"/>
  <c r="L14" i="347"/>
  <c r="K15" i="347"/>
  <c r="M14" i="347"/>
  <c r="O36" i="352" l="1"/>
  <c r="L36" i="352"/>
  <c r="J37" i="352"/>
  <c r="M37" i="352"/>
  <c r="K38" i="352"/>
  <c r="G28" i="350"/>
  <c r="M27" i="350"/>
  <c r="H27" i="350"/>
  <c r="S19" i="349"/>
  <c r="L19" i="349"/>
  <c r="J20" i="349"/>
  <c r="M20" i="349"/>
  <c r="K21" i="349"/>
  <c r="K18" i="348"/>
  <c r="M17" i="348"/>
  <c r="J15" i="348"/>
  <c r="S14" i="348"/>
  <c r="L14" i="348"/>
  <c r="K16" i="347"/>
  <c r="M15" i="347"/>
  <c r="J16" i="347"/>
  <c r="S15" i="347"/>
  <c r="L15" i="347"/>
  <c r="K39" i="352" l="1"/>
  <c r="M38" i="352"/>
  <c r="J38" i="352"/>
  <c r="O37" i="352"/>
  <c r="L37" i="352"/>
  <c r="G29" i="350"/>
  <c r="M28" i="350"/>
  <c r="H28" i="350"/>
  <c r="K22" i="349"/>
  <c r="M21" i="349"/>
  <c r="J21" i="349"/>
  <c r="L20" i="349"/>
  <c r="S20" i="349"/>
  <c r="S15" i="348"/>
  <c r="L15" i="348"/>
  <c r="J16" i="348"/>
  <c r="M18" i="348"/>
  <c r="K19" i="348"/>
  <c r="J17" i="347"/>
  <c r="S16" i="347"/>
  <c r="L16" i="347"/>
  <c r="K17" i="347"/>
  <c r="M16" i="347"/>
  <c r="O38" i="352" l="1"/>
  <c r="L38" i="352"/>
  <c r="J39" i="352"/>
  <c r="M39" i="352"/>
  <c r="K40" i="352"/>
  <c r="G30" i="350"/>
  <c r="M29" i="350"/>
  <c r="H29" i="350"/>
  <c r="S21" i="349"/>
  <c r="L21" i="349"/>
  <c r="J22" i="349"/>
  <c r="M22" i="349"/>
  <c r="K23" i="349"/>
  <c r="K20" i="348"/>
  <c r="M19" i="348"/>
  <c r="J17" i="348"/>
  <c r="L16" i="348"/>
  <c r="S16" i="348"/>
  <c r="K18" i="347"/>
  <c r="M17" i="347"/>
  <c r="J18" i="347"/>
  <c r="S17" i="347"/>
  <c r="L17" i="347"/>
  <c r="J40" i="352" l="1"/>
  <c r="L39" i="352"/>
  <c r="O39" i="352"/>
  <c r="G31" i="350"/>
  <c r="M30" i="350"/>
  <c r="H30" i="350"/>
  <c r="K24" i="349"/>
  <c r="M23" i="349"/>
  <c r="J23" i="349"/>
  <c r="S22" i="349"/>
  <c r="L22" i="349"/>
  <c r="S17" i="348"/>
  <c r="L17" i="348"/>
  <c r="J18" i="348"/>
  <c r="M20" i="348"/>
  <c r="K21" i="348"/>
  <c r="J19" i="347"/>
  <c r="S18" i="347"/>
  <c r="L18" i="347"/>
  <c r="K19" i="347"/>
  <c r="M18" i="347"/>
  <c r="G32" i="350" l="1"/>
  <c r="M31" i="350"/>
  <c r="H31" i="350"/>
  <c r="S23" i="349"/>
  <c r="L23" i="349"/>
  <c r="J24" i="349"/>
  <c r="M24" i="349"/>
  <c r="K25" i="349"/>
  <c r="K22" i="348"/>
  <c r="M21" i="348"/>
  <c r="J19" i="348"/>
  <c r="S18" i="348"/>
  <c r="L18" i="348"/>
  <c r="K20" i="347"/>
  <c r="M19" i="347"/>
  <c r="J20" i="347"/>
  <c r="S19" i="347"/>
  <c r="L19" i="347"/>
  <c r="G33" i="350" l="1"/>
  <c r="M32" i="350"/>
  <c r="H32" i="350"/>
  <c r="K26" i="349"/>
  <c r="M25" i="349"/>
  <c r="J25" i="349"/>
  <c r="L24" i="349"/>
  <c r="S24" i="349"/>
  <c r="S19" i="348"/>
  <c r="L19" i="348"/>
  <c r="J20" i="348"/>
  <c r="M22" i="348"/>
  <c r="K23" i="348"/>
  <c r="J21" i="347"/>
  <c r="S20" i="347"/>
  <c r="L20" i="347"/>
  <c r="K21" i="347"/>
  <c r="M20" i="347"/>
  <c r="G34" i="350" l="1"/>
  <c r="M33" i="350"/>
  <c r="H33" i="350"/>
  <c r="S25" i="349"/>
  <c r="L25" i="349"/>
  <c r="J26" i="349"/>
  <c r="M26" i="349"/>
  <c r="K27" i="349"/>
  <c r="K24" i="348"/>
  <c r="M23" i="348"/>
  <c r="J21" i="348"/>
  <c r="L20" i="348"/>
  <c r="S20" i="348"/>
  <c r="K22" i="347"/>
  <c r="M21" i="347"/>
  <c r="J22" i="347"/>
  <c r="S21" i="347"/>
  <c r="L21" i="347"/>
  <c r="G35" i="350" l="1"/>
  <c r="M34" i="350"/>
  <c r="H34" i="350"/>
  <c r="K28" i="349"/>
  <c r="M27" i="349"/>
  <c r="J27" i="349"/>
  <c r="S26" i="349"/>
  <c r="L26" i="349"/>
  <c r="S21" i="348"/>
  <c r="L21" i="348"/>
  <c r="J22" i="348"/>
  <c r="K25" i="348"/>
  <c r="M24" i="348"/>
  <c r="J23" i="347"/>
  <c r="S22" i="347"/>
  <c r="L22" i="347"/>
  <c r="K23" i="347"/>
  <c r="M22" i="347"/>
  <c r="G36" i="350" l="1"/>
  <c r="M35" i="350"/>
  <c r="H35" i="350"/>
  <c r="S27" i="349"/>
  <c r="L27" i="349"/>
  <c r="J28" i="349"/>
  <c r="M28" i="349"/>
  <c r="K29" i="349"/>
  <c r="M25" i="348"/>
  <c r="K26" i="348"/>
  <c r="J23" i="348"/>
  <c r="S22" i="348"/>
  <c r="L22" i="348"/>
  <c r="K24" i="347"/>
  <c r="M23" i="347"/>
  <c r="J24" i="347"/>
  <c r="S23" i="347"/>
  <c r="L23" i="347"/>
  <c r="G37" i="350" l="1"/>
  <c r="M36" i="350"/>
  <c r="H36" i="350"/>
  <c r="K30" i="349"/>
  <c r="M29" i="349"/>
  <c r="J29" i="349"/>
  <c r="L28" i="349"/>
  <c r="S28" i="349"/>
  <c r="K27" i="348"/>
  <c r="M26" i="348"/>
  <c r="S23" i="348"/>
  <c r="L23" i="348"/>
  <c r="J24" i="348"/>
  <c r="J25" i="347"/>
  <c r="S24" i="347"/>
  <c r="L24" i="347"/>
  <c r="K25" i="347"/>
  <c r="M24" i="347"/>
  <c r="G38" i="350" l="1"/>
  <c r="M37" i="350"/>
  <c r="H37" i="350"/>
  <c r="S29" i="349"/>
  <c r="L29" i="349"/>
  <c r="J30" i="349"/>
  <c r="M30" i="349"/>
  <c r="K31" i="349"/>
  <c r="L24" i="348"/>
  <c r="J25" i="348"/>
  <c r="S24" i="348"/>
  <c r="M27" i="348"/>
  <c r="K28" i="348"/>
  <c r="K26" i="347"/>
  <c r="M25" i="347"/>
  <c r="J26" i="347"/>
  <c r="S25" i="347"/>
  <c r="L25" i="347"/>
  <c r="E31" i="53"/>
  <c r="B31" i="53"/>
  <c r="C4" i="346"/>
  <c r="J46" i="346"/>
  <c r="E40" i="346"/>
  <c r="G31" i="53" s="1"/>
  <c r="D39" i="346"/>
  <c r="B39" i="346"/>
  <c r="B38" i="346"/>
  <c r="B37" i="346"/>
  <c r="D36" i="346"/>
  <c r="B36" i="346"/>
  <c r="D35" i="346"/>
  <c r="B35" i="346"/>
  <c r="D34" i="346"/>
  <c r="B34" i="346"/>
  <c r="D33" i="346"/>
  <c r="B33" i="346"/>
  <c r="D32" i="346"/>
  <c r="B32" i="346"/>
  <c r="D31" i="346"/>
  <c r="B31" i="346"/>
  <c r="D30" i="346"/>
  <c r="B30" i="346"/>
  <c r="D29" i="346"/>
  <c r="B29" i="346"/>
  <c r="D28" i="346"/>
  <c r="B28" i="346"/>
  <c r="D27" i="346"/>
  <c r="B27" i="346"/>
  <c r="D26" i="346"/>
  <c r="B26" i="346"/>
  <c r="D25" i="346"/>
  <c r="B25" i="346"/>
  <c r="D24" i="346"/>
  <c r="B24" i="346"/>
  <c r="D23" i="346"/>
  <c r="B23" i="346"/>
  <c r="D22" i="346"/>
  <c r="B22" i="346"/>
  <c r="D21" i="346"/>
  <c r="B21" i="346"/>
  <c r="D20" i="346"/>
  <c r="B20" i="346"/>
  <c r="D19" i="346"/>
  <c r="B19" i="346"/>
  <c r="D18" i="346"/>
  <c r="B18" i="346"/>
  <c r="D17" i="346"/>
  <c r="B17" i="346"/>
  <c r="D16" i="346"/>
  <c r="B16" i="346"/>
  <c r="D15" i="346"/>
  <c r="B15" i="346"/>
  <c r="D14" i="346"/>
  <c r="B14" i="346"/>
  <c r="D13" i="346"/>
  <c r="B13" i="346"/>
  <c r="D12" i="346"/>
  <c r="B12" i="346"/>
  <c r="D11" i="346"/>
  <c r="B11" i="346"/>
  <c r="I39" i="346"/>
  <c r="D10" i="346"/>
  <c r="B10" i="346"/>
  <c r="B9" i="346"/>
  <c r="J8" i="346"/>
  <c r="D31" i="53" s="1"/>
  <c r="E8" i="346"/>
  <c r="I7" i="346"/>
  <c r="K7" i="346" s="1"/>
  <c r="M7" i="346" s="1"/>
  <c r="M5" i="346"/>
  <c r="I5" i="346"/>
  <c r="H5" i="346"/>
  <c r="G5" i="346"/>
  <c r="F5" i="346"/>
  <c r="E5" i="346"/>
  <c r="D5" i="346"/>
  <c r="C5" i="346"/>
  <c r="B5" i="346"/>
  <c r="C31" i="53"/>
  <c r="C40" i="53" s="1"/>
  <c r="G87" i="354" l="1"/>
  <c r="H27" i="365"/>
  <c r="E87" i="354"/>
  <c r="F27" i="365"/>
  <c r="G39" i="350"/>
  <c r="M38" i="350"/>
  <c r="H38" i="350"/>
  <c r="K32" i="349"/>
  <c r="M31" i="349"/>
  <c r="J31" i="349"/>
  <c r="S30" i="349"/>
  <c r="L30" i="349"/>
  <c r="J26" i="348"/>
  <c r="L25" i="348"/>
  <c r="S25" i="348"/>
  <c r="K29" i="348"/>
  <c r="M28" i="348"/>
  <c r="J27" i="347"/>
  <c r="S26" i="347"/>
  <c r="L26" i="347"/>
  <c r="K27" i="347"/>
  <c r="M26" i="347"/>
  <c r="E41" i="346"/>
  <c r="D8" i="346"/>
  <c r="D40" i="346"/>
  <c r="F31" i="53" s="1"/>
  <c r="H39" i="346"/>
  <c r="H37" i="346"/>
  <c r="H35" i="346"/>
  <c r="H33" i="346"/>
  <c r="H31" i="346"/>
  <c r="H29" i="346"/>
  <c r="H27" i="346"/>
  <c r="H25" i="346"/>
  <c r="H23" i="346"/>
  <c r="H21" i="346"/>
  <c r="H19" i="346"/>
  <c r="H9" i="346"/>
  <c r="J9" i="346"/>
  <c r="I10" i="346"/>
  <c r="H11" i="346"/>
  <c r="I12" i="346"/>
  <c r="H13" i="346"/>
  <c r="I14" i="346"/>
  <c r="H15" i="346"/>
  <c r="I16" i="346"/>
  <c r="H17" i="346"/>
  <c r="H18" i="346"/>
  <c r="I19" i="346"/>
  <c r="H22" i="346"/>
  <c r="I23" i="346"/>
  <c r="H26" i="346"/>
  <c r="I27" i="346"/>
  <c r="H30" i="346"/>
  <c r="I31" i="346"/>
  <c r="H34" i="346"/>
  <c r="I35" i="346"/>
  <c r="H38" i="346"/>
  <c r="G40" i="346"/>
  <c r="I38" i="346"/>
  <c r="I36" i="346"/>
  <c r="I34" i="346"/>
  <c r="I32" i="346"/>
  <c r="I30" i="346"/>
  <c r="I28" i="346"/>
  <c r="I26" i="346"/>
  <c r="I24" i="346"/>
  <c r="I22" i="346"/>
  <c r="I20" i="346"/>
  <c r="I18" i="346"/>
  <c r="I9" i="346"/>
  <c r="K9" i="346"/>
  <c r="H10" i="346"/>
  <c r="I11" i="346"/>
  <c r="H12" i="346"/>
  <c r="I13" i="346"/>
  <c r="H14" i="346"/>
  <c r="I15" i="346"/>
  <c r="H16" i="346"/>
  <c r="I17" i="346"/>
  <c r="H20" i="346"/>
  <c r="I21" i="346"/>
  <c r="H24" i="346"/>
  <c r="I25" i="346"/>
  <c r="H28" i="346"/>
  <c r="I29" i="346"/>
  <c r="H32" i="346"/>
  <c r="I33" i="346"/>
  <c r="H36" i="346"/>
  <c r="I37" i="346"/>
  <c r="F40" i="346"/>
  <c r="H31" i="53" l="1"/>
  <c r="E64" i="351"/>
  <c r="I31" i="53"/>
  <c r="F64" i="351"/>
  <c r="M39" i="350"/>
  <c r="G40" i="350"/>
  <c r="H39" i="350"/>
  <c r="S31" i="349"/>
  <c r="L31" i="349"/>
  <c r="J32" i="349"/>
  <c r="M32" i="349"/>
  <c r="K33" i="349"/>
  <c r="M29" i="348"/>
  <c r="K30" i="348"/>
  <c r="S26" i="348"/>
  <c r="L26" i="348"/>
  <c r="J27" i="348"/>
  <c r="K28" i="347"/>
  <c r="M27" i="347"/>
  <c r="J28" i="347"/>
  <c r="S27" i="347"/>
  <c r="L27" i="347"/>
  <c r="D41" i="346"/>
  <c r="F8" i="346"/>
  <c r="F41" i="346"/>
  <c r="G41" i="346"/>
  <c r="K41" i="346" s="1"/>
  <c r="G8" i="346"/>
  <c r="J10" i="346"/>
  <c r="S9" i="346"/>
  <c r="L9" i="346"/>
  <c r="M9" i="346"/>
  <c r="K10" i="346"/>
  <c r="J27" i="365" l="1"/>
  <c r="L27" i="365" s="1"/>
  <c r="I27" i="365"/>
  <c r="K31" i="53"/>
  <c r="I87" i="354"/>
  <c r="K87" i="354" s="1"/>
  <c r="J31" i="53"/>
  <c r="H87" i="354"/>
  <c r="K34" i="349"/>
  <c r="M33" i="349"/>
  <c r="J33" i="349"/>
  <c r="L32" i="349"/>
  <c r="S32" i="349"/>
  <c r="K31" i="348"/>
  <c r="M30" i="348"/>
  <c r="J28" i="348"/>
  <c r="S27" i="348"/>
  <c r="L27" i="348"/>
  <c r="J29" i="347"/>
  <c r="S28" i="347"/>
  <c r="L28" i="347"/>
  <c r="K29" i="347"/>
  <c r="M28" i="347"/>
  <c r="J41" i="346"/>
  <c r="K11" i="346"/>
  <c r="M10" i="346"/>
  <c r="S10" i="346"/>
  <c r="L10" i="346"/>
  <c r="J11" i="346"/>
  <c r="E95" i="355" l="1"/>
  <c r="G102" i="355"/>
  <c r="F33" i="318"/>
  <c r="E33" i="318"/>
  <c r="S33" i="349"/>
  <c r="L33" i="349"/>
  <c r="J34" i="349"/>
  <c r="M34" i="349"/>
  <c r="K35" i="349"/>
  <c r="S28" i="348"/>
  <c r="L28" i="348"/>
  <c r="J29" i="348"/>
  <c r="M31" i="348"/>
  <c r="K32" i="348"/>
  <c r="K30" i="347"/>
  <c r="M29" i="347"/>
  <c r="J30" i="347"/>
  <c r="S29" i="347"/>
  <c r="L29" i="347"/>
  <c r="J12" i="346"/>
  <c r="S11" i="346"/>
  <c r="L11" i="346"/>
  <c r="M11" i="346"/>
  <c r="K12" i="346"/>
  <c r="E64" i="53"/>
  <c r="B64" i="53"/>
  <c r="C4" i="345"/>
  <c r="J46" i="345"/>
  <c r="G40" i="345"/>
  <c r="E40" i="345"/>
  <c r="G64" i="53" s="1"/>
  <c r="I39" i="345"/>
  <c r="H39" i="345"/>
  <c r="D39" i="345"/>
  <c r="B39" i="345"/>
  <c r="I38" i="345"/>
  <c r="D38" i="345"/>
  <c r="B38" i="345"/>
  <c r="I37" i="345"/>
  <c r="H37" i="345"/>
  <c r="D37" i="345"/>
  <c r="B37" i="345"/>
  <c r="I36" i="345"/>
  <c r="D36" i="345"/>
  <c r="B36" i="345"/>
  <c r="I35" i="345"/>
  <c r="H35" i="345"/>
  <c r="D35" i="345"/>
  <c r="B35" i="345"/>
  <c r="I34" i="345"/>
  <c r="D34" i="345"/>
  <c r="B34" i="345"/>
  <c r="I33" i="345"/>
  <c r="H33" i="345"/>
  <c r="D33" i="345"/>
  <c r="B33" i="345"/>
  <c r="I32" i="345"/>
  <c r="D32" i="345"/>
  <c r="B32" i="345"/>
  <c r="I31" i="345"/>
  <c r="H31" i="345"/>
  <c r="D31" i="345"/>
  <c r="B31" i="345"/>
  <c r="I30" i="345"/>
  <c r="D30" i="345"/>
  <c r="B30" i="345"/>
  <c r="I29" i="345"/>
  <c r="H29" i="345"/>
  <c r="D29" i="345"/>
  <c r="B29" i="345"/>
  <c r="I28" i="345"/>
  <c r="D28" i="345"/>
  <c r="B28" i="345"/>
  <c r="I27" i="345"/>
  <c r="H27" i="345"/>
  <c r="D27" i="345"/>
  <c r="B27" i="345"/>
  <c r="I26" i="345"/>
  <c r="D26" i="345"/>
  <c r="B26" i="345"/>
  <c r="I25" i="345"/>
  <c r="H25" i="345"/>
  <c r="F40" i="345"/>
  <c r="B25" i="345"/>
  <c r="I24" i="345"/>
  <c r="H24" i="345"/>
  <c r="D24" i="345"/>
  <c r="B24" i="345"/>
  <c r="I23" i="345"/>
  <c r="H23" i="345"/>
  <c r="D23" i="345"/>
  <c r="B23" i="345"/>
  <c r="I22" i="345"/>
  <c r="H22" i="345"/>
  <c r="D22" i="345"/>
  <c r="B22" i="345"/>
  <c r="I21" i="345"/>
  <c r="H21" i="345"/>
  <c r="D21" i="345"/>
  <c r="B21" i="345"/>
  <c r="I20" i="345"/>
  <c r="H20" i="345"/>
  <c r="D20" i="345"/>
  <c r="B20" i="345"/>
  <c r="I19" i="345"/>
  <c r="H19" i="345"/>
  <c r="D19" i="345"/>
  <c r="B19" i="345"/>
  <c r="I18" i="345"/>
  <c r="H18" i="345"/>
  <c r="D18" i="345"/>
  <c r="B18" i="345"/>
  <c r="I17" i="345"/>
  <c r="H17" i="345"/>
  <c r="D17" i="345"/>
  <c r="B17" i="345"/>
  <c r="I16" i="345"/>
  <c r="H16" i="345"/>
  <c r="D16" i="345"/>
  <c r="B16" i="345"/>
  <c r="I15" i="345"/>
  <c r="H15" i="345"/>
  <c r="D15" i="345"/>
  <c r="B15" i="345"/>
  <c r="I14" i="345"/>
  <c r="H14" i="345"/>
  <c r="D14" i="345"/>
  <c r="B14" i="345"/>
  <c r="I13" i="345"/>
  <c r="H13" i="345"/>
  <c r="D13" i="345"/>
  <c r="B13" i="345"/>
  <c r="I12" i="345"/>
  <c r="H12" i="345"/>
  <c r="D12" i="345"/>
  <c r="B12" i="345"/>
  <c r="I11" i="345"/>
  <c r="H11" i="345"/>
  <c r="D11" i="345"/>
  <c r="B11" i="345"/>
  <c r="I10" i="345"/>
  <c r="H10" i="345"/>
  <c r="D10" i="345"/>
  <c r="B10" i="345"/>
  <c r="K9" i="345"/>
  <c r="I9" i="345"/>
  <c r="H9" i="345"/>
  <c r="D9" i="345"/>
  <c r="B9" i="345"/>
  <c r="J8" i="345"/>
  <c r="J9" i="345" s="1"/>
  <c r="E8" i="345"/>
  <c r="E41" i="345" s="1"/>
  <c r="I7" i="345"/>
  <c r="K7" i="345" s="1"/>
  <c r="M7" i="345" s="1"/>
  <c r="M5" i="345"/>
  <c r="I5" i="345"/>
  <c r="H5" i="345"/>
  <c r="G5" i="345"/>
  <c r="F5" i="345"/>
  <c r="E5" i="345"/>
  <c r="D5" i="345"/>
  <c r="C5" i="345"/>
  <c r="B5" i="345"/>
  <c r="C64" i="53"/>
  <c r="H95" i="355" l="1"/>
  <c r="M9" i="345"/>
  <c r="J10" i="345"/>
  <c r="J11" i="345" s="1"/>
  <c r="D8" i="345"/>
  <c r="F41" i="345"/>
  <c r="E46" i="351"/>
  <c r="G41" i="345"/>
  <c r="F46" i="351"/>
  <c r="K36" i="349"/>
  <c r="M35" i="349"/>
  <c r="J35" i="349"/>
  <c r="S34" i="349"/>
  <c r="L34" i="349"/>
  <c r="K33" i="348"/>
  <c r="M32" i="348"/>
  <c r="J30" i="348"/>
  <c r="L29" i="348"/>
  <c r="S29" i="348"/>
  <c r="J31" i="347"/>
  <c r="S30" i="347"/>
  <c r="L30" i="347"/>
  <c r="K31" i="347"/>
  <c r="M30" i="347"/>
  <c r="D64" i="53"/>
  <c r="K10" i="345"/>
  <c r="K11" i="345" s="1"/>
  <c r="M11" i="345" s="1"/>
  <c r="I64" i="53"/>
  <c r="K41" i="345"/>
  <c r="K13" i="346"/>
  <c r="M12" i="346"/>
  <c r="S12" i="346"/>
  <c r="L12" i="346"/>
  <c r="J13" i="346"/>
  <c r="H64" i="53"/>
  <c r="L9" i="345"/>
  <c r="O9" i="345"/>
  <c r="D40" i="345"/>
  <c r="H26" i="345"/>
  <c r="H28" i="345"/>
  <c r="H30" i="345"/>
  <c r="H32" i="345"/>
  <c r="H34" i="345"/>
  <c r="H36" i="345"/>
  <c r="H38" i="345"/>
  <c r="K12" i="345" l="1"/>
  <c r="K13" i="345" s="1"/>
  <c r="O10" i="345"/>
  <c r="L10" i="345"/>
  <c r="M10" i="345"/>
  <c r="L64" i="53"/>
  <c r="K64" i="53"/>
  <c r="S35" i="349"/>
  <c r="L35" i="349"/>
  <c r="J36" i="349"/>
  <c r="M36" i="349"/>
  <c r="K37" i="349"/>
  <c r="S30" i="348"/>
  <c r="L30" i="348"/>
  <c r="J31" i="348"/>
  <c r="M33" i="348"/>
  <c r="K34" i="348"/>
  <c r="K32" i="347"/>
  <c r="M31" i="347"/>
  <c r="J32" i="347"/>
  <c r="S31" i="347"/>
  <c r="L31" i="347"/>
  <c r="J14" i="346"/>
  <c r="S13" i="346"/>
  <c r="L13" i="346"/>
  <c r="M13" i="346"/>
  <c r="K14" i="346"/>
  <c r="D41" i="345"/>
  <c r="J41" i="345" s="1"/>
  <c r="F64" i="53"/>
  <c r="J64" i="53" s="1"/>
  <c r="M12" i="345"/>
  <c r="O11" i="345"/>
  <c r="L11" i="345"/>
  <c r="J12" i="345"/>
  <c r="M64" i="53" l="1"/>
  <c r="K38" i="349"/>
  <c r="M37" i="349"/>
  <c r="J37" i="349"/>
  <c r="L36" i="349"/>
  <c r="S36" i="349"/>
  <c r="K35" i="348"/>
  <c r="M34" i="348"/>
  <c r="J32" i="348"/>
  <c r="S31" i="348"/>
  <c r="L31" i="348"/>
  <c r="J33" i="347"/>
  <c r="S32" i="347"/>
  <c r="L32" i="347"/>
  <c r="K33" i="347"/>
  <c r="M32" i="347"/>
  <c r="K15" i="346"/>
  <c r="M14" i="346"/>
  <c r="S14" i="346"/>
  <c r="L14" i="346"/>
  <c r="J15" i="346"/>
  <c r="K14" i="345"/>
  <c r="M13" i="345"/>
  <c r="J13" i="345"/>
  <c r="L12" i="345"/>
  <c r="O12" i="345"/>
  <c r="S37" i="349" l="1"/>
  <c r="L37" i="349"/>
  <c r="J38" i="349"/>
  <c r="M38" i="349"/>
  <c r="K39" i="349"/>
  <c r="S32" i="348"/>
  <c r="L32" i="348"/>
  <c r="J33" i="348"/>
  <c r="M35" i="348"/>
  <c r="K36" i="348"/>
  <c r="K34" i="347"/>
  <c r="M33" i="347"/>
  <c r="J34" i="347"/>
  <c r="S33" i="347"/>
  <c r="L33" i="347"/>
  <c r="J16" i="346"/>
  <c r="S15" i="346"/>
  <c r="L15" i="346"/>
  <c r="M15" i="346"/>
  <c r="K16" i="346"/>
  <c r="O13" i="345"/>
  <c r="L13" i="345"/>
  <c r="J14" i="345"/>
  <c r="M14" i="345"/>
  <c r="K15" i="345"/>
  <c r="K40" i="349" l="1"/>
  <c r="M39" i="349"/>
  <c r="J39" i="349"/>
  <c r="S38" i="349"/>
  <c r="L38" i="349"/>
  <c r="K37" i="348"/>
  <c r="M36" i="348"/>
  <c r="J34" i="348"/>
  <c r="L33" i="348"/>
  <c r="S33" i="348"/>
  <c r="J35" i="347"/>
  <c r="S34" i="347"/>
  <c r="L34" i="347"/>
  <c r="K35" i="347"/>
  <c r="M34" i="347"/>
  <c r="K17" i="346"/>
  <c r="M16" i="346"/>
  <c r="J17" i="346"/>
  <c r="S16" i="346"/>
  <c r="L16" i="346"/>
  <c r="K16" i="345"/>
  <c r="M15" i="345"/>
  <c r="J15" i="345"/>
  <c r="O14" i="345"/>
  <c r="L14" i="345"/>
  <c r="S39" i="349" l="1"/>
  <c r="L39" i="349"/>
  <c r="J40" i="349"/>
  <c r="S34" i="348"/>
  <c r="L34" i="348"/>
  <c r="J35" i="348"/>
  <c r="M37" i="348"/>
  <c r="K38" i="348"/>
  <c r="K36" i="347"/>
  <c r="M35" i="347"/>
  <c r="J36" i="347"/>
  <c r="S35" i="347"/>
  <c r="L35" i="347"/>
  <c r="S17" i="346"/>
  <c r="L17" i="346"/>
  <c r="J18" i="346"/>
  <c r="K18" i="346"/>
  <c r="M17" i="346"/>
  <c r="O15" i="345"/>
  <c r="L15" i="345"/>
  <c r="J16" i="345"/>
  <c r="M16" i="345"/>
  <c r="K17" i="345"/>
  <c r="K39" i="348" l="1"/>
  <c r="M38" i="348"/>
  <c r="J36" i="348"/>
  <c r="S35" i="348"/>
  <c r="L35" i="348"/>
  <c r="J37" i="347"/>
  <c r="S36" i="347"/>
  <c r="L36" i="347"/>
  <c r="K37" i="347"/>
  <c r="M36" i="347"/>
  <c r="J19" i="346"/>
  <c r="S18" i="346"/>
  <c r="L18" i="346"/>
  <c r="M18" i="346"/>
  <c r="K19" i="346"/>
  <c r="K18" i="345"/>
  <c r="M17" i="345"/>
  <c r="J17" i="345"/>
  <c r="L16" i="345"/>
  <c r="O16" i="345"/>
  <c r="S36" i="348" l="1"/>
  <c r="L36" i="348"/>
  <c r="J37" i="348"/>
  <c r="M39" i="348"/>
  <c r="K40" i="348"/>
  <c r="K38" i="347"/>
  <c r="M37" i="347"/>
  <c r="J38" i="347"/>
  <c r="S37" i="347"/>
  <c r="L37" i="347"/>
  <c r="K20" i="346"/>
  <c r="M19" i="346"/>
  <c r="S19" i="346"/>
  <c r="L19" i="346"/>
  <c r="J20" i="346"/>
  <c r="O17" i="345"/>
  <c r="L17" i="345"/>
  <c r="J18" i="345"/>
  <c r="M18" i="345"/>
  <c r="K19" i="345"/>
  <c r="J38" i="348" l="1"/>
  <c r="L37" i="348"/>
  <c r="S37" i="348"/>
  <c r="J39" i="347"/>
  <c r="S38" i="347"/>
  <c r="L38" i="347"/>
  <c r="K39" i="347"/>
  <c r="M38" i="347"/>
  <c r="J21" i="346"/>
  <c r="L20" i="346"/>
  <c r="S20" i="346"/>
  <c r="M20" i="346"/>
  <c r="K21" i="346"/>
  <c r="K20" i="345"/>
  <c r="M19" i="345"/>
  <c r="J19" i="345"/>
  <c r="O18" i="345"/>
  <c r="L18" i="345"/>
  <c r="S38" i="348" l="1"/>
  <c r="L38" i="348"/>
  <c r="J39" i="348"/>
  <c r="M39" i="347"/>
  <c r="K40" i="347"/>
  <c r="J40" i="347"/>
  <c r="S39" i="347"/>
  <c r="L39" i="347"/>
  <c r="K22" i="346"/>
  <c r="M21" i="346"/>
  <c r="S21" i="346"/>
  <c r="L21" i="346"/>
  <c r="J22" i="346"/>
  <c r="O19" i="345"/>
  <c r="L19" i="345"/>
  <c r="J20" i="345"/>
  <c r="M20" i="345"/>
  <c r="K21" i="345"/>
  <c r="J40" i="348" l="1"/>
  <c r="S39" i="348"/>
  <c r="L39" i="348"/>
  <c r="J23" i="346"/>
  <c r="S22" i="346"/>
  <c r="L22" i="346"/>
  <c r="M22" i="346"/>
  <c r="K23" i="346"/>
  <c r="K22" i="345"/>
  <c r="M21" i="345"/>
  <c r="J21" i="345"/>
  <c r="L20" i="345"/>
  <c r="O20" i="345"/>
  <c r="K24" i="346" l="1"/>
  <c r="M23" i="346"/>
  <c r="S23" i="346"/>
  <c r="L23" i="346"/>
  <c r="J24" i="346"/>
  <c r="O21" i="345"/>
  <c r="L21" i="345"/>
  <c r="J22" i="345"/>
  <c r="K23" i="345"/>
  <c r="M22" i="345"/>
  <c r="J25" i="346" l="1"/>
  <c r="L24" i="346"/>
  <c r="S24" i="346"/>
  <c r="M24" i="346"/>
  <c r="K25" i="346"/>
  <c r="M23" i="345"/>
  <c r="K24" i="345"/>
  <c r="J23" i="345"/>
  <c r="O22" i="345"/>
  <c r="L22" i="345"/>
  <c r="K26" i="346" l="1"/>
  <c r="M25" i="346"/>
  <c r="S25" i="346"/>
  <c r="L25" i="346"/>
  <c r="J26" i="346"/>
  <c r="K25" i="345"/>
  <c r="M24" i="345"/>
  <c r="J24" i="345"/>
  <c r="O23" i="345"/>
  <c r="L23" i="345"/>
  <c r="J27" i="346" l="1"/>
  <c r="S26" i="346"/>
  <c r="L26" i="346"/>
  <c r="M26" i="346"/>
  <c r="K27" i="346"/>
  <c r="O24" i="345"/>
  <c r="L24" i="345"/>
  <c r="J25" i="345"/>
  <c r="M25" i="345"/>
  <c r="K26" i="345"/>
  <c r="K28" i="346" l="1"/>
  <c r="M27" i="346"/>
  <c r="S27" i="346"/>
  <c r="L27" i="346"/>
  <c r="J28" i="346"/>
  <c r="K27" i="345"/>
  <c r="M26" i="345"/>
  <c r="J26" i="345"/>
  <c r="L25" i="345"/>
  <c r="O25" i="345"/>
  <c r="J29" i="346" l="1"/>
  <c r="L28" i="346"/>
  <c r="S28" i="346"/>
  <c r="M28" i="346"/>
  <c r="K29" i="346"/>
  <c r="O26" i="345"/>
  <c r="L26" i="345"/>
  <c r="J27" i="345"/>
  <c r="M27" i="345"/>
  <c r="K28" i="345"/>
  <c r="K30" i="346" l="1"/>
  <c r="M29" i="346"/>
  <c r="S29" i="346"/>
  <c r="L29" i="346"/>
  <c r="J30" i="346"/>
  <c r="K29" i="345"/>
  <c r="M28" i="345"/>
  <c r="J28" i="345"/>
  <c r="L27" i="345"/>
  <c r="O27" i="345"/>
  <c r="J31" i="346" l="1"/>
  <c r="S30" i="346"/>
  <c r="L30" i="346"/>
  <c r="M30" i="346"/>
  <c r="K31" i="346"/>
  <c r="O28" i="345"/>
  <c r="L28" i="345"/>
  <c r="J29" i="345"/>
  <c r="M29" i="345"/>
  <c r="K30" i="345"/>
  <c r="C4" i="316"/>
  <c r="K32" i="346" l="1"/>
  <c r="M31" i="346"/>
  <c r="S31" i="346"/>
  <c r="L31" i="346"/>
  <c r="J32" i="346"/>
  <c r="K31" i="345"/>
  <c r="M30" i="345"/>
  <c r="J30" i="345"/>
  <c r="L29" i="345"/>
  <c r="O29" i="345"/>
  <c r="J33" i="346" l="1"/>
  <c r="L32" i="346"/>
  <c r="S32" i="346"/>
  <c r="M32" i="346"/>
  <c r="K33" i="346"/>
  <c r="O30" i="345"/>
  <c r="L30" i="345"/>
  <c r="J31" i="345"/>
  <c r="M31" i="345"/>
  <c r="K32" i="345"/>
  <c r="K34" i="346" l="1"/>
  <c r="M33" i="346"/>
  <c r="S33" i="346"/>
  <c r="L33" i="346"/>
  <c r="J34" i="346"/>
  <c r="K33" i="345"/>
  <c r="M32" i="345"/>
  <c r="J32" i="345"/>
  <c r="L31" i="345"/>
  <c r="O31" i="345"/>
  <c r="J35" i="346" l="1"/>
  <c r="S34" i="346"/>
  <c r="L34" i="346"/>
  <c r="M34" i="346"/>
  <c r="K35" i="346"/>
  <c r="O32" i="345"/>
  <c r="L32" i="345"/>
  <c r="J33" i="345"/>
  <c r="M33" i="345"/>
  <c r="K34" i="345"/>
  <c r="K36" i="346" l="1"/>
  <c r="M35" i="346"/>
  <c r="S35" i="346"/>
  <c r="L35" i="346"/>
  <c r="J36" i="346"/>
  <c r="K35" i="345"/>
  <c r="M34" i="345"/>
  <c r="J34" i="345"/>
  <c r="L33" i="345"/>
  <c r="O33" i="345"/>
  <c r="J37" i="346" l="1"/>
  <c r="L36" i="346"/>
  <c r="S36" i="346"/>
  <c r="M36" i="346"/>
  <c r="K37" i="346"/>
  <c r="O34" i="345"/>
  <c r="L34" i="345"/>
  <c r="J35" i="345"/>
  <c r="M35" i="345"/>
  <c r="K36" i="345"/>
  <c r="K38" i="346" l="1"/>
  <c r="M37" i="346"/>
  <c r="S37" i="346"/>
  <c r="L37" i="346"/>
  <c r="J38" i="346"/>
  <c r="K37" i="345"/>
  <c r="M36" i="345"/>
  <c r="J36" i="345"/>
  <c r="L35" i="345"/>
  <c r="O35" i="345"/>
  <c r="J39" i="346" l="1"/>
  <c r="S38" i="346"/>
  <c r="L38" i="346"/>
  <c r="M38" i="346"/>
  <c r="K39" i="346"/>
  <c r="O36" i="345"/>
  <c r="L36" i="345"/>
  <c r="J37" i="345"/>
  <c r="M37" i="345"/>
  <c r="K38" i="345"/>
  <c r="K40" i="346" l="1"/>
  <c r="M39" i="346"/>
  <c r="S39" i="346"/>
  <c r="L39" i="346"/>
  <c r="J40" i="346"/>
  <c r="K39" i="345"/>
  <c r="M38" i="345"/>
  <c r="J38" i="345"/>
  <c r="L37" i="345"/>
  <c r="O37" i="345"/>
  <c r="O38" i="345" l="1"/>
  <c r="L38" i="345"/>
  <c r="J39" i="345"/>
  <c r="M39" i="345"/>
  <c r="K40" i="345"/>
  <c r="J40" i="345" l="1"/>
  <c r="L39" i="345"/>
  <c r="O39" i="345"/>
  <c r="L30" i="341" l="1"/>
  <c r="L133" i="53"/>
  <c r="D133" i="53"/>
  <c r="D30" i="341" s="1"/>
  <c r="B133" i="53"/>
  <c r="B30" i="341" s="1"/>
  <c r="K40" i="344"/>
  <c r="J40" i="344"/>
  <c r="I40" i="344"/>
  <c r="D40" i="344"/>
  <c r="F133" i="53" s="1"/>
  <c r="F30" i="341" s="1"/>
  <c r="E39" i="344"/>
  <c r="B39" i="344"/>
  <c r="E38" i="344"/>
  <c r="B38" i="344"/>
  <c r="E37" i="344"/>
  <c r="B37" i="344"/>
  <c r="E36" i="344"/>
  <c r="B36" i="344"/>
  <c r="E35" i="344"/>
  <c r="B35" i="344"/>
  <c r="E34" i="344"/>
  <c r="B34" i="344"/>
  <c r="E33" i="344"/>
  <c r="B33" i="344"/>
  <c r="E32" i="344"/>
  <c r="B32" i="344"/>
  <c r="E31" i="344"/>
  <c r="B31" i="344"/>
  <c r="E30" i="344"/>
  <c r="B30" i="344"/>
  <c r="E29" i="344"/>
  <c r="B29" i="344"/>
  <c r="E28" i="344"/>
  <c r="B28" i="344"/>
  <c r="E27" i="344"/>
  <c r="B27" i="344"/>
  <c r="E26" i="344"/>
  <c r="B26" i="344"/>
  <c r="E25" i="344"/>
  <c r="B25" i="344"/>
  <c r="E24" i="344"/>
  <c r="B24" i="344"/>
  <c r="E23" i="344"/>
  <c r="B23" i="344"/>
  <c r="E22" i="344"/>
  <c r="B22" i="344"/>
  <c r="E21" i="344"/>
  <c r="B21" i="344"/>
  <c r="E20" i="344"/>
  <c r="B20" i="344"/>
  <c r="E19" i="344"/>
  <c r="B19" i="344"/>
  <c r="E18" i="344"/>
  <c r="B18" i="344"/>
  <c r="E17" i="344"/>
  <c r="B17" i="344"/>
  <c r="E16" i="344"/>
  <c r="B16" i="344"/>
  <c r="E15" i="344"/>
  <c r="B15" i="344"/>
  <c r="E14" i="344"/>
  <c r="B14" i="344"/>
  <c r="E13" i="344"/>
  <c r="B13" i="344"/>
  <c r="E12" i="344"/>
  <c r="B12" i="344"/>
  <c r="E11" i="344"/>
  <c r="B11" i="344"/>
  <c r="E10" i="344"/>
  <c r="B10" i="344"/>
  <c r="F9" i="344"/>
  <c r="F38" i="344" s="1"/>
  <c r="E9" i="344"/>
  <c r="B9" i="344"/>
  <c r="D8" i="344"/>
  <c r="D41" i="344" s="1"/>
  <c r="I5" i="344"/>
  <c r="G5" i="344"/>
  <c r="F5" i="344"/>
  <c r="E5" i="344"/>
  <c r="D5" i="344"/>
  <c r="C5" i="344"/>
  <c r="B5" i="344"/>
  <c r="G149" i="354" l="1"/>
  <c r="E149" i="354"/>
  <c r="E40" i="344"/>
  <c r="G9" i="344"/>
  <c r="F10" i="344"/>
  <c r="F11" i="344"/>
  <c r="F12" i="344"/>
  <c r="F13" i="344"/>
  <c r="F14" i="344"/>
  <c r="F15" i="344"/>
  <c r="F16" i="344"/>
  <c r="F17" i="344"/>
  <c r="F18" i="344"/>
  <c r="F19" i="344"/>
  <c r="F20" i="344"/>
  <c r="F21" i="344"/>
  <c r="F22" i="344"/>
  <c r="F23" i="344"/>
  <c r="F24" i="344"/>
  <c r="F25" i="344"/>
  <c r="F26" i="344"/>
  <c r="F27" i="344"/>
  <c r="F28" i="344"/>
  <c r="F29" i="344"/>
  <c r="F30" i="344"/>
  <c r="F31" i="344"/>
  <c r="F32" i="344"/>
  <c r="F33" i="344"/>
  <c r="F34" i="344"/>
  <c r="F35" i="344"/>
  <c r="F36" i="344"/>
  <c r="F37" i="344"/>
  <c r="I40" i="264"/>
  <c r="H133" i="53" l="1"/>
  <c r="H30" i="341" s="1"/>
  <c r="F108" i="351"/>
  <c r="H9" i="344"/>
  <c r="G10" i="344"/>
  <c r="N9" i="344"/>
  <c r="E41" i="344"/>
  <c r="G41" i="344" s="1"/>
  <c r="E8" i="344"/>
  <c r="F39" i="344" s="1"/>
  <c r="J133" i="53" l="1"/>
  <c r="M133" i="53" s="1"/>
  <c r="J30" i="341"/>
  <c r="M30" i="341" s="1"/>
  <c r="I149" i="354"/>
  <c r="L149" i="354" s="1"/>
  <c r="H10" i="344"/>
  <c r="G11" i="344"/>
  <c r="N10" i="344"/>
  <c r="J4" i="53"/>
  <c r="I10" i="284"/>
  <c r="I9" i="284"/>
  <c r="L40" i="53" l="1"/>
  <c r="M40" i="53" s="1"/>
  <c r="L75" i="53"/>
  <c r="M75" i="53" s="1"/>
  <c r="L80" i="53"/>
  <c r="M80" i="53" s="1"/>
  <c r="L81" i="53"/>
  <c r="M81" i="53" s="1"/>
  <c r="L58" i="53"/>
  <c r="M58" i="53" s="1"/>
  <c r="L9" i="53"/>
  <c r="M9" i="53" s="1"/>
  <c r="L15" i="53"/>
  <c r="M15" i="53" s="1"/>
  <c r="L16" i="53"/>
  <c r="M16" i="53" s="1"/>
  <c r="L36" i="53"/>
  <c r="M36" i="53" s="1"/>
  <c r="L43" i="53"/>
  <c r="M43" i="53" s="1"/>
  <c r="L18" i="53"/>
  <c r="M18" i="53" s="1"/>
  <c r="L86" i="53"/>
  <c r="M86" i="53" s="1"/>
  <c r="L91" i="53"/>
  <c r="M91" i="53" s="1"/>
  <c r="L85" i="53"/>
  <c r="M85" i="53" s="1"/>
  <c r="L33" i="53"/>
  <c r="M33" i="53" s="1"/>
  <c r="L89" i="53"/>
  <c r="M89" i="53" s="1"/>
  <c r="L90" i="53"/>
  <c r="M90" i="53" s="1"/>
  <c r="L88" i="53"/>
  <c r="M88" i="53" s="1"/>
  <c r="L13" i="53"/>
  <c r="M13" i="53" s="1"/>
  <c r="K149" i="354"/>
  <c r="L104" i="53"/>
  <c r="M104" i="53" s="1"/>
  <c r="L84" i="53"/>
  <c r="M84" i="53" s="1"/>
  <c r="L82" i="53"/>
  <c r="M82" i="53" s="1"/>
  <c r="L79" i="53"/>
  <c r="M79" i="53" s="1"/>
  <c r="L57" i="53"/>
  <c r="M57" i="53" s="1"/>
  <c r="L12" i="53"/>
  <c r="M12" i="53" s="1"/>
  <c r="L29" i="53"/>
  <c r="M29" i="53" s="1"/>
  <c r="L60" i="53"/>
  <c r="M60" i="53" s="1"/>
  <c r="L61" i="53"/>
  <c r="M61" i="53" s="1"/>
  <c r="L52" i="53"/>
  <c r="M52" i="53" s="1"/>
  <c r="L59" i="53"/>
  <c r="L31" i="53"/>
  <c r="M31" i="53" s="1"/>
  <c r="L28" i="53"/>
  <c r="M28" i="53" s="1"/>
  <c r="H11" i="344"/>
  <c r="G12" i="344"/>
  <c r="N11" i="344"/>
  <c r="B27" i="341"/>
  <c r="L27" i="341"/>
  <c r="L131" i="53"/>
  <c r="D131" i="53"/>
  <c r="D27" i="341" s="1"/>
  <c r="B131" i="53"/>
  <c r="L40" i="343"/>
  <c r="J40" i="343"/>
  <c r="F56" i="318" s="1"/>
  <c r="I40" i="343"/>
  <c r="D40" i="343"/>
  <c r="F131" i="53" s="1"/>
  <c r="F27" i="341" s="1"/>
  <c r="B39" i="343"/>
  <c r="B38" i="343"/>
  <c r="B37" i="343"/>
  <c r="B36" i="343"/>
  <c r="B35" i="343"/>
  <c r="B34" i="343"/>
  <c r="B33" i="343"/>
  <c r="B32" i="343"/>
  <c r="B31" i="343"/>
  <c r="B30" i="343"/>
  <c r="B29" i="343"/>
  <c r="B28" i="343"/>
  <c r="B27" i="343"/>
  <c r="B26" i="343"/>
  <c r="B25" i="343"/>
  <c r="B24" i="343"/>
  <c r="B23" i="343"/>
  <c r="B22" i="343"/>
  <c r="B21" i="343"/>
  <c r="B20" i="343"/>
  <c r="B19" i="343"/>
  <c r="B18" i="343"/>
  <c r="B17" i="343"/>
  <c r="B16" i="343"/>
  <c r="B15" i="343"/>
  <c r="B14" i="343"/>
  <c r="B13" i="343"/>
  <c r="B12" i="343"/>
  <c r="B11" i="343"/>
  <c r="B10" i="343"/>
  <c r="F9" i="343"/>
  <c r="F38" i="343" s="1"/>
  <c r="B9" i="343"/>
  <c r="D8" i="343"/>
  <c r="I5" i="343"/>
  <c r="G5" i="343"/>
  <c r="F5" i="343"/>
  <c r="E5" i="343"/>
  <c r="D5" i="343"/>
  <c r="C5" i="343"/>
  <c r="B5" i="343"/>
  <c r="G56" i="421" l="1"/>
  <c r="P56" i="421" s="1"/>
  <c r="N56" i="421"/>
  <c r="K153" i="354"/>
  <c r="G134" i="354"/>
  <c r="H53" i="365"/>
  <c r="E134" i="354"/>
  <c r="F53" i="365"/>
  <c r="D41" i="343"/>
  <c r="H12" i="344"/>
  <c r="G13" i="344"/>
  <c r="N12" i="344"/>
  <c r="E40" i="343"/>
  <c r="F10" i="343"/>
  <c r="F11" i="343"/>
  <c r="F12" i="343"/>
  <c r="F13" i="343"/>
  <c r="F14" i="343"/>
  <c r="F15" i="343"/>
  <c r="F16" i="343"/>
  <c r="F17" i="343"/>
  <c r="F18" i="343"/>
  <c r="F19" i="343"/>
  <c r="F20" i="343"/>
  <c r="F21" i="343"/>
  <c r="F22" i="343"/>
  <c r="F23" i="343"/>
  <c r="F24" i="343"/>
  <c r="F25" i="343"/>
  <c r="F26" i="343"/>
  <c r="F27" i="343"/>
  <c r="F28" i="343"/>
  <c r="F29" i="343"/>
  <c r="F30" i="343"/>
  <c r="F31" i="343"/>
  <c r="F32" i="343"/>
  <c r="F33" i="343"/>
  <c r="F34" i="343"/>
  <c r="F35" i="343"/>
  <c r="F36" i="343"/>
  <c r="F37" i="343"/>
  <c r="G9" i="343"/>
  <c r="G60" i="421" l="1"/>
  <c r="P60" i="421" s="1"/>
  <c r="N60" i="421"/>
  <c r="H78" i="421"/>
  <c r="G78" i="421"/>
  <c r="P78" i="421" s="1"/>
  <c r="H131" i="53"/>
  <c r="H27" i="341" s="1"/>
  <c r="F99" i="351"/>
  <c r="E8" i="343"/>
  <c r="F39" i="343" s="1"/>
  <c r="E41" i="343"/>
  <c r="G41" i="343" s="1"/>
  <c r="H13" i="344"/>
  <c r="G14" i="344"/>
  <c r="N13" i="344"/>
  <c r="G10" i="343"/>
  <c r="O9" i="343"/>
  <c r="H9" i="343"/>
  <c r="G82" i="421" l="1"/>
  <c r="P82" i="421" s="1"/>
  <c r="J53" i="365"/>
  <c r="L53" i="365" s="1"/>
  <c r="J27" i="341"/>
  <c r="M27" i="341" s="1"/>
  <c r="I134" i="354"/>
  <c r="L134" i="354" s="1"/>
  <c r="J131" i="53"/>
  <c r="M131" i="53" s="1"/>
  <c r="H14" i="344"/>
  <c r="G15" i="344"/>
  <c r="N14" i="344"/>
  <c r="G11" i="343"/>
  <c r="O10" i="343"/>
  <c r="H10" i="343"/>
  <c r="H82" i="421" l="1"/>
  <c r="K134" i="354"/>
  <c r="G41" i="421" s="1"/>
  <c r="P41" i="421" s="1"/>
  <c r="H15" i="344"/>
  <c r="G16" i="344"/>
  <c r="N15" i="344"/>
  <c r="G12" i="343"/>
  <c r="O11" i="343"/>
  <c r="H11" i="343"/>
  <c r="H16" i="344" l="1"/>
  <c r="G17" i="344"/>
  <c r="N16" i="344"/>
  <c r="G13" i="343"/>
  <c r="O12" i="343"/>
  <c r="H12" i="343"/>
  <c r="G63" i="421" l="1"/>
  <c r="P63" i="421" s="1"/>
  <c r="H63" i="421"/>
  <c r="H17" i="344"/>
  <c r="G18" i="344"/>
  <c r="N17" i="344"/>
  <c r="G14" i="343"/>
  <c r="O13" i="343"/>
  <c r="H13" i="343"/>
  <c r="D30" i="317"/>
  <c r="H18" i="344" l="1"/>
  <c r="G19" i="344"/>
  <c r="N18" i="344"/>
  <c r="G15" i="343"/>
  <c r="O14" i="343"/>
  <c r="H14" i="343"/>
  <c r="E45" i="53"/>
  <c r="B45" i="53"/>
  <c r="C4" i="342"/>
  <c r="J46" i="342"/>
  <c r="F40" i="342"/>
  <c r="F41" i="342" s="1"/>
  <c r="E40" i="342"/>
  <c r="G45" i="53" s="1"/>
  <c r="H39" i="342"/>
  <c r="D39" i="342"/>
  <c r="B39" i="342"/>
  <c r="H38" i="342"/>
  <c r="D38" i="342"/>
  <c r="B38" i="342"/>
  <c r="H37" i="342"/>
  <c r="D37" i="342"/>
  <c r="B37" i="342"/>
  <c r="H36" i="342"/>
  <c r="D36" i="342"/>
  <c r="B36" i="342"/>
  <c r="H35" i="342"/>
  <c r="D35" i="342"/>
  <c r="B35" i="342"/>
  <c r="H34" i="342"/>
  <c r="D34" i="342"/>
  <c r="B34" i="342"/>
  <c r="H33" i="342"/>
  <c r="D33" i="342"/>
  <c r="B33" i="342"/>
  <c r="H32" i="342"/>
  <c r="D32" i="342"/>
  <c r="B32" i="342"/>
  <c r="H31" i="342"/>
  <c r="D31" i="342"/>
  <c r="B31" i="342"/>
  <c r="H30" i="342"/>
  <c r="D30" i="342"/>
  <c r="B30" i="342"/>
  <c r="H29" i="342"/>
  <c r="D29" i="342"/>
  <c r="B29" i="342"/>
  <c r="H28" i="342"/>
  <c r="D28" i="342"/>
  <c r="B28" i="342"/>
  <c r="H27" i="342"/>
  <c r="D27" i="342"/>
  <c r="B27" i="342"/>
  <c r="H26" i="342"/>
  <c r="D26" i="342"/>
  <c r="B26" i="342"/>
  <c r="H25" i="342"/>
  <c r="D25" i="342"/>
  <c r="B25" i="342"/>
  <c r="H24" i="342"/>
  <c r="D24" i="342"/>
  <c r="B24" i="342"/>
  <c r="H23" i="342"/>
  <c r="D23" i="342"/>
  <c r="B23" i="342"/>
  <c r="H22" i="342"/>
  <c r="D22" i="342"/>
  <c r="B22" i="342"/>
  <c r="H21" i="342"/>
  <c r="D21" i="342"/>
  <c r="B21" i="342"/>
  <c r="H20" i="342"/>
  <c r="D20" i="342"/>
  <c r="B20" i="342"/>
  <c r="H19" i="342"/>
  <c r="D19" i="342"/>
  <c r="B19" i="342"/>
  <c r="H18" i="342"/>
  <c r="D18" i="342"/>
  <c r="B18" i="342"/>
  <c r="H17" i="342"/>
  <c r="D17" i="342"/>
  <c r="B17" i="342"/>
  <c r="H16" i="342"/>
  <c r="D16" i="342"/>
  <c r="B16" i="342"/>
  <c r="H15" i="342"/>
  <c r="D15" i="342"/>
  <c r="B15" i="342"/>
  <c r="H14" i="342"/>
  <c r="D14" i="342"/>
  <c r="B14" i="342"/>
  <c r="H13" i="342"/>
  <c r="D13" i="342"/>
  <c r="B13" i="342"/>
  <c r="H12" i="342"/>
  <c r="D12" i="342"/>
  <c r="B12" i="342"/>
  <c r="H11" i="342"/>
  <c r="D11" i="342"/>
  <c r="B11" i="342"/>
  <c r="H10" i="342"/>
  <c r="D10" i="342"/>
  <c r="B10" i="342"/>
  <c r="H9" i="342"/>
  <c r="I19" i="342"/>
  <c r="D9" i="342"/>
  <c r="B9" i="342"/>
  <c r="J8" i="342"/>
  <c r="J9" i="342" s="1"/>
  <c r="E8" i="342"/>
  <c r="I7" i="342"/>
  <c r="K7" i="342" s="1"/>
  <c r="M7" i="342" s="1"/>
  <c r="M5" i="342"/>
  <c r="I5" i="342"/>
  <c r="H5" i="342"/>
  <c r="G5" i="342"/>
  <c r="F5" i="342"/>
  <c r="E5" i="342"/>
  <c r="D5" i="342"/>
  <c r="C5" i="342"/>
  <c r="B5" i="342"/>
  <c r="D40" i="342" l="1"/>
  <c r="F45" i="53" s="1"/>
  <c r="F8" i="342"/>
  <c r="E41" i="342"/>
  <c r="H19" i="344"/>
  <c r="G20" i="344"/>
  <c r="N19" i="344"/>
  <c r="H45" i="53"/>
  <c r="G16" i="343"/>
  <c r="O15" i="343"/>
  <c r="H15" i="343"/>
  <c r="D8" i="342"/>
  <c r="D41" i="342" s="1"/>
  <c r="J41" i="342" s="1"/>
  <c r="D45" i="53"/>
  <c r="J10" i="342"/>
  <c r="S9" i="342"/>
  <c r="L9" i="342"/>
  <c r="I15" i="342"/>
  <c r="I17" i="342"/>
  <c r="I39" i="342"/>
  <c r="I38" i="342"/>
  <c r="I37" i="342"/>
  <c r="I36" i="342"/>
  <c r="I35" i="342"/>
  <c r="I34" i="342"/>
  <c r="I33" i="342"/>
  <c r="I32" i="342"/>
  <c r="I31" i="342"/>
  <c r="I30" i="342"/>
  <c r="I29" i="342"/>
  <c r="I28" i="342"/>
  <c r="I27" i="342"/>
  <c r="I26" i="342"/>
  <c r="I25" i="342"/>
  <c r="I24" i="342"/>
  <c r="I23" i="342"/>
  <c r="I22" i="342"/>
  <c r="I21" i="342"/>
  <c r="I20" i="342"/>
  <c r="G40" i="342"/>
  <c r="I45" i="53" s="1"/>
  <c r="K45" i="53" s="1"/>
  <c r="I9" i="342"/>
  <c r="K9" i="342"/>
  <c r="I10" i="342"/>
  <c r="I11" i="342"/>
  <c r="I12" i="342"/>
  <c r="I13" i="342"/>
  <c r="I14" i="342"/>
  <c r="I16" i="342"/>
  <c r="I18" i="342"/>
  <c r="J45" i="53" l="1"/>
  <c r="H20" i="344"/>
  <c r="G21" i="344"/>
  <c r="N20" i="344"/>
  <c r="G17" i="343"/>
  <c r="O16" i="343"/>
  <c r="H16" i="343"/>
  <c r="K10" i="342"/>
  <c r="M9" i="342"/>
  <c r="G41" i="342"/>
  <c r="K41" i="342" s="1"/>
  <c r="G8" i="342"/>
  <c r="J11" i="342"/>
  <c r="S10" i="342"/>
  <c r="L10" i="342"/>
  <c r="H21" i="344" l="1"/>
  <c r="G22" i="344"/>
  <c r="N21" i="344"/>
  <c r="G18" i="343"/>
  <c r="O17" i="343"/>
  <c r="H17" i="343"/>
  <c r="J12" i="342"/>
  <c r="S11" i="342"/>
  <c r="L11" i="342"/>
  <c r="K11" i="342"/>
  <c r="M10" i="342"/>
  <c r="H22" i="344" l="1"/>
  <c r="G23" i="344"/>
  <c r="N22" i="344"/>
  <c r="G19" i="343"/>
  <c r="O18" i="343"/>
  <c r="H18" i="343"/>
  <c r="K12" i="342"/>
  <c r="M11" i="342"/>
  <c r="J13" i="342"/>
  <c r="S12" i="342"/>
  <c r="L12" i="342"/>
  <c r="H23" i="344" l="1"/>
  <c r="G24" i="344"/>
  <c r="N23" i="344"/>
  <c r="G20" i="343"/>
  <c r="O19" i="343"/>
  <c r="H19" i="343"/>
  <c r="J14" i="342"/>
  <c r="S13" i="342"/>
  <c r="L13" i="342"/>
  <c r="K13" i="342"/>
  <c r="M12" i="342"/>
  <c r="H24" i="344" l="1"/>
  <c r="G25" i="344"/>
  <c r="N24" i="344"/>
  <c r="G21" i="343"/>
  <c r="O20" i="343"/>
  <c r="H20" i="343"/>
  <c r="K14" i="342"/>
  <c r="M13" i="342"/>
  <c r="J15" i="342"/>
  <c r="S14" i="342"/>
  <c r="L14" i="342"/>
  <c r="H25" i="344" l="1"/>
  <c r="G26" i="344"/>
  <c r="N25" i="344"/>
  <c r="G22" i="343"/>
  <c r="O21" i="343"/>
  <c r="H21" i="343"/>
  <c r="J16" i="342"/>
  <c r="S15" i="342"/>
  <c r="L15" i="342"/>
  <c r="K15" i="342"/>
  <c r="M14" i="342"/>
  <c r="H26" i="344" l="1"/>
  <c r="G27" i="344"/>
  <c r="N26" i="344"/>
  <c r="G23" i="343"/>
  <c r="O22" i="343"/>
  <c r="H22" i="343"/>
  <c r="K16" i="342"/>
  <c r="M15" i="342"/>
  <c r="J17" i="342"/>
  <c r="S16" i="342"/>
  <c r="L16" i="342"/>
  <c r="H27" i="344" l="1"/>
  <c r="G28" i="344"/>
  <c r="N27" i="344"/>
  <c r="G24" i="343"/>
  <c r="O23" i="343"/>
  <c r="H23" i="343"/>
  <c r="J18" i="342"/>
  <c r="S17" i="342"/>
  <c r="L17" i="342"/>
  <c r="K17" i="342"/>
  <c r="M16" i="342"/>
  <c r="H28" i="344" l="1"/>
  <c r="G29" i="344"/>
  <c r="N28" i="344"/>
  <c r="G25" i="343"/>
  <c r="O24" i="343"/>
  <c r="H24" i="343"/>
  <c r="K18" i="342"/>
  <c r="M17" i="342"/>
  <c r="J19" i="342"/>
  <c r="S18" i="342"/>
  <c r="L18" i="342"/>
  <c r="H29" i="344" l="1"/>
  <c r="G30" i="344"/>
  <c r="N29" i="344"/>
  <c r="G26" i="343"/>
  <c r="O25" i="343"/>
  <c r="H25" i="343"/>
  <c r="J20" i="342"/>
  <c r="S19" i="342"/>
  <c r="L19" i="342"/>
  <c r="K19" i="342"/>
  <c r="M18" i="342"/>
  <c r="H30" i="344" l="1"/>
  <c r="G31" i="344"/>
  <c r="N30" i="344"/>
  <c r="G27" i="343"/>
  <c r="O26" i="343"/>
  <c r="H26" i="343"/>
  <c r="K20" i="342"/>
  <c r="M19" i="342"/>
  <c r="J21" i="342"/>
  <c r="S20" i="342"/>
  <c r="L20" i="342"/>
  <c r="H31" i="344" l="1"/>
  <c r="G32" i="344"/>
  <c r="N31" i="344"/>
  <c r="G28" i="343"/>
  <c r="O27" i="343"/>
  <c r="H27" i="343"/>
  <c r="J22" i="342"/>
  <c r="S21" i="342"/>
  <c r="L21" i="342"/>
  <c r="K21" i="342"/>
  <c r="M20" i="342"/>
  <c r="H32" i="344" l="1"/>
  <c r="G33" i="344"/>
  <c r="N32" i="344"/>
  <c r="G29" i="343"/>
  <c r="O28" i="343"/>
  <c r="H28" i="343"/>
  <c r="K22" i="342"/>
  <c r="M21" i="342"/>
  <c r="J23" i="342"/>
  <c r="S22" i="342"/>
  <c r="L22" i="342"/>
  <c r="H33" i="344" l="1"/>
  <c r="G34" i="344"/>
  <c r="N33" i="344"/>
  <c r="G30" i="343"/>
  <c r="O29" i="343"/>
  <c r="H29" i="343"/>
  <c r="J24" i="342"/>
  <c r="S23" i="342"/>
  <c r="L23" i="342"/>
  <c r="K23" i="342"/>
  <c r="M22" i="342"/>
  <c r="H34" i="344" l="1"/>
  <c r="G35" i="344"/>
  <c r="N34" i="344"/>
  <c r="G31" i="343"/>
  <c r="O30" i="343"/>
  <c r="H30" i="343"/>
  <c r="K24" i="342"/>
  <c r="M23" i="342"/>
  <c r="J25" i="342"/>
  <c r="S24" i="342"/>
  <c r="L24" i="342"/>
  <c r="H35" i="344" l="1"/>
  <c r="G36" i="344"/>
  <c r="N35" i="344"/>
  <c r="G32" i="343"/>
  <c r="O31" i="343"/>
  <c r="H31" i="343"/>
  <c r="J26" i="342"/>
  <c r="S25" i="342"/>
  <c r="L25" i="342"/>
  <c r="K25" i="342"/>
  <c r="M24" i="342"/>
  <c r="H36" i="344" l="1"/>
  <c r="G37" i="344"/>
  <c r="N36" i="344"/>
  <c r="G33" i="343"/>
  <c r="O32" i="343"/>
  <c r="H32" i="343"/>
  <c r="K26" i="342"/>
  <c r="M25" i="342"/>
  <c r="J27" i="342"/>
  <c r="S26" i="342"/>
  <c r="L26" i="342"/>
  <c r="H37" i="344" l="1"/>
  <c r="G38" i="344"/>
  <c r="N37" i="344"/>
  <c r="G34" i="343"/>
  <c r="O33" i="343"/>
  <c r="H33" i="343"/>
  <c r="J28" i="342"/>
  <c r="S27" i="342"/>
  <c r="L27" i="342"/>
  <c r="K27" i="342"/>
  <c r="M26" i="342"/>
  <c r="J8" i="255"/>
  <c r="J108" i="341"/>
  <c r="A3" i="341"/>
  <c r="H38" i="344" l="1"/>
  <c r="G39" i="344"/>
  <c r="N38" i="344"/>
  <c r="G35" i="343"/>
  <c r="O34" i="343"/>
  <c r="H34" i="343"/>
  <c r="K28" i="342"/>
  <c r="M27" i="342"/>
  <c r="J29" i="342"/>
  <c r="S28" i="342"/>
  <c r="L28" i="342"/>
  <c r="L14" i="341"/>
  <c r="D14" i="341"/>
  <c r="B14" i="341"/>
  <c r="L10" i="341"/>
  <c r="D10" i="341"/>
  <c r="B10" i="341"/>
  <c r="L19" i="341"/>
  <c r="D19" i="341"/>
  <c r="B19" i="341"/>
  <c r="L25" i="341"/>
  <c r="D25" i="341"/>
  <c r="B25" i="341"/>
  <c r="L22" i="341"/>
  <c r="D22" i="341"/>
  <c r="B22" i="341"/>
  <c r="L18" i="341"/>
  <c r="D18" i="341"/>
  <c r="L13" i="341"/>
  <c r="B13" i="341"/>
  <c r="L9" i="341"/>
  <c r="D9" i="341"/>
  <c r="B9" i="341"/>
  <c r="D61" i="341"/>
  <c r="B61" i="341"/>
  <c r="L50" i="341"/>
  <c r="B50" i="341"/>
  <c r="D49" i="341"/>
  <c r="B49" i="341"/>
  <c r="L47" i="341"/>
  <c r="D47" i="341"/>
  <c r="B47" i="341"/>
  <c r="L46" i="341"/>
  <c r="D46" i="341"/>
  <c r="B46" i="341"/>
  <c r="L44" i="341"/>
  <c r="D44" i="341"/>
  <c r="B44" i="341"/>
  <c r="L26" i="341"/>
  <c r="D26" i="341"/>
  <c r="B26" i="341"/>
  <c r="L23" i="341"/>
  <c r="D23" i="341"/>
  <c r="B23" i="341"/>
  <c r="L29" i="341"/>
  <c r="B29" i="341"/>
  <c r="L20" i="341"/>
  <c r="D20" i="341"/>
  <c r="B20" i="341"/>
  <c r="L16" i="341"/>
  <c r="D16" i="341"/>
  <c r="B16" i="341"/>
  <c r="L11" i="341"/>
  <c r="B11" i="341"/>
  <c r="L7" i="341"/>
  <c r="D7" i="341"/>
  <c r="B7" i="341"/>
  <c r="I5" i="341"/>
  <c r="K5" i="341" s="1"/>
  <c r="K4" i="341"/>
  <c r="J4" i="341"/>
  <c r="E148" i="354" l="1"/>
  <c r="E128" i="354"/>
  <c r="F47" i="365"/>
  <c r="E122" i="354"/>
  <c r="F50" i="365"/>
  <c r="E126" i="354"/>
  <c r="E140" i="354"/>
  <c r="F57" i="365"/>
  <c r="E105" i="354"/>
  <c r="F38" i="365"/>
  <c r="E142" i="354"/>
  <c r="F59" i="365"/>
  <c r="E137" i="354"/>
  <c r="F54" i="365"/>
  <c r="E141" i="354"/>
  <c r="F58" i="365"/>
  <c r="E127" i="354"/>
  <c r="F51" i="365"/>
  <c r="G40" i="344"/>
  <c r="H39" i="344"/>
  <c r="N39" i="344"/>
  <c r="G36" i="343"/>
  <c r="O35" i="343"/>
  <c r="H35" i="343"/>
  <c r="J30" i="342"/>
  <c r="S29" i="342"/>
  <c r="L29" i="342"/>
  <c r="K29" i="342"/>
  <c r="M28" i="342"/>
  <c r="G37" i="343" l="1"/>
  <c r="O36" i="343"/>
  <c r="H36" i="343"/>
  <c r="K30" i="342"/>
  <c r="M29" i="342"/>
  <c r="J31" i="342"/>
  <c r="S30" i="342"/>
  <c r="L30" i="342"/>
  <c r="L45" i="53"/>
  <c r="M45" i="53" s="1"/>
  <c r="B223" i="53"/>
  <c r="B113" i="53"/>
  <c r="B224" i="53"/>
  <c r="M186" i="53"/>
  <c r="D189" i="53"/>
  <c r="G38" i="343" l="1"/>
  <c r="O37" i="343"/>
  <c r="H37" i="343"/>
  <c r="J32" i="342"/>
  <c r="S31" i="342"/>
  <c r="L31" i="342"/>
  <c r="K31" i="342"/>
  <c r="M30" i="342"/>
  <c r="B51" i="53"/>
  <c r="B108" i="53"/>
  <c r="B26" i="53"/>
  <c r="G39" i="343" l="1"/>
  <c r="O38" i="343"/>
  <c r="H38" i="343"/>
  <c r="K32" i="342"/>
  <c r="M31" i="342"/>
  <c r="J33" i="342"/>
  <c r="S32" i="342"/>
  <c r="L32" i="342"/>
  <c r="B226" i="53"/>
  <c r="B227" i="53"/>
  <c r="B114" i="53"/>
  <c r="B63" i="53"/>
  <c r="B65" i="53"/>
  <c r="B66" i="53"/>
  <c r="B67" i="53"/>
  <c r="B56" i="53"/>
  <c r="B55" i="53"/>
  <c r="B152" i="53"/>
  <c r="B188" i="53"/>
  <c r="D188" i="53"/>
  <c r="L188" i="53"/>
  <c r="B130" i="53"/>
  <c r="B150" i="53"/>
  <c r="O39" i="343" l="1"/>
  <c r="G40" i="343"/>
  <c r="H39" i="343"/>
  <c r="J34" i="342"/>
  <c r="S33" i="342"/>
  <c r="L33" i="342"/>
  <c r="K33" i="342"/>
  <c r="M32" i="342"/>
  <c r="E26" i="53"/>
  <c r="C4" i="340"/>
  <c r="C4" i="283"/>
  <c r="J46" i="340"/>
  <c r="F40" i="340"/>
  <c r="E40" i="340"/>
  <c r="G26" i="53" s="1"/>
  <c r="H39" i="340"/>
  <c r="D39" i="340"/>
  <c r="B39" i="340"/>
  <c r="H38" i="340"/>
  <c r="D38" i="340"/>
  <c r="B38" i="340"/>
  <c r="H37" i="340"/>
  <c r="D37" i="340"/>
  <c r="B37" i="340"/>
  <c r="H36" i="340"/>
  <c r="D36" i="340"/>
  <c r="B36" i="340"/>
  <c r="H35" i="340"/>
  <c r="D35" i="340"/>
  <c r="B35" i="340"/>
  <c r="H34" i="340"/>
  <c r="D34" i="340"/>
  <c r="B34" i="340"/>
  <c r="H33" i="340"/>
  <c r="D33" i="340"/>
  <c r="B33" i="340"/>
  <c r="H32" i="340"/>
  <c r="D32" i="340"/>
  <c r="B32" i="340"/>
  <c r="H31" i="340"/>
  <c r="D31" i="340"/>
  <c r="B31" i="340"/>
  <c r="H30" i="340"/>
  <c r="D30" i="340"/>
  <c r="B30" i="340"/>
  <c r="H29" i="340"/>
  <c r="D29" i="340"/>
  <c r="B29" i="340"/>
  <c r="H28" i="340"/>
  <c r="D28" i="340"/>
  <c r="B28" i="340"/>
  <c r="H27" i="340"/>
  <c r="D27" i="340"/>
  <c r="B27" i="340"/>
  <c r="H26" i="340"/>
  <c r="D26" i="340"/>
  <c r="B26" i="340"/>
  <c r="H25" i="340"/>
  <c r="D25" i="340"/>
  <c r="B25" i="340"/>
  <c r="H24" i="340"/>
  <c r="D24" i="340"/>
  <c r="B24" i="340"/>
  <c r="H23" i="340"/>
  <c r="D23" i="340"/>
  <c r="B23" i="340"/>
  <c r="I22" i="340"/>
  <c r="H22" i="340"/>
  <c r="D22" i="340"/>
  <c r="B22" i="340"/>
  <c r="I21" i="340"/>
  <c r="H21" i="340"/>
  <c r="D21" i="340"/>
  <c r="B21" i="340"/>
  <c r="I20" i="340"/>
  <c r="H20" i="340"/>
  <c r="D20" i="340"/>
  <c r="B20" i="340"/>
  <c r="I19" i="340"/>
  <c r="H19" i="340"/>
  <c r="D19" i="340"/>
  <c r="B19" i="340"/>
  <c r="I18" i="340"/>
  <c r="H18" i="340"/>
  <c r="D18" i="340"/>
  <c r="B18" i="340"/>
  <c r="I17" i="340"/>
  <c r="H17" i="340"/>
  <c r="D17" i="340"/>
  <c r="B17" i="340"/>
  <c r="I16" i="340"/>
  <c r="H16" i="340"/>
  <c r="D16" i="340"/>
  <c r="B16" i="340"/>
  <c r="I15" i="340"/>
  <c r="H15" i="340"/>
  <c r="D15" i="340"/>
  <c r="B15" i="340"/>
  <c r="I14" i="340"/>
  <c r="H14" i="340"/>
  <c r="D14" i="340"/>
  <c r="B14" i="340"/>
  <c r="I13" i="340"/>
  <c r="H13" i="340"/>
  <c r="D13" i="340"/>
  <c r="B13" i="340"/>
  <c r="I12" i="340"/>
  <c r="H12" i="340"/>
  <c r="D12" i="340"/>
  <c r="B12" i="340"/>
  <c r="I11" i="340"/>
  <c r="H11" i="340"/>
  <c r="D11" i="340"/>
  <c r="B11" i="340"/>
  <c r="I10" i="340"/>
  <c r="H10" i="340"/>
  <c r="D10" i="340"/>
  <c r="B10" i="340"/>
  <c r="K9" i="340"/>
  <c r="I9" i="340"/>
  <c r="H9" i="340"/>
  <c r="D9" i="340"/>
  <c r="B9" i="340"/>
  <c r="J8" i="340"/>
  <c r="E8" i="340"/>
  <c r="E41" i="340" s="1"/>
  <c r="I7" i="340"/>
  <c r="K7" i="340" s="1"/>
  <c r="M7" i="340" s="1"/>
  <c r="M5" i="340"/>
  <c r="I5" i="340"/>
  <c r="H5" i="340"/>
  <c r="G5" i="340"/>
  <c r="F5" i="340"/>
  <c r="E5" i="340"/>
  <c r="D5" i="340"/>
  <c r="C5" i="340"/>
  <c r="B5" i="340"/>
  <c r="G54" i="354" l="1"/>
  <c r="E54" i="354"/>
  <c r="F41" i="340"/>
  <c r="E48" i="351"/>
  <c r="J9" i="340"/>
  <c r="L9" i="340" s="1"/>
  <c r="K34" i="342"/>
  <c r="M33" i="342"/>
  <c r="J35" i="342"/>
  <c r="S34" i="342"/>
  <c r="L34" i="342"/>
  <c r="D8" i="340"/>
  <c r="M9" i="340"/>
  <c r="H26" i="53"/>
  <c r="D26" i="53"/>
  <c r="K10" i="340"/>
  <c r="K11" i="340" s="1"/>
  <c r="M11" i="340" s="1"/>
  <c r="D40" i="340"/>
  <c r="F8" i="340"/>
  <c r="G40" i="340"/>
  <c r="I38" i="340"/>
  <c r="I36" i="340"/>
  <c r="I34" i="340"/>
  <c r="I32" i="340"/>
  <c r="I30" i="340"/>
  <c r="I28" i="340"/>
  <c r="I26" i="340"/>
  <c r="I24" i="340"/>
  <c r="I23" i="340"/>
  <c r="I25" i="340"/>
  <c r="I27" i="340"/>
  <c r="I29" i="340"/>
  <c r="I31" i="340"/>
  <c r="I33" i="340"/>
  <c r="I35" i="340"/>
  <c r="I37" i="340"/>
  <c r="I39" i="340"/>
  <c r="L26" i="53" l="1"/>
  <c r="H54" i="354"/>
  <c r="J10" i="340"/>
  <c r="J11" i="340" s="1"/>
  <c r="I26" i="53"/>
  <c r="F48" i="351"/>
  <c r="M10" i="340"/>
  <c r="S9" i="340"/>
  <c r="J36" i="342"/>
  <c r="S35" i="342"/>
  <c r="L35" i="342"/>
  <c r="K35" i="342"/>
  <c r="M34" i="342"/>
  <c r="K12" i="340"/>
  <c r="M12" i="340" s="1"/>
  <c r="D41" i="340"/>
  <c r="J41" i="340" s="1"/>
  <c r="F26" i="53"/>
  <c r="J26" i="53" s="1"/>
  <c r="G41" i="340"/>
  <c r="K41" i="340" s="1"/>
  <c r="G8" i="340"/>
  <c r="K26" i="53" l="1"/>
  <c r="I54" i="354"/>
  <c r="K54" i="354" s="1"/>
  <c r="S11" i="340"/>
  <c r="J12" i="340"/>
  <c r="L12" i="340" s="1"/>
  <c r="L10" i="340"/>
  <c r="S10" i="340"/>
  <c r="L11" i="340"/>
  <c r="K13" i="340"/>
  <c r="K14" i="340" s="1"/>
  <c r="J37" i="342"/>
  <c r="S36" i="342"/>
  <c r="L36" i="342"/>
  <c r="K36" i="342"/>
  <c r="M35" i="342"/>
  <c r="S12" i="340"/>
  <c r="E64" i="355" l="1"/>
  <c r="H75" i="355"/>
  <c r="J13" i="340"/>
  <c r="J14" i="340" s="1"/>
  <c r="M13" i="340"/>
  <c r="J38" i="342"/>
  <c r="S37" i="342"/>
  <c r="L37" i="342"/>
  <c r="K37" i="342"/>
  <c r="M36" i="342"/>
  <c r="K15" i="340"/>
  <c r="M14" i="340"/>
  <c r="L13" i="340" l="1"/>
  <c r="S13" i="340"/>
  <c r="K38" i="342"/>
  <c r="M37" i="342"/>
  <c r="J39" i="342"/>
  <c r="S38" i="342"/>
  <c r="L38" i="342"/>
  <c r="S14" i="340"/>
  <c r="L14" i="340"/>
  <c r="J15" i="340"/>
  <c r="M15" i="340"/>
  <c r="K16" i="340"/>
  <c r="J40" i="342" l="1"/>
  <c r="S39" i="342"/>
  <c r="L39" i="342"/>
  <c r="K39" i="342"/>
  <c r="M38" i="342"/>
  <c r="K17" i="340"/>
  <c r="M16" i="340"/>
  <c r="J16" i="340"/>
  <c r="S15" i="340"/>
  <c r="L15" i="340"/>
  <c r="M39" i="342" l="1"/>
  <c r="K40" i="342"/>
  <c r="S16" i="340"/>
  <c r="L16" i="340"/>
  <c r="J17" i="340"/>
  <c r="M17" i="340"/>
  <c r="K18" i="340"/>
  <c r="E10" i="212"/>
  <c r="E11" i="212"/>
  <c r="E12" i="212"/>
  <c r="E13" i="212"/>
  <c r="E14" i="212"/>
  <c r="E15" i="212"/>
  <c r="E16" i="212"/>
  <c r="E17" i="212"/>
  <c r="E18" i="212"/>
  <c r="E19" i="212"/>
  <c r="E20" i="212"/>
  <c r="E21" i="212"/>
  <c r="E22" i="212"/>
  <c r="E23" i="212"/>
  <c r="E24" i="212"/>
  <c r="E25" i="212"/>
  <c r="E26" i="212"/>
  <c r="E27" i="212"/>
  <c r="E28" i="212"/>
  <c r="E29" i="212"/>
  <c r="E30" i="212"/>
  <c r="E31" i="212"/>
  <c r="E32" i="212"/>
  <c r="E33" i="212"/>
  <c r="E34" i="212"/>
  <c r="E35" i="212"/>
  <c r="E36" i="212"/>
  <c r="E38" i="212"/>
  <c r="E39" i="212"/>
  <c r="E9" i="212"/>
  <c r="G9" i="212" s="1"/>
  <c r="G10" i="212" l="1"/>
  <c r="G11" i="212" s="1"/>
  <c r="G12" i="212" s="1"/>
  <c r="G13" i="212" s="1"/>
  <c r="G14" i="212" s="1"/>
  <c r="G15" i="212" s="1"/>
  <c r="G16" i="212" s="1"/>
  <c r="G17" i="212" s="1"/>
  <c r="G18" i="212" s="1"/>
  <c r="G19" i="212" s="1"/>
  <c r="G20" i="212" s="1"/>
  <c r="G21" i="212" s="1"/>
  <c r="G22" i="212" s="1"/>
  <c r="G23" i="212" s="1"/>
  <c r="G24" i="212" s="1"/>
  <c r="G25" i="212" s="1"/>
  <c r="G26" i="212" s="1"/>
  <c r="G27" i="212" s="1"/>
  <c r="G28" i="212" s="1"/>
  <c r="G29" i="212" s="1"/>
  <c r="G30" i="212" s="1"/>
  <c r="G31" i="212" s="1"/>
  <c r="G32" i="212" s="1"/>
  <c r="G33" i="212" s="1"/>
  <c r="G34" i="212" s="1"/>
  <c r="G35" i="212" s="1"/>
  <c r="G36" i="212" s="1"/>
  <c r="G37" i="212" s="1"/>
  <c r="G38" i="212" s="1"/>
  <c r="G39" i="212" s="1"/>
  <c r="K19" i="340"/>
  <c r="M18" i="340"/>
  <c r="J18" i="340"/>
  <c r="L17" i="340"/>
  <c r="S17" i="340"/>
  <c r="S18" i="340" l="1"/>
  <c r="L18" i="340"/>
  <c r="J19" i="340"/>
  <c r="M19" i="340"/>
  <c r="K20" i="340"/>
  <c r="J40" i="211"/>
  <c r="I40" i="211"/>
  <c r="D40" i="211"/>
  <c r="K21" i="340" l="1"/>
  <c r="M20" i="340"/>
  <c r="J20" i="340"/>
  <c r="S19" i="340"/>
  <c r="L19" i="340"/>
  <c r="S20" i="340" l="1"/>
  <c r="L20" i="340"/>
  <c r="J21" i="340"/>
  <c r="M21" i="340"/>
  <c r="K22" i="340"/>
  <c r="K23" i="340" l="1"/>
  <c r="M22" i="340"/>
  <c r="J22" i="340"/>
  <c r="L21" i="340"/>
  <c r="S21" i="340"/>
  <c r="J23" i="340" l="1"/>
  <c r="S22" i="340"/>
  <c r="L22" i="340"/>
  <c r="K24" i="340"/>
  <c r="M23" i="340"/>
  <c r="E51" i="53"/>
  <c r="J46" i="339"/>
  <c r="G40" i="339"/>
  <c r="F40" i="339"/>
  <c r="F8" i="339" s="1"/>
  <c r="E40" i="339"/>
  <c r="G51" i="53" s="1"/>
  <c r="I39" i="339"/>
  <c r="H39" i="339"/>
  <c r="D39" i="339"/>
  <c r="B39" i="339"/>
  <c r="I38" i="339"/>
  <c r="H38" i="339"/>
  <c r="D38" i="339"/>
  <c r="B38" i="339"/>
  <c r="I37" i="339"/>
  <c r="H37" i="339"/>
  <c r="D37" i="339"/>
  <c r="B37" i="339"/>
  <c r="I36" i="339"/>
  <c r="H36" i="339"/>
  <c r="D36" i="339"/>
  <c r="B36" i="339"/>
  <c r="I35" i="339"/>
  <c r="H35" i="339"/>
  <c r="D35" i="339"/>
  <c r="B35" i="339"/>
  <c r="I34" i="339"/>
  <c r="H34" i="339"/>
  <c r="D34" i="339"/>
  <c r="B34" i="339"/>
  <c r="I33" i="339"/>
  <c r="H33" i="339"/>
  <c r="D33" i="339"/>
  <c r="B33" i="339"/>
  <c r="I32" i="339"/>
  <c r="H32" i="339"/>
  <c r="D32" i="339"/>
  <c r="B32" i="339"/>
  <c r="I31" i="339"/>
  <c r="H31" i="339"/>
  <c r="D31" i="339"/>
  <c r="B31" i="339"/>
  <c r="I30" i="339"/>
  <c r="H30" i="339"/>
  <c r="D30" i="339"/>
  <c r="B30" i="339"/>
  <c r="I29" i="339"/>
  <c r="H29" i="339"/>
  <c r="D29" i="339"/>
  <c r="B29" i="339"/>
  <c r="I28" i="339"/>
  <c r="H28" i="339"/>
  <c r="D28" i="339"/>
  <c r="B28" i="339"/>
  <c r="I27" i="339"/>
  <c r="H27" i="339"/>
  <c r="D27" i="339"/>
  <c r="B27" i="339"/>
  <c r="I26" i="339"/>
  <c r="H26" i="339"/>
  <c r="D26" i="339"/>
  <c r="B26" i="339"/>
  <c r="I25" i="339"/>
  <c r="H25" i="339"/>
  <c r="D25" i="339"/>
  <c r="B25" i="339"/>
  <c r="I24" i="339"/>
  <c r="H24" i="339"/>
  <c r="D24" i="339"/>
  <c r="B24" i="339"/>
  <c r="I23" i="339"/>
  <c r="H23" i="339"/>
  <c r="D23" i="339"/>
  <c r="B23" i="339"/>
  <c r="I22" i="339"/>
  <c r="H22" i="339"/>
  <c r="D22" i="339"/>
  <c r="B22" i="339"/>
  <c r="I21" i="339"/>
  <c r="H21" i="339"/>
  <c r="D21" i="339"/>
  <c r="B21" i="339"/>
  <c r="I20" i="339"/>
  <c r="H20" i="339"/>
  <c r="D20" i="339"/>
  <c r="B20" i="339"/>
  <c r="I19" i="339"/>
  <c r="H19" i="339"/>
  <c r="D19" i="339"/>
  <c r="B19" i="339"/>
  <c r="I18" i="339"/>
  <c r="H18" i="339"/>
  <c r="D18" i="339"/>
  <c r="B18" i="339"/>
  <c r="I17" i="339"/>
  <c r="H17" i="339"/>
  <c r="D17" i="339"/>
  <c r="B17" i="339"/>
  <c r="I16" i="339"/>
  <c r="H16" i="339"/>
  <c r="D16" i="339"/>
  <c r="B16" i="339"/>
  <c r="I15" i="339"/>
  <c r="H15" i="339"/>
  <c r="D15" i="339"/>
  <c r="B15" i="339"/>
  <c r="I14" i="339"/>
  <c r="H14" i="339"/>
  <c r="D14" i="339"/>
  <c r="B14" i="339"/>
  <c r="I13" i="339"/>
  <c r="H13" i="339"/>
  <c r="D13" i="339"/>
  <c r="B13" i="339"/>
  <c r="I12" i="339"/>
  <c r="H12" i="339"/>
  <c r="D12" i="339"/>
  <c r="B12" i="339"/>
  <c r="I11" i="339"/>
  <c r="H11" i="339"/>
  <c r="D11" i="339"/>
  <c r="B11" i="339"/>
  <c r="I10" i="339"/>
  <c r="H10" i="339"/>
  <c r="D10" i="339"/>
  <c r="B10" i="339"/>
  <c r="K9" i="339"/>
  <c r="I9" i="339"/>
  <c r="H9" i="339"/>
  <c r="D9" i="339"/>
  <c r="B9" i="339"/>
  <c r="J8" i="339"/>
  <c r="E8" i="339"/>
  <c r="I7" i="339"/>
  <c r="K7" i="339" s="1"/>
  <c r="M7" i="339" s="1"/>
  <c r="M5" i="339"/>
  <c r="I5" i="339"/>
  <c r="H5" i="339"/>
  <c r="G5" i="339"/>
  <c r="F5" i="339"/>
  <c r="E5" i="339"/>
  <c r="D5" i="339"/>
  <c r="C5" i="339"/>
  <c r="B5" i="339"/>
  <c r="C4" i="339"/>
  <c r="E27" i="53"/>
  <c r="E68" i="354" s="1"/>
  <c r="B27" i="53"/>
  <c r="J46" i="338"/>
  <c r="G40" i="338"/>
  <c r="F40" i="338"/>
  <c r="E40" i="338"/>
  <c r="G27" i="53" s="1"/>
  <c r="I39" i="338"/>
  <c r="H39" i="338"/>
  <c r="D39" i="338"/>
  <c r="B39" i="338"/>
  <c r="I38" i="338"/>
  <c r="H38" i="338"/>
  <c r="D38" i="338"/>
  <c r="B38" i="338"/>
  <c r="I37" i="338"/>
  <c r="H37" i="338"/>
  <c r="D37" i="338"/>
  <c r="B37" i="338"/>
  <c r="I36" i="338"/>
  <c r="H36" i="338"/>
  <c r="D36" i="338"/>
  <c r="B36" i="338"/>
  <c r="I35" i="338"/>
  <c r="H35" i="338"/>
  <c r="B35" i="338"/>
  <c r="I34" i="338"/>
  <c r="H34" i="338"/>
  <c r="B34" i="338"/>
  <c r="I33" i="338"/>
  <c r="H33" i="338"/>
  <c r="B33" i="338"/>
  <c r="I32" i="338"/>
  <c r="H32" i="338"/>
  <c r="D32" i="338"/>
  <c r="B32" i="338"/>
  <c r="I31" i="338"/>
  <c r="H31" i="338"/>
  <c r="D31" i="338"/>
  <c r="B31" i="338"/>
  <c r="I30" i="338"/>
  <c r="H30" i="338"/>
  <c r="D30" i="338"/>
  <c r="B30" i="338"/>
  <c r="I29" i="338"/>
  <c r="H29" i="338"/>
  <c r="D29" i="338"/>
  <c r="B29" i="338"/>
  <c r="I28" i="338"/>
  <c r="H28" i="338"/>
  <c r="D28" i="338"/>
  <c r="B28" i="338"/>
  <c r="I27" i="338"/>
  <c r="H27" i="338"/>
  <c r="D27" i="338"/>
  <c r="B27" i="338"/>
  <c r="I26" i="338"/>
  <c r="H26" i="338"/>
  <c r="D26" i="338"/>
  <c r="B26" i="338"/>
  <c r="I25" i="338"/>
  <c r="H25" i="338"/>
  <c r="D25" i="338"/>
  <c r="B25" i="338"/>
  <c r="I24" i="338"/>
  <c r="H24" i="338"/>
  <c r="D24" i="338"/>
  <c r="B24" i="338"/>
  <c r="I23" i="338"/>
  <c r="H23" i="338"/>
  <c r="D23" i="338"/>
  <c r="B23" i="338"/>
  <c r="I22" i="338"/>
  <c r="H22" i="338"/>
  <c r="D22" i="338"/>
  <c r="B22" i="338"/>
  <c r="I21" i="338"/>
  <c r="H21" i="338"/>
  <c r="D21" i="338"/>
  <c r="B21" i="338"/>
  <c r="I20" i="338"/>
  <c r="H20" i="338"/>
  <c r="D20" i="338"/>
  <c r="B20" i="338"/>
  <c r="I19" i="338"/>
  <c r="H19" i="338"/>
  <c r="D19" i="338"/>
  <c r="B19" i="338"/>
  <c r="I18" i="338"/>
  <c r="H18" i="338"/>
  <c r="D18" i="338"/>
  <c r="B18" i="338"/>
  <c r="I17" i="338"/>
  <c r="H17" i="338"/>
  <c r="D17" i="338"/>
  <c r="B17" i="338"/>
  <c r="I16" i="338"/>
  <c r="H16" i="338"/>
  <c r="D16" i="338"/>
  <c r="B16" i="338"/>
  <c r="I15" i="338"/>
  <c r="H15" i="338"/>
  <c r="D15" i="338"/>
  <c r="B15" i="338"/>
  <c r="I14" i="338"/>
  <c r="H14" i="338"/>
  <c r="D14" i="338"/>
  <c r="B14" i="338"/>
  <c r="I13" i="338"/>
  <c r="H13" i="338"/>
  <c r="D13" i="338"/>
  <c r="B13" i="338"/>
  <c r="I12" i="338"/>
  <c r="H12" i="338"/>
  <c r="D12" i="338"/>
  <c r="B12" i="338"/>
  <c r="I11" i="338"/>
  <c r="H11" i="338"/>
  <c r="D11" i="338"/>
  <c r="B11" i="338"/>
  <c r="I10" i="338"/>
  <c r="H10" i="338"/>
  <c r="D10" i="338"/>
  <c r="B10" i="338"/>
  <c r="K9" i="338"/>
  <c r="I9" i="338"/>
  <c r="H9" i="338"/>
  <c r="D9" i="338"/>
  <c r="B9" i="338"/>
  <c r="J8" i="338"/>
  <c r="E8" i="338"/>
  <c r="I7" i="338"/>
  <c r="K7" i="338" s="1"/>
  <c r="M7" i="338" s="1"/>
  <c r="M5" i="338"/>
  <c r="I5" i="338"/>
  <c r="H5" i="338"/>
  <c r="G5" i="338"/>
  <c r="F5" i="338"/>
  <c r="E5" i="338"/>
  <c r="D5" i="338"/>
  <c r="C5" i="338"/>
  <c r="B5" i="338"/>
  <c r="G68" i="354" l="1"/>
  <c r="J9" i="338"/>
  <c r="S9" i="338" s="1"/>
  <c r="G55" i="354"/>
  <c r="E55" i="354"/>
  <c r="M9" i="338"/>
  <c r="E41" i="338"/>
  <c r="E41" i="339"/>
  <c r="G41" i="338"/>
  <c r="F50" i="351"/>
  <c r="F41" i="338"/>
  <c r="E50" i="351"/>
  <c r="G41" i="339"/>
  <c r="F49" i="351"/>
  <c r="F41" i="339"/>
  <c r="E49" i="351"/>
  <c r="J9" i="339"/>
  <c r="S9" i="339" s="1"/>
  <c r="G8" i="338"/>
  <c r="F8" i="338"/>
  <c r="M9" i="339"/>
  <c r="D8" i="339"/>
  <c r="D8" i="338"/>
  <c r="G8" i="339"/>
  <c r="D27" i="53"/>
  <c r="D51" i="53"/>
  <c r="M24" i="340"/>
  <c r="K25" i="340"/>
  <c r="S23" i="340"/>
  <c r="L23" i="340"/>
  <c r="J24" i="340"/>
  <c r="I27" i="53"/>
  <c r="H27" i="53"/>
  <c r="I51" i="53"/>
  <c r="H51" i="53"/>
  <c r="D40" i="339"/>
  <c r="K10" i="339"/>
  <c r="D40" i="338"/>
  <c r="K10" i="338"/>
  <c r="I68" i="354" l="1"/>
  <c r="K68" i="354" s="1"/>
  <c r="H68" i="354"/>
  <c r="J10" i="338"/>
  <c r="S10" i="338" s="1"/>
  <c r="K41" i="338"/>
  <c r="L9" i="338"/>
  <c r="J10" i="339"/>
  <c r="L10" i="339" s="1"/>
  <c r="K27" i="53"/>
  <c r="K56" i="354"/>
  <c r="K41" i="339"/>
  <c r="K51" i="53"/>
  <c r="I55" i="354"/>
  <c r="K55" i="354" s="1"/>
  <c r="L51" i="53"/>
  <c r="H55" i="354"/>
  <c r="L9" i="339"/>
  <c r="K26" i="340"/>
  <c r="M25" i="340"/>
  <c r="J25" i="340"/>
  <c r="S24" i="340"/>
  <c r="L24" i="340"/>
  <c r="D41" i="339"/>
  <c r="J41" i="339" s="1"/>
  <c r="F51" i="53"/>
  <c r="J51" i="53" s="1"/>
  <c r="K11" i="339"/>
  <c r="M10" i="339"/>
  <c r="S10" i="339"/>
  <c r="D41" i="338"/>
  <c r="J41" i="338" s="1"/>
  <c r="F27" i="53"/>
  <c r="J27" i="53" s="1"/>
  <c r="K11" i="338"/>
  <c r="M10" i="338"/>
  <c r="E65" i="355" l="1"/>
  <c r="E78" i="355"/>
  <c r="F78" i="355" s="1"/>
  <c r="G78" i="355" s="1"/>
  <c r="H66" i="355"/>
  <c r="L10" i="338"/>
  <c r="J11" i="338"/>
  <c r="J12" i="338" s="1"/>
  <c r="J11" i="339"/>
  <c r="S11" i="339" s="1"/>
  <c r="S25" i="340"/>
  <c r="L25" i="340"/>
  <c r="J26" i="340"/>
  <c r="M26" i="340"/>
  <c r="K27" i="340"/>
  <c r="M11" i="339"/>
  <c r="K12" i="339"/>
  <c r="M11" i="338"/>
  <c r="K12" i="338"/>
  <c r="H78" i="355" l="1"/>
  <c r="S11" i="338"/>
  <c r="L11" i="338"/>
  <c r="J12" i="339"/>
  <c r="S12" i="339" s="1"/>
  <c r="L11" i="339"/>
  <c r="H76" i="355"/>
  <c r="K28" i="340"/>
  <c r="M27" i="340"/>
  <c r="J27" i="340"/>
  <c r="S26" i="340"/>
  <c r="L26" i="340"/>
  <c r="K13" i="339"/>
  <c r="M12" i="339"/>
  <c r="K13" i="338"/>
  <c r="M12" i="338"/>
  <c r="S12" i="338"/>
  <c r="L12" i="338"/>
  <c r="J13" i="338"/>
  <c r="L12" i="339" l="1"/>
  <c r="J13" i="339"/>
  <c r="S13" i="339" s="1"/>
  <c r="S27" i="340"/>
  <c r="L27" i="340"/>
  <c r="J28" i="340"/>
  <c r="M28" i="340"/>
  <c r="K29" i="340"/>
  <c r="K30" i="340" s="1"/>
  <c r="M13" i="339"/>
  <c r="K14" i="339"/>
  <c r="J14" i="338"/>
  <c r="S13" i="338"/>
  <c r="L13" i="338"/>
  <c r="M13" i="338"/>
  <c r="K14" i="338"/>
  <c r="L13" i="339" l="1"/>
  <c r="J14" i="339"/>
  <c r="S14" i="339" s="1"/>
  <c r="M29" i="340"/>
  <c r="J29" i="340"/>
  <c r="S28" i="340"/>
  <c r="L28" i="340"/>
  <c r="K15" i="339"/>
  <c r="M14" i="339"/>
  <c r="K15" i="338"/>
  <c r="M14" i="338"/>
  <c r="S14" i="338"/>
  <c r="L14" i="338"/>
  <c r="J15" i="338"/>
  <c r="L14" i="339" l="1"/>
  <c r="J15" i="339"/>
  <c r="S15" i="339" s="1"/>
  <c r="S29" i="340"/>
  <c r="L29" i="340"/>
  <c r="J30" i="340"/>
  <c r="M30" i="340"/>
  <c r="K31" i="340"/>
  <c r="M15" i="339"/>
  <c r="K16" i="339"/>
  <c r="J16" i="338"/>
  <c r="S15" i="338"/>
  <c r="L15" i="338"/>
  <c r="M15" i="338"/>
  <c r="K16" i="338"/>
  <c r="J16" i="339" l="1"/>
  <c r="S16" i="339" s="1"/>
  <c r="L15" i="339"/>
  <c r="K32" i="340"/>
  <c r="M31" i="340"/>
  <c r="J31" i="340"/>
  <c r="S30" i="340"/>
  <c r="L30" i="340"/>
  <c r="K17" i="339"/>
  <c r="M16" i="339"/>
  <c r="K17" i="338"/>
  <c r="M16" i="338"/>
  <c r="S16" i="338"/>
  <c r="L16" i="338"/>
  <c r="J17" i="338"/>
  <c r="J17" i="339" l="1"/>
  <c r="J18" i="339" s="1"/>
  <c r="L16" i="339"/>
  <c r="S31" i="340"/>
  <c r="L31" i="340"/>
  <c r="J32" i="340"/>
  <c r="M32" i="340"/>
  <c r="K33" i="340"/>
  <c r="M17" i="339"/>
  <c r="K18" i="339"/>
  <c r="J18" i="338"/>
  <c r="S17" i="338"/>
  <c r="L17" i="338"/>
  <c r="M17" i="338"/>
  <c r="K18" i="338"/>
  <c r="S17" i="339" l="1"/>
  <c r="L17" i="339"/>
  <c r="K34" i="340"/>
  <c r="M33" i="340"/>
  <c r="J33" i="340"/>
  <c r="S32" i="340"/>
  <c r="L32" i="340"/>
  <c r="K19" i="339"/>
  <c r="M18" i="339"/>
  <c r="S18" i="339"/>
  <c r="L18" i="339"/>
  <c r="J19" i="339"/>
  <c r="K19" i="338"/>
  <c r="M18" i="338"/>
  <c r="S18" i="338"/>
  <c r="L18" i="338"/>
  <c r="J19" i="338"/>
  <c r="S33" i="340" l="1"/>
  <c r="L33" i="340"/>
  <c r="J34" i="340"/>
  <c r="M34" i="340"/>
  <c r="K35" i="340"/>
  <c r="J20" i="339"/>
  <c r="S19" i="339"/>
  <c r="L19" i="339"/>
  <c r="M19" i="339"/>
  <c r="K20" i="339"/>
  <c r="J20" i="338"/>
  <c r="S19" i="338"/>
  <c r="L19" i="338"/>
  <c r="M19" i="338"/>
  <c r="K20" i="338"/>
  <c r="K36" i="340" l="1"/>
  <c r="M35" i="340"/>
  <c r="J35" i="340"/>
  <c r="S34" i="340"/>
  <c r="L34" i="340"/>
  <c r="K21" i="339"/>
  <c r="M20" i="339"/>
  <c r="S20" i="339"/>
  <c r="L20" i="339"/>
  <c r="J21" i="339"/>
  <c r="K21" i="338"/>
  <c r="M20" i="338"/>
  <c r="S20" i="338"/>
  <c r="L20" i="338"/>
  <c r="J21" i="338"/>
  <c r="S35" i="340" l="1"/>
  <c r="L35" i="340"/>
  <c r="J36" i="340"/>
  <c r="M36" i="340"/>
  <c r="K37" i="340"/>
  <c r="J22" i="339"/>
  <c r="S21" i="339"/>
  <c r="L21" i="339"/>
  <c r="M21" i="339"/>
  <c r="K22" i="339"/>
  <c r="J22" i="338"/>
  <c r="S21" i="338"/>
  <c r="L21" i="338"/>
  <c r="M21" i="338"/>
  <c r="K22" i="338"/>
  <c r="K38" i="340" l="1"/>
  <c r="M37" i="340"/>
  <c r="J37" i="340"/>
  <c r="S36" i="340"/>
  <c r="L36" i="340"/>
  <c r="K23" i="339"/>
  <c r="M22" i="339"/>
  <c r="S22" i="339"/>
  <c r="L22" i="339"/>
  <c r="J23" i="339"/>
  <c r="K23" i="338"/>
  <c r="M22" i="338"/>
  <c r="S22" i="338"/>
  <c r="L22" i="338"/>
  <c r="J23" i="338"/>
  <c r="S37" i="340" l="1"/>
  <c r="L37" i="340"/>
  <c r="J38" i="340"/>
  <c r="M38" i="340"/>
  <c r="K39" i="340"/>
  <c r="J24" i="339"/>
  <c r="S23" i="339"/>
  <c r="L23" i="339"/>
  <c r="M23" i="339"/>
  <c r="K24" i="339"/>
  <c r="J24" i="338"/>
  <c r="S23" i="338"/>
  <c r="L23" i="338"/>
  <c r="M23" i="338"/>
  <c r="K24" i="338"/>
  <c r="K40" i="340" l="1"/>
  <c r="M39" i="340"/>
  <c r="J39" i="340"/>
  <c r="S38" i="340"/>
  <c r="L38" i="340"/>
  <c r="K25" i="339"/>
  <c r="M24" i="339"/>
  <c r="S24" i="339"/>
  <c r="L24" i="339"/>
  <c r="J25" i="339"/>
  <c r="K25" i="338"/>
  <c r="M24" i="338"/>
  <c r="S24" i="338"/>
  <c r="L24" i="338"/>
  <c r="J25" i="338"/>
  <c r="S39" i="340" l="1"/>
  <c r="L39" i="340"/>
  <c r="J40" i="340"/>
  <c r="J26" i="339"/>
  <c r="S25" i="339"/>
  <c r="L25" i="339"/>
  <c r="M25" i="339"/>
  <c r="K26" i="339"/>
  <c r="J26" i="338"/>
  <c r="S25" i="338"/>
  <c r="L25" i="338"/>
  <c r="M25" i="338"/>
  <c r="K26" i="338"/>
  <c r="K27" i="339" l="1"/>
  <c r="M26" i="339"/>
  <c r="S26" i="339"/>
  <c r="L26" i="339"/>
  <c r="J27" i="339"/>
  <c r="K27" i="338"/>
  <c r="M26" i="338"/>
  <c r="S26" i="338"/>
  <c r="L26" i="338"/>
  <c r="J27" i="338"/>
  <c r="J28" i="339" l="1"/>
  <c r="S27" i="339"/>
  <c r="L27" i="339"/>
  <c r="M27" i="339"/>
  <c r="K28" i="339"/>
  <c r="J28" i="338"/>
  <c r="S27" i="338"/>
  <c r="L27" i="338"/>
  <c r="M27" i="338"/>
  <c r="K28" i="338"/>
  <c r="K29" i="339" l="1"/>
  <c r="M28" i="339"/>
  <c r="S28" i="339"/>
  <c r="L28" i="339"/>
  <c r="J29" i="339"/>
  <c r="K29" i="338"/>
  <c r="M28" i="338"/>
  <c r="S28" i="338"/>
  <c r="L28" i="338"/>
  <c r="J29" i="338"/>
  <c r="E5" i="178"/>
  <c r="J30" i="339" l="1"/>
  <c r="S29" i="339"/>
  <c r="L29" i="339"/>
  <c r="M29" i="339"/>
  <c r="K30" i="339"/>
  <c r="J30" i="338"/>
  <c r="S29" i="338"/>
  <c r="L29" i="338"/>
  <c r="M29" i="338"/>
  <c r="K30" i="338"/>
  <c r="D10" i="323"/>
  <c r="D11" i="323"/>
  <c r="D12" i="323"/>
  <c r="D13" i="323"/>
  <c r="D14" i="323"/>
  <c r="D15" i="323"/>
  <c r="D16" i="323"/>
  <c r="D17" i="323"/>
  <c r="D18" i="323"/>
  <c r="D19" i="323"/>
  <c r="D20" i="323"/>
  <c r="D21" i="323"/>
  <c r="D22" i="323"/>
  <c r="D26" i="323"/>
  <c r="D29" i="323"/>
  <c r="D30" i="323"/>
  <c r="D31" i="323"/>
  <c r="D32" i="323"/>
  <c r="D33" i="323"/>
  <c r="D34" i="323"/>
  <c r="D35" i="323"/>
  <c r="D36" i="323"/>
  <c r="D37" i="323"/>
  <c r="D38" i="323"/>
  <c r="D39" i="323"/>
  <c r="D9" i="323"/>
  <c r="S40" i="323"/>
  <c r="K31" i="339" l="1"/>
  <c r="M30" i="339"/>
  <c r="S30" i="339"/>
  <c r="L30" i="339"/>
  <c r="J31" i="339"/>
  <c r="K31" i="338"/>
  <c r="M30" i="338"/>
  <c r="S30" i="338"/>
  <c r="L30" i="338"/>
  <c r="J31" i="338"/>
  <c r="I40" i="336"/>
  <c r="J32" i="339" l="1"/>
  <c r="S31" i="339"/>
  <c r="L31" i="339"/>
  <c r="M31" i="339"/>
  <c r="K32" i="339"/>
  <c r="J32" i="338"/>
  <c r="S31" i="338"/>
  <c r="L31" i="338"/>
  <c r="M31" i="338"/>
  <c r="K32" i="338"/>
  <c r="C4" i="309"/>
  <c r="K33" i="339" l="1"/>
  <c r="M32" i="339"/>
  <c r="S32" i="339"/>
  <c r="L32" i="339"/>
  <c r="J33" i="339"/>
  <c r="K33" i="338"/>
  <c r="M32" i="338"/>
  <c r="S32" i="338"/>
  <c r="L32" i="338"/>
  <c r="J33" i="338"/>
  <c r="J34" i="339" l="1"/>
  <c r="S33" i="339"/>
  <c r="L33" i="339"/>
  <c r="M33" i="339"/>
  <c r="K34" i="339"/>
  <c r="J34" i="338"/>
  <c r="S33" i="338"/>
  <c r="L33" i="338"/>
  <c r="M33" i="338"/>
  <c r="K34" i="338"/>
  <c r="D94" i="53"/>
  <c r="E107" i="354" s="1"/>
  <c r="F40" i="365" l="1"/>
  <c r="K35" i="339"/>
  <c r="M34" i="339"/>
  <c r="S34" i="339"/>
  <c r="L34" i="339"/>
  <c r="J35" i="339"/>
  <c r="K35" i="338"/>
  <c r="M34" i="338"/>
  <c r="S34" i="338"/>
  <c r="L34" i="338"/>
  <c r="J35" i="338"/>
  <c r="J36" i="339" l="1"/>
  <c r="S35" i="339"/>
  <c r="L35" i="339"/>
  <c r="M35" i="339"/>
  <c r="K36" i="339"/>
  <c r="J36" i="338"/>
  <c r="S35" i="338"/>
  <c r="L35" i="338"/>
  <c r="M35" i="338"/>
  <c r="K36" i="338"/>
  <c r="K37" i="339" l="1"/>
  <c r="M36" i="339"/>
  <c r="S36" i="339"/>
  <c r="L36" i="339"/>
  <c r="J37" i="339"/>
  <c r="K37" i="338"/>
  <c r="M36" i="338"/>
  <c r="S36" i="338"/>
  <c r="L36" i="338"/>
  <c r="J37" i="338"/>
  <c r="C4" i="294"/>
  <c r="J38" i="339" l="1"/>
  <c r="S37" i="339"/>
  <c r="L37" i="339"/>
  <c r="M37" i="339"/>
  <c r="K38" i="339"/>
  <c r="J38" i="338"/>
  <c r="S37" i="338"/>
  <c r="L37" i="338"/>
  <c r="M37" i="338"/>
  <c r="K38" i="338"/>
  <c r="J8" i="269"/>
  <c r="J9" i="269" s="1"/>
  <c r="K39" i="339" l="1"/>
  <c r="M38" i="339"/>
  <c r="S38" i="339"/>
  <c r="L38" i="339"/>
  <c r="J39" i="339"/>
  <c r="K39" i="338"/>
  <c r="M38" i="338"/>
  <c r="S38" i="338"/>
  <c r="L38" i="338"/>
  <c r="J39" i="338"/>
  <c r="I9" i="332"/>
  <c r="I10" i="332"/>
  <c r="I11" i="332"/>
  <c r="I12" i="332"/>
  <c r="I13" i="332"/>
  <c r="I14" i="332"/>
  <c r="I15" i="332"/>
  <c r="I16" i="332"/>
  <c r="I17" i="332"/>
  <c r="I18" i="332"/>
  <c r="I19" i="332"/>
  <c r="I20" i="332"/>
  <c r="I21" i="332"/>
  <c r="I22" i="332"/>
  <c r="I23" i="332"/>
  <c r="I24" i="332"/>
  <c r="I25" i="332"/>
  <c r="I26" i="332"/>
  <c r="I27" i="332"/>
  <c r="I28" i="332"/>
  <c r="I29" i="332"/>
  <c r="I30" i="332"/>
  <c r="I31" i="332"/>
  <c r="I32" i="332"/>
  <c r="I33" i="332"/>
  <c r="I34" i="332"/>
  <c r="I35" i="332"/>
  <c r="I36" i="332"/>
  <c r="I37" i="332"/>
  <c r="I38" i="332"/>
  <c r="I39" i="332"/>
  <c r="J40" i="339" l="1"/>
  <c r="S39" i="339"/>
  <c r="L39" i="339"/>
  <c r="M39" i="339"/>
  <c r="K40" i="339"/>
  <c r="J40" i="338"/>
  <c r="S39" i="338"/>
  <c r="L39" i="338"/>
  <c r="M39" i="338"/>
  <c r="K40" i="338"/>
  <c r="B36" i="211" l="1"/>
  <c r="B37" i="211"/>
  <c r="B38" i="211"/>
  <c r="D31" i="332" l="1"/>
  <c r="D32" i="332"/>
  <c r="L130" i="53" l="1"/>
  <c r="D130" i="53"/>
  <c r="K40" i="336"/>
  <c r="J40" i="336"/>
  <c r="D40" i="336"/>
  <c r="E39" i="336"/>
  <c r="B39" i="336"/>
  <c r="E38" i="336"/>
  <c r="B38" i="336"/>
  <c r="E37" i="336"/>
  <c r="B37" i="336"/>
  <c r="E36" i="336"/>
  <c r="B36" i="336"/>
  <c r="E35" i="336"/>
  <c r="B35" i="336"/>
  <c r="E34" i="336"/>
  <c r="B34" i="336"/>
  <c r="E33" i="336"/>
  <c r="B33" i="336"/>
  <c r="E32" i="336"/>
  <c r="B32" i="336"/>
  <c r="E31" i="336"/>
  <c r="B31" i="336"/>
  <c r="E30" i="336"/>
  <c r="B30" i="336"/>
  <c r="E29" i="336"/>
  <c r="B29" i="336"/>
  <c r="E28" i="336"/>
  <c r="B28" i="336"/>
  <c r="E27" i="336"/>
  <c r="B27" i="336"/>
  <c r="E26" i="336"/>
  <c r="B26" i="336"/>
  <c r="E25" i="336"/>
  <c r="B25" i="336"/>
  <c r="E24" i="336"/>
  <c r="B24" i="336"/>
  <c r="E23" i="336"/>
  <c r="B23" i="336"/>
  <c r="E22" i="336"/>
  <c r="B22" i="336"/>
  <c r="E21" i="336"/>
  <c r="B21" i="336"/>
  <c r="E20" i="336"/>
  <c r="B20" i="336"/>
  <c r="E19" i="336"/>
  <c r="B19" i="336"/>
  <c r="E18" i="336"/>
  <c r="B18" i="336"/>
  <c r="E17" i="336"/>
  <c r="B17" i="336"/>
  <c r="E16" i="336"/>
  <c r="B16" i="336"/>
  <c r="E15" i="336"/>
  <c r="B15" i="336"/>
  <c r="E14" i="336"/>
  <c r="B14" i="336"/>
  <c r="E13" i="336"/>
  <c r="B13" i="336"/>
  <c r="E12" i="336"/>
  <c r="B12" i="336"/>
  <c r="E11" i="336"/>
  <c r="B11" i="336"/>
  <c r="E10" i="336"/>
  <c r="B10" i="336"/>
  <c r="F9" i="336"/>
  <c r="F38" i="336" s="1"/>
  <c r="E9" i="336"/>
  <c r="B9" i="336"/>
  <c r="D8" i="336"/>
  <c r="I5" i="336"/>
  <c r="G5" i="336"/>
  <c r="F5" i="336"/>
  <c r="E5" i="336"/>
  <c r="D5" i="336"/>
  <c r="C5" i="336"/>
  <c r="B5" i="336"/>
  <c r="F130" i="53" l="1"/>
  <c r="F26" i="341"/>
  <c r="D41" i="336"/>
  <c r="E40" i="336"/>
  <c r="F10" i="336"/>
  <c r="F11" i="336"/>
  <c r="F12" i="336"/>
  <c r="F13" i="336"/>
  <c r="F14" i="336"/>
  <c r="F15" i="336"/>
  <c r="F16" i="336"/>
  <c r="F17" i="336"/>
  <c r="F18" i="336"/>
  <c r="F19" i="336"/>
  <c r="F20" i="336"/>
  <c r="F21" i="336"/>
  <c r="F22" i="336"/>
  <c r="F23" i="336"/>
  <c r="F24" i="336"/>
  <c r="F25" i="336"/>
  <c r="F26" i="336"/>
  <c r="F27" i="336"/>
  <c r="F28" i="336"/>
  <c r="F29" i="336"/>
  <c r="F30" i="336"/>
  <c r="F31" i="336"/>
  <c r="F32" i="336"/>
  <c r="F33" i="336"/>
  <c r="F34" i="336"/>
  <c r="F35" i="336"/>
  <c r="F36" i="336"/>
  <c r="F37" i="336"/>
  <c r="G9" i="336"/>
  <c r="G148" i="354" l="1"/>
  <c r="F107" i="351"/>
  <c r="H130" i="53"/>
  <c r="J130" i="53" s="1"/>
  <c r="M130" i="53" s="1"/>
  <c r="H26" i="341"/>
  <c r="E8" i="336"/>
  <c r="F39" i="336" s="1"/>
  <c r="E41" i="336"/>
  <c r="G41" i="336" s="1"/>
  <c r="G10" i="336"/>
  <c r="L9" i="336"/>
  <c r="H9" i="336"/>
  <c r="J26" i="341" l="1"/>
  <c r="M26" i="341" s="1"/>
  <c r="I148" i="354"/>
  <c r="L148" i="354" s="1"/>
  <c r="G11" i="336"/>
  <c r="L10" i="336"/>
  <c r="H10" i="336"/>
  <c r="K148" i="354" l="1"/>
  <c r="G12" i="336"/>
  <c r="L11" i="336"/>
  <c r="H11" i="336"/>
  <c r="G55" i="421" l="1"/>
  <c r="P55" i="421" s="1"/>
  <c r="N55" i="421"/>
  <c r="H77" i="421"/>
  <c r="G13" i="336"/>
  <c r="L12" i="336"/>
  <c r="H12" i="336"/>
  <c r="G14" i="336" l="1"/>
  <c r="L13" i="336"/>
  <c r="H13" i="336"/>
  <c r="G15" i="336" l="1"/>
  <c r="L14" i="336"/>
  <c r="H14" i="336"/>
  <c r="Z40" i="264"/>
  <c r="G16" i="336" l="1"/>
  <c r="L15" i="336"/>
  <c r="H15" i="336"/>
  <c r="G17" i="336" l="1"/>
  <c r="L16" i="336"/>
  <c r="H16" i="336"/>
  <c r="G18" i="336" l="1"/>
  <c r="L17" i="336"/>
  <c r="H17" i="336"/>
  <c r="G19" i="336" l="1"/>
  <c r="L18" i="336"/>
  <c r="H18" i="336"/>
  <c r="G20" i="336" l="1"/>
  <c r="L19" i="336"/>
  <c r="H19" i="336"/>
  <c r="G21" i="336" l="1"/>
  <c r="L20" i="336"/>
  <c r="H20" i="336"/>
  <c r="G22" i="336" l="1"/>
  <c r="L21" i="336"/>
  <c r="H21" i="336"/>
  <c r="G23" i="336" l="1"/>
  <c r="L22" i="336"/>
  <c r="H22" i="336"/>
  <c r="G24" i="336" l="1"/>
  <c r="L23" i="336"/>
  <c r="H23" i="336"/>
  <c r="G25" i="336" l="1"/>
  <c r="L24" i="336"/>
  <c r="H24" i="336"/>
  <c r="E32" i="242"/>
  <c r="E33" i="242"/>
  <c r="E34" i="242"/>
  <c r="I40" i="310"/>
  <c r="J40" i="310"/>
  <c r="K40" i="310"/>
  <c r="D26" i="311"/>
  <c r="D27" i="311"/>
  <c r="G26" i="336" l="1"/>
  <c r="L25" i="336"/>
  <c r="H25" i="336"/>
  <c r="D28" i="311"/>
  <c r="D29" i="311"/>
  <c r="G27" i="336" l="1"/>
  <c r="L26" i="336"/>
  <c r="H26" i="336"/>
  <c r="E10" i="242"/>
  <c r="E11" i="242"/>
  <c r="E12" i="242"/>
  <c r="E13" i="242"/>
  <c r="E14" i="242"/>
  <c r="E15" i="242"/>
  <c r="E16" i="242"/>
  <c r="E17" i="242"/>
  <c r="E18" i="242"/>
  <c r="E19" i="242"/>
  <c r="E20" i="242"/>
  <c r="E21" i="242"/>
  <c r="E22" i="242"/>
  <c r="E23" i="242"/>
  <c r="E24" i="242"/>
  <c r="E25" i="242"/>
  <c r="E26" i="242"/>
  <c r="E27" i="242"/>
  <c r="E28" i="242"/>
  <c r="E29" i="242"/>
  <c r="E30" i="242"/>
  <c r="E31" i="242"/>
  <c r="E35" i="242"/>
  <c r="E36" i="242"/>
  <c r="E37" i="242"/>
  <c r="E38" i="242"/>
  <c r="E39" i="242"/>
  <c r="E9" i="242"/>
  <c r="G9" i="242" s="1"/>
  <c r="G10" i="242" l="1"/>
  <c r="G11" i="242" s="1"/>
  <c r="G12" i="242" s="1"/>
  <c r="G13" i="242" s="1"/>
  <c r="G14" i="242" s="1"/>
  <c r="G15" i="242" s="1"/>
  <c r="G16" i="242" s="1"/>
  <c r="G17" i="242" s="1"/>
  <c r="G18" i="242" s="1"/>
  <c r="G19" i="242" s="1"/>
  <c r="G20" i="242" s="1"/>
  <c r="G21" i="242" s="1"/>
  <c r="G22" i="242" s="1"/>
  <c r="G23" i="242" s="1"/>
  <c r="G24" i="242" s="1"/>
  <c r="G25" i="242" s="1"/>
  <c r="G26" i="242" s="1"/>
  <c r="G27" i="242" s="1"/>
  <c r="G28" i="242" s="1"/>
  <c r="G29" i="242" s="1"/>
  <c r="G30" i="242" s="1"/>
  <c r="G31" i="242" s="1"/>
  <c r="G32" i="242" s="1"/>
  <c r="G33" i="242" s="1"/>
  <c r="G34" i="242" s="1"/>
  <c r="G28" i="336"/>
  <c r="L27" i="336"/>
  <c r="H27" i="336"/>
  <c r="G35" i="242" l="1"/>
  <c r="G36" i="242" s="1"/>
  <c r="G37" i="242" s="1"/>
  <c r="G38" i="242" s="1"/>
  <c r="G39" i="242" s="1"/>
  <c r="G29" i="336"/>
  <c r="L28" i="336"/>
  <c r="H28" i="336"/>
  <c r="G30" i="336" l="1"/>
  <c r="L29" i="336"/>
  <c r="H29" i="336"/>
  <c r="G31" i="336" l="1"/>
  <c r="L30" i="336"/>
  <c r="H30" i="336"/>
  <c r="E53" i="53"/>
  <c r="E77" i="354" l="1"/>
  <c r="F23" i="365"/>
  <c r="G32" i="336"/>
  <c r="L31" i="336"/>
  <c r="H31" i="336"/>
  <c r="G33" i="336" l="1"/>
  <c r="L32" i="336"/>
  <c r="H32" i="336"/>
  <c r="G34" i="336" l="1"/>
  <c r="L33" i="336"/>
  <c r="H33" i="336"/>
  <c r="G35" i="336" l="1"/>
  <c r="L34" i="336"/>
  <c r="H34" i="336"/>
  <c r="D31" i="266"/>
  <c r="D32" i="266"/>
  <c r="D33" i="266"/>
  <c r="D34" i="266"/>
  <c r="D35" i="266"/>
  <c r="G36" i="336" l="1"/>
  <c r="L35" i="336"/>
  <c r="H35" i="336"/>
  <c r="J8" i="335"/>
  <c r="G37" i="336" l="1"/>
  <c r="L36" i="336"/>
  <c r="H36" i="336"/>
  <c r="D103" i="53"/>
  <c r="B103" i="53"/>
  <c r="C103" i="53"/>
  <c r="J46" i="335"/>
  <c r="N40" i="335"/>
  <c r="M40" i="335"/>
  <c r="L40" i="335"/>
  <c r="D40" i="335"/>
  <c r="F103" i="53" s="1"/>
  <c r="B39" i="335"/>
  <c r="B38" i="335"/>
  <c r="B37" i="335"/>
  <c r="B36" i="335"/>
  <c r="B35" i="335"/>
  <c r="B34" i="335"/>
  <c r="B33" i="335"/>
  <c r="B32" i="335"/>
  <c r="B31" i="335"/>
  <c r="B30" i="335"/>
  <c r="B29" i="335"/>
  <c r="B28" i="335"/>
  <c r="B27" i="335"/>
  <c r="B26" i="335"/>
  <c r="B25" i="335"/>
  <c r="B24" i="335"/>
  <c r="B23" i="335"/>
  <c r="B22" i="335"/>
  <c r="B21" i="335"/>
  <c r="B20" i="335"/>
  <c r="B19" i="335"/>
  <c r="B18" i="335"/>
  <c r="B17" i="335"/>
  <c r="B16" i="335"/>
  <c r="B15" i="335"/>
  <c r="B14" i="335"/>
  <c r="B13" i="335"/>
  <c r="B12" i="335"/>
  <c r="B11" i="335"/>
  <c r="B10" i="335"/>
  <c r="B9" i="335"/>
  <c r="E103" i="53"/>
  <c r="D8" i="335"/>
  <c r="I5" i="335"/>
  <c r="H5" i="335"/>
  <c r="G5" i="335"/>
  <c r="F5" i="335"/>
  <c r="E5" i="335"/>
  <c r="D5" i="335"/>
  <c r="C5" i="335"/>
  <c r="B5" i="335"/>
  <c r="C4" i="335"/>
  <c r="G103" i="354" l="1"/>
  <c r="H37" i="365"/>
  <c r="E103" i="354"/>
  <c r="F37" i="365"/>
  <c r="G38" i="336"/>
  <c r="L37" i="336"/>
  <c r="H37" i="336"/>
  <c r="E40" i="335"/>
  <c r="G103" i="53" s="1"/>
  <c r="F40" i="335"/>
  <c r="D41" i="335"/>
  <c r="E8" i="335"/>
  <c r="G40" i="335"/>
  <c r="I103" i="53" s="1"/>
  <c r="H103" i="53" l="1"/>
  <c r="F74" i="351"/>
  <c r="F41" i="335"/>
  <c r="I41" i="335" s="1"/>
  <c r="K103" i="53"/>
  <c r="G39" i="336"/>
  <c r="L38" i="336"/>
  <c r="H38" i="336"/>
  <c r="E41" i="335"/>
  <c r="G41" i="335"/>
  <c r="F8" i="335"/>
  <c r="G8" i="335"/>
  <c r="H39" i="335" l="1"/>
  <c r="K39" i="335" s="1"/>
  <c r="H37" i="335"/>
  <c r="K37" i="335" s="1"/>
  <c r="H35" i="335"/>
  <c r="K35" i="335" s="1"/>
  <c r="H33" i="335"/>
  <c r="K33" i="335" s="1"/>
  <c r="H31" i="335"/>
  <c r="K31" i="335" s="1"/>
  <c r="H29" i="335"/>
  <c r="K29" i="335" s="1"/>
  <c r="H27" i="335"/>
  <c r="K27" i="335" s="1"/>
  <c r="H25" i="335"/>
  <c r="K25" i="335" s="1"/>
  <c r="H23" i="335"/>
  <c r="K23" i="335" s="1"/>
  <c r="H21" i="335"/>
  <c r="K21" i="335" s="1"/>
  <c r="H19" i="335"/>
  <c r="K19" i="335" s="1"/>
  <c r="H17" i="335"/>
  <c r="K17" i="335" s="1"/>
  <c r="H15" i="335"/>
  <c r="K15" i="335" s="1"/>
  <c r="H13" i="335"/>
  <c r="K13" i="335" s="1"/>
  <c r="H11" i="335"/>
  <c r="K11" i="335" s="1"/>
  <c r="H38" i="335"/>
  <c r="K38" i="335" s="1"/>
  <c r="H36" i="335"/>
  <c r="K36" i="335" s="1"/>
  <c r="H32" i="335"/>
  <c r="K32" i="335" s="1"/>
  <c r="H28" i="335"/>
  <c r="K28" i="335" s="1"/>
  <c r="H24" i="335"/>
  <c r="K24" i="335" s="1"/>
  <c r="H20" i="335"/>
  <c r="K20" i="335" s="1"/>
  <c r="H16" i="335"/>
  <c r="K16" i="335" s="1"/>
  <c r="H12" i="335"/>
  <c r="K12" i="335" s="1"/>
  <c r="H34" i="335"/>
  <c r="K34" i="335" s="1"/>
  <c r="H30" i="335"/>
  <c r="K30" i="335" s="1"/>
  <c r="H26" i="335"/>
  <c r="K26" i="335" s="1"/>
  <c r="H22" i="335"/>
  <c r="K22" i="335" s="1"/>
  <c r="H18" i="335"/>
  <c r="K18" i="335" s="1"/>
  <c r="H14" i="335"/>
  <c r="K14" i="335" s="1"/>
  <c r="H10" i="335"/>
  <c r="K10" i="335" s="1"/>
  <c r="J37" i="365"/>
  <c r="L37" i="365" s="1"/>
  <c r="J103" i="53"/>
  <c r="I103" i="354"/>
  <c r="L103" i="354" s="1"/>
  <c r="J41" i="335"/>
  <c r="L39" i="336"/>
  <c r="G40" i="336"/>
  <c r="H39" i="336"/>
  <c r="K103" i="354" l="1"/>
  <c r="E111" i="355" l="1"/>
  <c r="J40" i="335" l="1"/>
  <c r="I40" i="335" l="1"/>
  <c r="S41" i="206" l="1"/>
  <c r="Q41" i="206"/>
  <c r="R41" i="206" l="1"/>
  <c r="T41" i="206"/>
  <c r="E76" i="53" l="1"/>
  <c r="B76" i="53"/>
  <c r="C4" i="334"/>
  <c r="J46" i="334"/>
  <c r="F40" i="334"/>
  <c r="H39" i="334"/>
  <c r="B39" i="334"/>
  <c r="H38" i="334"/>
  <c r="B38" i="334"/>
  <c r="H37" i="334"/>
  <c r="B37" i="334"/>
  <c r="H36" i="334"/>
  <c r="B36" i="334"/>
  <c r="H35" i="334"/>
  <c r="B35" i="334"/>
  <c r="H34" i="334"/>
  <c r="B34" i="334"/>
  <c r="H33" i="334"/>
  <c r="B33" i="334"/>
  <c r="H32" i="334"/>
  <c r="B32" i="334"/>
  <c r="H31" i="334"/>
  <c r="B31" i="334"/>
  <c r="H30" i="334"/>
  <c r="B30" i="334"/>
  <c r="H29" i="334"/>
  <c r="B29" i="334"/>
  <c r="H28" i="334"/>
  <c r="B28" i="334"/>
  <c r="H27" i="334"/>
  <c r="B27" i="334"/>
  <c r="H26" i="334"/>
  <c r="B26" i="334"/>
  <c r="H25" i="334"/>
  <c r="B25" i="334"/>
  <c r="H24" i="334"/>
  <c r="B24" i="334"/>
  <c r="H23" i="334"/>
  <c r="B23" i="334"/>
  <c r="H22" i="334"/>
  <c r="B22" i="334"/>
  <c r="H21" i="334"/>
  <c r="B21" i="334"/>
  <c r="H20" i="334"/>
  <c r="B20" i="334"/>
  <c r="H19" i="334"/>
  <c r="B19" i="334"/>
  <c r="H18" i="334"/>
  <c r="B18" i="334"/>
  <c r="H17" i="334"/>
  <c r="B17" i="334"/>
  <c r="H16" i="334"/>
  <c r="B16" i="334"/>
  <c r="H15" i="334"/>
  <c r="B15" i="334"/>
  <c r="H14" i="334"/>
  <c r="B14" i="334"/>
  <c r="H13" i="334"/>
  <c r="B13" i="334"/>
  <c r="H12" i="334"/>
  <c r="B12" i="334"/>
  <c r="H11" i="334"/>
  <c r="B11" i="334"/>
  <c r="H10" i="334"/>
  <c r="B10" i="334"/>
  <c r="H9" i="334"/>
  <c r="B9" i="334"/>
  <c r="J8" i="334"/>
  <c r="E8" i="334"/>
  <c r="I7" i="334"/>
  <c r="K7" i="334" s="1"/>
  <c r="M7" i="334" s="1"/>
  <c r="M5" i="334"/>
  <c r="I5" i="334"/>
  <c r="H5" i="334"/>
  <c r="G5" i="334"/>
  <c r="F5" i="334"/>
  <c r="E5" i="334"/>
  <c r="D5" i="334"/>
  <c r="C5" i="334"/>
  <c r="B5" i="334"/>
  <c r="E78" i="354" l="1"/>
  <c r="F24" i="365"/>
  <c r="F8" i="334"/>
  <c r="E58" i="351"/>
  <c r="F58" i="351" s="1"/>
  <c r="F41" i="334"/>
  <c r="H76" i="53"/>
  <c r="D8" i="334"/>
  <c r="D76" i="53"/>
  <c r="I39" i="334"/>
  <c r="I38" i="334"/>
  <c r="I37" i="334"/>
  <c r="G40" i="334"/>
  <c r="I36" i="334"/>
  <c r="I35" i="334"/>
  <c r="I34" i="334"/>
  <c r="I33" i="334"/>
  <c r="I32" i="334"/>
  <c r="I31" i="334"/>
  <c r="I30" i="334"/>
  <c r="I29" i="334"/>
  <c r="I28" i="334"/>
  <c r="I27" i="334"/>
  <c r="I26" i="334"/>
  <c r="I25" i="334"/>
  <c r="I24" i="334"/>
  <c r="I23" i="334"/>
  <c r="I22" i="334"/>
  <c r="I21" i="334"/>
  <c r="I20" i="334"/>
  <c r="I19" i="334"/>
  <c r="I18" i="334"/>
  <c r="I17" i="334"/>
  <c r="I16" i="334"/>
  <c r="I15" i="334"/>
  <c r="I9" i="334"/>
  <c r="I10" i="334"/>
  <c r="I11" i="334"/>
  <c r="I12" i="334"/>
  <c r="I13" i="334"/>
  <c r="I14" i="334"/>
  <c r="I76" i="53" l="1"/>
  <c r="I78" i="354"/>
  <c r="H78" i="354"/>
  <c r="I24" i="365"/>
  <c r="J24" i="365" s="1"/>
  <c r="G41" i="334"/>
  <c r="G8" i="334"/>
  <c r="E31" i="318" l="1"/>
  <c r="F31" i="318"/>
  <c r="J8" i="333" l="1"/>
  <c r="D53" i="53" s="1"/>
  <c r="B53" i="53"/>
  <c r="C4" i="333"/>
  <c r="J46" i="333"/>
  <c r="G40" i="333"/>
  <c r="F40" i="333"/>
  <c r="E40" i="333"/>
  <c r="G53" i="53" s="1"/>
  <c r="I39" i="333"/>
  <c r="H39" i="333"/>
  <c r="D39" i="333"/>
  <c r="B39" i="333"/>
  <c r="I38" i="333"/>
  <c r="H38" i="333"/>
  <c r="D38" i="333"/>
  <c r="B38" i="333"/>
  <c r="I37" i="333"/>
  <c r="H37" i="333"/>
  <c r="D37" i="333"/>
  <c r="B37" i="333"/>
  <c r="I36" i="333"/>
  <c r="H36" i="333"/>
  <c r="D36" i="333"/>
  <c r="B36" i="333"/>
  <c r="I35" i="333"/>
  <c r="H35" i="333"/>
  <c r="D35" i="333"/>
  <c r="B35" i="333"/>
  <c r="I34" i="333"/>
  <c r="H34" i="333"/>
  <c r="D34" i="333"/>
  <c r="B34" i="333"/>
  <c r="I33" i="333"/>
  <c r="H33" i="333"/>
  <c r="D33" i="333"/>
  <c r="B33" i="333"/>
  <c r="I32" i="333"/>
  <c r="H32" i="333"/>
  <c r="D32" i="333"/>
  <c r="B32" i="333"/>
  <c r="I31" i="333"/>
  <c r="H31" i="333"/>
  <c r="D31" i="333"/>
  <c r="B31" i="333"/>
  <c r="I30" i="333"/>
  <c r="H30" i="333"/>
  <c r="D30" i="333"/>
  <c r="B30" i="333"/>
  <c r="I29" i="333"/>
  <c r="H29" i="333"/>
  <c r="D29" i="333"/>
  <c r="B29" i="333"/>
  <c r="I28" i="333"/>
  <c r="H28" i="333"/>
  <c r="D28" i="333"/>
  <c r="B28" i="333"/>
  <c r="I27" i="333"/>
  <c r="H27" i="333"/>
  <c r="D27" i="333"/>
  <c r="B27" i="333"/>
  <c r="I26" i="333"/>
  <c r="H26" i="333"/>
  <c r="D26" i="333"/>
  <c r="B26" i="333"/>
  <c r="I25" i="333"/>
  <c r="H25" i="333"/>
  <c r="B25" i="333"/>
  <c r="I24" i="333"/>
  <c r="H24" i="333"/>
  <c r="B24" i="333"/>
  <c r="I23" i="333"/>
  <c r="H23" i="333"/>
  <c r="B23" i="333"/>
  <c r="I22" i="333"/>
  <c r="H22" i="333"/>
  <c r="D22" i="333"/>
  <c r="B22" i="333"/>
  <c r="I21" i="333"/>
  <c r="H21" i="333"/>
  <c r="D21" i="333"/>
  <c r="B21" i="333"/>
  <c r="I20" i="333"/>
  <c r="H20" i="333"/>
  <c r="D20" i="333"/>
  <c r="B20" i="333"/>
  <c r="I19" i="333"/>
  <c r="H19" i="333"/>
  <c r="D19" i="333"/>
  <c r="B19" i="333"/>
  <c r="I18" i="333"/>
  <c r="H18" i="333"/>
  <c r="D18" i="333"/>
  <c r="B18" i="333"/>
  <c r="I17" i="333"/>
  <c r="H17" i="333"/>
  <c r="D17" i="333"/>
  <c r="B17" i="333"/>
  <c r="I16" i="333"/>
  <c r="H16" i="333"/>
  <c r="D16" i="333"/>
  <c r="B16" i="333"/>
  <c r="I15" i="333"/>
  <c r="H15" i="333"/>
  <c r="D15" i="333"/>
  <c r="B15" i="333"/>
  <c r="I14" i="333"/>
  <c r="H14" i="333"/>
  <c r="D14" i="333"/>
  <c r="B14" i="333"/>
  <c r="I13" i="333"/>
  <c r="H13" i="333"/>
  <c r="D13" i="333"/>
  <c r="B13" i="333"/>
  <c r="I12" i="333"/>
  <c r="H12" i="333"/>
  <c r="D12" i="333"/>
  <c r="B12" i="333"/>
  <c r="I11" i="333"/>
  <c r="H11" i="333"/>
  <c r="D11" i="333"/>
  <c r="B11" i="333"/>
  <c r="I10" i="333"/>
  <c r="H10" i="333"/>
  <c r="D10" i="333"/>
  <c r="B10" i="333"/>
  <c r="K9" i="333"/>
  <c r="I9" i="333"/>
  <c r="H9" i="333"/>
  <c r="D9" i="333"/>
  <c r="B9" i="333"/>
  <c r="I7" i="333"/>
  <c r="K7" i="333" s="1"/>
  <c r="M7" i="333" s="1"/>
  <c r="M5" i="333"/>
  <c r="I5" i="333"/>
  <c r="H5" i="333"/>
  <c r="G5" i="333"/>
  <c r="F5" i="333"/>
  <c r="E5" i="333"/>
  <c r="D5" i="333"/>
  <c r="C5" i="333"/>
  <c r="B5" i="333"/>
  <c r="G77" i="354" l="1"/>
  <c r="H23" i="365"/>
  <c r="G41" i="333"/>
  <c r="F57" i="351"/>
  <c r="F41" i="333"/>
  <c r="E57" i="351"/>
  <c r="E41" i="333"/>
  <c r="M9" i="333"/>
  <c r="I53" i="53"/>
  <c r="H53" i="53"/>
  <c r="D40" i="333"/>
  <c r="F53" i="53" s="1"/>
  <c r="J9" i="333"/>
  <c r="S9" i="333" s="1"/>
  <c r="D8" i="333"/>
  <c r="K10" i="333"/>
  <c r="I23" i="365" l="1"/>
  <c r="J23" i="365"/>
  <c r="L23" i="365" s="1"/>
  <c r="K41" i="333"/>
  <c r="K53" i="53"/>
  <c r="I77" i="354"/>
  <c r="L53" i="53"/>
  <c r="H77" i="354"/>
  <c r="J10" i="333"/>
  <c r="L10" i="333" s="1"/>
  <c r="L9" i="333"/>
  <c r="D41" i="333"/>
  <c r="J41" i="333" s="1"/>
  <c r="J53" i="53"/>
  <c r="K11" i="333"/>
  <c r="M10" i="333"/>
  <c r="K77" i="354" l="1"/>
  <c r="E30" i="318"/>
  <c r="S10" i="333"/>
  <c r="F30" i="318"/>
  <c r="J11" i="333"/>
  <c r="J12" i="333" s="1"/>
  <c r="M11" i="333"/>
  <c r="K12" i="333"/>
  <c r="E85" i="355" l="1"/>
  <c r="S11" i="333"/>
  <c r="L11" i="333"/>
  <c r="K13" i="333"/>
  <c r="M12" i="333"/>
  <c r="S12" i="333"/>
  <c r="L12" i="333"/>
  <c r="J13" i="333"/>
  <c r="H85" i="355" l="1"/>
  <c r="J14" i="333"/>
  <c r="S13" i="333"/>
  <c r="L13" i="333"/>
  <c r="M13" i="333"/>
  <c r="K14" i="333"/>
  <c r="K15" i="333" l="1"/>
  <c r="M14" i="333"/>
  <c r="S14" i="333"/>
  <c r="L14" i="333"/>
  <c r="J15" i="333"/>
  <c r="J16" i="333" l="1"/>
  <c r="S15" i="333"/>
  <c r="L15" i="333"/>
  <c r="M15" i="333"/>
  <c r="K16" i="333"/>
  <c r="E50" i="53"/>
  <c r="B50" i="53"/>
  <c r="C4" i="332"/>
  <c r="J46" i="332"/>
  <c r="E40" i="332"/>
  <c r="G50" i="53" s="1"/>
  <c r="D39" i="332"/>
  <c r="B39" i="332"/>
  <c r="D38" i="332"/>
  <c r="B38" i="332"/>
  <c r="D37" i="332"/>
  <c r="B37" i="332"/>
  <c r="D36" i="332"/>
  <c r="B36" i="332"/>
  <c r="D35" i="332"/>
  <c r="B35" i="332"/>
  <c r="D34" i="332"/>
  <c r="B34" i="332"/>
  <c r="D33" i="332"/>
  <c r="B33" i="332"/>
  <c r="B32" i="332"/>
  <c r="B31" i="332"/>
  <c r="D30" i="332"/>
  <c r="B30" i="332"/>
  <c r="D29" i="332"/>
  <c r="B29" i="332"/>
  <c r="D28" i="332"/>
  <c r="B28" i="332"/>
  <c r="D27" i="332"/>
  <c r="B27" i="332"/>
  <c r="D26" i="332"/>
  <c r="B26" i="332"/>
  <c r="B25" i="332"/>
  <c r="B24" i="332"/>
  <c r="D23" i="332"/>
  <c r="B23" i="332"/>
  <c r="D22" i="332"/>
  <c r="B22" i="332"/>
  <c r="D21" i="332"/>
  <c r="B21" i="332"/>
  <c r="D20" i="332"/>
  <c r="B20" i="332"/>
  <c r="D19" i="332"/>
  <c r="B19" i="332"/>
  <c r="D18" i="332"/>
  <c r="B18" i="332"/>
  <c r="D17" i="332"/>
  <c r="B17" i="332"/>
  <c r="D16" i="332"/>
  <c r="B16" i="332"/>
  <c r="D15" i="332"/>
  <c r="B15" i="332"/>
  <c r="D14" i="332"/>
  <c r="B14" i="332"/>
  <c r="G40" i="332"/>
  <c r="H16" i="332"/>
  <c r="D13" i="332"/>
  <c r="B13" i="332"/>
  <c r="H12" i="332"/>
  <c r="D12" i="332"/>
  <c r="B12" i="332"/>
  <c r="H11" i="332"/>
  <c r="D11" i="332"/>
  <c r="B11" i="332"/>
  <c r="H10" i="332"/>
  <c r="D10" i="332"/>
  <c r="B10" i="332"/>
  <c r="K9" i="332"/>
  <c r="K10" i="332" s="1"/>
  <c r="H9" i="332"/>
  <c r="D9" i="332"/>
  <c r="B9" i="332"/>
  <c r="J8" i="332"/>
  <c r="E8" i="332"/>
  <c r="I7" i="332"/>
  <c r="K7" i="332" s="1"/>
  <c r="M7" i="332" s="1"/>
  <c r="M5" i="332"/>
  <c r="I5" i="332"/>
  <c r="H5" i="332"/>
  <c r="G5" i="332"/>
  <c r="F5" i="332"/>
  <c r="E5" i="332"/>
  <c r="D5" i="332"/>
  <c r="C5" i="332"/>
  <c r="B5" i="332"/>
  <c r="G58" i="354" l="1"/>
  <c r="H18" i="365"/>
  <c r="E58" i="354"/>
  <c r="F18" i="365"/>
  <c r="G41" i="332"/>
  <c r="F51" i="351"/>
  <c r="J9" i="332"/>
  <c r="E41" i="332"/>
  <c r="K17" i="333"/>
  <c r="M16" i="333"/>
  <c r="S16" i="333"/>
  <c r="L16" i="333"/>
  <c r="J17" i="333"/>
  <c r="G8" i="332"/>
  <c r="D40" i="332"/>
  <c r="F50" i="53" s="1"/>
  <c r="D8" i="332"/>
  <c r="M9" i="332"/>
  <c r="I50" i="53"/>
  <c r="D50" i="53"/>
  <c r="K11" i="332"/>
  <c r="H14" i="332"/>
  <c r="M10" i="332"/>
  <c r="F40" i="332"/>
  <c r="H38" i="332"/>
  <c r="H36" i="332"/>
  <c r="H34" i="332"/>
  <c r="H32" i="332"/>
  <c r="H29" i="332"/>
  <c r="H27" i="332"/>
  <c r="H25" i="332"/>
  <c r="H23" i="332"/>
  <c r="H21" i="332"/>
  <c r="H19" i="332"/>
  <c r="H39" i="332"/>
  <c r="H37" i="332"/>
  <c r="H35" i="332"/>
  <c r="H33" i="332"/>
  <c r="H31" i="332"/>
  <c r="H30" i="332"/>
  <c r="H28" i="332"/>
  <c r="H26" i="332"/>
  <c r="H24" i="332"/>
  <c r="H22" i="332"/>
  <c r="H20" i="332"/>
  <c r="H18" i="332"/>
  <c r="H13" i="332"/>
  <c r="H15" i="332"/>
  <c r="H17" i="332"/>
  <c r="J18" i="365" l="1"/>
  <c r="L18" i="365" s="1"/>
  <c r="K41" i="332"/>
  <c r="K50" i="53"/>
  <c r="I58" i="354"/>
  <c r="K58" i="354" s="1"/>
  <c r="H50" i="53"/>
  <c r="E51" i="351"/>
  <c r="S9" i="332"/>
  <c r="L9" i="332"/>
  <c r="J10" i="332"/>
  <c r="J11" i="332" s="1"/>
  <c r="M11" i="332"/>
  <c r="J18" i="333"/>
  <c r="S17" i="333"/>
  <c r="L17" i="333"/>
  <c r="M17" i="333"/>
  <c r="K18" i="333"/>
  <c r="D41" i="332"/>
  <c r="F41" i="332"/>
  <c r="F8" i="332"/>
  <c r="K12" i="332"/>
  <c r="E68" i="355" l="1"/>
  <c r="I18" i="365"/>
  <c r="F25" i="318"/>
  <c r="L50" i="53"/>
  <c r="H58" i="354"/>
  <c r="E25" i="318" s="1"/>
  <c r="J50" i="53"/>
  <c r="S10" i="332"/>
  <c r="L10" i="332"/>
  <c r="J41" i="332"/>
  <c r="K19" i="333"/>
  <c r="M18" i="333"/>
  <c r="S18" i="333"/>
  <c r="L18" i="333"/>
  <c r="J19" i="333"/>
  <c r="S11" i="332"/>
  <c r="L11" i="332"/>
  <c r="J12" i="332"/>
  <c r="M12" i="332"/>
  <c r="K13" i="332"/>
  <c r="J20" i="333" l="1"/>
  <c r="S19" i="333"/>
  <c r="L19" i="333"/>
  <c r="M19" i="333"/>
  <c r="K20" i="333"/>
  <c r="K14" i="332"/>
  <c r="M13" i="332"/>
  <c r="J13" i="332"/>
  <c r="S12" i="332"/>
  <c r="L12" i="332"/>
  <c r="K21" i="333" l="1"/>
  <c r="M20" i="333"/>
  <c r="S20" i="333"/>
  <c r="L20" i="333"/>
  <c r="J21" i="333"/>
  <c r="S13" i="332"/>
  <c r="L13" i="332"/>
  <c r="J14" i="332"/>
  <c r="M14" i="332"/>
  <c r="K15" i="332"/>
  <c r="E10" i="327"/>
  <c r="E11" i="327"/>
  <c r="E12" i="327"/>
  <c r="E13" i="327"/>
  <c r="E14" i="327"/>
  <c r="E15" i="327"/>
  <c r="E16" i="327"/>
  <c r="E17" i="327"/>
  <c r="E18" i="327"/>
  <c r="E19" i="327"/>
  <c r="E20" i="327"/>
  <c r="E21" i="327"/>
  <c r="E22" i="327"/>
  <c r="E23" i="327"/>
  <c r="E24" i="327"/>
  <c r="E25" i="327"/>
  <c r="E26" i="327"/>
  <c r="E27" i="327"/>
  <c r="E28" i="327"/>
  <c r="E29" i="327"/>
  <c r="E30" i="327"/>
  <c r="E31" i="327"/>
  <c r="E32" i="327"/>
  <c r="E33" i="327"/>
  <c r="E34" i="327"/>
  <c r="E35" i="327"/>
  <c r="E36" i="327"/>
  <c r="E37" i="327"/>
  <c r="E38" i="327"/>
  <c r="E39" i="327"/>
  <c r="E9" i="327"/>
  <c r="L40" i="327"/>
  <c r="J22" i="333" l="1"/>
  <c r="S21" i="333"/>
  <c r="L21" i="333"/>
  <c r="M21" i="333"/>
  <c r="K22" i="333"/>
  <c r="K16" i="332"/>
  <c r="M15" i="332"/>
  <c r="J15" i="332"/>
  <c r="S14" i="332"/>
  <c r="L14" i="332"/>
  <c r="K23" i="333" l="1"/>
  <c r="M22" i="333"/>
  <c r="S22" i="333"/>
  <c r="L22" i="333"/>
  <c r="J23" i="333"/>
  <c r="S15" i="332"/>
  <c r="L15" i="332"/>
  <c r="J16" i="332"/>
  <c r="K17" i="332"/>
  <c r="M16" i="332"/>
  <c r="J24" i="333" l="1"/>
  <c r="S23" i="333"/>
  <c r="L23" i="333"/>
  <c r="M23" i="333"/>
  <c r="K24" i="333"/>
  <c r="K18" i="332"/>
  <c r="M17" i="332"/>
  <c r="J17" i="332"/>
  <c r="S16" i="332"/>
  <c r="L16" i="332"/>
  <c r="K25" i="333" l="1"/>
  <c r="M24" i="333"/>
  <c r="S24" i="333"/>
  <c r="L24" i="333"/>
  <c r="J25" i="333"/>
  <c r="S17" i="332"/>
  <c r="L17" i="332"/>
  <c r="J18" i="332"/>
  <c r="M18" i="332"/>
  <c r="K19" i="332"/>
  <c r="E17" i="288"/>
  <c r="J26" i="333" l="1"/>
  <c r="S25" i="333"/>
  <c r="L25" i="333"/>
  <c r="M25" i="333"/>
  <c r="K26" i="333"/>
  <c r="K20" i="332"/>
  <c r="M19" i="332"/>
  <c r="J19" i="332"/>
  <c r="S18" i="332"/>
  <c r="L18" i="332"/>
  <c r="K27" i="333" l="1"/>
  <c r="M26" i="333"/>
  <c r="S26" i="333"/>
  <c r="L26" i="333"/>
  <c r="J27" i="333"/>
  <c r="M20" i="332"/>
  <c r="K21" i="332"/>
  <c r="S19" i="332"/>
  <c r="L19" i="332"/>
  <c r="J20" i="332"/>
  <c r="J28" i="333" l="1"/>
  <c r="S27" i="333"/>
  <c r="L27" i="333"/>
  <c r="M27" i="333"/>
  <c r="K28" i="333"/>
  <c r="K22" i="332"/>
  <c r="M21" i="332"/>
  <c r="J21" i="332"/>
  <c r="S20" i="332"/>
  <c r="L20" i="332"/>
  <c r="K29" i="333" l="1"/>
  <c r="M28" i="333"/>
  <c r="S28" i="333"/>
  <c r="L28" i="333"/>
  <c r="J29" i="333"/>
  <c r="M22" i="332"/>
  <c r="K23" i="332"/>
  <c r="S21" i="332"/>
  <c r="L21" i="332"/>
  <c r="J22" i="332"/>
  <c r="J30" i="333" l="1"/>
  <c r="S29" i="333"/>
  <c r="L29" i="333"/>
  <c r="M29" i="333"/>
  <c r="K30" i="333"/>
  <c r="K24" i="332"/>
  <c r="M23" i="332"/>
  <c r="J23" i="332"/>
  <c r="S22" i="332"/>
  <c r="L22" i="332"/>
  <c r="K31" i="333" l="1"/>
  <c r="M30" i="333"/>
  <c r="S30" i="333"/>
  <c r="L30" i="333"/>
  <c r="J31" i="333"/>
  <c r="S23" i="332"/>
  <c r="L23" i="332"/>
  <c r="J24" i="332"/>
  <c r="M24" i="332"/>
  <c r="K25" i="332"/>
  <c r="J32" i="333" l="1"/>
  <c r="S31" i="333"/>
  <c r="L31" i="333"/>
  <c r="M31" i="333"/>
  <c r="K32" i="333"/>
  <c r="K26" i="332"/>
  <c r="M25" i="332"/>
  <c r="J25" i="332"/>
  <c r="S24" i="332"/>
  <c r="L24" i="332"/>
  <c r="K33" i="333" l="1"/>
  <c r="M32" i="333"/>
  <c r="S32" i="333"/>
  <c r="L32" i="333"/>
  <c r="J33" i="333"/>
  <c r="S25" i="332"/>
  <c r="L25" i="332"/>
  <c r="J26" i="332"/>
  <c r="M26" i="332"/>
  <c r="K27" i="332"/>
  <c r="J34" i="333" l="1"/>
  <c r="S33" i="333"/>
  <c r="L33" i="333"/>
  <c r="M33" i="333"/>
  <c r="K34" i="333"/>
  <c r="K28" i="332"/>
  <c r="M27" i="332"/>
  <c r="J27" i="332"/>
  <c r="S26" i="332"/>
  <c r="L26" i="332"/>
  <c r="K35" i="333" l="1"/>
  <c r="M34" i="333"/>
  <c r="S34" i="333"/>
  <c r="L34" i="333"/>
  <c r="J35" i="333"/>
  <c r="S27" i="332"/>
  <c r="L27" i="332"/>
  <c r="J28" i="332"/>
  <c r="M28" i="332"/>
  <c r="K29" i="332"/>
  <c r="D30" i="266"/>
  <c r="J36" i="333" l="1"/>
  <c r="S35" i="333"/>
  <c r="L35" i="333"/>
  <c r="M35" i="333"/>
  <c r="K36" i="333"/>
  <c r="K30" i="332"/>
  <c r="M29" i="332"/>
  <c r="J29" i="332"/>
  <c r="S28" i="332"/>
  <c r="L28" i="332"/>
  <c r="K37" i="333" l="1"/>
  <c r="M36" i="333"/>
  <c r="S36" i="333"/>
  <c r="L36" i="333"/>
  <c r="J37" i="333"/>
  <c r="K31" i="332"/>
  <c r="M30" i="332"/>
  <c r="S29" i="332"/>
  <c r="L29" i="332"/>
  <c r="J30" i="332"/>
  <c r="Q41" i="208"/>
  <c r="T41" i="208" l="1"/>
  <c r="J38" i="333"/>
  <c r="S37" i="333"/>
  <c r="L37" i="333"/>
  <c r="M37" i="333"/>
  <c r="K38" i="333"/>
  <c r="J31" i="332"/>
  <c r="S30" i="332"/>
  <c r="L30" i="332"/>
  <c r="M31" i="332"/>
  <c r="K32" i="332"/>
  <c r="R41" i="208"/>
  <c r="H10" i="291"/>
  <c r="H11" i="291"/>
  <c r="H12" i="291"/>
  <c r="H13" i="291"/>
  <c r="H14" i="291"/>
  <c r="H15" i="291"/>
  <c r="H16" i="291"/>
  <c r="H17" i="291"/>
  <c r="H18" i="291"/>
  <c r="H19" i="291"/>
  <c r="H20" i="291"/>
  <c r="H21" i="291"/>
  <c r="H22" i="291"/>
  <c r="H23" i="291"/>
  <c r="H24" i="291"/>
  <c r="H25" i="291"/>
  <c r="H26" i="291"/>
  <c r="H27" i="291"/>
  <c r="H28" i="291"/>
  <c r="H29" i="291"/>
  <c r="H30" i="291"/>
  <c r="H31" i="291"/>
  <c r="H32" i="291"/>
  <c r="H33" i="291"/>
  <c r="H34" i="291"/>
  <c r="H35" i="291"/>
  <c r="H36" i="291"/>
  <c r="H37" i="291"/>
  <c r="H38" i="291"/>
  <c r="H39" i="291"/>
  <c r="H9" i="291"/>
  <c r="H10" i="288"/>
  <c r="H11" i="288"/>
  <c r="H12" i="288"/>
  <c r="H13" i="288"/>
  <c r="H14" i="288"/>
  <c r="H15" i="288"/>
  <c r="H16" i="288"/>
  <c r="H17" i="288"/>
  <c r="H18" i="288"/>
  <c r="H19" i="288"/>
  <c r="H20" i="288"/>
  <c r="H21" i="288"/>
  <c r="H22" i="288"/>
  <c r="H23" i="288"/>
  <c r="H24" i="288"/>
  <c r="H25" i="288"/>
  <c r="H26" i="288"/>
  <c r="H27" i="288"/>
  <c r="H28" i="288"/>
  <c r="H29" i="288"/>
  <c r="H30" i="288"/>
  <c r="H31" i="288"/>
  <c r="H32" i="288"/>
  <c r="H33" i="288"/>
  <c r="H34" i="288"/>
  <c r="H35" i="288"/>
  <c r="H36" i="288"/>
  <c r="H37" i="288"/>
  <c r="H38" i="288"/>
  <c r="H39" i="288"/>
  <c r="H9" i="288"/>
  <c r="H10" i="290"/>
  <c r="H11" i="290"/>
  <c r="H12" i="290"/>
  <c r="H13" i="290"/>
  <c r="H14" i="290"/>
  <c r="H15" i="290"/>
  <c r="H16" i="290"/>
  <c r="H17" i="290"/>
  <c r="H18" i="290"/>
  <c r="H19" i="290"/>
  <c r="H20" i="290"/>
  <c r="H21" i="290"/>
  <c r="H22" i="290"/>
  <c r="H23" i="290"/>
  <c r="H24" i="290"/>
  <c r="H25" i="290"/>
  <c r="H26" i="290"/>
  <c r="H27" i="290"/>
  <c r="H28" i="290"/>
  <c r="H29" i="290"/>
  <c r="H30" i="290"/>
  <c r="H31" i="290"/>
  <c r="H32" i="290"/>
  <c r="H33" i="290"/>
  <c r="H34" i="290"/>
  <c r="H35" i="290"/>
  <c r="H36" i="290"/>
  <c r="H37" i="290"/>
  <c r="H38" i="290"/>
  <c r="H39" i="290"/>
  <c r="H34" i="289"/>
  <c r="H35" i="289"/>
  <c r="H36" i="289"/>
  <c r="H37" i="289"/>
  <c r="H38" i="289"/>
  <c r="H39" i="289"/>
  <c r="H12" i="289"/>
  <c r="H10" i="289"/>
  <c r="H11" i="289"/>
  <c r="H13" i="289"/>
  <c r="H14" i="289"/>
  <c r="H15" i="289"/>
  <c r="H16" i="289"/>
  <c r="H17" i="289"/>
  <c r="H18" i="289"/>
  <c r="H19" i="289"/>
  <c r="H20" i="289"/>
  <c r="H21" i="289"/>
  <c r="H22" i="289"/>
  <c r="H23" i="289"/>
  <c r="H24" i="289"/>
  <c r="H25" i="289"/>
  <c r="H26" i="289"/>
  <c r="H27" i="289"/>
  <c r="H28" i="289"/>
  <c r="H29" i="289"/>
  <c r="H30" i="289"/>
  <c r="H31" i="289"/>
  <c r="H32" i="289"/>
  <c r="H33" i="289"/>
  <c r="H9" i="289"/>
  <c r="H9" i="290"/>
  <c r="E30" i="160"/>
  <c r="E31" i="160"/>
  <c r="E15" i="160"/>
  <c r="H10" i="299"/>
  <c r="H11" i="299"/>
  <c r="H12" i="299"/>
  <c r="H13" i="299"/>
  <c r="H14" i="299"/>
  <c r="H15" i="299"/>
  <c r="H16" i="299"/>
  <c r="H17" i="299"/>
  <c r="H18" i="299"/>
  <c r="H19" i="299"/>
  <c r="H20" i="299"/>
  <c r="H21" i="299"/>
  <c r="H22" i="299"/>
  <c r="H23" i="299"/>
  <c r="H24" i="299"/>
  <c r="H25" i="299"/>
  <c r="H26" i="299"/>
  <c r="H27" i="299"/>
  <c r="H28" i="299"/>
  <c r="H29" i="299"/>
  <c r="H30" i="299"/>
  <c r="H31" i="299"/>
  <c r="H32" i="299"/>
  <c r="H33" i="299"/>
  <c r="H34" i="299"/>
  <c r="H35" i="299"/>
  <c r="H36" i="299"/>
  <c r="H37" i="299"/>
  <c r="H38" i="299"/>
  <c r="H39" i="299"/>
  <c r="H9" i="299"/>
  <c r="H10" i="311"/>
  <c r="H11" i="311"/>
  <c r="H12" i="311"/>
  <c r="H13" i="311"/>
  <c r="H14" i="311"/>
  <c r="H15" i="311"/>
  <c r="H16" i="311"/>
  <c r="H17" i="311"/>
  <c r="H18" i="311"/>
  <c r="H19" i="311"/>
  <c r="H20" i="311"/>
  <c r="H21" i="311"/>
  <c r="H22" i="311"/>
  <c r="H23" i="311"/>
  <c r="H24" i="311"/>
  <c r="H25" i="311"/>
  <c r="H26" i="311"/>
  <c r="H27" i="311"/>
  <c r="H28" i="311"/>
  <c r="H29" i="311"/>
  <c r="H30" i="311"/>
  <c r="H31" i="311"/>
  <c r="H32" i="311"/>
  <c r="H33" i="311"/>
  <c r="H34" i="311"/>
  <c r="H35" i="311"/>
  <c r="H36" i="311"/>
  <c r="H37" i="311"/>
  <c r="H38" i="311"/>
  <c r="H39" i="311"/>
  <c r="H9" i="311"/>
  <c r="H10" i="266"/>
  <c r="H11" i="266"/>
  <c r="H12" i="266"/>
  <c r="H13" i="266"/>
  <c r="H14" i="266"/>
  <c r="H15" i="266"/>
  <c r="H16" i="266"/>
  <c r="H17" i="266"/>
  <c r="H18" i="266"/>
  <c r="H19" i="266"/>
  <c r="H20" i="266"/>
  <c r="H21" i="266"/>
  <c r="H22" i="266"/>
  <c r="H23" i="266"/>
  <c r="H24" i="266"/>
  <c r="H25" i="266"/>
  <c r="H26" i="266"/>
  <c r="H27" i="266"/>
  <c r="H28" i="266"/>
  <c r="H29" i="266"/>
  <c r="H30" i="266"/>
  <c r="H31" i="266"/>
  <c r="H32" i="266"/>
  <c r="H33" i="266"/>
  <c r="H34" i="266"/>
  <c r="H35" i="266"/>
  <c r="H36" i="266"/>
  <c r="H37" i="266"/>
  <c r="H38" i="266"/>
  <c r="H39" i="266"/>
  <c r="H9" i="266"/>
  <c r="K39" i="333" l="1"/>
  <c r="M38" i="333"/>
  <c r="S38" i="333"/>
  <c r="L38" i="333"/>
  <c r="J39" i="333"/>
  <c r="K33" i="332"/>
  <c r="M32" i="332"/>
  <c r="J32" i="332"/>
  <c r="S31" i="332"/>
  <c r="L31" i="332"/>
  <c r="D25" i="299"/>
  <c r="J40" i="333" l="1"/>
  <c r="S39" i="333"/>
  <c r="L39" i="333"/>
  <c r="M39" i="333"/>
  <c r="K40" i="333"/>
  <c r="M33" i="332"/>
  <c r="K34" i="332"/>
  <c r="S32" i="332"/>
  <c r="L32" i="332"/>
  <c r="J33" i="332"/>
  <c r="J34" i="332" l="1"/>
  <c r="S33" i="332"/>
  <c r="L33" i="332"/>
  <c r="K35" i="332"/>
  <c r="M34" i="332"/>
  <c r="D149" i="53"/>
  <c r="M35" i="332" l="1"/>
  <c r="K36" i="332"/>
  <c r="S34" i="332"/>
  <c r="L34" i="332"/>
  <c r="J35" i="332"/>
  <c r="L153" i="53"/>
  <c r="D153" i="53"/>
  <c r="B153" i="53"/>
  <c r="K40" i="331"/>
  <c r="J40" i="331"/>
  <c r="F106" i="351" s="1"/>
  <c r="I40" i="331"/>
  <c r="D40" i="331"/>
  <c r="B39" i="331"/>
  <c r="B38" i="331"/>
  <c r="B37" i="331"/>
  <c r="B36" i="331"/>
  <c r="B35" i="331"/>
  <c r="B34" i="331"/>
  <c r="B33" i="331"/>
  <c r="B32" i="331"/>
  <c r="B31" i="331"/>
  <c r="B30" i="331"/>
  <c r="B29" i="331"/>
  <c r="B28" i="331"/>
  <c r="B27" i="331"/>
  <c r="B26" i="331"/>
  <c r="B25" i="331"/>
  <c r="B24" i="331"/>
  <c r="B23" i="331"/>
  <c r="B22" i="331"/>
  <c r="B21" i="331"/>
  <c r="B20" i="331"/>
  <c r="B19" i="331"/>
  <c r="B18" i="331"/>
  <c r="B17" i="331"/>
  <c r="B16" i="331"/>
  <c r="B15" i="331"/>
  <c r="B14" i="331"/>
  <c r="B13" i="331"/>
  <c r="B12" i="331"/>
  <c r="B11" i="331"/>
  <c r="B10" i="331"/>
  <c r="F9" i="331"/>
  <c r="F11" i="331" s="1"/>
  <c r="B9" i="331"/>
  <c r="D8" i="331"/>
  <c r="I5" i="331"/>
  <c r="H5" i="331"/>
  <c r="G5" i="331"/>
  <c r="F5" i="331"/>
  <c r="E5" i="331"/>
  <c r="D5" i="331"/>
  <c r="C5" i="331"/>
  <c r="B5" i="331"/>
  <c r="F153" i="53" l="1"/>
  <c r="F50" i="341"/>
  <c r="K37" i="332"/>
  <c r="M36" i="332"/>
  <c r="J36" i="332"/>
  <c r="S35" i="332"/>
  <c r="L35" i="332"/>
  <c r="E40" i="331"/>
  <c r="D41" i="331"/>
  <c r="F10" i="331"/>
  <c r="F12" i="331"/>
  <c r="F13" i="331"/>
  <c r="F14" i="331"/>
  <c r="F15" i="331"/>
  <c r="F16" i="331"/>
  <c r="F17" i="331"/>
  <c r="F18" i="331"/>
  <c r="F19" i="331"/>
  <c r="F20" i="331"/>
  <c r="F21" i="331"/>
  <c r="F22" i="331"/>
  <c r="F23" i="331"/>
  <c r="F24" i="331"/>
  <c r="F25" i="331"/>
  <c r="F26" i="331"/>
  <c r="F27" i="331"/>
  <c r="F28" i="331"/>
  <c r="F29" i="331"/>
  <c r="F30" i="331"/>
  <c r="F31" i="331"/>
  <c r="F32" i="331"/>
  <c r="F33" i="331"/>
  <c r="F34" i="331"/>
  <c r="F35" i="331"/>
  <c r="F36" i="331"/>
  <c r="F37" i="331"/>
  <c r="F38" i="331"/>
  <c r="G9" i="331"/>
  <c r="H153" i="53" l="1"/>
  <c r="J153" i="53" s="1"/>
  <c r="M153" i="53" s="1"/>
  <c r="H50" i="341"/>
  <c r="E41" i="331"/>
  <c r="G41" i="331" s="1"/>
  <c r="S36" i="332"/>
  <c r="L36" i="332"/>
  <c r="J37" i="332"/>
  <c r="M37" i="332"/>
  <c r="K38" i="332"/>
  <c r="E8" i="331"/>
  <c r="F39" i="331" s="1"/>
  <c r="G10" i="331"/>
  <c r="M9" i="331"/>
  <c r="H9" i="331"/>
  <c r="K40" i="216"/>
  <c r="J50" i="341" l="1"/>
  <c r="M50" i="341" s="1"/>
  <c r="I147" i="354"/>
  <c r="L147" i="354" s="1"/>
  <c r="J38" i="332"/>
  <c r="S37" i="332"/>
  <c r="L37" i="332"/>
  <c r="K39" i="332"/>
  <c r="M38" i="332"/>
  <c r="G11" i="331"/>
  <c r="M10" i="331"/>
  <c r="H10" i="331"/>
  <c r="Q40" i="323"/>
  <c r="K147" i="354" l="1"/>
  <c r="M39" i="332"/>
  <c r="K40" i="332"/>
  <c r="S38" i="332"/>
  <c r="L38" i="332"/>
  <c r="J39" i="332"/>
  <c r="G12" i="331"/>
  <c r="M11" i="331"/>
  <c r="H11" i="331"/>
  <c r="L152" i="53"/>
  <c r="D152" i="53"/>
  <c r="K40" i="330"/>
  <c r="J40" i="330"/>
  <c r="I40" i="330"/>
  <c r="D40" i="330"/>
  <c r="E39" i="330"/>
  <c r="B39" i="330"/>
  <c r="E38" i="330"/>
  <c r="B38" i="330"/>
  <c r="E37" i="330"/>
  <c r="B37" i="330"/>
  <c r="E36" i="330"/>
  <c r="B36" i="330"/>
  <c r="E35" i="330"/>
  <c r="B35" i="330"/>
  <c r="E34" i="330"/>
  <c r="B34" i="330"/>
  <c r="E33" i="330"/>
  <c r="B33" i="330"/>
  <c r="E32" i="330"/>
  <c r="B32" i="330"/>
  <c r="E31" i="330"/>
  <c r="B31" i="330"/>
  <c r="E30" i="330"/>
  <c r="B30" i="330"/>
  <c r="E29" i="330"/>
  <c r="B29" i="330"/>
  <c r="E28" i="330"/>
  <c r="B28" i="330"/>
  <c r="E27" i="330"/>
  <c r="B27" i="330"/>
  <c r="E26" i="330"/>
  <c r="B26" i="330"/>
  <c r="E25" i="330"/>
  <c r="B25" i="330"/>
  <c r="E24" i="330"/>
  <c r="B24" i="330"/>
  <c r="E23" i="330"/>
  <c r="B23" i="330"/>
  <c r="E22" i="330"/>
  <c r="B22" i="330"/>
  <c r="E21" i="330"/>
  <c r="B21" i="330"/>
  <c r="E20" i="330"/>
  <c r="B20" i="330"/>
  <c r="E19" i="330"/>
  <c r="B19" i="330"/>
  <c r="E18" i="330"/>
  <c r="B18" i="330"/>
  <c r="E17" i="330"/>
  <c r="B17" i="330"/>
  <c r="E16" i="330"/>
  <c r="B16" i="330"/>
  <c r="E15" i="330"/>
  <c r="B15" i="330"/>
  <c r="E14" i="330"/>
  <c r="B14" i="330"/>
  <c r="E13" i="330"/>
  <c r="B13" i="330"/>
  <c r="E12" i="330"/>
  <c r="B12" i="330"/>
  <c r="E11" i="330"/>
  <c r="B11" i="330"/>
  <c r="E10" i="330"/>
  <c r="B10" i="330"/>
  <c r="F9" i="330"/>
  <c r="F39" i="330" s="1"/>
  <c r="E9" i="330"/>
  <c r="B9" i="330"/>
  <c r="D8" i="330"/>
  <c r="I5" i="330"/>
  <c r="H5" i="330"/>
  <c r="G5" i="330"/>
  <c r="F5" i="330"/>
  <c r="E5" i="330"/>
  <c r="D5" i="330"/>
  <c r="C5" i="330"/>
  <c r="B5" i="330"/>
  <c r="H76" i="421" l="1"/>
  <c r="G76" i="421"/>
  <c r="P76" i="421" s="1"/>
  <c r="F105" i="351"/>
  <c r="F152" i="53"/>
  <c r="F49" i="341"/>
  <c r="J40" i="332"/>
  <c r="S39" i="332"/>
  <c r="L39" i="332"/>
  <c r="E40" i="330"/>
  <c r="G13" i="331"/>
  <c r="M12" i="331"/>
  <c r="H12" i="331"/>
  <c r="D41" i="330"/>
  <c r="G9" i="330"/>
  <c r="F38" i="330"/>
  <c r="F37" i="330"/>
  <c r="F36" i="330"/>
  <c r="F35" i="330"/>
  <c r="F34" i="330"/>
  <c r="F33" i="330"/>
  <c r="F32" i="330"/>
  <c r="F10" i="330"/>
  <c r="F11" i="330"/>
  <c r="F12" i="330"/>
  <c r="F13" i="330"/>
  <c r="F14" i="330"/>
  <c r="F15" i="330"/>
  <c r="F16" i="330"/>
  <c r="F17" i="330"/>
  <c r="F18" i="330"/>
  <c r="F19" i="330"/>
  <c r="F20" i="330"/>
  <c r="F21" i="330"/>
  <c r="F22" i="330"/>
  <c r="F23" i="330"/>
  <c r="F24" i="330"/>
  <c r="F25" i="330"/>
  <c r="F26" i="330"/>
  <c r="F27" i="330"/>
  <c r="F28" i="330"/>
  <c r="F29" i="330"/>
  <c r="F30" i="330"/>
  <c r="F31" i="330"/>
  <c r="G54" i="421" l="1"/>
  <c r="P54" i="421" s="1"/>
  <c r="N54" i="421"/>
  <c r="G146" i="354"/>
  <c r="G142" i="354"/>
  <c r="H59" i="365"/>
  <c r="E41" i="330"/>
  <c r="G41" i="330" s="1"/>
  <c r="H49" i="341"/>
  <c r="H152" i="53"/>
  <c r="J152" i="53" s="1"/>
  <c r="M152" i="53" s="1"/>
  <c r="E8" i="330"/>
  <c r="G14" i="331"/>
  <c r="M13" i="331"/>
  <c r="H13" i="331"/>
  <c r="H9" i="330"/>
  <c r="G10" i="330"/>
  <c r="L9" i="330"/>
  <c r="J49" i="341" l="1"/>
  <c r="M49" i="341" s="1"/>
  <c r="J59" i="365"/>
  <c r="L59" i="365" s="1"/>
  <c r="I142" i="354"/>
  <c r="L142" i="354" s="1"/>
  <c r="G15" i="331"/>
  <c r="M14" i="331"/>
  <c r="H14" i="331"/>
  <c r="H10" i="330"/>
  <c r="G11" i="330"/>
  <c r="L10" i="330"/>
  <c r="K146" i="354" l="1"/>
  <c r="K142" i="354"/>
  <c r="G49" i="421" s="1"/>
  <c r="P49" i="421" s="1"/>
  <c r="G16" i="331"/>
  <c r="M15" i="331"/>
  <c r="H15" i="331"/>
  <c r="H11" i="330"/>
  <c r="G12" i="330"/>
  <c r="L11" i="330"/>
  <c r="L149" i="53"/>
  <c r="L183" i="53"/>
  <c r="B149" i="53"/>
  <c r="K40" i="329"/>
  <c r="J40" i="329"/>
  <c r="I40" i="329"/>
  <c r="B39" i="329"/>
  <c r="B38" i="329"/>
  <c r="B37" i="329"/>
  <c r="B36" i="329"/>
  <c r="B35" i="329"/>
  <c r="B34" i="329"/>
  <c r="B33" i="329"/>
  <c r="B32" i="329"/>
  <c r="B31" i="329"/>
  <c r="B30" i="329"/>
  <c r="B29" i="329"/>
  <c r="B28" i="329"/>
  <c r="B27" i="329"/>
  <c r="B26" i="329"/>
  <c r="B25" i="329"/>
  <c r="B24" i="329"/>
  <c r="B23" i="329"/>
  <c r="B22" i="329"/>
  <c r="B21" i="329"/>
  <c r="B20" i="329"/>
  <c r="B19" i="329"/>
  <c r="B18" i="329"/>
  <c r="B17" i="329"/>
  <c r="B16" i="329"/>
  <c r="B15" i="329"/>
  <c r="B14" i="329"/>
  <c r="B13" i="329"/>
  <c r="B12" i="329"/>
  <c r="B11" i="329"/>
  <c r="B10" i="329"/>
  <c r="F9" i="329"/>
  <c r="F39" i="329" s="1"/>
  <c r="B9" i="329"/>
  <c r="D8" i="329"/>
  <c r="I5" i="329"/>
  <c r="H5" i="329"/>
  <c r="G5" i="329"/>
  <c r="F5" i="329"/>
  <c r="E5" i="329"/>
  <c r="D5" i="329"/>
  <c r="C5" i="329"/>
  <c r="B5" i="329"/>
  <c r="G53" i="421" l="1"/>
  <c r="P53" i="421" s="1"/>
  <c r="N53" i="421"/>
  <c r="N58" i="365"/>
  <c r="F104" i="351"/>
  <c r="F149" i="53"/>
  <c r="F46" i="341"/>
  <c r="D41" i="329"/>
  <c r="E40" i="329"/>
  <c r="G17" i="331"/>
  <c r="M16" i="331"/>
  <c r="H16" i="331"/>
  <c r="H12" i="330"/>
  <c r="G13" i="330"/>
  <c r="L12" i="330"/>
  <c r="G9" i="329"/>
  <c r="F10" i="329"/>
  <c r="F11" i="329"/>
  <c r="F12" i="329"/>
  <c r="F13" i="329"/>
  <c r="F14" i="329"/>
  <c r="F15" i="329"/>
  <c r="F16" i="329"/>
  <c r="F17" i="329"/>
  <c r="F18" i="329"/>
  <c r="F19" i="329"/>
  <c r="F20" i="329"/>
  <c r="F21" i="329"/>
  <c r="F22" i="329"/>
  <c r="F23" i="329"/>
  <c r="F24" i="329"/>
  <c r="F25" i="329"/>
  <c r="F26" i="329"/>
  <c r="F27" i="329"/>
  <c r="F28" i="329"/>
  <c r="F29" i="329"/>
  <c r="F30" i="329"/>
  <c r="F31" i="329"/>
  <c r="F32" i="329"/>
  <c r="F33" i="329"/>
  <c r="F34" i="329"/>
  <c r="F35" i="329"/>
  <c r="F36" i="329"/>
  <c r="F37" i="329"/>
  <c r="F38" i="329"/>
  <c r="H71" i="421" l="1"/>
  <c r="G71" i="421"/>
  <c r="P71" i="421" s="1"/>
  <c r="G141" i="354"/>
  <c r="H58" i="365"/>
  <c r="H149" i="53"/>
  <c r="J149" i="53" s="1"/>
  <c r="M149" i="53" s="1"/>
  <c r="H46" i="341"/>
  <c r="E41" i="329"/>
  <c r="E8" i="329"/>
  <c r="G18" i="331"/>
  <c r="M17" i="331"/>
  <c r="H17" i="331"/>
  <c r="H13" i="330"/>
  <c r="G14" i="330"/>
  <c r="L13" i="330"/>
  <c r="H9" i="329"/>
  <c r="G10" i="329"/>
  <c r="M9" i="329"/>
  <c r="J58" i="365" l="1"/>
  <c r="L58" i="365" s="1"/>
  <c r="J46" i="341"/>
  <c r="M46" i="341" s="1"/>
  <c r="I141" i="354"/>
  <c r="L141" i="354" s="1"/>
  <c r="G19" i="331"/>
  <c r="M18" i="331"/>
  <c r="H18" i="331"/>
  <c r="H14" i="330"/>
  <c r="G15" i="330"/>
  <c r="L14" i="330"/>
  <c r="H10" i="329"/>
  <c r="G11" i="329"/>
  <c r="M10" i="329"/>
  <c r="K141" i="354" l="1"/>
  <c r="G20" i="331"/>
  <c r="M19" i="331"/>
  <c r="H19" i="331"/>
  <c r="H15" i="330"/>
  <c r="G16" i="330"/>
  <c r="L15" i="330"/>
  <c r="H11" i="329"/>
  <c r="G12" i="329"/>
  <c r="M11" i="329"/>
  <c r="P48" i="421" l="1"/>
  <c r="N48" i="421"/>
  <c r="G21" i="331"/>
  <c r="M20" i="331"/>
  <c r="H20" i="331"/>
  <c r="H16" i="330"/>
  <c r="G17" i="330"/>
  <c r="L16" i="330"/>
  <c r="H12" i="329"/>
  <c r="G13" i="329"/>
  <c r="M12" i="329"/>
  <c r="H70" i="421" l="1"/>
  <c r="G70" i="421"/>
  <c r="P70" i="421" s="1"/>
  <c r="G22" i="331"/>
  <c r="M21" i="331"/>
  <c r="H21" i="331"/>
  <c r="H17" i="330"/>
  <c r="G18" i="330"/>
  <c r="L17" i="330"/>
  <c r="H13" i="329"/>
  <c r="G14" i="329"/>
  <c r="M13" i="329"/>
  <c r="G23" i="331" l="1"/>
  <c r="M22" i="331"/>
  <c r="H22" i="331"/>
  <c r="H18" i="330"/>
  <c r="G19" i="330"/>
  <c r="L18" i="330"/>
  <c r="H14" i="329"/>
  <c r="G15" i="329"/>
  <c r="M14" i="329"/>
  <c r="G24" i="331" l="1"/>
  <c r="M23" i="331"/>
  <c r="H23" i="331"/>
  <c r="H19" i="330"/>
  <c r="G20" i="330"/>
  <c r="L19" i="330"/>
  <c r="H15" i="329"/>
  <c r="G16" i="329"/>
  <c r="M15" i="329"/>
  <c r="G25" i="331" l="1"/>
  <c r="M24" i="331"/>
  <c r="H24" i="331"/>
  <c r="H20" i="330"/>
  <c r="G21" i="330"/>
  <c r="L20" i="330"/>
  <c r="H16" i="329"/>
  <c r="G17" i="329"/>
  <c r="M16" i="329"/>
  <c r="G26" i="331" l="1"/>
  <c r="M25" i="331"/>
  <c r="H25" i="331"/>
  <c r="H21" i="330"/>
  <c r="G22" i="330"/>
  <c r="L21" i="330"/>
  <c r="H17" i="329"/>
  <c r="G18" i="329"/>
  <c r="M17" i="329"/>
  <c r="G27" i="331" l="1"/>
  <c r="M26" i="331"/>
  <c r="H26" i="331"/>
  <c r="H22" i="330"/>
  <c r="G23" i="330"/>
  <c r="L22" i="330"/>
  <c r="H18" i="329"/>
  <c r="G19" i="329"/>
  <c r="M18" i="329"/>
  <c r="G28" i="331" l="1"/>
  <c r="M27" i="331"/>
  <c r="H27" i="331"/>
  <c r="H23" i="330"/>
  <c r="G24" i="330"/>
  <c r="L23" i="330"/>
  <c r="H19" i="329"/>
  <c r="G20" i="329"/>
  <c r="M19" i="329"/>
  <c r="G29" i="331" l="1"/>
  <c r="M28" i="331"/>
  <c r="H28" i="331"/>
  <c r="H24" i="330"/>
  <c r="G25" i="330"/>
  <c r="L24" i="330"/>
  <c r="H20" i="329"/>
  <c r="G21" i="329"/>
  <c r="M20" i="329"/>
  <c r="G30" i="331" l="1"/>
  <c r="M29" i="331"/>
  <c r="H29" i="331"/>
  <c r="H25" i="330"/>
  <c r="G26" i="330"/>
  <c r="L25" i="330"/>
  <c r="H21" i="329"/>
  <c r="G22" i="329"/>
  <c r="M21" i="329"/>
  <c r="G31" i="331" l="1"/>
  <c r="M30" i="331"/>
  <c r="H30" i="331"/>
  <c r="H26" i="330"/>
  <c r="G27" i="330"/>
  <c r="L26" i="330"/>
  <c r="H22" i="329"/>
  <c r="G23" i="329"/>
  <c r="M22" i="329"/>
  <c r="G32" i="331" l="1"/>
  <c r="M31" i="331"/>
  <c r="H31" i="331"/>
  <c r="H27" i="330"/>
  <c r="G28" i="330"/>
  <c r="L27" i="330"/>
  <c r="H23" i="329"/>
  <c r="G24" i="329"/>
  <c r="M23" i="329"/>
  <c r="G33" i="331" l="1"/>
  <c r="M32" i="331"/>
  <c r="H32" i="331"/>
  <c r="H28" i="330"/>
  <c r="G29" i="330"/>
  <c r="L28" i="330"/>
  <c r="H24" i="329"/>
  <c r="G25" i="329"/>
  <c r="M24" i="329"/>
  <c r="G34" i="331" l="1"/>
  <c r="M33" i="331"/>
  <c r="H33" i="331"/>
  <c r="H29" i="330"/>
  <c r="G30" i="330"/>
  <c r="L29" i="330"/>
  <c r="H25" i="329"/>
  <c r="G26" i="329"/>
  <c r="M25" i="329"/>
  <c r="G35" i="331" l="1"/>
  <c r="M34" i="331"/>
  <c r="H34" i="331"/>
  <c r="H30" i="330"/>
  <c r="G31" i="330"/>
  <c r="L30" i="330"/>
  <c r="H26" i="329"/>
  <c r="G27" i="329"/>
  <c r="M26" i="329"/>
  <c r="G36" i="331" l="1"/>
  <c r="M35" i="331"/>
  <c r="H35" i="331"/>
  <c r="H31" i="330"/>
  <c r="L31" i="330"/>
  <c r="G32" i="330"/>
  <c r="H27" i="329"/>
  <c r="G28" i="329"/>
  <c r="M27" i="329"/>
  <c r="G37" i="331" l="1"/>
  <c r="M36" i="331"/>
  <c r="H36" i="331"/>
  <c r="H32" i="330"/>
  <c r="L32" i="330"/>
  <c r="G33" i="330"/>
  <c r="H28" i="329"/>
  <c r="G29" i="329"/>
  <c r="M28" i="329"/>
  <c r="G38" i="331" l="1"/>
  <c r="M37" i="331"/>
  <c r="H37" i="331"/>
  <c r="H33" i="330"/>
  <c r="L33" i="330"/>
  <c r="G34" i="330"/>
  <c r="H29" i="329"/>
  <c r="G30" i="329"/>
  <c r="M29" i="329"/>
  <c r="G39" i="331" l="1"/>
  <c r="M38" i="331"/>
  <c r="H38" i="331"/>
  <c r="H34" i="330"/>
  <c r="L34" i="330"/>
  <c r="G35" i="330"/>
  <c r="H30" i="329"/>
  <c r="G31" i="329"/>
  <c r="M30" i="329"/>
  <c r="M39" i="331" l="1"/>
  <c r="G40" i="331"/>
  <c r="H39" i="331"/>
  <c r="H35" i="330"/>
  <c r="L35" i="330"/>
  <c r="G36" i="330"/>
  <c r="H31" i="329"/>
  <c r="G32" i="329"/>
  <c r="M31" i="329"/>
  <c r="G37" i="330" l="1"/>
  <c r="H36" i="330"/>
  <c r="L36" i="330"/>
  <c r="H32" i="329"/>
  <c r="G33" i="329"/>
  <c r="M32" i="329"/>
  <c r="G38" i="330" l="1"/>
  <c r="L37" i="330"/>
  <c r="H37" i="330"/>
  <c r="H33" i="329"/>
  <c r="G34" i="329"/>
  <c r="M33" i="329"/>
  <c r="G39" i="330" l="1"/>
  <c r="L38" i="330"/>
  <c r="H38" i="330"/>
  <c r="H34" i="329"/>
  <c r="G35" i="329"/>
  <c r="M34" i="329"/>
  <c r="L39" i="330" l="1"/>
  <c r="G40" i="330"/>
  <c r="H39" i="330"/>
  <c r="H35" i="329"/>
  <c r="G36" i="329"/>
  <c r="M35" i="329"/>
  <c r="H36" i="329" l="1"/>
  <c r="G37" i="329"/>
  <c r="M36" i="329"/>
  <c r="H37" i="329" l="1"/>
  <c r="G38" i="329"/>
  <c r="M37" i="329"/>
  <c r="H38" i="329" l="1"/>
  <c r="G39" i="329"/>
  <c r="M38" i="329"/>
  <c r="F9" i="325"/>
  <c r="G41" i="329" l="1"/>
  <c r="G40" i="329"/>
  <c r="H39" i="329"/>
  <c r="M39" i="329"/>
  <c r="O41" i="208" l="1"/>
  <c r="P41" i="208"/>
  <c r="N41" i="365" s="1"/>
  <c r="N41" i="208"/>
  <c r="O41" i="206"/>
  <c r="P41" i="206"/>
  <c r="N41" i="206"/>
  <c r="G78" i="351" l="1"/>
  <c r="F45" i="318"/>
  <c r="F52" i="318"/>
  <c r="F78" i="351"/>
  <c r="F94" i="351"/>
  <c r="C4" i="317"/>
  <c r="R40" i="323" l="1"/>
  <c r="P40" i="323"/>
  <c r="O40" i="323"/>
  <c r="N40" i="323"/>
  <c r="M40" i="323"/>
  <c r="E10" i="213"/>
  <c r="E11" i="213"/>
  <c r="E12" i="213"/>
  <c r="E13" i="213"/>
  <c r="E14" i="213"/>
  <c r="E15" i="213"/>
  <c r="E16" i="213"/>
  <c r="E17" i="213"/>
  <c r="E18" i="213"/>
  <c r="E19" i="213"/>
  <c r="E20" i="213"/>
  <c r="E21" i="213"/>
  <c r="E22" i="213"/>
  <c r="E23" i="213"/>
  <c r="E24" i="213"/>
  <c r="E25" i="213"/>
  <c r="E26" i="213"/>
  <c r="E27" i="213"/>
  <c r="E28" i="213"/>
  <c r="E29" i="213"/>
  <c r="E30" i="213"/>
  <c r="E31" i="213"/>
  <c r="E32" i="213"/>
  <c r="E33" i="213"/>
  <c r="E34" i="213"/>
  <c r="E35" i="213"/>
  <c r="E36" i="213"/>
  <c r="E37" i="213"/>
  <c r="E38" i="213"/>
  <c r="E39" i="213"/>
  <c r="E9" i="213"/>
  <c r="G9" i="213" s="1"/>
  <c r="G10" i="213" s="1"/>
  <c r="K40" i="213"/>
  <c r="E10" i="216"/>
  <c r="E11" i="216"/>
  <c r="E12" i="216"/>
  <c r="E13" i="216"/>
  <c r="E14" i="216"/>
  <c r="E15" i="216"/>
  <c r="E16" i="216"/>
  <c r="E17" i="216"/>
  <c r="E18" i="216"/>
  <c r="E19" i="216"/>
  <c r="E20" i="216"/>
  <c r="E21" i="216"/>
  <c r="E22" i="216"/>
  <c r="E23" i="216"/>
  <c r="E24" i="216"/>
  <c r="E25" i="216"/>
  <c r="E26" i="216"/>
  <c r="E27" i="216"/>
  <c r="E28" i="216"/>
  <c r="E29" i="216"/>
  <c r="E30" i="216"/>
  <c r="E31" i="216"/>
  <c r="E32" i="216"/>
  <c r="E33" i="216"/>
  <c r="E34" i="216"/>
  <c r="E35" i="216"/>
  <c r="E36" i="216"/>
  <c r="E37" i="216"/>
  <c r="E38" i="216"/>
  <c r="E39" i="216"/>
  <c r="E9" i="216"/>
  <c r="J40" i="216"/>
  <c r="I40" i="216"/>
  <c r="E10" i="215"/>
  <c r="E11" i="215"/>
  <c r="E12" i="215"/>
  <c r="E13" i="215"/>
  <c r="E14" i="215"/>
  <c r="E15" i="215"/>
  <c r="E16" i="215"/>
  <c r="E17" i="215"/>
  <c r="E18" i="215"/>
  <c r="E19" i="215"/>
  <c r="E20" i="215"/>
  <c r="E21" i="215"/>
  <c r="E22" i="215"/>
  <c r="E23" i="215"/>
  <c r="E24" i="215"/>
  <c r="E25" i="215"/>
  <c r="E26" i="215"/>
  <c r="E27" i="215"/>
  <c r="E28" i="215"/>
  <c r="E29" i="215"/>
  <c r="E30" i="215"/>
  <c r="E31" i="215"/>
  <c r="E32" i="215"/>
  <c r="E33" i="215"/>
  <c r="E34" i="215"/>
  <c r="E35" i="215"/>
  <c r="E36" i="215"/>
  <c r="E37" i="215"/>
  <c r="E38" i="215"/>
  <c r="E39" i="215"/>
  <c r="E9" i="215"/>
  <c r="J40" i="215"/>
  <c r="I40" i="215"/>
  <c r="E10" i="214"/>
  <c r="E11" i="214"/>
  <c r="E12" i="214"/>
  <c r="E13" i="214"/>
  <c r="E14" i="214"/>
  <c r="E15" i="214"/>
  <c r="E16" i="214"/>
  <c r="E17" i="214"/>
  <c r="E18" i="214"/>
  <c r="E19" i="214"/>
  <c r="E20" i="214"/>
  <c r="E21" i="214"/>
  <c r="E22" i="214"/>
  <c r="E23" i="214"/>
  <c r="E24" i="214"/>
  <c r="E25" i="214"/>
  <c r="E26" i="214"/>
  <c r="E27" i="214"/>
  <c r="E28" i="214"/>
  <c r="E29" i="214"/>
  <c r="E30" i="214"/>
  <c r="E31" i="214"/>
  <c r="E32" i="214"/>
  <c r="E33" i="214"/>
  <c r="E34" i="214"/>
  <c r="E35" i="214"/>
  <c r="E36" i="214"/>
  <c r="E37" i="214"/>
  <c r="E38" i="214"/>
  <c r="E39" i="214"/>
  <c r="E9" i="214"/>
  <c r="J40" i="214"/>
  <c r="I40" i="214"/>
  <c r="J40" i="212"/>
  <c r="I40" i="212"/>
  <c r="J40" i="213"/>
  <c r="I40" i="213"/>
  <c r="E10" i="328"/>
  <c r="E11" i="328"/>
  <c r="E12" i="328"/>
  <c r="E13" i="328"/>
  <c r="E14" i="328"/>
  <c r="E15" i="328"/>
  <c r="E16" i="328"/>
  <c r="E17" i="328"/>
  <c r="E18" i="328"/>
  <c r="E19" i="328"/>
  <c r="E20" i="328"/>
  <c r="E21" i="328"/>
  <c r="E22" i="328"/>
  <c r="E23" i="328"/>
  <c r="E24" i="328"/>
  <c r="E25" i="328"/>
  <c r="E26" i="328"/>
  <c r="E27" i="328"/>
  <c r="E28" i="328"/>
  <c r="E29" i="328"/>
  <c r="E30" i="328"/>
  <c r="E31" i="328"/>
  <c r="E32" i="328"/>
  <c r="E33" i="328"/>
  <c r="E34" i="328"/>
  <c r="E35" i="328"/>
  <c r="E36" i="328"/>
  <c r="E37" i="328"/>
  <c r="E38" i="328"/>
  <c r="E39" i="328"/>
  <c r="E9" i="328"/>
  <c r="J40" i="328"/>
  <c r="I40" i="328"/>
  <c r="J40" i="323"/>
  <c r="I40" i="323"/>
  <c r="E10" i="245"/>
  <c r="E11" i="245"/>
  <c r="E12" i="245"/>
  <c r="E13" i="245"/>
  <c r="E14" i="245"/>
  <c r="E15" i="245"/>
  <c r="E16" i="245"/>
  <c r="E17" i="245"/>
  <c r="E18" i="245"/>
  <c r="E19" i="245"/>
  <c r="E20" i="245"/>
  <c r="E21" i="245"/>
  <c r="E22" i="245"/>
  <c r="E23" i="245"/>
  <c r="E24" i="245"/>
  <c r="E25" i="245"/>
  <c r="E26" i="245"/>
  <c r="E27" i="245"/>
  <c r="E28" i="245"/>
  <c r="E29" i="245"/>
  <c r="E30" i="245"/>
  <c r="E31" i="245"/>
  <c r="E32" i="245"/>
  <c r="E33" i="245"/>
  <c r="E34" i="245"/>
  <c r="E35" i="245"/>
  <c r="E36" i="245"/>
  <c r="E37" i="245"/>
  <c r="E38" i="245"/>
  <c r="E39" i="245"/>
  <c r="E9" i="245"/>
  <c r="J40" i="245"/>
  <c r="I40" i="245"/>
  <c r="J40" i="204"/>
  <c r="J40" i="242"/>
  <c r="I40" i="242"/>
  <c r="J40" i="294"/>
  <c r="I40" i="294"/>
  <c r="J40" i="240"/>
  <c r="I40" i="240"/>
  <c r="J40" i="264"/>
  <c r="F49" i="318" s="1"/>
  <c r="K40" i="327"/>
  <c r="I40" i="327"/>
  <c r="E10" i="223"/>
  <c r="E11" i="223"/>
  <c r="E12" i="223"/>
  <c r="E13" i="223"/>
  <c r="E14" i="223"/>
  <c r="E15" i="223"/>
  <c r="E16" i="223"/>
  <c r="E17" i="223"/>
  <c r="E18" i="223"/>
  <c r="E19" i="223"/>
  <c r="E20" i="223"/>
  <c r="E21" i="223"/>
  <c r="E22" i="223"/>
  <c r="E23" i="223"/>
  <c r="E24" i="223"/>
  <c r="E25" i="223"/>
  <c r="E26" i="223"/>
  <c r="E27" i="223"/>
  <c r="E28" i="223"/>
  <c r="E29" i="223"/>
  <c r="E30" i="223"/>
  <c r="E31" i="223"/>
  <c r="E32" i="223"/>
  <c r="E33" i="223"/>
  <c r="E34" i="223"/>
  <c r="E35" i="223"/>
  <c r="E36" i="223"/>
  <c r="E37" i="223"/>
  <c r="E38" i="223"/>
  <c r="E39" i="223"/>
  <c r="E9" i="223"/>
  <c r="K40" i="223"/>
  <c r="J40" i="223"/>
  <c r="I40" i="223"/>
  <c r="K40" i="314"/>
  <c r="J40" i="314"/>
  <c r="F55" i="318" s="1"/>
  <c r="I40" i="314"/>
  <c r="E9" i="313"/>
  <c r="E10" i="313"/>
  <c r="E11" i="313"/>
  <c r="E12" i="313"/>
  <c r="E13" i="313"/>
  <c r="E14" i="313"/>
  <c r="E15" i="313"/>
  <c r="E16" i="313"/>
  <c r="E17" i="313"/>
  <c r="E18" i="313"/>
  <c r="E19" i="313"/>
  <c r="E20" i="313"/>
  <c r="E21" i="313"/>
  <c r="E22" i="313"/>
  <c r="E23" i="313"/>
  <c r="E24" i="313"/>
  <c r="E25" i="313"/>
  <c r="E26" i="313"/>
  <c r="E27" i="313"/>
  <c r="E28" i="313"/>
  <c r="E29" i="313"/>
  <c r="E30" i="313"/>
  <c r="E31" i="313"/>
  <c r="E32" i="313"/>
  <c r="E33" i="313"/>
  <c r="E34" i="313"/>
  <c r="E35" i="313"/>
  <c r="E36" i="313"/>
  <c r="E37" i="313"/>
  <c r="E38" i="313"/>
  <c r="E39" i="313"/>
  <c r="K40" i="313"/>
  <c r="J40" i="313"/>
  <c r="I40" i="313"/>
  <c r="K40" i="246"/>
  <c r="J40" i="246"/>
  <c r="I40" i="246"/>
  <c r="K40" i="325"/>
  <c r="J40" i="325"/>
  <c r="I40" i="325"/>
  <c r="E10" i="312"/>
  <c r="E11" i="312"/>
  <c r="E12" i="312"/>
  <c r="E13" i="312"/>
  <c r="E14" i="312"/>
  <c r="E15" i="312"/>
  <c r="E16" i="312"/>
  <c r="E17" i="312"/>
  <c r="E18" i="312"/>
  <c r="E19" i="312"/>
  <c r="E20" i="312"/>
  <c r="E21" i="312"/>
  <c r="E22" i="312"/>
  <c r="E23" i="312"/>
  <c r="E24" i="312"/>
  <c r="E25" i="312"/>
  <c r="E26" i="312"/>
  <c r="E27" i="312"/>
  <c r="E28" i="312"/>
  <c r="E29" i="312"/>
  <c r="E30" i="312"/>
  <c r="E31" i="312"/>
  <c r="E32" i="312"/>
  <c r="E33" i="312"/>
  <c r="E34" i="312"/>
  <c r="E35" i="312"/>
  <c r="E36" i="312"/>
  <c r="E37" i="312"/>
  <c r="E38" i="312"/>
  <c r="E39" i="312"/>
  <c r="E9" i="312"/>
  <c r="K40" i="312"/>
  <c r="N50" i="365" s="1"/>
  <c r="J40" i="312"/>
  <c r="I40" i="312"/>
  <c r="E10" i="282"/>
  <c r="E11" i="282"/>
  <c r="E12" i="282"/>
  <c r="E13" i="282"/>
  <c r="E14" i="282"/>
  <c r="E15" i="282"/>
  <c r="E16" i="282"/>
  <c r="E17" i="282"/>
  <c r="E18" i="282"/>
  <c r="E19" i="282"/>
  <c r="E20" i="282"/>
  <c r="E21" i="282"/>
  <c r="E22" i="282"/>
  <c r="E23" i="282"/>
  <c r="E24" i="282"/>
  <c r="E25" i="282"/>
  <c r="E26" i="282"/>
  <c r="E27" i="282"/>
  <c r="E28" i="282"/>
  <c r="E29" i="282"/>
  <c r="E30" i="282"/>
  <c r="E31" i="282"/>
  <c r="E32" i="282"/>
  <c r="E33" i="282"/>
  <c r="E34" i="282"/>
  <c r="E35" i="282"/>
  <c r="E36" i="282"/>
  <c r="E37" i="282"/>
  <c r="E38" i="282"/>
  <c r="E39" i="282"/>
  <c r="E9" i="282"/>
  <c r="K40" i="282"/>
  <c r="J40" i="282"/>
  <c r="I40" i="282"/>
  <c r="E10" i="249"/>
  <c r="E11" i="249"/>
  <c r="E12" i="249"/>
  <c r="E13" i="249"/>
  <c r="E14" i="249"/>
  <c r="E15" i="249"/>
  <c r="E16" i="249"/>
  <c r="E17" i="249"/>
  <c r="E18" i="249"/>
  <c r="E19" i="249"/>
  <c r="E20" i="249"/>
  <c r="E21" i="249"/>
  <c r="E22" i="249"/>
  <c r="E23" i="249"/>
  <c r="E24" i="249"/>
  <c r="E25" i="249"/>
  <c r="E26" i="249"/>
  <c r="E27" i="249"/>
  <c r="E28" i="249"/>
  <c r="E29" i="249"/>
  <c r="E30" i="249"/>
  <c r="E31" i="249"/>
  <c r="E32" i="249"/>
  <c r="E33" i="249"/>
  <c r="E34" i="249"/>
  <c r="E35" i="249"/>
  <c r="E36" i="249"/>
  <c r="E37" i="249"/>
  <c r="E38" i="249"/>
  <c r="E39" i="249"/>
  <c r="E9" i="249"/>
  <c r="K40" i="249"/>
  <c r="J40" i="249"/>
  <c r="I40" i="249"/>
  <c r="E10" i="221"/>
  <c r="E11" i="221"/>
  <c r="E12" i="221"/>
  <c r="E13" i="221"/>
  <c r="E14" i="221"/>
  <c r="E15" i="221"/>
  <c r="E16" i="221"/>
  <c r="E17" i="221"/>
  <c r="E18" i="221"/>
  <c r="E19" i="221"/>
  <c r="E20" i="221"/>
  <c r="E21" i="221"/>
  <c r="E22" i="221"/>
  <c r="E23" i="221"/>
  <c r="E24" i="221"/>
  <c r="E25" i="221"/>
  <c r="E26" i="221"/>
  <c r="E27" i="221"/>
  <c r="E28" i="221"/>
  <c r="E29" i="221"/>
  <c r="E30" i="221"/>
  <c r="E31" i="221"/>
  <c r="E32" i="221"/>
  <c r="E33" i="221"/>
  <c r="E34" i="221"/>
  <c r="E35" i="221"/>
  <c r="E36" i="221"/>
  <c r="E37" i="221"/>
  <c r="E38" i="221"/>
  <c r="E39" i="221"/>
  <c r="E9" i="221"/>
  <c r="K40" i="221"/>
  <c r="J40" i="221"/>
  <c r="I40" i="221"/>
  <c r="E10" i="296"/>
  <c r="E11" i="296"/>
  <c r="E12" i="296"/>
  <c r="E13" i="296"/>
  <c r="E14" i="296"/>
  <c r="E15" i="296"/>
  <c r="E16" i="296"/>
  <c r="E17" i="296"/>
  <c r="E18" i="296"/>
  <c r="E19" i="296"/>
  <c r="E20" i="296"/>
  <c r="E21" i="296"/>
  <c r="E22" i="296"/>
  <c r="E23" i="296"/>
  <c r="E24" i="296"/>
  <c r="E25" i="296"/>
  <c r="E26" i="296"/>
  <c r="E27" i="296"/>
  <c r="E28" i="296"/>
  <c r="E29" i="296"/>
  <c r="E30" i="296"/>
  <c r="E31" i="296"/>
  <c r="E32" i="296"/>
  <c r="E33" i="296"/>
  <c r="E34" i="296"/>
  <c r="E35" i="296"/>
  <c r="E36" i="296"/>
  <c r="E37" i="296"/>
  <c r="E38" i="296"/>
  <c r="E39" i="296"/>
  <c r="E9" i="296"/>
  <c r="K40" i="296"/>
  <c r="J40" i="296"/>
  <c r="I40" i="296"/>
  <c r="E10" i="300"/>
  <c r="E11" i="300"/>
  <c r="E12" i="300"/>
  <c r="E13" i="300"/>
  <c r="E14" i="300"/>
  <c r="E15" i="300"/>
  <c r="E16" i="300"/>
  <c r="E17" i="300"/>
  <c r="E18" i="300"/>
  <c r="E19" i="300"/>
  <c r="E20" i="300"/>
  <c r="E21" i="300"/>
  <c r="E22" i="300"/>
  <c r="E23" i="300"/>
  <c r="E24" i="300"/>
  <c r="E25" i="300"/>
  <c r="E26" i="300"/>
  <c r="E27" i="300"/>
  <c r="E28" i="300"/>
  <c r="E29" i="300"/>
  <c r="E30" i="300"/>
  <c r="E31" i="300"/>
  <c r="E32" i="300"/>
  <c r="E33" i="300"/>
  <c r="E34" i="300"/>
  <c r="E35" i="300"/>
  <c r="E36" i="300"/>
  <c r="E37" i="300"/>
  <c r="E38" i="300"/>
  <c r="E39" i="300"/>
  <c r="E9" i="300"/>
  <c r="K40" i="300"/>
  <c r="N48" i="365" s="1"/>
  <c r="J40" i="300"/>
  <c r="I40" i="300"/>
  <c r="E10" i="220"/>
  <c r="E11" i="220"/>
  <c r="E12" i="220"/>
  <c r="E13" i="220"/>
  <c r="E14" i="220"/>
  <c r="E15" i="220"/>
  <c r="E16" i="220"/>
  <c r="E17" i="220"/>
  <c r="E18" i="220"/>
  <c r="E19" i="220"/>
  <c r="E20" i="220"/>
  <c r="E21" i="220"/>
  <c r="E22" i="220"/>
  <c r="E23" i="220"/>
  <c r="E24" i="220"/>
  <c r="E25" i="220"/>
  <c r="E26" i="220"/>
  <c r="E27" i="220"/>
  <c r="E28" i="220"/>
  <c r="E29" i="220"/>
  <c r="E30" i="220"/>
  <c r="E31" i="220"/>
  <c r="E32" i="220"/>
  <c r="E33" i="220"/>
  <c r="E34" i="220"/>
  <c r="E35" i="220"/>
  <c r="E36" i="220"/>
  <c r="E37" i="220"/>
  <c r="E38" i="220"/>
  <c r="E39" i="220"/>
  <c r="E9" i="220"/>
  <c r="K40" i="220"/>
  <c r="J40" i="220"/>
  <c r="I40" i="220"/>
  <c r="E10" i="297"/>
  <c r="E11" i="297"/>
  <c r="E12" i="297"/>
  <c r="E13" i="297"/>
  <c r="E14" i="297"/>
  <c r="E15" i="297"/>
  <c r="E16" i="297"/>
  <c r="E17" i="297"/>
  <c r="E18" i="297"/>
  <c r="E19" i="297"/>
  <c r="E20" i="297"/>
  <c r="E21" i="297"/>
  <c r="E22" i="297"/>
  <c r="E23" i="297"/>
  <c r="E24" i="297"/>
  <c r="E25" i="297"/>
  <c r="E26" i="297"/>
  <c r="E27" i="297"/>
  <c r="E28" i="297"/>
  <c r="E29" i="297"/>
  <c r="E30" i="297"/>
  <c r="E31" i="297"/>
  <c r="E32" i="297"/>
  <c r="E33" i="297"/>
  <c r="E34" i="297"/>
  <c r="E35" i="297"/>
  <c r="E36" i="297"/>
  <c r="E37" i="297"/>
  <c r="E38" i="297"/>
  <c r="E39" i="297"/>
  <c r="E9" i="297"/>
  <c r="K40" i="297"/>
  <c r="J40" i="297"/>
  <c r="I40" i="297"/>
  <c r="E10" i="247"/>
  <c r="E11" i="247"/>
  <c r="E12" i="247"/>
  <c r="E13" i="247"/>
  <c r="E14" i="247"/>
  <c r="E15" i="247"/>
  <c r="E16" i="247"/>
  <c r="E17" i="247"/>
  <c r="E18" i="247"/>
  <c r="E19" i="247"/>
  <c r="E20" i="247"/>
  <c r="E21" i="247"/>
  <c r="E22" i="247"/>
  <c r="E23" i="247"/>
  <c r="E24" i="247"/>
  <c r="E25" i="247"/>
  <c r="E26" i="247"/>
  <c r="E27" i="247"/>
  <c r="E28" i="247"/>
  <c r="E29" i="247"/>
  <c r="E30" i="247"/>
  <c r="E31" i="247"/>
  <c r="E32" i="247"/>
  <c r="E33" i="247"/>
  <c r="E34" i="247"/>
  <c r="E35" i="247"/>
  <c r="E36" i="247"/>
  <c r="E37" i="247"/>
  <c r="E38" i="247"/>
  <c r="E39" i="247"/>
  <c r="E9" i="247"/>
  <c r="G9" i="247" s="1"/>
  <c r="K40" i="247"/>
  <c r="J40" i="247"/>
  <c r="E10" i="310"/>
  <c r="E11" i="310"/>
  <c r="E12" i="310"/>
  <c r="E13" i="310"/>
  <c r="E14" i="310"/>
  <c r="E15" i="310"/>
  <c r="E16" i="310"/>
  <c r="E17" i="310"/>
  <c r="E18" i="310"/>
  <c r="E19" i="310"/>
  <c r="E20" i="310"/>
  <c r="E21" i="310"/>
  <c r="E22" i="310"/>
  <c r="E23" i="310"/>
  <c r="E24" i="310"/>
  <c r="E25" i="310"/>
  <c r="E26" i="310"/>
  <c r="E27" i="310"/>
  <c r="E28" i="310"/>
  <c r="E29" i="310"/>
  <c r="E30" i="310"/>
  <c r="E31" i="310"/>
  <c r="E32" i="310"/>
  <c r="E33" i="310"/>
  <c r="E34" i="310"/>
  <c r="E35" i="310"/>
  <c r="E36" i="310"/>
  <c r="E37" i="310"/>
  <c r="E38" i="310"/>
  <c r="E39" i="310"/>
  <c r="E9" i="310"/>
  <c r="E10" i="295"/>
  <c r="F10" i="254"/>
  <c r="F11" i="254"/>
  <c r="F12" i="254"/>
  <c r="F13" i="254"/>
  <c r="F14" i="254"/>
  <c r="F15" i="254"/>
  <c r="F16" i="254"/>
  <c r="F17" i="254"/>
  <c r="F18" i="254"/>
  <c r="F19" i="254"/>
  <c r="F20" i="254"/>
  <c r="F21" i="254"/>
  <c r="F22" i="254"/>
  <c r="F23" i="254"/>
  <c r="F24" i="254"/>
  <c r="F25" i="254"/>
  <c r="F26" i="254"/>
  <c r="F27" i="254"/>
  <c r="F28" i="254"/>
  <c r="F29" i="254"/>
  <c r="F30" i="254"/>
  <c r="F31" i="254"/>
  <c r="F32" i="254"/>
  <c r="F33" i="254"/>
  <c r="F34" i="254"/>
  <c r="F35" i="254"/>
  <c r="F36" i="254"/>
  <c r="F37" i="254"/>
  <c r="F38" i="254"/>
  <c r="F39" i="254"/>
  <c r="F9" i="254"/>
  <c r="L40" i="254"/>
  <c r="F10" i="250"/>
  <c r="F11" i="250"/>
  <c r="F12" i="250"/>
  <c r="F13" i="250"/>
  <c r="F14" i="250"/>
  <c r="F15" i="250"/>
  <c r="F16" i="250"/>
  <c r="F17" i="250"/>
  <c r="F18" i="250"/>
  <c r="F19" i="250"/>
  <c r="F20" i="250"/>
  <c r="F21" i="250"/>
  <c r="F22" i="250"/>
  <c r="F23" i="250"/>
  <c r="F24" i="250"/>
  <c r="F25" i="250"/>
  <c r="F26" i="250"/>
  <c r="F27" i="250"/>
  <c r="F28" i="250"/>
  <c r="F29" i="250"/>
  <c r="F30" i="250"/>
  <c r="F31" i="250"/>
  <c r="F32" i="250"/>
  <c r="F33" i="250"/>
  <c r="F34" i="250"/>
  <c r="F35" i="250"/>
  <c r="F36" i="250"/>
  <c r="F37" i="250"/>
  <c r="F38" i="250"/>
  <c r="F39" i="250"/>
  <c r="F9" i="250"/>
  <c r="N40" i="250"/>
  <c r="M40" i="250"/>
  <c r="L40" i="250"/>
  <c r="F10" i="308"/>
  <c r="F11" i="308"/>
  <c r="F12" i="308"/>
  <c r="F13" i="308"/>
  <c r="F14" i="308"/>
  <c r="F15" i="308"/>
  <c r="F16" i="308"/>
  <c r="F17" i="308"/>
  <c r="F18" i="308"/>
  <c r="F19" i="308"/>
  <c r="F20" i="308"/>
  <c r="F21" i="308"/>
  <c r="F22" i="308"/>
  <c r="F23" i="308"/>
  <c r="F24" i="308"/>
  <c r="F25" i="308"/>
  <c r="F26" i="308"/>
  <c r="F27" i="308"/>
  <c r="F28" i="308"/>
  <c r="F29" i="308"/>
  <c r="F30" i="308"/>
  <c r="F31" i="308"/>
  <c r="F32" i="308"/>
  <c r="F33" i="308"/>
  <c r="F34" i="308"/>
  <c r="F35" i="308"/>
  <c r="F36" i="308"/>
  <c r="F37" i="308"/>
  <c r="F38" i="308"/>
  <c r="F39" i="308"/>
  <c r="F9" i="308"/>
  <c r="N40" i="308"/>
  <c r="M40" i="308"/>
  <c r="L40" i="308"/>
  <c r="N40" i="307"/>
  <c r="M40" i="307"/>
  <c r="L40" i="307"/>
  <c r="N40" i="251"/>
  <c r="M40" i="251"/>
  <c r="N40" i="255"/>
  <c r="M40" i="255"/>
  <c r="N40" i="256"/>
  <c r="M40" i="256"/>
  <c r="L40" i="256"/>
  <c r="M40" i="252"/>
  <c r="N40" i="252"/>
  <c r="L40" i="252"/>
  <c r="J40" i="295"/>
  <c r="K40" i="295"/>
  <c r="I40" i="295"/>
  <c r="E11" i="295"/>
  <c r="E12" i="295"/>
  <c r="E13" i="295"/>
  <c r="E14" i="295"/>
  <c r="E15" i="295"/>
  <c r="E16" i="295"/>
  <c r="E17" i="295"/>
  <c r="E18" i="295"/>
  <c r="E19" i="295"/>
  <c r="E20" i="295"/>
  <c r="E21" i="295"/>
  <c r="E22" i="295"/>
  <c r="E23" i="295"/>
  <c r="E24" i="295"/>
  <c r="E25" i="295"/>
  <c r="E26" i="295"/>
  <c r="E27" i="295"/>
  <c r="E28" i="295"/>
  <c r="E29" i="295"/>
  <c r="E30" i="295"/>
  <c r="E31" i="295"/>
  <c r="E32" i="295"/>
  <c r="E33" i="295"/>
  <c r="E34" i="295"/>
  <c r="E35" i="295"/>
  <c r="E36" i="295"/>
  <c r="E37" i="295"/>
  <c r="E38" i="295"/>
  <c r="E39" i="295"/>
  <c r="E9" i="295"/>
  <c r="N54" i="365" l="1"/>
  <c r="N51" i="365"/>
  <c r="N47" i="365"/>
  <c r="F54" i="318"/>
  <c r="G79" i="351"/>
  <c r="G95" i="351"/>
  <c r="G93" i="351"/>
  <c r="G92" i="351"/>
  <c r="F51" i="318"/>
  <c r="F53" i="318"/>
  <c r="F50" i="318"/>
  <c r="F79" i="351"/>
  <c r="F101" i="351"/>
  <c r="F102" i="351"/>
  <c r="F86" i="351"/>
  <c r="F91" i="351"/>
  <c r="F103" i="351"/>
  <c r="F97" i="351"/>
  <c r="F98" i="351"/>
  <c r="F100" i="351"/>
  <c r="F95" i="351"/>
  <c r="F96" i="351"/>
  <c r="F93" i="351"/>
  <c r="F92" i="351"/>
  <c r="E40" i="264"/>
  <c r="D227" i="53"/>
  <c r="E40" i="328"/>
  <c r="E41" i="328" s="1"/>
  <c r="D40" i="328"/>
  <c r="F227" i="53" s="1"/>
  <c r="B39" i="328"/>
  <c r="B38" i="328"/>
  <c r="B37" i="328"/>
  <c r="B36" i="328"/>
  <c r="B35" i="328"/>
  <c r="B34" i="328"/>
  <c r="B33" i="328"/>
  <c r="B32" i="328"/>
  <c r="B31" i="328"/>
  <c r="B30" i="328"/>
  <c r="B29" i="328"/>
  <c r="B28" i="328"/>
  <c r="B27" i="328"/>
  <c r="B26" i="328"/>
  <c r="B25" i="328"/>
  <c r="B24" i="328"/>
  <c r="B23" i="328"/>
  <c r="B22" i="328"/>
  <c r="B21" i="328"/>
  <c r="B20" i="328"/>
  <c r="B19" i="328"/>
  <c r="B18" i="328"/>
  <c r="B17" i="328"/>
  <c r="B16" i="328"/>
  <c r="B15" i="328"/>
  <c r="B14" i="328"/>
  <c r="B13" i="328"/>
  <c r="B12" i="328"/>
  <c r="B11" i="328"/>
  <c r="B10" i="328"/>
  <c r="G9" i="328"/>
  <c r="K9" i="328" s="1"/>
  <c r="F9" i="328"/>
  <c r="F29" i="328" s="1"/>
  <c r="B9" i="328"/>
  <c r="D8" i="328"/>
  <c r="I5" i="328"/>
  <c r="H5" i="328"/>
  <c r="G5" i="328"/>
  <c r="F5" i="328"/>
  <c r="E5" i="328"/>
  <c r="D5" i="328"/>
  <c r="C5" i="328"/>
  <c r="B5" i="328"/>
  <c r="C4" i="328"/>
  <c r="D164" i="53"/>
  <c r="B164" i="53"/>
  <c r="E40" i="327"/>
  <c r="D40" i="327"/>
  <c r="B39" i="327"/>
  <c r="B38" i="327"/>
  <c r="B37" i="327"/>
  <c r="B36" i="327"/>
  <c r="B35" i="327"/>
  <c r="B34" i="327"/>
  <c r="B33" i="327"/>
  <c r="B32" i="327"/>
  <c r="B31" i="327"/>
  <c r="B30" i="327"/>
  <c r="B29" i="327"/>
  <c r="B28" i="327"/>
  <c r="B27" i="327"/>
  <c r="B26" i="327"/>
  <c r="B25" i="327"/>
  <c r="B24" i="327"/>
  <c r="B23" i="327"/>
  <c r="B22" i="327"/>
  <c r="B21" i="327"/>
  <c r="B20" i="327"/>
  <c r="B19" i="327"/>
  <c r="B18" i="327"/>
  <c r="B17" i="327"/>
  <c r="B16" i="327"/>
  <c r="B15" i="327"/>
  <c r="B14" i="327"/>
  <c r="B13" i="327"/>
  <c r="B12" i="327"/>
  <c r="B11" i="327"/>
  <c r="B10" i="327"/>
  <c r="G9" i="327"/>
  <c r="M9" i="327" s="1"/>
  <c r="F9" i="327"/>
  <c r="F38" i="327" s="1"/>
  <c r="B9" i="327"/>
  <c r="D8" i="327"/>
  <c r="I5" i="327"/>
  <c r="H5" i="327"/>
  <c r="G5" i="327"/>
  <c r="F5" i="327"/>
  <c r="E5" i="327"/>
  <c r="D5" i="327"/>
  <c r="C5" i="327"/>
  <c r="B5" i="327"/>
  <c r="N63" i="365" l="1"/>
  <c r="G138" i="354"/>
  <c r="H55" i="365"/>
  <c r="E138" i="354"/>
  <c r="F55" i="365"/>
  <c r="F164" i="53"/>
  <c r="F61" i="341"/>
  <c r="E41" i="327"/>
  <c r="H61" i="341"/>
  <c r="D41" i="327"/>
  <c r="E8" i="328"/>
  <c r="D41" i="328"/>
  <c r="G41" i="328" s="1"/>
  <c r="F13" i="328"/>
  <c r="F17" i="328"/>
  <c r="H227" i="53"/>
  <c r="F11" i="328"/>
  <c r="F15" i="328"/>
  <c r="F19" i="328"/>
  <c r="H164" i="53"/>
  <c r="G10" i="328"/>
  <c r="K10" i="328" s="1"/>
  <c r="F21" i="328"/>
  <c r="F23" i="328"/>
  <c r="F25" i="328"/>
  <c r="F27" i="328"/>
  <c r="F38" i="328"/>
  <c r="F36" i="328"/>
  <c r="F34" i="328"/>
  <c r="F32" i="328"/>
  <c r="F30" i="328"/>
  <c r="F28" i="328"/>
  <c r="F26" i="328"/>
  <c r="F24" i="328"/>
  <c r="F22" i="328"/>
  <c r="F20" i="328"/>
  <c r="F18" i="328"/>
  <c r="F16" i="328"/>
  <c r="F14" i="328"/>
  <c r="F12" i="328"/>
  <c r="F10" i="328"/>
  <c r="F39" i="328"/>
  <c r="F37" i="328"/>
  <c r="F35" i="328"/>
  <c r="F33" i="328"/>
  <c r="F31" i="328"/>
  <c r="H9" i="328"/>
  <c r="H9" i="327"/>
  <c r="G10" i="327"/>
  <c r="F11" i="327"/>
  <c r="F13" i="327"/>
  <c r="F15" i="327"/>
  <c r="F17" i="327"/>
  <c r="F19" i="327"/>
  <c r="F21" i="327"/>
  <c r="F23" i="327"/>
  <c r="F25" i="327"/>
  <c r="F27" i="327"/>
  <c r="F29" i="327"/>
  <c r="F31" i="327"/>
  <c r="F33" i="327"/>
  <c r="F35" i="327"/>
  <c r="F37" i="327"/>
  <c r="F39" i="327"/>
  <c r="F10" i="327"/>
  <c r="F12" i="327"/>
  <c r="F14" i="327"/>
  <c r="F16" i="327"/>
  <c r="F18" i="327"/>
  <c r="F20" i="327"/>
  <c r="F22" i="327"/>
  <c r="F24" i="327"/>
  <c r="F26" i="327"/>
  <c r="F28" i="327"/>
  <c r="F30" i="327"/>
  <c r="F32" i="327"/>
  <c r="F34" i="327"/>
  <c r="F36" i="327"/>
  <c r="G41" i="327" l="1"/>
  <c r="J55" i="365"/>
  <c r="L55" i="365" s="1"/>
  <c r="J61" i="341"/>
  <c r="M61" i="341" s="1"/>
  <c r="J57" i="365"/>
  <c r="L57" i="365" s="1"/>
  <c r="J164" i="53"/>
  <c r="M164" i="53" s="1"/>
  <c r="J227" i="53"/>
  <c r="M227" i="53" s="1"/>
  <c r="I138" i="354"/>
  <c r="L138" i="354" s="1"/>
  <c r="I140" i="354"/>
  <c r="L140" i="354" s="1"/>
  <c r="G11" i="328"/>
  <c r="G12" i="328" s="1"/>
  <c r="H10" i="328"/>
  <c r="G11" i="327"/>
  <c r="H10" i="327"/>
  <c r="M10" i="327"/>
  <c r="K140" i="354" l="1"/>
  <c r="G47" i="421" s="1"/>
  <c r="P47" i="421" s="1"/>
  <c r="K138" i="354"/>
  <c r="K11" i="328"/>
  <c r="H11" i="328"/>
  <c r="G13" i="328"/>
  <c r="H12" i="328"/>
  <c r="K12" i="328"/>
  <c r="M11" i="327"/>
  <c r="G12" i="327"/>
  <c r="H11" i="327"/>
  <c r="G45" i="421" l="1"/>
  <c r="P45" i="421" s="1"/>
  <c r="N45" i="421"/>
  <c r="K13" i="328"/>
  <c r="G14" i="328"/>
  <c r="H13" i="328"/>
  <c r="G13" i="327"/>
  <c r="H12" i="327"/>
  <c r="M12" i="327"/>
  <c r="L150" i="53"/>
  <c r="D150" i="53"/>
  <c r="E40" i="325"/>
  <c r="D40" i="325"/>
  <c r="B39" i="325"/>
  <c r="B38" i="325"/>
  <c r="B37" i="325"/>
  <c r="B36" i="325"/>
  <c r="B35" i="325"/>
  <c r="B34" i="325"/>
  <c r="B33" i="325"/>
  <c r="B32" i="325"/>
  <c r="B31" i="325"/>
  <c r="B30" i="325"/>
  <c r="B29" i="325"/>
  <c r="B28" i="325"/>
  <c r="B27" i="325"/>
  <c r="B26" i="325"/>
  <c r="B25" i="325"/>
  <c r="B24" i="325"/>
  <c r="B23" i="325"/>
  <c r="B22" i="325"/>
  <c r="B21" i="325"/>
  <c r="B20" i="325"/>
  <c r="B19" i="325"/>
  <c r="B18" i="325"/>
  <c r="B17" i="325"/>
  <c r="B16" i="325"/>
  <c r="B15" i="325"/>
  <c r="B14" i="325"/>
  <c r="B13" i="325"/>
  <c r="B12" i="325"/>
  <c r="B11" i="325"/>
  <c r="B10" i="325"/>
  <c r="G9" i="325"/>
  <c r="O9" i="325" s="1"/>
  <c r="F38" i="325"/>
  <c r="B9" i="325"/>
  <c r="D8" i="325"/>
  <c r="I5" i="325"/>
  <c r="H5" i="325"/>
  <c r="G5" i="325"/>
  <c r="F5" i="325"/>
  <c r="E5" i="325"/>
  <c r="D5" i="325"/>
  <c r="C5" i="325"/>
  <c r="B5" i="325"/>
  <c r="G69" i="421" l="1"/>
  <c r="P69" i="421" s="1"/>
  <c r="G67" i="421"/>
  <c r="P67" i="421" s="1"/>
  <c r="H67" i="421"/>
  <c r="E41" i="325"/>
  <c r="H47" i="341"/>
  <c r="F150" i="53"/>
  <c r="F47" i="341"/>
  <c r="E8" i="325"/>
  <c r="H150" i="53"/>
  <c r="G15" i="328"/>
  <c r="H14" i="328"/>
  <c r="K14" i="328"/>
  <c r="M13" i="327"/>
  <c r="G14" i="327"/>
  <c r="H13" i="327"/>
  <c r="D41" i="325"/>
  <c r="H9" i="325"/>
  <c r="G10" i="325"/>
  <c r="F11" i="325"/>
  <c r="F13" i="325"/>
  <c r="F15" i="325"/>
  <c r="F17" i="325"/>
  <c r="F19" i="325"/>
  <c r="F21" i="325"/>
  <c r="F23" i="325"/>
  <c r="F25" i="325"/>
  <c r="F27" i="325"/>
  <c r="F29" i="325"/>
  <c r="F31" i="325"/>
  <c r="F33" i="325"/>
  <c r="F35" i="325"/>
  <c r="F37" i="325"/>
  <c r="F39" i="325"/>
  <c r="F10" i="325"/>
  <c r="F12" i="325"/>
  <c r="F14" i="325"/>
  <c r="F16" i="325"/>
  <c r="F18" i="325"/>
  <c r="F20" i="325"/>
  <c r="F22" i="325"/>
  <c r="F24" i="325"/>
  <c r="F26" i="325"/>
  <c r="F28" i="325"/>
  <c r="F30" i="325"/>
  <c r="F32" i="325"/>
  <c r="F34" i="325"/>
  <c r="F36" i="325"/>
  <c r="H69" i="421" l="1"/>
  <c r="I137" i="354"/>
  <c r="L137" i="354" s="1"/>
  <c r="J54" i="365"/>
  <c r="G137" i="354"/>
  <c r="H54" i="365"/>
  <c r="L54" i="365" s="1"/>
  <c r="G41" i="325"/>
  <c r="J47" i="341"/>
  <c r="M47" i="341" s="1"/>
  <c r="J150" i="53"/>
  <c r="M150" i="53" s="1"/>
  <c r="K15" i="328"/>
  <c r="G16" i="328"/>
  <c r="H15" i="328"/>
  <c r="G15" i="327"/>
  <c r="H14" i="327"/>
  <c r="M14" i="327"/>
  <c r="G11" i="325"/>
  <c r="H10" i="325"/>
  <c r="O10" i="325"/>
  <c r="K137" i="354" l="1"/>
  <c r="G17" i="328"/>
  <c r="H16" i="328"/>
  <c r="K16" i="328"/>
  <c r="M15" i="327"/>
  <c r="G16" i="327"/>
  <c r="H15" i="327"/>
  <c r="O11" i="325"/>
  <c r="G12" i="325"/>
  <c r="H11" i="325"/>
  <c r="H66" i="421" l="1"/>
  <c r="G44" i="421"/>
  <c r="P44" i="421" s="1"/>
  <c r="G66" i="421"/>
  <c r="P66" i="421" s="1"/>
  <c r="K17" i="328"/>
  <c r="G18" i="328"/>
  <c r="H17" i="328"/>
  <c r="G17" i="327"/>
  <c r="H16" i="327"/>
  <c r="M16" i="327"/>
  <c r="G13" i="325"/>
  <c r="H12" i="325"/>
  <c r="O12" i="325"/>
  <c r="G19" i="328" l="1"/>
  <c r="H18" i="328"/>
  <c r="K18" i="328"/>
  <c r="M17" i="327"/>
  <c r="G18" i="327"/>
  <c r="H17" i="327"/>
  <c r="O13" i="325"/>
  <c r="G14" i="325"/>
  <c r="H13" i="325"/>
  <c r="K19" i="328" l="1"/>
  <c r="G20" i="328"/>
  <c r="H19" i="328"/>
  <c r="G19" i="327"/>
  <c r="H18" i="327"/>
  <c r="M18" i="327"/>
  <c r="G15" i="325"/>
  <c r="H14" i="325"/>
  <c r="O14" i="325"/>
  <c r="G21" i="328" l="1"/>
  <c r="H20" i="328"/>
  <c r="K20" i="328"/>
  <c r="M19" i="327"/>
  <c r="G20" i="327"/>
  <c r="H19" i="327"/>
  <c r="O15" i="325"/>
  <c r="G16" i="325"/>
  <c r="H15" i="325"/>
  <c r="K21" i="328" l="1"/>
  <c r="G22" i="328"/>
  <c r="H21" i="328"/>
  <c r="G21" i="327"/>
  <c r="H20" i="327"/>
  <c r="M20" i="327"/>
  <c r="G17" i="325"/>
  <c r="H16" i="325"/>
  <c r="O16" i="325"/>
  <c r="G23" i="328" l="1"/>
  <c r="H22" i="328"/>
  <c r="K22" i="328"/>
  <c r="M21" i="327"/>
  <c r="G22" i="327"/>
  <c r="H21" i="327"/>
  <c r="O17" i="325"/>
  <c r="G18" i="325"/>
  <c r="H17" i="325"/>
  <c r="K23" i="328" l="1"/>
  <c r="G24" i="328"/>
  <c r="H23" i="328"/>
  <c r="G23" i="327"/>
  <c r="H22" i="327"/>
  <c r="M22" i="327"/>
  <c r="G19" i="325"/>
  <c r="H18" i="325"/>
  <c r="O18" i="325"/>
  <c r="G25" i="328" l="1"/>
  <c r="H24" i="328"/>
  <c r="K24" i="328"/>
  <c r="M23" i="327"/>
  <c r="G24" i="327"/>
  <c r="H23" i="327"/>
  <c r="O19" i="325"/>
  <c r="G20" i="325"/>
  <c r="H19" i="325"/>
  <c r="K25" i="328" l="1"/>
  <c r="G26" i="328"/>
  <c r="H25" i="328"/>
  <c r="G25" i="327"/>
  <c r="H24" i="327"/>
  <c r="M24" i="327"/>
  <c r="G21" i="325"/>
  <c r="H20" i="325"/>
  <c r="O20" i="325"/>
  <c r="G27" i="328" l="1"/>
  <c r="H26" i="328"/>
  <c r="K26" i="328"/>
  <c r="M25" i="327"/>
  <c r="G26" i="327"/>
  <c r="H25" i="327"/>
  <c r="O21" i="325"/>
  <c r="G22" i="325"/>
  <c r="H21" i="325"/>
  <c r="K27" i="328" l="1"/>
  <c r="G28" i="328"/>
  <c r="H27" i="328"/>
  <c r="G27" i="327"/>
  <c r="H26" i="327"/>
  <c r="M26" i="327"/>
  <c r="G23" i="325"/>
  <c r="H22" i="325"/>
  <c r="O22" i="325"/>
  <c r="G29" i="328" l="1"/>
  <c r="H28" i="328"/>
  <c r="K28" i="328"/>
  <c r="M27" i="327"/>
  <c r="G28" i="327"/>
  <c r="H27" i="327"/>
  <c r="O23" i="325"/>
  <c r="G24" i="325"/>
  <c r="H23" i="325"/>
  <c r="K29" i="328" l="1"/>
  <c r="G30" i="328"/>
  <c r="H29" i="328"/>
  <c r="G29" i="327"/>
  <c r="H28" i="327"/>
  <c r="M28" i="327"/>
  <c r="G25" i="325"/>
  <c r="H24" i="325"/>
  <c r="O24" i="325"/>
  <c r="G31" i="328" l="1"/>
  <c r="H30" i="328"/>
  <c r="K30" i="328"/>
  <c r="M29" i="327"/>
  <c r="G30" i="327"/>
  <c r="H29" i="327"/>
  <c r="O25" i="325"/>
  <c r="G26" i="325"/>
  <c r="H25" i="325"/>
  <c r="K31" i="328" l="1"/>
  <c r="G32" i="328"/>
  <c r="H31" i="328"/>
  <c r="G31" i="327"/>
  <c r="H30" i="327"/>
  <c r="M30" i="327"/>
  <c r="G27" i="325"/>
  <c r="H26" i="325"/>
  <c r="O26" i="325"/>
  <c r="G33" i="328" l="1"/>
  <c r="H32" i="328"/>
  <c r="K32" i="328"/>
  <c r="M31" i="327"/>
  <c r="G32" i="327"/>
  <c r="H31" i="327"/>
  <c r="O27" i="325"/>
  <c r="G28" i="325"/>
  <c r="H27" i="325"/>
  <c r="K33" i="328" l="1"/>
  <c r="G34" i="328"/>
  <c r="H33" i="328"/>
  <c r="G33" i="327"/>
  <c r="H32" i="327"/>
  <c r="M32" i="327"/>
  <c r="G29" i="325"/>
  <c r="H28" i="325"/>
  <c r="O28" i="325"/>
  <c r="G35" i="328" l="1"/>
  <c r="H34" i="328"/>
  <c r="K34" i="328"/>
  <c r="M33" i="327"/>
  <c r="G34" i="327"/>
  <c r="H33" i="327"/>
  <c r="O29" i="325"/>
  <c r="G30" i="325"/>
  <c r="H29" i="325"/>
  <c r="K35" i="328" l="1"/>
  <c r="G36" i="328"/>
  <c r="H35" i="328"/>
  <c r="G35" i="327"/>
  <c r="H34" i="327"/>
  <c r="M34" i="327"/>
  <c r="G31" i="325"/>
  <c r="H30" i="325"/>
  <c r="O30" i="325"/>
  <c r="G37" i="328" l="1"/>
  <c r="H36" i="328"/>
  <c r="K36" i="328"/>
  <c r="M35" i="327"/>
  <c r="G36" i="327"/>
  <c r="H35" i="327"/>
  <c r="O31" i="325"/>
  <c r="G32" i="325"/>
  <c r="H31" i="325"/>
  <c r="K37" i="328" l="1"/>
  <c r="G38" i="328"/>
  <c r="H37" i="328"/>
  <c r="G37" i="327"/>
  <c r="H36" i="327"/>
  <c r="M36" i="327"/>
  <c r="G33" i="325"/>
  <c r="H32" i="325"/>
  <c r="O32" i="325"/>
  <c r="G39" i="328" l="1"/>
  <c r="H38" i="328"/>
  <c r="K38" i="328"/>
  <c r="M37" i="327"/>
  <c r="G38" i="327"/>
  <c r="H37" i="327"/>
  <c r="O33" i="325"/>
  <c r="G34" i="325"/>
  <c r="H33" i="325"/>
  <c r="K39" i="328" l="1"/>
  <c r="G40" i="328"/>
  <c r="H39" i="328"/>
  <c r="G39" i="327"/>
  <c r="H38" i="327"/>
  <c r="M38" i="327"/>
  <c r="G35" i="325"/>
  <c r="H34" i="325"/>
  <c r="O34" i="325"/>
  <c r="M39" i="327" l="1"/>
  <c r="G40" i="327"/>
  <c r="H39" i="327"/>
  <c r="O35" i="325"/>
  <c r="G36" i="325"/>
  <c r="H35" i="325"/>
  <c r="G37" i="325" l="1"/>
  <c r="H36" i="325"/>
  <c r="O36" i="325"/>
  <c r="O37" i="325" l="1"/>
  <c r="G38" i="325"/>
  <c r="H37" i="325"/>
  <c r="G39" i="325" l="1"/>
  <c r="H38" i="325"/>
  <c r="O38" i="325"/>
  <c r="O39" i="325" l="1"/>
  <c r="G40" i="325"/>
  <c r="H39" i="325"/>
  <c r="L43" i="323" l="1"/>
  <c r="D115" i="53"/>
  <c r="B115" i="53"/>
  <c r="E41" i="323"/>
  <c r="D40" i="323"/>
  <c r="B39" i="323"/>
  <c r="L39" i="323" s="1"/>
  <c r="B38" i="323"/>
  <c r="L38" i="323" s="1"/>
  <c r="B37" i="323"/>
  <c r="L37" i="323" s="1"/>
  <c r="B36" i="323"/>
  <c r="L36" i="323" s="1"/>
  <c r="B35" i="323"/>
  <c r="L35" i="323" s="1"/>
  <c r="B34" i="323"/>
  <c r="L34" i="323" s="1"/>
  <c r="B33" i="323"/>
  <c r="L33" i="323" s="1"/>
  <c r="B32" i="323"/>
  <c r="L32" i="323" s="1"/>
  <c r="B31" i="323"/>
  <c r="L31" i="323" s="1"/>
  <c r="B30" i="323"/>
  <c r="L30" i="323" s="1"/>
  <c r="B29" i="323"/>
  <c r="L29" i="323" s="1"/>
  <c r="B28" i="323"/>
  <c r="L28" i="323" s="1"/>
  <c r="B27" i="323"/>
  <c r="L27" i="323" s="1"/>
  <c r="B26" i="323"/>
  <c r="L26" i="323" s="1"/>
  <c r="B25" i="323"/>
  <c r="L25" i="323" s="1"/>
  <c r="B24" i="323"/>
  <c r="L24" i="323" s="1"/>
  <c r="B23" i="323"/>
  <c r="L23" i="323" s="1"/>
  <c r="B22" i="323"/>
  <c r="L22" i="323" s="1"/>
  <c r="B21" i="323"/>
  <c r="L21" i="323" s="1"/>
  <c r="B20" i="323"/>
  <c r="L20" i="323" s="1"/>
  <c r="B19" i="323"/>
  <c r="L19" i="323" s="1"/>
  <c r="B18" i="323"/>
  <c r="L18" i="323" s="1"/>
  <c r="B17" i="323"/>
  <c r="L17" i="323" s="1"/>
  <c r="B16" i="323"/>
  <c r="L16" i="323" s="1"/>
  <c r="B15" i="323"/>
  <c r="L15" i="323" s="1"/>
  <c r="B14" i="323"/>
  <c r="L14" i="323" s="1"/>
  <c r="B13" i="323"/>
  <c r="L13" i="323" s="1"/>
  <c r="B12" i="323"/>
  <c r="L12" i="323" s="1"/>
  <c r="B11" i="323"/>
  <c r="L11" i="323" s="1"/>
  <c r="B10" i="323"/>
  <c r="L10" i="323" s="1"/>
  <c r="G9" i="323"/>
  <c r="G10" i="323" s="1"/>
  <c r="F9" i="323"/>
  <c r="F39" i="323" s="1"/>
  <c r="B9" i="323"/>
  <c r="L9" i="323" s="1"/>
  <c r="D8" i="323"/>
  <c r="I5" i="323"/>
  <c r="H5" i="323"/>
  <c r="G5" i="323"/>
  <c r="F5" i="323"/>
  <c r="E5" i="323"/>
  <c r="D5" i="323"/>
  <c r="C5" i="323"/>
  <c r="B5" i="323"/>
  <c r="C4" i="242"/>
  <c r="E139" i="354" l="1"/>
  <c r="F56" i="365"/>
  <c r="E8" i="323"/>
  <c r="H115" i="53"/>
  <c r="D41" i="323"/>
  <c r="G41" i="323" s="1"/>
  <c r="F115" i="53"/>
  <c r="G11" i="323"/>
  <c r="H10" i="323"/>
  <c r="F10" i="323"/>
  <c r="F12" i="323"/>
  <c r="F14" i="323"/>
  <c r="F16" i="323"/>
  <c r="F18" i="323"/>
  <c r="F20" i="323"/>
  <c r="F22" i="323"/>
  <c r="F24" i="323"/>
  <c r="F26" i="323"/>
  <c r="F28" i="323"/>
  <c r="F30" i="323"/>
  <c r="F32" i="323"/>
  <c r="F34" i="323"/>
  <c r="F36" i="323"/>
  <c r="F38" i="323"/>
  <c r="H9" i="323"/>
  <c r="F11" i="323"/>
  <c r="F13" i="323"/>
  <c r="F15" i="323"/>
  <c r="F17" i="323"/>
  <c r="F19" i="323"/>
  <c r="F21" i="323"/>
  <c r="F23" i="323"/>
  <c r="F25" i="323"/>
  <c r="F27" i="323"/>
  <c r="F29" i="323"/>
  <c r="F31" i="323"/>
  <c r="F33" i="323"/>
  <c r="F35" i="323"/>
  <c r="F37" i="323"/>
  <c r="G139" i="354" l="1"/>
  <c r="H56" i="365"/>
  <c r="I139" i="354"/>
  <c r="L139" i="354" s="1"/>
  <c r="J56" i="365"/>
  <c r="L56" i="365" s="1"/>
  <c r="J115" i="53"/>
  <c r="G12" i="323"/>
  <c r="H11" i="323"/>
  <c r="K139" i="354" l="1"/>
  <c r="G13" i="323"/>
  <c r="H12" i="323"/>
  <c r="G46" i="421" l="1"/>
  <c r="P46" i="421" s="1"/>
  <c r="N46" i="421"/>
  <c r="G14" i="323"/>
  <c r="H13" i="323"/>
  <c r="G68" i="421" l="1"/>
  <c r="P68" i="421" s="1"/>
  <c r="H68" i="421"/>
  <c r="G15" i="323"/>
  <c r="H14" i="323"/>
  <c r="G16" i="323" l="1"/>
  <c r="H15" i="323"/>
  <c r="G17" i="323" l="1"/>
  <c r="H16" i="323"/>
  <c r="G18" i="323" l="1"/>
  <c r="H17" i="323"/>
  <c r="G19" i="323" l="1"/>
  <c r="H18" i="323"/>
  <c r="G20" i="323" l="1"/>
  <c r="H19" i="323"/>
  <c r="G21" i="323" l="1"/>
  <c r="H20" i="323"/>
  <c r="G22" i="323" l="1"/>
  <c r="H21" i="323"/>
  <c r="G23" i="323" l="1"/>
  <c r="H22" i="323"/>
  <c r="G24" i="323" l="1"/>
  <c r="H23" i="323"/>
  <c r="G25" i="323" l="1"/>
  <c r="H24" i="323"/>
  <c r="G26" i="323" l="1"/>
  <c r="H25" i="323"/>
  <c r="G27" i="323" l="1"/>
  <c r="H26" i="323"/>
  <c r="G28" i="323" l="1"/>
  <c r="H27" i="323"/>
  <c r="G29" i="323" l="1"/>
  <c r="H28" i="323"/>
  <c r="G30" i="323" l="1"/>
  <c r="H29" i="323"/>
  <c r="G31" i="323" l="1"/>
  <c r="H30" i="323"/>
  <c r="G32" i="323" l="1"/>
  <c r="H31" i="323"/>
  <c r="G33" i="323" l="1"/>
  <c r="H32" i="323"/>
  <c r="G34" i="323" l="1"/>
  <c r="H33" i="323"/>
  <c r="G35" i="323" l="1"/>
  <c r="H34" i="323"/>
  <c r="G36" i="323" l="1"/>
  <c r="H35" i="323"/>
  <c r="G37" i="323" l="1"/>
  <c r="H36" i="323"/>
  <c r="G38" i="323" l="1"/>
  <c r="H37" i="323"/>
  <c r="G39" i="323" l="1"/>
  <c r="H38" i="323"/>
  <c r="G40" i="323" l="1"/>
  <c r="H40" i="323" s="1"/>
  <c r="H39" i="323"/>
  <c r="J8" i="322" l="1"/>
  <c r="D8" i="322" s="1"/>
  <c r="E46" i="53"/>
  <c r="B46" i="53"/>
  <c r="J46" i="322"/>
  <c r="E40" i="322"/>
  <c r="G46" i="53" s="1"/>
  <c r="D39" i="322"/>
  <c r="B39" i="322"/>
  <c r="D38" i="322"/>
  <c r="B38" i="322"/>
  <c r="D37" i="322"/>
  <c r="B37" i="322"/>
  <c r="D36" i="322"/>
  <c r="B36" i="322"/>
  <c r="D35" i="322"/>
  <c r="B35" i="322"/>
  <c r="D34" i="322"/>
  <c r="B34" i="322"/>
  <c r="D33" i="322"/>
  <c r="B33" i="322"/>
  <c r="D32" i="322"/>
  <c r="B32" i="322"/>
  <c r="D31" i="322"/>
  <c r="B31" i="322"/>
  <c r="D30" i="322"/>
  <c r="B30" i="322"/>
  <c r="D29" i="322"/>
  <c r="B29" i="322"/>
  <c r="D28" i="322"/>
  <c r="B28" i="322"/>
  <c r="D27" i="322"/>
  <c r="B27" i="322"/>
  <c r="D26" i="322"/>
  <c r="B26" i="322"/>
  <c r="D25" i="322"/>
  <c r="B25" i="322"/>
  <c r="D24" i="322"/>
  <c r="B24" i="322"/>
  <c r="D23" i="322"/>
  <c r="B23" i="322"/>
  <c r="D22" i="322"/>
  <c r="B22" i="322"/>
  <c r="D21" i="322"/>
  <c r="B21" i="322"/>
  <c r="D20" i="322"/>
  <c r="B20" i="322"/>
  <c r="D19" i="322"/>
  <c r="B19" i="322"/>
  <c r="D18" i="322"/>
  <c r="B18" i="322"/>
  <c r="D17" i="322"/>
  <c r="B17" i="322"/>
  <c r="D16" i="322"/>
  <c r="B16" i="322"/>
  <c r="D15" i="322"/>
  <c r="B15" i="322"/>
  <c r="D14" i="322"/>
  <c r="B14" i="322"/>
  <c r="D13" i="322"/>
  <c r="B13" i="322"/>
  <c r="D12" i="322"/>
  <c r="B12" i="322"/>
  <c r="D11" i="322"/>
  <c r="B11" i="322"/>
  <c r="D10" i="322"/>
  <c r="B10" i="322"/>
  <c r="I16" i="322"/>
  <c r="D9" i="322"/>
  <c r="J9" i="322" s="1"/>
  <c r="B9" i="322"/>
  <c r="E8" i="322"/>
  <c r="E41" i="322" s="1"/>
  <c r="I7" i="322"/>
  <c r="K7" i="322" s="1"/>
  <c r="M7" i="322" s="1"/>
  <c r="M5" i="322"/>
  <c r="I5" i="322"/>
  <c r="H5" i="322"/>
  <c r="G5" i="322"/>
  <c r="F5" i="322"/>
  <c r="E5" i="322"/>
  <c r="D5" i="322"/>
  <c r="C5" i="322"/>
  <c r="B5" i="322"/>
  <c r="C4" i="322"/>
  <c r="D40" i="322" l="1"/>
  <c r="F46" i="53" s="1"/>
  <c r="D46" i="53"/>
  <c r="J10" i="322"/>
  <c r="S9" i="322"/>
  <c r="F40" i="322"/>
  <c r="H46" i="53" s="1"/>
  <c r="H38" i="322"/>
  <c r="H36" i="322"/>
  <c r="H34" i="322"/>
  <c r="H32" i="322"/>
  <c r="H30" i="322"/>
  <c r="H28" i="322"/>
  <c r="H26" i="322"/>
  <c r="H24" i="322"/>
  <c r="H22" i="322"/>
  <c r="H20" i="322"/>
  <c r="H18" i="322"/>
  <c r="H39" i="322"/>
  <c r="H37" i="322"/>
  <c r="H35" i="322"/>
  <c r="H33" i="322"/>
  <c r="H31" i="322"/>
  <c r="H29" i="322"/>
  <c r="H27" i="322"/>
  <c r="H25" i="322"/>
  <c r="H23" i="322"/>
  <c r="H21" i="322"/>
  <c r="H19" i="322"/>
  <c r="H9" i="322"/>
  <c r="L9" i="322" s="1"/>
  <c r="I10" i="322"/>
  <c r="H11" i="322"/>
  <c r="I12" i="322"/>
  <c r="H13" i="322"/>
  <c r="I14" i="322"/>
  <c r="H15" i="322"/>
  <c r="H17" i="322"/>
  <c r="I39" i="322"/>
  <c r="I37" i="322"/>
  <c r="I35" i="322"/>
  <c r="I33" i="322"/>
  <c r="I31" i="322"/>
  <c r="I29" i="322"/>
  <c r="I27" i="322"/>
  <c r="I25" i="322"/>
  <c r="I23" i="322"/>
  <c r="I21" i="322"/>
  <c r="I19" i="322"/>
  <c r="G40" i="322"/>
  <c r="I46" i="53" s="1"/>
  <c r="K46" i="53" s="1"/>
  <c r="I38" i="322"/>
  <c r="I36" i="322"/>
  <c r="I34" i="322"/>
  <c r="I32" i="322"/>
  <c r="I30" i="322"/>
  <c r="I28" i="322"/>
  <c r="I26" i="322"/>
  <c r="I24" i="322"/>
  <c r="I22" i="322"/>
  <c r="I20" i="322"/>
  <c r="I18" i="322"/>
  <c r="I9" i="322"/>
  <c r="K9" i="322"/>
  <c r="H10" i="322"/>
  <c r="I11" i="322"/>
  <c r="H12" i="322"/>
  <c r="I13" i="322"/>
  <c r="H14" i="322"/>
  <c r="I15" i="322"/>
  <c r="H16" i="322"/>
  <c r="I17" i="322"/>
  <c r="J46" i="53" l="1"/>
  <c r="D41" i="322"/>
  <c r="G41" i="322"/>
  <c r="K41" i="322" s="1"/>
  <c r="G8" i="322"/>
  <c r="M9" i="322"/>
  <c r="K10" i="322"/>
  <c r="F41" i="322"/>
  <c r="F8" i="322"/>
  <c r="S10" i="322"/>
  <c r="L10" i="322"/>
  <c r="J11" i="322"/>
  <c r="D36" i="266"/>
  <c r="D37" i="266"/>
  <c r="J41" i="322" l="1"/>
  <c r="K11" i="322"/>
  <c r="M10" i="322"/>
  <c r="J12" i="322"/>
  <c r="S11" i="322"/>
  <c r="L11" i="322"/>
  <c r="L40" i="204"/>
  <c r="M40" i="204"/>
  <c r="N40" i="204"/>
  <c r="O40" i="204"/>
  <c r="S12" i="322" l="1"/>
  <c r="L12" i="322"/>
  <c r="J13" i="322"/>
  <c r="M11" i="322"/>
  <c r="K12" i="322"/>
  <c r="E40" i="295"/>
  <c r="H7" i="341" s="1"/>
  <c r="I122" i="354" l="1"/>
  <c r="L122" i="354" s="1"/>
  <c r="K13" i="322"/>
  <c r="M12" i="322"/>
  <c r="J14" i="322"/>
  <c r="S13" i="322"/>
  <c r="L13" i="322"/>
  <c r="S14" i="322" l="1"/>
  <c r="L14" i="322"/>
  <c r="J15" i="322"/>
  <c r="M13" i="322"/>
  <c r="K14" i="322"/>
  <c r="B14" i="53"/>
  <c r="B10" i="53"/>
  <c r="K15" i="322" l="1"/>
  <c r="M14" i="322"/>
  <c r="J16" i="322"/>
  <c r="S15" i="322"/>
  <c r="L15" i="322"/>
  <c r="S16" i="322" l="1"/>
  <c r="L16" i="322"/>
  <c r="J17" i="322"/>
  <c r="M15" i="322"/>
  <c r="K16" i="322"/>
  <c r="K17" i="322" l="1"/>
  <c r="M16" i="322"/>
  <c r="J18" i="322"/>
  <c r="S17" i="322"/>
  <c r="L17" i="322"/>
  <c r="S18" i="322" l="1"/>
  <c r="L18" i="322"/>
  <c r="J19" i="322"/>
  <c r="M17" i="322"/>
  <c r="K18" i="322"/>
  <c r="K19" i="322" l="1"/>
  <c r="M18" i="322"/>
  <c r="J20" i="322"/>
  <c r="S19" i="322"/>
  <c r="L19" i="322"/>
  <c r="S20" i="322" l="1"/>
  <c r="L20" i="322"/>
  <c r="J21" i="322"/>
  <c r="M19" i="322"/>
  <c r="K20" i="322"/>
  <c r="K21" i="322" l="1"/>
  <c r="M20" i="322"/>
  <c r="J22" i="322"/>
  <c r="S21" i="322"/>
  <c r="L21" i="322"/>
  <c r="S22" i="322" l="1"/>
  <c r="L22" i="322"/>
  <c r="J23" i="322"/>
  <c r="M21" i="322"/>
  <c r="K22" i="322"/>
  <c r="K23" i="322" l="1"/>
  <c r="M22" i="322"/>
  <c r="J24" i="322"/>
  <c r="S23" i="322"/>
  <c r="L23" i="322"/>
  <c r="S24" i="322" l="1"/>
  <c r="L24" i="322"/>
  <c r="J25" i="322"/>
  <c r="M23" i="322"/>
  <c r="K24" i="322"/>
  <c r="K25" i="322" l="1"/>
  <c r="M24" i="322"/>
  <c r="J26" i="322"/>
  <c r="S25" i="322"/>
  <c r="L25" i="322"/>
  <c r="S26" i="322" l="1"/>
  <c r="L26" i="322"/>
  <c r="J27" i="322"/>
  <c r="M25" i="322"/>
  <c r="K26" i="322"/>
  <c r="K27" i="322" l="1"/>
  <c r="M26" i="322"/>
  <c r="J28" i="322"/>
  <c r="S27" i="322"/>
  <c r="L27" i="322"/>
  <c r="S28" i="322" l="1"/>
  <c r="L28" i="322"/>
  <c r="J29" i="322"/>
  <c r="M27" i="322"/>
  <c r="K28" i="322"/>
  <c r="K29" i="322" l="1"/>
  <c r="M28" i="322"/>
  <c r="J30" i="322"/>
  <c r="S29" i="322"/>
  <c r="L29" i="322"/>
  <c r="S30" i="322" l="1"/>
  <c r="L30" i="322"/>
  <c r="J31" i="322"/>
  <c r="M29" i="322"/>
  <c r="K30" i="322"/>
  <c r="K31" i="322" l="1"/>
  <c r="M30" i="322"/>
  <c r="J32" i="322"/>
  <c r="S31" i="322"/>
  <c r="L31" i="322"/>
  <c r="S32" i="322" l="1"/>
  <c r="L32" i="322"/>
  <c r="J33" i="322"/>
  <c r="M31" i="322"/>
  <c r="K32" i="322"/>
  <c r="K33" i="322" l="1"/>
  <c r="M32" i="322"/>
  <c r="J34" i="322"/>
  <c r="S33" i="322"/>
  <c r="L33" i="322"/>
  <c r="S34" i="322" l="1"/>
  <c r="L34" i="322"/>
  <c r="J35" i="322"/>
  <c r="M33" i="322"/>
  <c r="K34" i="322"/>
  <c r="K35" i="322" l="1"/>
  <c r="M34" i="322"/>
  <c r="J36" i="322"/>
  <c r="S35" i="322"/>
  <c r="L35" i="322"/>
  <c r="S36" i="322" l="1"/>
  <c r="L36" i="322"/>
  <c r="J37" i="322"/>
  <c r="M35" i="322"/>
  <c r="K36" i="322"/>
  <c r="K37" i="322" l="1"/>
  <c r="M36" i="322"/>
  <c r="J38" i="322"/>
  <c r="S37" i="322"/>
  <c r="L37" i="322"/>
  <c r="S38" i="322" l="1"/>
  <c r="L38" i="322"/>
  <c r="J39" i="322"/>
  <c r="M37" i="322"/>
  <c r="K38" i="322"/>
  <c r="K39" i="322" l="1"/>
  <c r="M38" i="322"/>
  <c r="J40" i="322"/>
  <c r="S39" i="322"/>
  <c r="L39" i="322"/>
  <c r="E21" i="53"/>
  <c r="E82" i="354" l="1"/>
  <c r="M39" i="322"/>
  <c r="K40" i="322"/>
  <c r="J8" i="172" l="1"/>
  <c r="D249" i="53" s="1"/>
  <c r="J8" i="284"/>
  <c r="E14" i="53" l="1"/>
  <c r="J46" i="317"/>
  <c r="E40" i="317"/>
  <c r="G14" i="53" s="1"/>
  <c r="D39" i="317"/>
  <c r="B39" i="317"/>
  <c r="D38" i="317"/>
  <c r="B38" i="317"/>
  <c r="D37" i="317"/>
  <c r="B37" i="317"/>
  <c r="D36" i="317"/>
  <c r="B36" i="317"/>
  <c r="D35" i="317"/>
  <c r="B35" i="317"/>
  <c r="D34" i="317"/>
  <c r="B34" i="317"/>
  <c r="B33" i="317"/>
  <c r="B32" i="317"/>
  <c r="B31" i="317"/>
  <c r="B30" i="317"/>
  <c r="D29" i="317"/>
  <c r="B29" i="317"/>
  <c r="D28" i="317"/>
  <c r="B28" i="317"/>
  <c r="D27" i="317"/>
  <c r="B27" i="317"/>
  <c r="D26" i="317"/>
  <c r="B26" i="317"/>
  <c r="D25" i="317"/>
  <c r="B25" i="317"/>
  <c r="D24" i="317"/>
  <c r="B24" i="317"/>
  <c r="D23" i="317"/>
  <c r="B23" i="317"/>
  <c r="D22" i="317"/>
  <c r="B22" i="317"/>
  <c r="D21" i="317"/>
  <c r="B21" i="317"/>
  <c r="D20" i="317"/>
  <c r="B20" i="317"/>
  <c r="D19" i="317"/>
  <c r="B19" i="317"/>
  <c r="D18" i="317"/>
  <c r="B18" i="317"/>
  <c r="D17" i="317"/>
  <c r="B17" i="317"/>
  <c r="D16" i="317"/>
  <c r="B16" i="317"/>
  <c r="D15" i="317"/>
  <c r="B15" i="317"/>
  <c r="D14" i="317"/>
  <c r="B14" i="317"/>
  <c r="I13" i="317"/>
  <c r="D13" i="317"/>
  <c r="B13" i="317"/>
  <c r="H17" i="317"/>
  <c r="D12" i="317"/>
  <c r="B12" i="317"/>
  <c r="I11" i="317"/>
  <c r="H11" i="317"/>
  <c r="D11" i="317"/>
  <c r="B11" i="317"/>
  <c r="I10" i="317"/>
  <c r="H10" i="317"/>
  <c r="D10" i="317"/>
  <c r="B10" i="317"/>
  <c r="K9" i="317"/>
  <c r="I9" i="317"/>
  <c r="H9" i="317"/>
  <c r="D9" i="317"/>
  <c r="B9" i="317"/>
  <c r="J8" i="317"/>
  <c r="E8" i="317"/>
  <c r="I7" i="317"/>
  <c r="K7" i="317" s="1"/>
  <c r="M7" i="317" s="1"/>
  <c r="M5" i="317"/>
  <c r="I5" i="317"/>
  <c r="H5" i="317"/>
  <c r="G5" i="317"/>
  <c r="F5" i="317"/>
  <c r="E5" i="317"/>
  <c r="D5" i="317"/>
  <c r="C5" i="317"/>
  <c r="B5" i="317"/>
  <c r="G85" i="354" l="1"/>
  <c r="H26" i="365"/>
  <c r="E85" i="354"/>
  <c r="F26" i="365"/>
  <c r="J9" i="317"/>
  <c r="S9" i="317" s="1"/>
  <c r="D40" i="317"/>
  <c r="F14" i="53" s="1"/>
  <c r="M9" i="317"/>
  <c r="E41" i="317"/>
  <c r="D8" i="317"/>
  <c r="D14" i="53"/>
  <c r="K10" i="317"/>
  <c r="I39" i="317"/>
  <c r="I37" i="317"/>
  <c r="I35" i="317"/>
  <c r="I33" i="317"/>
  <c r="I31" i="317"/>
  <c r="I29" i="317"/>
  <c r="I27" i="317"/>
  <c r="I25" i="317"/>
  <c r="I23" i="317"/>
  <c r="I21" i="317"/>
  <c r="I19" i="317"/>
  <c r="G40" i="317"/>
  <c r="I38" i="317"/>
  <c r="I36" i="317"/>
  <c r="I34" i="317"/>
  <c r="I32" i="317"/>
  <c r="I30" i="317"/>
  <c r="I28" i="317"/>
  <c r="I26" i="317"/>
  <c r="I24" i="317"/>
  <c r="I22" i="317"/>
  <c r="I20" i="317"/>
  <c r="I18" i="317"/>
  <c r="I12" i="317"/>
  <c r="H13" i="317"/>
  <c r="I14" i="317"/>
  <c r="H15" i="317"/>
  <c r="I16" i="317"/>
  <c r="F40" i="317"/>
  <c r="H38" i="317"/>
  <c r="H36" i="317"/>
  <c r="H34" i="317"/>
  <c r="H32" i="317"/>
  <c r="H30" i="317"/>
  <c r="H28" i="317"/>
  <c r="H26" i="317"/>
  <c r="H24" i="317"/>
  <c r="H22" i="317"/>
  <c r="H20" i="317"/>
  <c r="H18" i="317"/>
  <c r="H39" i="317"/>
  <c r="H37" i="317"/>
  <c r="H35" i="317"/>
  <c r="H33" i="317"/>
  <c r="H31" i="317"/>
  <c r="H29" i="317"/>
  <c r="H27" i="317"/>
  <c r="H25" i="317"/>
  <c r="H23" i="317"/>
  <c r="H21" i="317"/>
  <c r="H19" i="317"/>
  <c r="H12" i="317"/>
  <c r="H14" i="317"/>
  <c r="I15" i="317"/>
  <c r="H16" i="317"/>
  <c r="I17" i="317"/>
  <c r="H14" i="53" l="1"/>
  <c r="E63" i="351"/>
  <c r="I14" i="53"/>
  <c r="F63" i="351"/>
  <c r="J10" i="317"/>
  <c r="L10" i="317" s="1"/>
  <c r="L9" i="317"/>
  <c r="D41" i="317"/>
  <c r="F41" i="317"/>
  <c r="F8" i="317"/>
  <c r="G41" i="317"/>
  <c r="G8" i="317"/>
  <c r="K11" i="317"/>
  <c r="M10" i="317"/>
  <c r="J26" i="365" l="1"/>
  <c r="L26" i="365" s="1"/>
  <c r="I26" i="365"/>
  <c r="S10" i="317"/>
  <c r="K14" i="53"/>
  <c r="I85" i="354"/>
  <c r="K85" i="354" s="1"/>
  <c r="J14" i="53"/>
  <c r="H85" i="354"/>
  <c r="J11" i="317"/>
  <c r="S11" i="317" s="1"/>
  <c r="J41" i="317"/>
  <c r="M11" i="317"/>
  <c r="K12" i="317"/>
  <c r="E32" i="318" l="1"/>
  <c r="E93" i="355"/>
  <c r="H101" i="355"/>
  <c r="F32" i="318"/>
  <c r="J12" i="317"/>
  <c r="L12" i="317" s="1"/>
  <c r="L11" i="317"/>
  <c r="K13" i="317"/>
  <c r="M12" i="317"/>
  <c r="H93" i="355" l="1"/>
  <c r="S12" i="317"/>
  <c r="J13" i="317"/>
  <c r="J14" i="317" s="1"/>
  <c r="M13" i="317"/>
  <c r="K14" i="317"/>
  <c r="S13" i="317" l="1"/>
  <c r="L13" i="317"/>
  <c r="K15" i="317"/>
  <c r="M14" i="317"/>
  <c r="S14" i="317"/>
  <c r="L14" i="317"/>
  <c r="J15" i="317"/>
  <c r="J16" i="317" l="1"/>
  <c r="S15" i="317"/>
  <c r="L15" i="317"/>
  <c r="M15" i="317"/>
  <c r="K16" i="317"/>
  <c r="K17" i="317" l="1"/>
  <c r="M16" i="317"/>
  <c r="J17" i="317"/>
  <c r="S16" i="317"/>
  <c r="L16" i="317"/>
  <c r="J18" i="317" l="1"/>
  <c r="S17" i="317"/>
  <c r="L17" i="317"/>
  <c r="K18" i="317"/>
  <c r="M17" i="317"/>
  <c r="K19" i="317" l="1"/>
  <c r="M18" i="317"/>
  <c r="S18" i="317"/>
  <c r="L18" i="317"/>
  <c r="J19" i="317"/>
  <c r="J20" i="317" l="1"/>
  <c r="S19" i="317"/>
  <c r="L19" i="317"/>
  <c r="M19" i="317"/>
  <c r="K20" i="317"/>
  <c r="K21" i="317" l="1"/>
  <c r="M20" i="317"/>
  <c r="S20" i="317"/>
  <c r="L20" i="317"/>
  <c r="J21" i="317"/>
  <c r="J22" i="317" l="1"/>
  <c r="S21" i="317"/>
  <c r="L21" i="317"/>
  <c r="M21" i="317"/>
  <c r="K22" i="317"/>
  <c r="K23" i="317" l="1"/>
  <c r="M22" i="317"/>
  <c r="S22" i="317"/>
  <c r="L22" i="317"/>
  <c r="J23" i="317"/>
  <c r="J24" i="317" l="1"/>
  <c r="S23" i="317"/>
  <c r="L23" i="317"/>
  <c r="M23" i="317"/>
  <c r="K24" i="317"/>
  <c r="K25" i="317" l="1"/>
  <c r="M24" i="317"/>
  <c r="S24" i="317"/>
  <c r="L24" i="317"/>
  <c r="J25" i="317"/>
  <c r="J26" i="317" l="1"/>
  <c r="S25" i="317"/>
  <c r="L25" i="317"/>
  <c r="M25" i="317"/>
  <c r="K26" i="317"/>
  <c r="K27" i="317" l="1"/>
  <c r="M26" i="317"/>
  <c r="S26" i="317"/>
  <c r="L26" i="317"/>
  <c r="J27" i="317"/>
  <c r="J28" i="317" l="1"/>
  <c r="S27" i="317"/>
  <c r="L27" i="317"/>
  <c r="M27" i="317"/>
  <c r="K28" i="317"/>
  <c r="K29" i="317" l="1"/>
  <c r="M28" i="317"/>
  <c r="S28" i="317"/>
  <c r="L28" i="317"/>
  <c r="J29" i="317"/>
  <c r="J30" i="317" l="1"/>
  <c r="S29" i="317"/>
  <c r="L29" i="317"/>
  <c r="M29" i="317"/>
  <c r="K30" i="317"/>
  <c r="K31" i="317" l="1"/>
  <c r="M30" i="317"/>
  <c r="S30" i="317"/>
  <c r="L30" i="317"/>
  <c r="J31" i="317"/>
  <c r="J32" i="317" l="1"/>
  <c r="S31" i="317"/>
  <c r="L31" i="317"/>
  <c r="M31" i="317"/>
  <c r="K32" i="317"/>
  <c r="K33" i="317" l="1"/>
  <c r="M32" i="317"/>
  <c r="S32" i="317"/>
  <c r="L32" i="317"/>
  <c r="J33" i="317"/>
  <c r="J34" i="317" l="1"/>
  <c r="S33" i="317"/>
  <c r="L33" i="317"/>
  <c r="M33" i="317"/>
  <c r="K34" i="317"/>
  <c r="K35" i="317" l="1"/>
  <c r="M34" i="317"/>
  <c r="S34" i="317"/>
  <c r="L34" i="317"/>
  <c r="J35" i="317"/>
  <c r="J36" i="317" l="1"/>
  <c r="S35" i="317"/>
  <c r="L35" i="317"/>
  <c r="M35" i="317"/>
  <c r="K36" i="317"/>
  <c r="K37" i="317" l="1"/>
  <c r="M36" i="317"/>
  <c r="S36" i="317"/>
  <c r="L36" i="317"/>
  <c r="J37" i="317"/>
  <c r="J38" i="317" l="1"/>
  <c r="S37" i="317"/>
  <c r="L37" i="317"/>
  <c r="M37" i="317"/>
  <c r="K38" i="317"/>
  <c r="K39" i="317" l="1"/>
  <c r="M38" i="317"/>
  <c r="S38" i="317"/>
  <c r="L38" i="317"/>
  <c r="J39" i="317"/>
  <c r="J40" i="317" l="1"/>
  <c r="S39" i="317"/>
  <c r="L39" i="317"/>
  <c r="M39" i="317"/>
  <c r="K40" i="317"/>
  <c r="K41" i="317" s="1"/>
  <c r="E9" i="288" l="1"/>
  <c r="K9" i="288" s="1"/>
  <c r="F40" i="178" l="1"/>
  <c r="E15" i="351" l="1"/>
  <c r="H39" i="292"/>
  <c r="J8" i="283" l="1"/>
  <c r="AA40" i="264" l="1"/>
  <c r="J46" i="254" l="1"/>
  <c r="J46" i="250"/>
  <c r="J46" i="253"/>
  <c r="J46" i="308"/>
  <c r="J46" i="307"/>
  <c r="J46" i="251"/>
  <c r="J46" i="255"/>
  <c r="J46" i="256"/>
  <c r="J46" i="252"/>
  <c r="J46" i="187"/>
  <c r="J46" i="184"/>
  <c r="J46" i="301"/>
  <c r="J46" i="183"/>
  <c r="J46" i="163"/>
  <c r="J46" i="291"/>
  <c r="J46" i="288"/>
  <c r="J46" i="290"/>
  <c r="J46" i="289"/>
  <c r="J46" i="173"/>
  <c r="J46" i="160"/>
  <c r="J46" i="170"/>
  <c r="J46" i="169"/>
  <c r="J46" i="165"/>
  <c r="J46" i="315"/>
  <c r="J46" i="316"/>
  <c r="J46" i="309"/>
  <c r="J46" i="270"/>
  <c r="J46" i="269"/>
  <c r="J46" i="311"/>
  <c r="J46" i="266"/>
  <c r="J46" i="157"/>
  <c r="J46" i="164"/>
  <c r="J46" i="299"/>
  <c r="J46" i="261"/>
  <c r="J46" i="283"/>
  <c r="J46" i="159"/>
  <c r="J46" i="149"/>
  <c r="J46" i="285"/>
  <c r="J46" i="178"/>
  <c r="J46" i="155"/>
  <c r="J46" i="292"/>
  <c r="J46" i="263"/>
  <c r="L9" i="247" l="1"/>
  <c r="L17" i="220" l="1"/>
  <c r="L16" i="220"/>
  <c r="L15" i="220"/>
  <c r="L14" i="220"/>
  <c r="L13" i="220"/>
  <c r="L12" i="220"/>
  <c r="L11" i="220"/>
  <c r="L10" i="220"/>
  <c r="L9" i="220"/>
  <c r="S9" i="269"/>
  <c r="D23" i="284" l="1"/>
  <c r="D19" i="283"/>
  <c r="E5" i="283" l="1"/>
  <c r="D8" i="204" l="1"/>
  <c r="D8" i="264"/>
  <c r="D8" i="245"/>
  <c r="K9" i="263"/>
  <c r="K10" i="263" s="1"/>
  <c r="B41" i="53"/>
  <c r="K4" i="53"/>
  <c r="D111" i="53" l="1"/>
  <c r="E202" i="354" s="1"/>
  <c r="D112" i="53"/>
  <c r="D114" i="53"/>
  <c r="E125" i="354" l="1"/>
  <c r="E118" i="354"/>
  <c r="H9" i="292"/>
  <c r="I9" i="292"/>
  <c r="G40" i="283" l="1"/>
  <c r="P4" i="264"/>
  <c r="J9" i="184" l="1"/>
  <c r="J10" i="184" l="1"/>
  <c r="S9" i="184"/>
  <c r="K9" i="290"/>
  <c r="K10" i="290" s="1"/>
  <c r="K11" i="290" s="1"/>
  <c r="K12" i="290" s="1"/>
  <c r="K13" i="290" s="1"/>
  <c r="K14" i="290" s="1"/>
  <c r="K15" i="290" s="1"/>
  <c r="K16" i="290" s="1"/>
  <c r="K17" i="290" s="1"/>
  <c r="K18" i="290" s="1"/>
  <c r="K19" i="290" s="1"/>
  <c r="K20" i="290" s="1"/>
  <c r="K21" i="290" s="1"/>
  <c r="K22" i="290" s="1"/>
  <c r="K23" i="290" s="1"/>
  <c r="K24" i="290" s="1"/>
  <c r="K25" i="290" s="1"/>
  <c r="K26" i="290" s="1"/>
  <c r="K27" i="290" s="1"/>
  <c r="K28" i="290" s="1"/>
  <c r="K29" i="290" s="1"/>
  <c r="K30" i="290" s="1"/>
  <c r="K31" i="290" s="1"/>
  <c r="K32" i="290" s="1"/>
  <c r="K33" i="290" s="1"/>
  <c r="K34" i="290" s="1"/>
  <c r="K35" i="290" s="1"/>
  <c r="K36" i="290" s="1"/>
  <c r="K37" i="290" s="1"/>
  <c r="K38" i="290" s="1"/>
  <c r="K39" i="290" s="1"/>
  <c r="K40" i="290" s="1"/>
  <c r="J11" i="184" l="1"/>
  <c r="S10" i="184"/>
  <c r="J12" i="184" l="1"/>
  <c r="S11" i="184"/>
  <c r="X40" i="204"/>
  <c r="Y40" i="264"/>
  <c r="Y41" i="264" s="1"/>
  <c r="J13" i="184" l="1"/>
  <c r="S12" i="184"/>
  <c r="E42" i="53"/>
  <c r="B42" i="53"/>
  <c r="F40" i="316"/>
  <c r="E40" i="316"/>
  <c r="G42" i="53" s="1"/>
  <c r="H39" i="316"/>
  <c r="D39" i="316"/>
  <c r="B39" i="316"/>
  <c r="H38" i="316"/>
  <c r="D38" i="316"/>
  <c r="B38" i="316"/>
  <c r="H37" i="316"/>
  <c r="D37" i="316"/>
  <c r="B37" i="316"/>
  <c r="H36" i="316"/>
  <c r="D36" i="316"/>
  <c r="B36" i="316"/>
  <c r="H35" i="316"/>
  <c r="D35" i="316"/>
  <c r="B35" i="316"/>
  <c r="H34" i="316"/>
  <c r="D34" i="316"/>
  <c r="B34" i="316"/>
  <c r="H33" i="316"/>
  <c r="D33" i="316"/>
  <c r="B33" i="316"/>
  <c r="H32" i="316"/>
  <c r="D32" i="316"/>
  <c r="B32" i="316"/>
  <c r="H31" i="316"/>
  <c r="D31" i="316"/>
  <c r="B31" i="316"/>
  <c r="H30" i="316"/>
  <c r="D30" i="316"/>
  <c r="B30" i="316"/>
  <c r="H29" i="316"/>
  <c r="D29" i="316"/>
  <c r="B29" i="316"/>
  <c r="H28" i="316"/>
  <c r="D28" i="316"/>
  <c r="B28" i="316"/>
  <c r="H27" i="316"/>
  <c r="D27" i="316"/>
  <c r="B27" i="316"/>
  <c r="H26" i="316"/>
  <c r="D26" i="316"/>
  <c r="B26" i="316"/>
  <c r="H25" i="316"/>
  <c r="D25" i="316"/>
  <c r="B25" i="316"/>
  <c r="H24" i="316"/>
  <c r="D24" i="316"/>
  <c r="B24" i="316"/>
  <c r="H23" i="316"/>
  <c r="D23" i="316"/>
  <c r="B23" i="316"/>
  <c r="H22" i="316"/>
  <c r="D22" i="316"/>
  <c r="B22" i="316"/>
  <c r="H21" i="316"/>
  <c r="D21" i="316"/>
  <c r="B21" i="316"/>
  <c r="H20" i="316"/>
  <c r="D20" i="316"/>
  <c r="B20" i="316"/>
  <c r="H19" i="316"/>
  <c r="D19" i="316"/>
  <c r="B19" i="316"/>
  <c r="H18" i="316"/>
  <c r="D18" i="316"/>
  <c r="B18" i="316"/>
  <c r="H17" i="316"/>
  <c r="D17" i="316"/>
  <c r="B17" i="316"/>
  <c r="H16" i="316"/>
  <c r="D16" i="316"/>
  <c r="B16" i="316"/>
  <c r="H15" i="316"/>
  <c r="D15" i="316"/>
  <c r="B15" i="316"/>
  <c r="H14" i="316"/>
  <c r="D14" i="316"/>
  <c r="B14" i="316"/>
  <c r="H13" i="316"/>
  <c r="D13" i="316"/>
  <c r="B13" i="316"/>
  <c r="H12" i="316"/>
  <c r="D12" i="316"/>
  <c r="B12" i="316"/>
  <c r="H11" i="316"/>
  <c r="D11" i="316"/>
  <c r="B11" i="316"/>
  <c r="H10" i="316"/>
  <c r="D10" i="316"/>
  <c r="B10" i="316"/>
  <c r="H9" i="316"/>
  <c r="D9" i="316"/>
  <c r="B9" i="316"/>
  <c r="J8" i="316"/>
  <c r="D8" i="316" s="1"/>
  <c r="E8" i="316"/>
  <c r="I7" i="316"/>
  <c r="K7" i="316" s="1"/>
  <c r="M7" i="316" s="1"/>
  <c r="M5" i="316"/>
  <c r="I5" i="316"/>
  <c r="H5" i="316"/>
  <c r="G5" i="316"/>
  <c r="F5" i="316"/>
  <c r="E5" i="316"/>
  <c r="D5" i="316"/>
  <c r="C5" i="316"/>
  <c r="B5" i="316"/>
  <c r="G76" i="354" l="1"/>
  <c r="H22" i="365"/>
  <c r="E76" i="354"/>
  <c r="F22" i="365"/>
  <c r="G40" i="316"/>
  <c r="I42" i="53" s="1"/>
  <c r="K42" i="53" s="1"/>
  <c r="F41" i="316"/>
  <c r="E56" i="351"/>
  <c r="F56" i="351" s="1"/>
  <c r="J14" i="184"/>
  <c r="S13" i="184"/>
  <c r="D42" i="53"/>
  <c r="D40" i="316"/>
  <c r="F42" i="53" s="1"/>
  <c r="I28" i="316"/>
  <c r="H42" i="53"/>
  <c r="E41" i="316"/>
  <c r="F8" i="316"/>
  <c r="I12" i="316"/>
  <c r="I24" i="316"/>
  <c r="I36" i="316"/>
  <c r="I9" i="316"/>
  <c r="I13" i="316"/>
  <c r="I17" i="316"/>
  <c r="I21" i="316"/>
  <c r="I25" i="316"/>
  <c r="I29" i="316"/>
  <c r="I33" i="316"/>
  <c r="I37" i="316"/>
  <c r="I20" i="316"/>
  <c r="I32" i="316"/>
  <c r="J9" i="316"/>
  <c r="S9" i="316" s="1"/>
  <c r="I10" i="316"/>
  <c r="I14" i="316"/>
  <c r="I18" i="316"/>
  <c r="I22" i="316"/>
  <c r="I26" i="316"/>
  <c r="I30" i="316"/>
  <c r="I34" i="316"/>
  <c r="I38" i="316"/>
  <c r="I16" i="316"/>
  <c r="K9" i="316"/>
  <c r="I11" i="316"/>
  <c r="I15" i="316"/>
  <c r="I19" i="316"/>
  <c r="I23" i="316"/>
  <c r="I27" i="316"/>
  <c r="I31" i="316"/>
  <c r="I35" i="316"/>
  <c r="I39" i="316"/>
  <c r="H76" i="354" l="1"/>
  <c r="I22" i="365"/>
  <c r="J22" i="365" s="1"/>
  <c r="L22" i="365" s="1"/>
  <c r="G41" i="316"/>
  <c r="K41" i="316" s="1"/>
  <c r="G8" i="316"/>
  <c r="J42" i="53"/>
  <c r="J15" i="184"/>
  <c r="S14" i="184"/>
  <c r="D41" i="316"/>
  <c r="J41" i="316" s="1"/>
  <c r="K10" i="316"/>
  <c r="M9" i="316"/>
  <c r="J10" i="316"/>
  <c r="S10" i="316" s="1"/>
  <c r="L9" i="316"/>
  <c r="E29" i="318" l="1"/>
  <c r="I76" i="354"/>
  <c r="K76" i="354" s="1"/>
  <c r="J16" i="184"/>
  <c r="S15" i="184"/>
  <c r="L10" i="316"/>
  <c r="J11" i="316"/>
  <c r="S11" i="316" s="1"/>
  <c r="M10" i="316"/>
  <c r="K11" i="316"/>
  <c r="E84" i="355" l="1"/>
  <c r="H92" i="355"/>
  <c r="F29" i="318"/>
  <c r="J17" i="184"/>
  <c r="S16" i="184"/>
  <c r="L11" i="316"/>
  <c r="J12" i="316"/>
  <c r="S12" i="316" s="1"/>
  <c r="M11" i="316"/>
  <c r="K12" i="316"/>
  <c r="E44" i="53"/>
  <c r="D44" i="53"/>
  <c r="B44" i="53"/>
  <c r="E40" i="315"/>
  <c r="G44" i="53" s="1"/>
  <c r="D39" i="315"/>
  <c r="B39" i="315"/>
  <c r="D38" i="315"/>
  <c r="B38" i="315"/>
  <c r="D37" i="315"/>
  <c r="B37" i="315"/>
  <c r="D36" i="315"/>
  <c r="B36" i="315"/>
  <c r="D35" i="315"/>
  <c r="B35" i="315"/>
  <c r="D34" i="315"/>
  <c r="B34" i="315"/>
  <c r="D33" i="315"/>
  <c r="B33" i="315"/>
  <c r="D32" i="315"/>
  <c r="B32" i="315"/>
  <c r="D31" i="315"/>
  <c r="B31" i="315"/>
  <c r="D30" i="315"/>
  <c r="B30" i="315"/>
  <c r="D29" i="315"/>
  <c r="B29" i="315"/>
  <c r="D28" i="315"/>
  <c r="B28" i="315"/>
  <c r="H33" i="315"/>
  <c r="D27" i="315"/>
  <c r="B27" i="315"/>
  <c r="H26" i="315"/>
  <c r="D26" i="315"/>
  <c r="B26" i="315"/>
  <c r="D25" i="315"/>
  <c r="B25" i="315"/>
  <c r="D24" i="315"/>
  <c r="B24" i="315"/>
  <c r="D23" i="315"/>
  <c r="B23" i="315"/>
  <c r="D22" i="315"/>
  <c r="B22" i="315"/>
  <c r="D21" i="315"/>
  <c r="B21" i="315"/>
  <c r="D20" i="315"/>
  <c r="B20" i="315"/>
  <c r="D19" i="315"/>
  <c r="B19" i="315"/>
  <c r="D18" i="315"/>
  <c r="B18" i="315"/>
  <c r="D17" i="315"/>
  <c r="B17" i="315"/>
  <c r="D16" i="315"/>
  <c r="B16" i="315"/>
  <c r="D15" i="315"/>
  <c r="B15" i="315"/>
  <c r="D14" i="315"/>
  <c r="B14" i="315"/>
  <c r="D13" i="315"/>
  <c r="B13" i="315"/>
  <c r="D12" i="315"/>
  <c r="B12" i="315"/>
  <c r="D11" i="315"/>
  <c r="B11" i="315"/>
  <c r="H13" i="315"/>
  <c r="D10" i="315"/>
  <c r="B10" i="315"/>
  <c r="H9" i="315"/>
  <c r="H36" i="315"/>
  <c r="D9" i="315"/>
  <c r="B9" i="315"/>
  <c r="J8" i="315"/>
  <c r="D8" i="315" s="1"/>
  <c r="E8" i="315"/>
  <c r="I7" i="315"/>
  <c r="K7" i="315" s="1"/>
  <c r="M7" i="315" s="1"/>
  <c r="M5" i="315"/>
  <c r="I5" i="315"/>
  <c r="H5" i="315"/>
  <c r="G5" i="315"/>
  <c r="F5" i="315"/>
  <c r="E5" i="315"/>
  <c r="D5" i="315"/>
  <c r="C5" i="315"/>
  <c r="B5" i="315"/>
  <c r="H84" i="355" l="1"/>
  <c r="E43" i="354"/>
  <c r="K43" i="354" s="1"/>
  <c r="H68" i="355"/>
  <c r="J18" i="184"/>
  <c r="S17" i="184"/>
  <c r="E41" i="315"/>
  <c r="K13" i="316"/>
  <c r="M12" i="316"/>
  <c r="L12" i="316"/>
  <c r="J13" i="316"/>
  <c r="S13" i="316" s="1"/>
  <c r="J9" i="315"/>
  <c r="H30" i="315"/>
  <c r="H37" i="315"/>
  <c r="D40" i="315"/>
  <c r="H10" i="315"/>
  <c r="H12" i="315"/>
  <c r="H14" i="315"/>
  <c r="H16" i="315"/>
  <c r="H18" i="315"/>
  <c r="H20" i="315"/>
  <c r="H22" i="315"/>
  <c r="H24" i="315"/>
  <c r="H34" i="315"/>
  <c r="H38" i="315"/>
  <c r="H28" i="315"/>
  <c r="H27" i="315"/>
  <c r="H29" i="315"/>
  <c r="H31" i="315"/>
  <c r="H35" i="315"/>
  <c r="H39" i="315"/>
  <c r="F40" i="315"/>
  <c r="H44" i="53" s="1"/>
  <c r="H11" i="315"/>
  <c r="H15" i="315"/>
  <c r="H17" i="315"/>
  <c r="H19" i="315"/>
  <c r="H21" i="315"/>
  <c r="H23" i="315"/>
  <c r="H25" i="315"/>
  <c r="H32" i="315"/>
  <c r="E53" i="355" l="1"/>
  <c r="H64" i="355"/>
  <c r="G64" i="355"/>
  <c r="J10" i="315"/>
  <c r="S10" i="315" s="1"/>
  <c r="S9" i="315"/>
  <c r="J19" i="184"/>
  <c r="S18" i="184"/>
  <c r="L9" i="315"/>
  <c r="D41" i="315"/>
  <c r="F44" i="53"/>
  <c r="J44" i="53" s="1"/>
  <c r="J14" i="316"/>
  <c r="S14" i="316" s="1"/>
  <c r="L13" i="316"/>
  <c r="K14" i="316"/>
  <c r="M13" i="316"/>
  <c r="G40" i="315"/>
  <c r="I44" i="53" s="1"/>
  <c r="K44" i="53" s="1"/>
  <c r="I39" i="315"/>
  <c r="I35" i="315"/>
  <c r="I31" i="315"/>
  <c r="I29" i="315"/>
  <c r="I27" i="315"/>
  <c r="I23" i="315"/>
  <c r="I21" i="315"/>
  <c r="I19" i="315"/>
  <c r="I17" i="315"/>
  <c r="I15" i="315"/>
  <c r="I13" i="315"/>
  <c r="I11" i="315"/>
  <c r="I9" i="315"/>
  <c r="I38" i="315"/>
  <c r="I34" i="315"/>
  <c r="I24" i="315"/>
  <c r="I22" i="315"/>
  <c r="I20" i="315"/>
  <c r="I18" i="315"/>
  <c r="I16" i="315"/>
  <c r="I14" i="315"/>
  <c r="I12" i="315"/>
  <c r="I10" i="315"/>
  <c r="K9" i="315"/>
  <c r="I25" i="315"/>
  <c r="I37" i="315"/>
  <c r="I33" i="315"/>
  <c r="I30" i="315"/>
  <c r="I28" i="315"/>
  <c r="I26" i="315"/>
  <c r="I36" i="315"/>
  <c r="I32" i="315"/>
  <c r="F41" i="315"/>
  <c r="F8" i="315"/>
  <c r="J11" i="315"/>
  <c r="S11" i="315" s="1"/>
  <c r="F53" i="355" l="1"/>
  <c r="L10" i="315"/>
  <c r="J20" i="184"/>
  <c r="S19" i="184"/>
  <c r="J41" i="315"/>
  <c r="M14" i="316"/>
  <c r="K15" i="316"/>
  <c r="L14" i="316"/>
  <c r="J15" i="316"/>
  <c r="S15" i="316" s="1"/>
  <c r="K10" i="315"/>
  <c r="M9" i="315"/>
  <c r="G41" i="315"/>
  <c r="K41" i="315" s="1"/>
  <c r="G8" i="315"/>
  <c r="J12" i="315"/>
  <c r="S12" i="315" s="1"/>
  <c r="L11" i="315"/>
  <c r="G53" i="355" l="1"/>
  <c r="H53" i="355"/>
  <c r="J21" i="184"/>
  <c r="S20" i="184"/>
  <c r="L15" i="316"/>
  <c r="J16" i="316"/>
  <c r="S16" i="316" s="1"/>
  <c r="M15" i="316"/>
  <c r="K16" i="316"/>
  <c r="J13" i="315"/>
  <c r="S13" i="315" s="1"/>
  <c r="L12" i="315"/>
  <c r="K11" i="315"/>
  <c r="M10" i="315"/>
  <c r="J22" i="184" l="1"/>
  <c r="S21" i="184"/>
  <c r="L16" i="316"/>
  <c r="J17" i="316"/>
  <c r="S17" i="316" s="1"/>
  <c r="K17" i="316"/>
  <c r="M16" i="316"/>
  <c r="J14" i="315"/>
  <c r="S14" i="315" s="1"/>
  <c r="L13" i="315"/>
  <c r="K12" i="315"/>
  <c r="M11" i="315"/>
  <c r="J23" i="184" l="1"/>
  <c r="S22" i="184"/>
  <c r="M17" i="316"/>
  <c r="K18" i="316"/>
  <c r="J18" i="316"/>
  <c r="S18" i="316" s="1"/>
  <c r="L17" i="316"/>
  <c r="J15" i="315"/>
  <c r="S15" i="315" s="1"/>
  <c r="L14" i="315"/>
  <c r="K13" i="315"/>
  <c r="M12" i="315"/>
  <c r="J24" i="184" l="1"/>
  <c r="S23" i="184"/>
  <c r="M18" i="316"/>
  <c r="K19" i="316"/>
  <c r="J19" i="316"/>
  <c r="S19" i="316" s="1"/>
  <c r="L18" i="316"/>
  <c r="K14" i="315"/>
  <c r="M13" i="315"/>
  <c r="J16" i="315"/>
  <c r="S16" i="315" s="1"/>
  <c r="L15" i="315"/>
  <c r="J25" i="184" l="1"/>
  <c r="S24" i="184"/>
  <c r="L19" i="316"/>
  <c r="J20" i="316"/>
  <c r="S20" i="316" s="1"/>
  <c r="M19" i="316"/>
  <c r="K20" i="316"/>
  <c r="J17" i="315"/>
  <c r="S17" i="315" s="1"/>
  <c r="L16" i="315"/>
  <c r="K15" i="315"/>
  <c r="M14" i="315"/>
  <c r="J26" i="184" l="1"/>
  <c r="S25" i="184"/>
  <c r="L20" i="316"/>
  <c r="J21" i="316"/>
  <c r="S21" i="316" s="1"/>
  <c r="K21" i="316"/>
  <c r="M20" i="316"/>
  <c r="J18" i="315"/>
  <c r="S18" i="315" s="1"/>
  <c r="L17" i="315"/>
  <c r="K16" i="315"/>
  <c r="M15" i="315"/>
  <c r="J27" i="184" l="1"/>
  <c r="S26" i="184"/>
  <c r="J22" i="316"/>
  <c r="S22" i="316" s="1"/>
  <c r="L21" i="316"/>
  <c r="M21" i="316"/>
  <c r="K22" i="316"/>
  <c r="J19" i="315"/>
  <c r="S19" i="315" s="1"/>
  <c r="L18" i="315"/>
  <c r="K17" i="315"/>
  <c r="M16" i="315"/>
  <c r="J28" i="184" l="1"/>
  <c r="S27" i="184"/>
  <c r="M22" i="316"/>
  <c r="K23" i="316"/>
  <c r="L22" i="316"/>
  <c r="J23" i="316"/>
  <c r="S23" i="316" s="1"/>
  <c r="K18" i="315"/>
  <c r="M17" i="315"/>
  <c r="J20" i="315"/>
  <c r="S20" i="315" s="1"/>
  <c r="L19" i="315"/>
  <c r="J29" i="184" l="1"/>
  <c r="S28" i="184"/>
  <c r="L23" i="316"/>
  <c r="J24" i="316"/>
  <c r="S24" i="316" s="1"/>
  <c r="M23" i="316"/>
  <c r="K24" i="316"/>
  <c r="J21" i="315"/>
  <c r="S21" i="315" s="1"/>
  <c r="L20" i="315"/>
  <c r="K19" i="315"/>
  <c r="M18" i="315"/>
  <c r="J30" i="184" l="1"/>
  <c r="S29" i="184"/>
  <c r="K25" i="316"/>
  <c r="M24" i="316"/>
  <c r="L24" i="316"/>
  <c r="J25" i="316"/>
  <c r="S25" i="316" s="1"/>
  <c r="J22" i="315"/>
  <c r="S22" i="315" s="1"/>
  <c r="L21" i="315"/>
  <c r="K20" i="315"/>
  <c r="M19" i="315"/>
  <c r="J31" i="184" l="1"/>
  <c r="S30" i="184"/>
  <c r="J26" i="316"/>
  <c r="S26" i="316" s="1"/>
  <c r="L25" i="316"/>
  <c r="K26" i="316"/>
  <c r="M25" i="316"/>
  <c r="J23" i="315"/>
  <c r="S23" i="315" s="1"/>
  <c r="L22" i="315"/>
  <c r="K21" i="315"/>
  <c r="M20" i="315"/>
  <c r="J32" i="184" l="1"/>
  <c r="S31" i="184"/>
  <c r="M26" i="316"/>
  <c r="K27" i="316"/>
  <c r="J27" i="316"/>
  <c r="S27" i="316" s="1"/>
  <c r="L26" i="316"/>
  <c r="J24" i="315"/>
  <c r="S24" i="315" s="1"/>
  <c r="L23" i="315"/>
  <c r="M21" i="315"/>
  <c r="K22" i="315"/>
  <c r="J33" i="184" l="1"/>
  <c r="S32" i="184"/>
  <c r="L27" i="316"/>
  <c r="J28" i="316"/>
  <c r="S28" i="316" s="1"/>
  <c r="M27" i="316"/>
  <c r="K28" i="316"/>
  <c r="K23" i="315"/>
  <c r="M22" i="315"/>
  <c r="J25" i="315"/>
  <c r="S25" i="315" s="1"/>
  <c r="L24" i="315"/>
  <c r="J34" i="184" l="1"/>
  <c r="S33" i="184"/>
  <c r="K29" i="316"/>
  <c r="M28" i="316"/>
  <c r="L28" i="316"/>
  <c r="J29" i="316"/>
  <c r="S29" i="316" s="1"/>
  <c r="L25" i="315"/>
  <c r="J26" i="315"/>
  <c r="S26" i="315" s="1"/>
  <c r="K24" i="315"/>
  <c r="M23" i="315"/>
  <c r="J35" i="184" l="1"/>
  <c r="S34" i="184"/>
  <c r="J30" i="316"/>
  <c r="S30" i="316" s="1"/>
  <c r="L29" i="316"/>
  <c r="K30" i="316"/>
  <c r="M29" i="316"/>
  <c r="J27" i="315"/>
  <c r="S27" i="315" s="1"/>
  <c r="L26" i="315"/>
  <c r="K25" i="315"/>
  <c r="M24" i="315"/>
  <c r="J36" i="184" l="1"/>
  <c r="S35" i="184"/>
  <c r="M30" i="316"/>
  <c r="K31" i="316"/>
  <c r="J31" i="316"/>
  <c r="S31" i="316" s="1"/>
  <c r="L30" i="316"/>
  <c r="J28" i="315"/>
  <c r="S28" i="315" s="1"/>
  <c r="L27" i="315"/>
  <c r="K26" i="315"/>
  <c r="M25" i="315"/>
  <c r="J37" i="184" l="1"/>
  <c r="S36" i="184"/>
  <c r="L31" i="316"/>
  <c r="J32" i="316"/>
  <c r="S32" i="316" s="1"/>
  <c r="M31" i="316"/>
  <c r="K32" i="316"/>
  <c r="K27" i="315"/>
  <c r="M26" i="315"/>
  <c r="J29" i="315"/>
  <c r="S29" i="315" s="1"/>
  <c r="L28" i="315"/>
  <c r="K9" i="289"/>
  <c r="K10" i="289" s="1"/>
  <c r="K11" i="289" s="1"/>
  <c r="K12" i="289" s="1"/>
  <c r="K13" i="289" s="1"/>
  <c r="K14" i="289" s="1"/>
  <c r="K15" i="289" s="1"/>
  <c r="K16" i="289" s="1"/>
  <c r="K17" i="289" s="1"/>
  <c r="K18" i="289" s="1"/>
  <c r="K19" i="289" s="1"/>
  <c r="K20" i="289" s="1"/>
  <c r="K21" i="289" s="1"/>
  <c r="K22" i="289" s="1"/>
  <c r="K23" i="289" s="1"/>
  <c r="K24" i="289" s="1"/>
  <c r="K25" i="289" s="1"/>
  <c r="K26" i="289" s="1"/>
  <c r="K27" i="289" s="1"/>
  <c r="K28" i="289" s="1"/>
  <c r="K29" i="289" s="1"/>
  <c r="K30" i="289" s="1"/>
  <c r="K31" i="289" s="1"/>
  <c r="K32" i="289" s="1"/>
  <c r="K33" i="289" s="1"/>
  <c r="K34" i="289" s="1"/>
  <c r="K35" i="289" s="1"/>
  <c r="K36" i="289" s="1"/>
  <c r="K37" i="289" s="1"/>
  <c r="K38" i="289" s="1"/>
  <c r="K39" i="289" s="1"/>
  <c r="S37" i="184" l="1"/>
  <c r="J38" i="184"/>
  <c r="K33" i="316"/>
  <c r="M32" i="316"/>
  <c r="L32" i="316"/>
  <c r="J33" i="316"/>
  <c r="S33" i="316" s="1"/>
  <c r="J30" i="315"/>
  <c r="S30" i="315" s="1"/>
  <c r="L29" i="315"/>
  <c r="K28" i="315"/>
  <c r="M27" i="315"/>
  <c r="J39" i="184" l="1"/>
  <c r="S38" i="184"/>
  <c r="J34" i="316"/>
  <c r="S34" i="316" s="1"/>
  <c r="L33" i="316"/>
  <c r="K34" i="316"/>
  <c r="M33" i="316"/>
  <c r="K29" i="315"/>
  <c r="M28" i="315"/>
  <c r="J31" i="315"/>
  <c r="S31" i="315" s="1"/>
  <c r="L30" i="315"/>
  <c r="J40" i="184" l="1"/>
  <c r="J41" i="184" s="1"/>
  <c r="S39" i="184"/>
  <c r="M34" i="316"/>
  <c r="K35" i="316"/>
  <c r="L34" i="316"/>
  <c r="J35" i="316"/>
  <c r="S35" i="316" s="1"/>
  <c r="L31" i="315"/>
  <c r="J32" i="315"/>
  <c r="S32" i="315" s="1"/>
  <c r="K30" i="315"/>
  <c r="M29" i="315"/>
  <c r="L35" i="316" l="1"/>
  <c r="J36" i="316"/>
  <c r="S36" i="316" s="1"/>
  <c r="M35" i="316"/>
  <c r="K36" i="316"/>
  <c r="L32" i="315"/>
  <c r="J33" i="315"/>
  <c r="S33" i="315" s="1"/>
  <c r="K31" i="315"/>
  <c r="M30" i="315"/>
  <c r="K37" i="316" l="1"/>
  <c r="M36" i="316"/>
  <c r="L36" i="316"/>
  <c r="J37" i="316"/>
  <c r="S37" i="316" s="1"/>
  <c r="J34" i="315"/>
  <c r="S34" i="315" s="1"/>
  <c r="L33" i="315"/>
  <c r="M31" i="315"/>
  <c r="K32" i="315"/>
  <c r="J38" i="316" l="1"/>
  <c r="S38" i="316" s="1"/>
  <c r="L37" i="316"/>
  <c r="M37" i="316"/>
  <c r="K38" i="316"/>
  <c r="K33" i="315"/>
  <c r="M32" i="315"/>
  <c r="L34" i="315"/>
  <c r="J35" i="315"/>
  <c r="S35" i="315" s="1"/>
  <c r="M38" i="316" l="1"/>
  <c r="K39" i="316"/>
  <c r="J39" i="316"/>
  <c r="S39" i="316" s="1"/>
  <c r="L38" i="316"/>
  <c r="M33" i="315"/>
  <c r="K34" i="315"/>
  <c r="L35" i="315"/>
  <c r="J36" i="315"/>
  <c r="S36" i="315" s="1"/>
  <c r="L39" i="316" l="1"/>
  <c r="J40" i="316"/>
  <c r="M39" i="316"/>
  <c r="K40" i="316"/>
  <c r="L36" i="315"/>
  <c r="J37" i="315"/>
  <c r="S37" i="315" s="1"/>
  <c r="M34" i="315"/>
  <c r="K35" i="315"/>
  <c r="J38" i="315" l="1"/>
  <c r="S38" i="315" s="1"/>
  <c r="L37" i="315"/>
  <c r="M35" i="315"/>
  <c r="K36" i="315"/>
  <c r="J8" i="291"/>
  <c r="J8" i="149"/>
  <c r="J8" i="285"/>
  <c r="J8" i="178"/>
  <c r="J8" i="155"/>
  <c r="J8" i="292"/>
  <c r="L38" i="315" l="1"/>
  <c r="J39" i="315"/>
  <c r="S39" i="315" s="1"/>
  <c r="K37" i="315"/>
  <c r="M36" i="315"/>
  <c r="M37" i="315" l="1"/>
  <c r="K38" i="315"/>
  <c r="L39" i="315"/>
  <c r="J40" i="315"/>
  <c r="M38" i="315" l="1"/>
  <c r="K39" i="315"/>
  <c r="K9" i="157"/>
  <c r="K10" i="157" s="1"/>
  <c r="K11" i="157" s="1"/>
  <c r="K12" i="157" s="1"/>
  <c r="K13" i="157" s="1"/>
  <c r="K14" i="157" s="1"/>
  <c r="K15" i="157" s="1"/>
  <c r="K16" i="157" s="1"/>
  <c r="K17" i="157" s="1"/>
  <c r="K18" i="157" s="1"/>
  <c r="K19" i="157" s="1"/>
  <c r="K20" i="157" s="1"/>
  <c r="K21" i="157" s="1"/>
  <c r="K22" i="157" s="1"/>
  <c r="K23" i="157" s="1"/>
  <c r="K24" i="157" s="1"/>
  <c r="K25" i="157" s="1"/>
  <c r="K26" i="157" s="1"/>
  <c r="K27" i="157" s="1"/>
  <c r="K28" i="157" s="1"/>
  <c r="K29" i="157" s="1"/>
  <c r="K30" i="157" s="1"/>
  <c r="K31" i="157" s="1"/>
  <c r="K32" i="157" s="1"/>
  <c r="K33" i="157" s="1"/>
  <c r="K34" i="157" s="1"/>
  <c r="K35" i="157" s="1"/>
  <c r="K36" i="157" s="1"/>
  <c r="K37" i="157" s="1"/>
  <c r="K38" i="157" s="1"/>
  <c r="K39" i="157" s="1"/>
  <c r="K40" i="157" s="1"/>
  <c r="M39" i="315" l="1"/>
  <c r="K40" i="315"/>
  <c r="E24" i="288" l="1"/>
  <c r="B18" i="289" l="1"/>
  <c r="D18" i="289"/>
  <c r="I18" i="289"/>
  <c r="M5" i="163" l="1"/>
  <c r="K9" i="165" l="1"/>
  <c r="B11" i="208" l="1"/>
  <c r="B12" i="208"/>
  <c r="B13" i="208"/>
  <c r="B14" i="208"/>
  <c r="B15" i="208"/>
  <c r="B16" i="208"/>
  <c r="B17" i="208"/>
  <c r="B18" i="208"/>
  <c r="B19" i="208"/>
  <c r="B20" i="208"/>
  <c r="B21" i="208"/>
  <c r="B22" i="208"/>
  <c r="B23" i="208"/>
  <c r="B24" i="208"/>
  <c r="B25" i="208"/>
  <c r="B26" i="208"/>
  <c r="B27" i="208"/>
  <c r="B28" i="208"/>
  <c r="B29" i="208"/>
  <c r="B30" i="208"/>
  <c r="B31" i="208"/>
  <c r="B32" i="208"/>
  <c r="B33" i="208"/>
  <c r="B34" i="208"/>
  <c r="B35" i="208"/>
  <c r="B36" i="208"/>
  <c r="B37" i="208"/>
  <c r="B38" i="208"/>
  <c r="B39" i="208"/>
  <c r="B40" i="208"/>
  <c r="B10" i="208"/>
  <c r="B13" i="206"/>
  <c r="B14" i="206"/>
  <c r="B15" i="206"/>
  <c r="B16" i="206"/>
  <c r="B17" i="206"/>
  <c r="B18" i="206"/>
  <c r="B19" i="206"/>
  <c r="B20" i="206"/>
  <c r="B21" i="206"/>
  <c r="B22" i="206"/>
  <c r="B23" i="206"/>
  <c r="B24" i="206"/>
  <c r="B25" i="206"/>
  <c r="B26" i="206"/>
  <c r="B27" i="206"/>
  <c r="B28" i="206"/>
  <c r="B29" i="206"/>
  <c r="B30" i="206"/>
  <c r="B31" i="206"/>
  <c r="B32" i="206"/>
  <c r="B33" i="206"/>
  <c r="B34" i="206"/>
  <c r="B35" i="206"/>
  <c r="B36" i="206"/>
  <c r="B37" i="206"/>
  <c r="B38" i="206"/>
  <c r="B39" i="206"/>
  <c r="B40" i="206"/>
  <c r="B11" i="206"/>
  <c r="B12" i="206"/>
  <c r="B10" i="206"/>
  <c r="H14" i="292" l="1"/>
  <c r="C66" i="53"/>
  <c r="C4" i="157"/>
  <c r="C4" i="164"/>
  <c r="C4" i="299"/>
  <c r="C4" i="159"/>
  <c r="B112" i="53"/>
  <c r="B48" i="53"/>
  <c r="B47" i="53"/>
  <c r="B23" i="53"/>
  <c r="B22" i="53"/>
  <c r="B237" i="53"/>
  <c r="D237" i="53"/>
  <c r="E237" i="53"/>
  <c r="B236" i="53"/>
  <c r="B256" i="53"/>
  <c r="B252" i="53"/>
  <c r="B255" i="53"/>
  <c r="B254" i="53"/>
  <c r="B251" i="53"/>
  <c r="B250" i="53"/>
  <c r="B253" i="53"/>
  <c r="B233" i="53"/>
  <c r="B248" i="53"/>
  <c r="B244" i="53"/>
  <c r="B243" i="53"/>
  <c r="B242" i="53"/>
  <c r="B245" i="53"/>
  <c r="B240" i="53"/>
  <c r="B247" i="53"/>
  <c r="B246" i="53"/>
  <c r="B241" i="53"/>
  <c r="B239" i="53"/>
  <c r="B232" i="53"/>
  <c r="B231" i="53"/>
  <c r="M5" i="187"/>
  <c r="I5" i="187"/>
  <c r="H5" i="187"/>
  <c r="G5" i="187"/>
  <c r="F5" i="187"/>
  <c r="E5" i="187"/>
  <c r="D5" i="187"/>
  <c r="C5" i="187"/>
  <c r="B5" i="187"/>
  <c r="M5" i="184"/>
  <c r="I5" i="184"/>
  <c r="H5" i="184"/>
  <c r="G5" i="184"/>
  <c r="F5" i="184"/>
  <c r="E5" i="184"/>
  <c r="D5" i="184"/>
  <c r="C5" i="184"/>
  <c r="B5" i="184"/>
  <c r="M5" i="301"/>
  <c r="I5" i="301"/>
  <c r="H5" i="301"/>
  <c r="G5" i="301"/>
  <c r="F5" i="301"/>
  <c r="E5" i="301"/>
  <c r="D5" i="301"/>
  <c r="C5" i="301"/>
  <c r="B5" i="301"/>
  <c r="M5" i="183"/>
  <c r="I5" i="183"/>
  <c r="H5" i="183"/>
  <c r="G5" i="183"/>
  <c r="F5" i="183"/>
  <c r="E5" i="183"/>
  <c r="D5" i="183"/>
  <c r="C5" i="183"/>
  <c r="B5" i="183"/>
  <c r="I5" i="163"/>
  <c r="H5" i="163"/>
  <c r="G5" i="163"/>
  <c r="F5" i="163"/>
  <c r="E5" i="163"/>
  <c r="D5" i="163"/>
  <c r="C5" i="163"/>
  <c r="B5" i="163"/>
  <c r="M5" i="291"/>
  <c r="I5" i="291"/>
  <c r="H5" i="291"/>
  <c r="G5" i="291"/>
  <c r="F5" i="291"/>
  <c r="E5" i="291"/>
  <c r="D5" i="291"/>
  <c r="C5" i="291"/>
  <c r="B5" i="291"/>
  <c r="M5" i="288"/>
  <c r="I5" i="288"/>
  <c r="H5" i="288"/>
  <c r="G5" i="288"/>
  <c r="F5" i="288"/>
  <c r="E5" i="288"/>
  <c r="D5" i="288"/>
  <c r="C5" i="288"/>
  <c r="B5" i="288"/>
  <c r="M5" i="290"/>
  <c r="I5" i="290"/>
  <c r="H5" i="290"/>
  <c r="G5" i="290"/>
  <c r="F5" i="290"/>
  <c r="E5" i="290"/>
  <c r="D5" i="290"/>
  <c r="C5" i="290"/>
  <c r="B5" i="290"/>
  <c r="M5" i="289"/>
  <c r="I5" i="289"/>
  <c r="H5" i="289"/>
  <c r="G5" i="289"/>
  <c r="F5" i="289"/>
  <c r="E5" i="289"/>
  <c r="D5" i="289"/>
  <c r="C5" i="289"/>
  <c r="B5" i="289"/>
  <c r="M5" i="173"/>
  <c r="I5" i="173"/>
  <c r="H5" i="173"/>
  <c r="G5" i="173"/>
  <c r="F5" i="173"/>
  <c r="E5" i="173"/>
  <c r="D5" i="173"/>
  <c r="C5" i="173"/>
  <c r="B5" i="173"/>
  <c r="M5" i="160"/>
  <c r="I5" i="160"/>
  <c r="H5" i="160"/>
  <c r="G5" i="160"/>
  <c r="F5" i="160"/>
  <c r="E5" i="160"/>
  <c r="D5" i="160"/>
  <c r="C5" i="160"/>
  <c r="B5" i="160"/>
  <c r="M5" i="170"/>
  <c r="I5" i="170"/>
  <c r="H5" i="170"/>
  <c r="G5" i="170"/>
  <c r="F5" i="170"/>
  <c r="E5" i="170"/>
  <c r="D5" i="170"/>
  <c r="C5" i="170"/>
  <c r="B5" i="170"/>
  <c r="M5" i="169"/>
  <c r="I5" i="169"/>
  <c r="H5" i="169"/>
  <c r="G5" i="169"/>
  <c r="F5" i="169"/>
  <c r="E5" i="169"/>
  <c r="D5" i="169"/>
  <c r="C5" i="169"/>
  <c r="B5" i="169"/>
  <c r="M5" i="165"/>
  <c r="I5" i="165"/>
  <c r="H5" i="165"/>
  <c r="G5" i="165"/>
  <c r="F5" i="165"/>
  <c r="E5" i="165"/>
  <c r="D5" i="165"/>
  <c r="C5" i="165"/>
  <c r="B5" i="165"/>
  <c r="M5" i="309"/>
  <c r="I5" i="309"/>
  <c r="H5" i="309"/>
  <c r="G5" i="309"/>
  <c r="F5" i="309"/>
  <c r="E5" i="309"/>
  <c r="D5" i="309"/>
  <c r="C5" i="309"/>
  <c r="B5" i="309"/>
  <c r="M5" i="270"/>
  <c r="I5" i="270"/>
  <c r="H5" i="270"/>
  <c r="G5" i="270"/>
  <c r="F5" i="270"/>
  <c r="E5" i="270"/>
  <c r="D5" i="270"/>
  <c r="C5" i="270"/>
  <c r="B5" i="270"/>
  <c r="M5" i="269"/>
  <c r="I5" i="269"/>
  <c r="H5" i="269"/>
  <c r="G5" i="269"/>
  <c r="F5" i="269"/>
  <c r="E5" i="269"/>
  <c r="D5" i="269"/>
  <c r="C5" i="269"/>
  <c r="B5" i="269"/>
  <c r="M5" i="311"/>
  <c r="I5" i="311"/>
  <c r="H5" i="311"/>
  <c r="G5" i="311"/>
  <c r="F5" i="311"/>
  <c r="E5" i="311"/>
  <c r="D5" i="311"/>
  <c r="C5" i="311"/>
  <c r="B5" i="311"/>
  <c r="M5" i="266"/>
  <c r="I5" i="266"/>
  <c r="H5" i="266"/>
  <c r="G5" i="266"/>
  <c r="F5" i="266"/>
  <c r="E5" i="266"/>
  <c r="D5" i="266"/>
  <c r="C5" i="266"/>
  <c r="B5" i="266"/>
  <c r="M5" i="157"/>
  <c r="I5" i="157"/>
  <c r="H5" i="157"/>
  <c r="G5" i="157"/>
  <c r="F5" i="157"/>
  <c r="E5" i="157"/>
  <c r="D5" i="157"/>
  <c r="C5" i="157"/>
  <c r="B5" i="157"/>
  <c r="I5" i="164"/>
  <c r="H5" i="164"/>
  <c r="G5" i="164"/>
  <c r="F5" i="164"/>
  <c r="E5" i="164"/>
  <c r="D5" i="164"/>
  <c r="C5" i="164"/>
  <c r="B5" i="164"/>
  <c r="M5" i="299"/>
  <c r="I5" i="299"/>
  <c r="H5" i="299"/>
  <c r="G5" i="299"/>
  <c r="F5" i="299"/>
  <c r="E5" i="299"/>
  <c r="D5" i="299"/>
  <c r="C5" i="299"/>
  <c r="B5" i="299"/>
  <c r="M5" i="261"/>
  <c r="I5" i="261"/>
  <c r="H5" i="261"/>
  <c r="G5" i="261"/>
  <c r="F5" i="261"/>
  <c r="E5" i="261"/>
  <c r="D5" i="261"/>
  <c r="C5" i="261"/>
  <c r="B5" i="261"/>
  <c r="M5" i="283"/>
  <c r="I5" i="283"/>
  <c r="H5" i="283"/>
  <c r="G5" i="283"/>
  <c r="F5" i="283"/>
  <c r="D5" i="283"/>
  <c r="C5" i="283"/>
  <c r="B5" i="283"/>
  <c r="M5" i="159"/>
  <c r="I5" i="159"/>
  <c r="H5" i="159"/>
  <c r="G5" i="159"/>
  <c r="F5" i="159"/>
  <c r="E5" i="159"/>
  <c r="D5" i="159"/>
  <c r="C5" i="159"/>
  <c r="B5" i="159"/>
  <c r="M5" i="149"/>
  <c r="I5" i="149"/>
  <c r="H5" i="149"/>
  <c r="G5" i="149"/>
  <c r="F5" i="149"/>
  <c r="E5" i="149"/>
  <c r="D5" i="149"/>
  <c r="C5" i="149"/>
  <c r="B5" i="149"/>
  <c r="M5" i="285"/>
  <c r="I5" i="285"/>
  <c r="H5" i="285"/>
  <c r="G5" i="285"/>
  <c r="F5" i="285"/>
  <c r="E5" i="285"/>
  <c r="D5" i="285"/>
  <c r="C5" i="285"/>
  <c r="B5" i="285"/>
  <c r="M5" i="178"/>
  <c r="I5" i="178"/>
  <c r="H5" i="178"/>
  <c r="G5" i="178"/>
  <c r="F5" i="178"/>
  <c r="D5" i="178"/>
  <c r="C5" i="178"/>
  <c r="B5" i="178"/>
  <c r="M5" i="155"/>
  <c r="I5" i="155"/>
  <c r="H5" i="155"/>
  <c r="G5" i="155"/>
  <c r="F5" i="155"/>
  <c r="E5" i="155"/>
  <c r="D5" i="155"/>
  <c r="C5" i="155"/>
  <c r="B5" i="155"/>
  <c r="M5" i="292"/>
  <c r="I5" i="292"/>
  <c r="H5" i="292"/>
  <c r="G5" i="292"/>
  <c r="F5" i="292"/>
  <c r="E5" i="292"/>
  <c r="D5" i="292"/>
  <c r="C5" i="292"/>
  <c r="B5" i="292"/>
  <c r="I7" i="162"/>
  <c r="K7" i="162" s="1"/>
  <c r="M7" i="162" s="1"/>
  <c r="I5" i="162"/>
  <c r="H5" i="162"/>
  <c r="G5" i="162"/>
  <c r="F5" i="162"/>
  <c r="E5" i="162"/>
  <c r="D5" i="162"/>
  <c r="C5" i="162"/>
  <c r="B5" i="162"/>
  <c r="C4" i="162"/>
  <c r="I7" i="190"/>
  <c r="K7" i="190" s="1"/>
  <c r="M7" i="190" s="1"/>
  <c r="I5" i="190"/>
  <c r="H5" i="190"/>
  <c r="G5" i="190"/>
  <c r="F5" i="190"/>
  <c r="E5" i="190"/>
  <c r="D5" i="190"/>
  <c r="C5" i="190"/>
  <c r="B5" i="190"/>
  <c r="C4" i="190"/>
  <c r="I7" i="158"/>
  <c r="K7" i="158" s="1"/>
  <c r="M7" i="158" s="1"/>
  <c r="I5" i="158"/>
  <c r="H5" i="158"/>
  <c r="G5" i="158"/>
  <c r="F5" i="158"/>
  <c r="E5" i="158"/>
  <c r="D5" i="158"/>
  <c r="C5" i="158"/>
  <c r="B5" i="158"/>
  <c r="C4" i="158"/>
  <c r="I7" i="293"/>
  <c r="K7" i="293" s="1"/>
  <c r="M7" i="293" s="1"/>
  <c r="I5" i="293"/>
  <c r="H5" i="293"/>
  <c r="G5" i="293"/>
  <c r="F5" i="293"/>
  <c r="E5" i="293"/>
  <c r="D5" i="293"/>
  <c r="C5" i="293"/>
  <c r="B5" i="293"/>
  <c r="C4" i="293"/>
  <c r="I7" i="231"/>
  <c r="K7" i="231" s="1"/>
  <c r="M7" i="231" s="1"/>
  <c r="I5" i="231"/>
  <c r="H5" i="231"/>
  <c r="G5" i="231"/>
  <c r="F5" i="231"/>
  <c r="E5" i="231"/>
  <c r="D5" i="231"/>
  <c r="C5" i="231"/>
  <c r="B5" i="231"/>
  <c r="C4" i="231"/>
  <c r="I7" i="274"/>
  <c r="K7" i="274" s="1"/>
  <c r="M7" i="274" s="1"/>
  <c r="I5" i="274"/>
  <c r="H5" i="274"/>
  <c r="G5" i="274"/>
  <c r="F5" i="274"/>
  <c r="E5" i="274"/>
  <c r="D5" i="274"/>
  <c r="C5" i="274"/>
  <c r="B5" i="274"/>
  <c r="C4" i="274"/>
  <c r="I7" i="273"/>
  <c r="K7" i="273" s="1"/>
  <c r="M7" i="273" s="1"/>
  <c r="I5" i="273"/>
  <c r="H5" i="273"/>
  <c r="G5" i="273"/>
  <c r="F5" i="273"/>
  <c r="E5" i="273"/>
  <c r="D5" i="273"/>
  <c r="C5" i="273"/>
  <c r="B5" i="273"/>
  <c r="C4" i="273"/>
  <c r="I7" i="281"/>
  <c r="K7" i="281" s="1"/>
  <c r="M7" i="281" s="1"/>
  <c r="I5" i="281"/>
  <c r="H5" i="281"/>
  <c r="G5" i="281"/>
  <c r="F5" i="281"/>
  <c r="E5" i="281"/>
  <c r="D5" i="281"/>
  <c r="C5" i="281"/>
  <c r="B5" i="281"/>
  <c r="C4" i="281"/>
  <c r="I7" i="275"/>
  <c r="K7" i="275" s="1"/>
  <c r="M7" i="275" s="1"/>
  <c r="I5" i="275"/>
  <c r="H5" i="275"/>
  <c r="G5" i="275"/>
  <c r="F5" i="275"/>
  <c r="E5" i="275"/>
  <c r="D5" i="275"/>
  <c r="C5" i="275"/>
  <c r="B5" i="275"/>
  <c r="C4" i="275"/>
  <c r="I7" i="280"/>
  <c r="K7" i="280" s="1"/>
  <c r="M7" i="280" s="1"/>
  <c r="I5" i="280"/>
  <c r="H5" i="280"/>
  <c r="G5" i="280"/>
  <c r="F5" i="280"/>
  <c r="E5" i="280"/>
  <c r="D5" i="280"/>
  <c r="C5" i="280"/>
  <c r="B5" i="280"/>
  <c r="C4" i="280"/>
  <c r="I7" i="277"/>
  <c r="K7" i="277" s="1"/>
  <c r="M7" i="277" s="1"/>
  <c r="I5" i="277"/>
  <c r="H5" i="277"/>
  <c r="G5" i="277"/>
  <c r="F5" i="277"/>
  <c r="E5" i="277"/>
  <c r="D5" i="277"/>
  <c r="C5" i="277"/>
  <c r="B5" i="277"/>
  <c r="C4" i="277"/>
  <c r="I7" i="276"/>
  <c r="K7" i="276" s="1"/>
  <c r="M7" i="276" s="1"/>
  <c r="I5" i="276"/>
  <c r="H5" i="276"/>
  <c r="G5" i="276"/>
  <c r="F5" i="276"/>
  <c r="E5" i="276"/>
  <c r="D5" i="276"/>
  <c r="C5" i="276"/>
  <c r="B5" i="276"/>
  <c r="C4" i="276"/>
  <c r="I7" i="271"/>
  <c r="K7" i="271" s="1"/>
  <c r="M7" i="271" s="1"/>
  <c r="I5" i="271"/>
  <c r="H5" i="271"/>
  <c r="G5" i="271"/>
  <c r="F5" i="271"/>
  <c r="E5" i="271"/>
  <c r="D5" i="271"/>
  <c r="C5" i="271"/>
  <c r="B5" i="271"/>
  <c r="C4" i="271"/>
  <c r="I7" i="278"/>
  <c r="K7" i="278" s="1"/>
  <c r="M7" i="278" s="1"/>
  <c r="I5" i="278"/>
  <c r="H5" i="278"/>
  <c r="G5" i="278"/>
  <c r="F5" i="278"/>
  <c r="E5" i="278"/>
  <c r="D5" i="278"/>
  <c r="C5" i="278"/>
  <c r="B5" i="278"/>
  <c r="C4" i="278"/>
  <c r="I7" i="225"/>
  <c r="K7" i="225" s="1"/>
  <c r="M7" i="225" s="1"/>
  <c r="I5" i="225"/>
  <c r="H5" i="225"/>
  <c r="G5" i="225"/>
  <c r="F5" i="225"/>
  <c r="E5" i="225"/>
  <c r="D5" i="225"/>
  <c r="C5" i="225"/>
  <c r="B5" i="225"/>
  <c r="C4" i="225"/>
  <c r="I7" i="188"/>
  <c r="K7" i="188" s="1"/>
  <c r="M7" i="188" s="1"/>
  <c r="I5" i="188"/>
  <c r="H5" i="188"/>
  <c r="G5" i="188"/>
  <c r="F5" i="188"/>
  <c r="E5" i="188"/>
  <c r="D5" i="188"/>
  <c r="C5" i="188"/>
  <c r="B5" i="188"/>
  <c r="C4" i="188"/>
  <c r="I7" i="226"/>
  <c r="K7" i="226" s="1"/>
  <c r="M7" i="226" s="1"/>
  <c r="I5" i="226"/>
  <c r="H5" i="226"/>
  <c r="G5" i="226"/>
  <c r="F5" i="226"/>
  <c r="E5" i="226"/>
  <c r="D5" i="226"/>
  <c r="C5" i="226"/>
  <c r="B5" i="226"/>
  <c r="C4" i="226"/>
  <c r="I7" i="232"/>
  <c r="K7" i="232" s="1"/>
  <c r="M7" i="232" s="1"/>
  <c r="I5" i="232"/>
  <c r="H5" i="232"/>
  <c r="G5" i="232"/>
  <c r="F5" i="232"/>
  <c r="E5" i="232"/>
  <c r="D5" i="232"/>
  <c r="C5" i="232"/>
  <c r="B5" i="232"/>
  <c r="C4" i="232"/>
  <c r="I7" i="182"/>
  <c r="K7" i="182" s="1"/>
  <c r="M7" i="182" s="1"/>
  <c r="I5" i="182"/>
  <c r="H5" i="182"/>
  <c r="G5" i="182"/>
  <c r="F5" i="182"/>
  <c r="E5" i="182"/>
  <c r="D5" i="182"/>
  <c r="C5" i="182"/>
  <c r="B5" i="182"/>
  <c r="C4" i="182"/>
  <c r="I7" i="181"/>
  <c r="K7" i="181" s="1"/>
  <c r="M7" i="181" s="1"/>
  <c r="I5" i="181"/>
  <c r="H5" i="181"/>
  <c r="G5" i="181"/>
  <c r="F5" i="181"/>
  <c r="E5" i="181"/>
  <c r="D5" i="181"/>
  <c r="C5" i="181"/>
  <c r="B5" i="181"/>
  <c r="C4" i="181"/>
  <c r="I7" i="218"/>
  <c r="K7" i="218" s="1"/>
  <c r="M7" i="218" s="1"/>
  <c r="I5" i="218"/>
  <c r="H5" i="218"/>
  <c r="G5" i="218"/>
  <c r="F5" i="218"/>
  <c r="E5" i="218"/>
  <c r="D5" i="218"/>
  <c r="C5" i="218"/>
  <c r="B5" i="218"/>
  <c r="C4" i="218"/>
  <c r="I7" i="180"/>
  <c r="K7" i="180" s="1"/>
  <c r="M7" i="180" s="1"/>
  <c r="I5" i="180"/>
  <c r="H5" i="180"/>
  <c r="G5" i="180"/>
  <c r="F5" i="180"/>
  <c r="E5" i="180"/>
  <c r="D5" i="180"/>
  <c r="C5" i="180"/>
  <c r="B5" i="180"/>
  <c r="C4" i="180"/>
  <c r="B10" i="259"/>
  <c r="B11" i="259"/>
  <c r="B12" i="259"/>
  <c r="B13" i="259"/>
  <c r="B14" i="259"/>
  <c r="B15" i="259"/>
  <c r="B16" i="259"/>
  <c r="B17" i="259"/>
  <c r="B18" i="259"/>
  <c r="B19" i="259"/>
  <c r="B20" i="259"/>
  <c r="B21" i="259"/>
  <c r="B22" i="259"/>
  <c r="B23" i="259"/>
  <c r="B24" i="259"/>
  <c r="B25" i="259"/>
  <c r="B26" i="259"/>
  <c r="B27" i="259"/>
  <c r="B28" i="259"/>
  <c r="B29" i="259"/>
  <c r="B30" i="259"/>
  <c r="B31" i="259"/>
  <c r="B32" i="259"/>
  <c r="B33" i="259"/>
  <c r="B34" i="259"/>
  <c r="B35" i="259"/>
  <c r="B36" i="259"/>
  <c r="B37" i="259"/>
  <c r="B38" i="259"/>
  <c r="B39" i="259"/>
  <c r="B9" i="259"/>
  <c r="I7" i="259"/>
  <c r="K7" i="259" s="1"/>
  <c r="M7" i="259" s="1"/>
  <c r="I5" i="259"/>
  <c r="H5" i="259"/>
  <c r="G5" i="259"/>
  <c r="F5" i="259"/>
  <c r="E5" i="259"/>
  <c r="D5" i="259"/>
  <c r="C5" i="259"/>
  <c r="B5" i="259"/>
  <c r="C4" i="259"/>
  <c r="C4" i="172"/>
  <c r="I7" i="172"/>
  <c r="K7" i="172" s="1"/>
  <c r="M7" i="172" s="1"/>
  <c r="I5" i="172"/>
  <c r="H5" i="172"/>
  <c r="G5" i="172"/>
  <c r="F5" i="172"/>
  <c r="E5" i="172"/>
  <c r="D5" i="172"/>
  <c r="C5" i="172"/>
  <c r="B5" i="172"/>
  <c r="B10" i="172"/>
  <c r="B11" i="172"/>
  <c r="B12" i="172"/>
  <c r="B13" i="172"/>
  <c r="B14" i="172"/>
  <c r="B15" i="172"/>
  <c r="B16" i="172"/>
  <c r="B17" i="172"/>
  <c r="B18" i="172"/>
  <c r="B19" i="172"/>
  <c r="B20" i="172"/>
  <c r="B21" i="172"/>
  <c r="B22" i="172"/>
  <c r="B23" i="172"/>
  <c r="B24" i="172"/>
  <c r="B25" i="172"/>
  <c r="B26" i="172"/>
  <c r="B27" i="172"/>
  <c r="B28" i="172"/>
  <c r="B29" i="172"/>
  <c r="B30" i="172"/>
  <c r="B31" i="172"/>
  <c r="B32" i="172"/>
  <c r="B33" i="172"/>
  <c r="B34" i="172"/>
  <c r="B35" i="172"/>
  <c r="B36" i="172"/>
  <c r="B37" i="172"/>
  <c r="B38" i="172"/>
  <c r="B39" i="172"/>
  <c r="B9" i="172"/>
  <c r="I5" i="216"/>
  <c r="H5" i="216"/>
  <c r="G5" i="216"/>
  <c r="F5" i="216"/>
  <c r="E5" i="216"/>
  <c r="D5" i="216"/>
  <c r="C5" i="216"/>
  <c r="B5" i="216"/>
  <c r="C4" i="216"/>
  <c r="B235" i="53" s="1"/>
  <c r="C4" i="215"/>
  <c r="B234" i="53" s="1"/>
  <c r="I5" i="215"/>
  <c r="H5" i="215"/>
  <c r="G5" i="215"/>
  <c r="F5" i="215"/>
  <c r="E5" i="215"/>
  <c r="D5" i="215"/>
  <c r="C5" i="215"/>
  <c r="B5" i="215"/>
  <c r="C4" i="214"/>
  <c r="I5" i="214"/>
  <c r="H5" i="214"/>
  <c r="G5" i="214"/>
  <c r="F5" i="214"/>
  <c r="E5" i="214"/>
  <c r="D5" i="214"/>
  <c r="C5" i="214"/>
  <c r="B5" i="214"/>
  <c r="I5" i="212"/>
  <c r="H5" i="212"/>
  <c r="G5" i="212"/>
  <c r="F5" i="212"/>
  <c r="E5" i="212"/>
  <c r="D5" i="212"/>
  <c r="C5" i="212"/>
  <c r="B5" i="212"/>
  <c r="I5" i="213"/>
  <c r="H5" i="213"/>
  <c r="G5" i="213"/>
  <c r="F5" i="213"/>
  <c r="E5" i="213"/>
  <c r="D5" i="213"/>
  <c r="C5" i="213"/>
  <c r="B5" i="213"/>
  <c r="I5" i="211"/>
  <c r="H5" i="211"/>
  <c r="G5" i="211"/>
  <c r="F5" i="211"/>
  <c r="E5" i="211"/>
  <c r="D5" i="211"/>
  <c r="C5" i="211"/>
  <c r="B5" i="211"/>
  <c r="I5" i="245"/>
  <c r="H5" i="245"/>
  <c r="G5" i="245"/>
  <c r="F5" i="245"/>
  <c r="E5" i="245"/>
  <c r="D5" i="245"/>
  <c r="C5" i="245"/>
  <c r="B5" i="245"/>
  <c r="I5" i="204"/>
  <c r="H5" i="204"/>
  <c r="G5" i="204"/>
  <c r="F5" i="204"/>
  <c r="E5" i="204"/>
  <c r="D5" i="204"/>
  <c r="C5" i="204"/>
  <c r="B5" i="204"/>
  <c r="I5" i="240"/>
  <c r="H5" i="240"/>
  <c r="G5" i="240"/>
  <c r="F5" i="240"/>
  <c r="E5" i="240"/>
  <c r="D5" i="240"/>
  <c r="B5" i="240"/>
  <c r="I5" i="242"/>
  <c r="H5" i="242"/>
  <c r="G5" i="242"/>
  <c r="F5" i="242"/>
  <c r="E5" i="242"/>
  <c r="D5" i="242"/>
  <c r="C5" i="242"/>
  <c r="B5" i="242"/>
  <c r="I5" i="294"/>
  <c r="H5" i="294"/>
  <c r="G5" i="294"/>
  <c r="F5" i="294"/>
  <c r="E5" i="294"/>
  <c r="D5" i="294"/>
  <c r="C5" i="294"/>
  <c r="B5" i="294"/>
  <c r="I5" i="264"/>
  <c r="H5" i="264"/>
  <c r="G5" i="264"/>
  <c r="F5" i="264"/>
  <c r="E5" i="264"/>
  <c r="D5" i="264"/>
  <c r="C5" i="264"/>
  <c r="B5" i="264"/>
  <c r="C4" i="213"/>
  <c r="E113" i="354" l="1"/>
  <c r="M50" i="53"/>
  <c r="M51" i="53"/>
  <c r="L27" i="53"/>
  <c r="M27" i="53" s="1"/>
  <c r="M26" i="53"/>
  <c r="L103" i="53"/>
  <c r="M103" i="53" s="1"/>
  <c r="L76" i="53"/>
  <c r="L46" i="53"/>
  <c r="M46" i="53" s="1"/>
  <c r="M53" i="53"/>
  <c r="L14" i="53"/>
  <c r="M14" i="53" s="1"/>
  <c r="L44" i="53"/>
  <c r="M44" i="53" s="1"/>
  <c r="L42" i="53"/>
  <c r="M42" i="53" s="1"/>
  <c r="C4" i="211"/>
  <c r="I5" i="223"/>
  <c r="H5" i="223"/>
  <c r="G5" i="223"/>
  <c r="F5" i="223"/>
  <c r="E5" i="223"/>
  <c r="D5" i="223"/>
  <c r="C5" i="223"/>
  <c r="B5" i="223"/>
  <c r="I5" i="314"/>
  <c r="H5" i="314"/>
  <c r="G5" i="314"/>
  <c r="F5" i="314"/>
  <c r="E5" i="314"/>
  <c r="D5" i="314"/>
  <c r="C5" i="314"/>
  <c r="B5" i="314"/>
  <c r="I5" i="313"/>
  <c r="H5" i="313"/>
  <c r="G5" i="313"/>
  <c r="F5" i="313"/>
  <c r="E5" i="313"/>
  <c r="D5" i="313"/>
  <c r="C5" i="313"/>
  <c r="B5" i="313"/>
  <c r="I5" i="246"/>
  <c r="H5" i="246"/>
  <c r="G5" i="246"/>
  <c r="F5" i="246"/>
  <c r="E5" i="246"/>
  <c r="D5" i="246"/>
  <c r="C5" i="246"/>
  <c r="B5" i="246"/>
  <c r="I5" i="312"/>
  <c r="H5" i="312"/>
  <c r="G5" i="312"/>
  <c r="F5" i="312"/>
  <c r="E5" i="312"/>
  <c r="D5" i="312"/>
  <c r="C5" i="312"/>
  <c r="B5" i="312"/>
  <c r="I5" i="282"/>
  <c r="H5" i="282"/>
  <c r="G5" i="282"/>
  <c r="F5" i="282"/>
  <c r="E5" i="282"/>
  <c r="D5" i="282"/>
  <c r="C5" i="282"/>
  <c r="B5" i="282"/>
  <c r="I5" i="249"/>
  <c r="H5" i="249"/>
  <c r="G5" i="249"/>
  <c r="F5" i="249"/>
  <c r="E5" i="249"/>
  <c r="D5" i="249"/>
  <c r="C5" i="249"/>
  <c r="B5" i="249"/>
  <c r="I5" i="221"/>
  <c r="H5" i="221"/>
  <c r="G5" i="221"/>
  <c r="F5" i="221"/>
  <c r="E5" i="221"/>
  <c r="D5" i="221"/>
  <c r="C5" i="221"/>
  <c r="B5" i="221"/>
  <c r="I5" i="296"/>
  <c r="H5" i="296"/>
  <c r="G5" i="296"/>
  <c r="F5" i="296"/>
  <c r="E5" i="296"/>
  <c r="D5" i="296"/>
  <c r="C5" i="296"/>
  <c r="B5" i="296"/>
  <c r="I5" i="300"/>
  <c r="H5" i="300"/>
  <c r="G5" i="300"/>
  <c r="F5" i="300"/>
  <c r="E5" i="300"/>
  <c r="D5" i="300"/>
  <c r="C5" i="300"/>
  <c r="B5" i="300"/>
  <c r="I5" i="220"/>
  <c r="H5" i="220"/>
  <c r="G5" i="220"/>
  <c r="F5" i="220"/>
  <c r="E5" i="220"/>
  <c r="D5" i="220"/>
  <c r="C5" i="220"/>
  <c r="B5" i="220"/>
  <c r="I5" i="297"/>
  <c r="H5" i="297"/>
  <c r="G5" i="297"/>
  <c r="F5" i="297"/>
  <c r="E5" i="297"/>
  <c r="D5" i="297"/>
  <c r="C5" i="297"/>
  <c r="B5" i="297"/>
  <c r="I5" i="247"/>
  <c r="H5" i="247"/>
  <c r="G5" i="247"/>
  <c r="F5" i="247"/>
  <c r="E5" i="247"/>
  <c r="D5" i="247"/>
  <c r="C5" i="247"/>
  <c r="B5" i="247"/>
  <c r="I5" i="310"/>
  <c r="H5" i="310"/>
  <c r="G5" i="310"/>
  <c r="F5" i="310"/>
  <c r="E5" i="310"/>
  <c r="D5" i="310"/>
  <c r="C5" i="310"/>
  <c r="B5" i="310"/>
  <c r="I5" i="295"/>
  <c r="H5" i="295"/>
  <c r="G5" i="295"/>
  <c r="F5" i="295"/>
  <c r="E5" i="295"/>
  <c r="D5" i="295"/>
  <c r="C5" i="295"/>
  <c r="B5" i="295"/>
  <c r="C4" i="254"/>
  <c r="C4" i="250"/>
  <c r="C4" i="253"/>
  <c r="C4" i="251"/>
  <c r="C4" i="308"/>
  <c r="C4" i="252"/>
  <c r="C4" i="256"/>
  <c r="C4" i="255"/>
  <c r="I5" i="254"/>
  <c r="H5" i="254"/>
  <c r="G5" i="254"/>
  <c r="F5" i="254"/>
  <c r="E5" i="254"/>
  <c r="D5" i="254"/>
  <c r="C5" i="254"/>
  <c r="B5" i="254"/>
  <c r="I5" i="250"/>
  <c r="H5" i="250"/>
  <c r="G5" i="250"/>
  <c r="F5" i="250"/>
  <c r="E5" i="250"/>
  <c r="D5" i="250"/>
  <c r="C5" i="250"/>
  <c r="B5" i="250"/>
  <c r="I5" i="253"/>
  <c r="H5" i="253"/>
  <c r="G5" i="253"/>
  <c r="F5" i="253"/>
  <c r="E5" i="253"/>
  <c r="D5" i="253"/>
  <c r="C5" i="253"/>
  <c r="B5" i="253"/>
  <c r="I5" i="308"/>
  <c r="H5" i="308"/>
  <c r="G5" i="308"/>
  <c r="F5" i="308"/>
  <c r="E5" i="308"/>
  <c r="D5" i="308"/>
  <c r="C5" i="308"/>
  <c r="B5" i="308"/>
  <c r="I5" i="307"/>
  <c r="H5" i="307"/>
  <c r="G5" i="307"/>
  <c r="F5" i="307"/>
  <c r="E5" i="307"/>
  <c r="D5" i="307"/>
  <c r="C5" i="307"/>
  <c r="B5" i="307"/>
  <c r="I5" i="251"/>
  <c r="H5" i="251"/>
  <c r="G5" i="251"/>
  <c r="F5" i="251"/>
  <c r="E5" i="251"/>
  <c r="D5" i="251"/>
  <c r="C5" i="251"/>
  <c r="B5" i="251"/>
  <c r="I5" i="255"/>
  <c r="H5" i="255"/>
  <c r="G5" i="255"/>
  <c r="F5" i="255"/>
  <c r="E5" i="255"/>
  <c r="D5" i="255"/>
  <c r="C5" i="255"/>
  <c r="B5" i="255"/>
  <c r="I5" i="256"/>
  <c r="H5" i="256"/>
  <c r="G5" i="256"/>
  <c r="F5" i="256"/>
  <c r="E5" i="256"/>
  <c r="D5" i="256"/>
  <c r="C5" i="256"/>
  <c r="B5" i="256"/>
  <c r="I5" i="252"/>
  <c r="H5" i="252"/>
  <c r="G5" i="252"/>
  <c r="F5" i="252"/>
  <c r="E5" i="252"/>
  <c r="D5" i="252"/>
  <c r="C5" i="252"/>
  <c r="B5" i="252"/>
  <c r="B39" i="162"/>
  <c r="B38" i="162"/>
  <c r="B37" i="162"/>
  <c r="B36" i="162"/>
  <c r="B35" i="162"/>
  <c r="B34" i="162"/>
  <c r="B33" i="162"/>
  <c r="B32" i="162"/>
  <c r="B31" i="162"/>
  <c r="B30" i="162"/>
  <c r="B29" i="162"/>
  <c r="B28" i="162"/>
  <c r="B27" i="162"/>
  <c r="B26" i="162"/>
  <c r="B25" i="162"/>
  <c r="B24" i="162"/>
  <c r="B23" i="162"/>
  <c r="B22" i="162"/>
  <c r="B21" i="162"/>
  <c r="B20" i="162"/>
  <c r="B19" i="162"/>
  <c r="B18" i="162"/>
  <c r="B17" i="162"/>
  <c r="B16" i="162"/>
  <c r="B15" i="162"/>
  <c r="B14" i="162"/>
  <c r="B13" i="162"/>
  <c r="B12" i="162"/>
  <c r="B11" i="162"/>
  <c r="B10" i="162"/>
  <c r="B9" i="162"/>
  <c r="B39" i="190"/>
  <c r="B38" i="190"/>
  <c r="B37" i="190"/>
  <c r="B36" i="190"/>
  <c r="B35" i="190"/>
  <c r="B34" i="190"/>
  <c r="B33" i="190"/>
  <c r="B32" i="190"/>
  <c r="B31" i="190"/>
  <c r="B30" i="190"/>
  <c r="B29" i="190"/>
  <c r="B28" i="190"/>
  <c r="B27" i="190"/>
  <c r="B26" i="190"/>
  <c r="B25" i="190"/>
  <c r="B24" i="190"/>
  <c r="B23" i="190"/>
  <c r="B22" i="190"/>
  <c r="B21" i="190"/>
  <c r="B20" i="190"/>
  <c r="B19" i="190"/>
  <c r="B18" i="190"/>
  <c r="B17" i="190"/>
  <c r="B16" i="190"/>
  <c r="B15" i="190"/>
  <c r="B14" i="190"/>
  <c r="B13" i="190"/>
  <c r="B12" i="190"/>
  <c r="B11" i="190"/>
  <c r="B10" i="190"/>
  <c r="B9" i="190"/>
  <c r="B39" i="158"/>
  <c r="B38" i="158"/>
  <c r="B37" i="158"/>
  <c r="B36" i="158"/>
  <c r="B35" i="158"/>
  <c r="B34" i="158"/>
  <c r="B33" i="158"/>
  <c r="B32" i="158"/>
  <c r="B31" i="158"/>
  <c r="B30" i="158"/>
  <c r="B29" i="158"/>
  <c r="B28" i="158"/>
  <c r="B27" i="158"/>
  <c r="B26" i="158"/>
  <c r="B25" i="158"/>
  <c r="B24" i="158"/>
  <c r="B23" i="158"/>
  <c r="B22" i="158"/>
  <c r="B21" i="158"/>
  <c r="B20" i="158"/>
  <c r="B19" i="158"/>
  <c r="B18" i="158"/>
  <c r="B17" i="158"/>
  <c r="B16" i="158"/>
  <c r="B15" i="158"/>
  <c r="B14" i="158"/>
  <c r="B13" i="158"/>
  <c r="B12" i="158"/>
  <c r="B11" i="158"/>
  <c r="B10" i="158"/>
  <c r="B9" i="158"/>
  <c r="B39" i="293"/>
  <c r="B38" i="293"/>
  <c r="B37" i="293"/>
  <c r="B36" i="293"/>
  <c r="B35" i="293"/>
  <c r="B34" i="293"/>
  <c r="B33" i="293"/>
  <c r="B32" i="293"/>
  <c r="B31" i="293"/>
  <c r="B30" i="293"/>
  <c r="B29" i="293"/>
  <c r="B28" i="293"/>
  <c r="B27" i="293"/>
  <c r="B26" i="293"/>
  <c r="B25" i="293"/>
  <c r="B24" i="293"/>
  <c r="B23" i="293"/>
  <c r="B22" i="293"/>
  <c r="B21" i="293"/>
  <c r="B20" i="293"/>
  <c r="B19" i="293"/>
  <c r="B18" i="293"/>
  <c r="B17" i="293"/>
  <c r="B16" i="293"/>
  <c r="B15" i="293"/>
  <c r="B14" i="293"/>
  <c r="B13" i="293"/>
  <c r="B12" i="293"/>
  <c r="B11" i="293"/>
  <c r="B10" i="293"/>
  <c r="B9" i="293"/>
  <c r="B39" i="231"/>
  <c r="B38" i="231"/>
  <c r="B37" i="231"/>
  <c r="B36" i="231"/>
  <c r="B35" i="231"/>
  <c r="B34" i="231"/>
  <c r="B33" i="231"/>
  <c r="B32" i="231"/>
  <c r="B31" i="231"/>
  <c r="B30" i="231"/>
  <c r="B29" i="231"/>
  <c r="B28" i="231"/>
  <c r="B27" i="231"/>
  <c r="B26" i="231"/>
  <c r="B25" i="231"/>
  <c r="B24" i="231"/>
  <c r="B23" i="231"/>
  <c r="B22" i="231"/>
  <c r="B21" i="231"/>
  <c r="B20" i="231"/>
  <c r="B19" i="231"/>
  <c r="B18" i="231"/>
  <c r="B17" i="231"/>
  <c r="B16" i="231"/>
  <c r="B15" i="231"/>
  <c r="B14" i="231"/>
  <c r="B13" i="231"/>
  <c r="B12" i="231"/>
  <c r="B11" i="231"/>
  <c r="B10" i="231"/>
  <c r="B9" i="231"/>
  <c r="B39" i="274"/>
  <c r="B38" i="274"/>
  <c r="B37" i="274"/>
  <c r="B36" i="274"/>
  <c r="B35" i="274"/>
  <c r="B34" i="274"/>
  <c r="B33" i="274"/>
  <c r="B32" i="274"/>
  <c r="B31" i="274"/>
  <c r="B30" i="274"/>
  <c r="B29" i="274"/>
  <c r="B28" i="274"/>
  <c r="B27" i="274"/>
  <c r="B26" i="274"/>
  <c r="B25" i="274"/>
  <c r="B24" i="274"/>
  <c r="B23" i="274"/>
  <c r="B22" i="274"/>
  <c r="B21" i="274"/>
  <c r="B20" i="274"/>
  <c r="B19" i="274"/>
  <c r="B18" i="274"/>
  <c r="B17" i="274"/>
  <c r="B16" i="274"/>
  <c r="B15" i="274"/>
  <c r="B14" i="274"/>
  <c r="B13" i="274"/>
  <c r="B12" i="274"/>
  <c r="B11" i="274"/>
  <c r="B10" i="274"/>
  <c r="B9" i="274"/>
  <c r="B39" i="273"/>
  <c r="B38" i="273"/>
  <c r="B37" i="273"/>
  <c r="B36" i="273"/>
  <c r="B35" i="273"/>
  <c r="B34" i="273"/>
  <c r="B33" i="273"/>
  <c r="B32" i="273"/>
  <c r="B31" i="273"/>
  <c r="B30" i="273"/>
  <c r="B29" i="273"/>
  <c r="B28" i="273"/>
  <c r="B27" i="273"/>
  <c r="B26" i="273"/>
  <c r="B25" i="273"/>
  <c r="B24" i="273"/>
  <c r="B23" i="273"/>
  <c r="B22" i="273"/>
  <c r="B21" i="273"/>
  <c r="B20" i="273"/>
  <c r="B19" i="273"/>
  <c r="B18" i="273"/>
  <c r="B17" i="273"/>
  <c r="B16" i="273"/>
  <c r="B15" i="273"/>
  <c r="B14" i="273"/>
  <c r="B13" i="273"/>
  <c r="B12" i="273"/>
  <c r="B11" i="273"/>
  <c r="B10" i="273"/>
  <c r="B9" i="273"/>
  <c r="B39" i="281"/>
  <c r="B38" i="281"/>
  <c r="B37" i="281"/>
  <c r="B36" i="281"/>
  <c r="B35" i="281"/>
  <c r="B34" i="281"/>
  <c r="B33" i="281"/>
  <c r="B32" i="281"/>
  <c r="B31" i="281"/>
  <c r="B30" i="281"/>
  <c r="B29" i="281"/>
  <c r="B28" i="281"/>
  <c r="B27" i="281"/>
  <c r="B26" i="281"/>
  <c r="B25" i="281"/>
  <c r="B24" i="281"/>
  <c r="B23" i="281"/>
  <c r="B22" i="281"/>
  <c r="B21" i="281"/>
  <c r="B20" i="281"/>
  <c r="B19" i="281"/>
  <c r="B18" i="281"/>
  <c r="B17" i="281"/>
  <c r="B16" i="281"/>
  <c r="B15" i="281"/>
  <c r="B14" i="281"/>
  <c r="B13" i="281"/>
  <c r="B12" i="281"/>
  <c r="B11" i="281"/>
  <c r="B10" i="281"/>
  <c r="B9" i="281"/>
  <c r="B39" i="275"/>
  <c r="B38" i="275"/>
  <c r="B37" i="275"/>
  <c r="B36" i="275"/>
  <c r="B35" i="275"/>
  <c r="B34" i="275"/>
  <c r="B33" i="275"/>
  <c r="B32" i="275"/>
  <c r="B31" i="275"/>
  <c r="B30" i="275"/>
  <c r="B29" i="275"/>
  <c r="B28" i="275"/>
  <c r="B27" i="275"/>
  <c r="B26" i="275"/>
  <c r="B25" i="275"/>
  <c r="B24" i="275"/>
  <c r="B23" i="275"/>
  <c r="B22" i="275"/>
  <c r="B21" i="275"/>
  <c r="B20" i="275"/>
  <c r="B19" i="275"/>
  <c r="B18" i="275"/>
  <c r="B17" i="275"/>
  <c r="B16" i="275"/>
  <c r="B15" i="275"/>
  <c r="B14" i="275"/>
  <c r="B13" i="275"/>
  <c r="B12" i="275"/>
  <c r="B11" i="275"/>
  <c r="B10" i="275"/>
  <c r="B9" i="275"/>
  <c r="B39" i="280"/>
  <c r="B38" i="280"/>
  <c r="B37" i="280"/>
  <c r="B36" i="280"/>
  <c r="B35" i="280"/>
  <c r="B34" i="280"/>
  <c r="B33" i="280"/>
  <c r="B32" i="280"/>
  <c r="B31" i="280"/>
  <c r="B30" i="280"/>
  <c r="B29" i="280"/>
  <c r="B28" i="280"/>
  <c r="B27" i="280"/>
  <c r="B26" i="280"/>
  <c r="B25" i="280"/>
  <c r="B24" i="280"/>
  <c r="B23" i="280"/>
  <c r="B22" i="280"/>
  <c r="B21" i="280"/>
  <c r="B20" i="280"/>
  <c r="B19" i="280"/>
  <c r="B18" i="280"/>
  <c r="B17" i="280"/>
  <c r="B16" i="280"/>
  <c r="B15" i="280"/>
  <c r="B14" i="280"/>
  <c r="B13" i="280"/>
  <c r="B12" i="280"/>
  <c r="B11" i="280"/>
  <c r="B10" i="280"/>
  <c r="B9" i="280"/>
  <c r="B39" i="277"/>
  <c r="B38" i="277"/>
  <c r="B37" i="277"/>
  <c r="B36" i="277"/>
  <c r="B35" i="277"/>
  <c r="B34" i="277"/>
  <c r="B33" i="277"/>
  <c r="B32" i="277"/>
  <c r="B31" i="277"/>
  <c r="B30" i="277"/>
  <c r="B29" i="277"/>
  <c r="B28" i="277"/>
  <c r="B27" i="277"/>
  <c r="B26" i="277"/>
  <c r="B25" i="277"/>
  <c r="B24" i="277"/>
  <c r="B23" i="277"/>
  <c r="B22" i="277"/>
  <c r="B21" i="277"/>
  <c r="B20" i="277"/>
  <c r="B19" i="277"/>
  <c r="B18" i="277"/>
  <c r="B17" i="277"/>
  <c r="B16" i="277"/>
  <c r="B15" i="277"/>
  <c r="B14" i="277"/>
  <c r="B13" i="277"/>
  <c r="B12" i="277"/>
  <c r="B11" i="277"/>
  <c r="B10" i="277"/>
  <c r="B9" i="277"/>
  <c r="B39" i="276"/>
  <c r="B38" i="276"/>
  <c r="B37" i="276"/>
  <c r="B36" i="276"/>
  <c r="B35" i="276"/>
  <c r="B34" i="276"/>
  <c r="B33" i="276"/>
  <c r="B32" i="276"/>
  <c r="B31" i="276"/>
  <c r="B30" i="276"/>
  <c r="B29" i="276"/>
  <c r="B28" i="276"/>
  <c r="B27" i="276"/>
  <c r="B26" i="276"/>
  <c r="B25" i="276"/>
  <c r="B24" i="276"/>
  <c r="B23" i="276"/>
  <c r="B22" i="276"/>
  <c r="B21" i="276"/>
  <c r="B20" i="276"/>
  <c r="B19" i="276"/>
  <c r="B18" i="276"/>
  <c r="B17" i="276"/>
  <c r="B16" i="276"/>
  <c r="B15" i="276"/>
  <c r="B14" i="276"/>
  <c r="B13" i="276"/>
  <c r="B12" i="276"/>
  <c r="B11" i="276"/>
  <c r="B10" i="276"/>
  <c r="B9" i="276"/>
  <c r="B39" i="271"/>
  <c r="B38" i="271"/>
  <c r="B37" i="271"/>
  <c r="B36" i="271"/>
  <c r="B35" i="271"/>
  <c r="B34" i="271"/>
  <c r="B33" i="271"/>
  <c r="B32" i="271"/>
  <c r="B31" i="271"/>
  <c r="B30" i="271"/>
  <c r="B29" i="271"/>
  <c r="B28" i="271"/>
  <c r="B27" i="271"/>
  <c r="B26" i="271"/>
  <c r="B25" i="271"/>
  <c r="B24" i="271"/>
  <c r="B23" i="271"/>
  <c r="B22" i="271"/>
  <c r="B21" i="271"/>
  <c r="B20" i="271"/>
  <c r="B19" i="271"/>
  <c r="B18" i="271"/>
  <c r="B17" i="271"/>
  <c r="B16" i="271"/>
  <c r="B15" i="271"/>
  <c r="B14" i="271"/>
  <c r="B13" i="271"/>
  <c r="B12" i="271"/>
  <c r="B11" i="271"/>
  <c r="B10" i="271"/>
  <c r="B9" i="271"/>
  <c r="B39" i="278"/>
  <c r="B38" i="278"/>
  <c r="B37" i="278"/>
  <c r="B36" i="278"/>
  <c r="B35" i="278"/>
  <c r="B34" i="278"/>
  <c r="B33" i="278"/>
  <c r="B32" i="278"/>
  <c r="B31" i="278"/>
  <c r="B30" i="278"/>
  <c r="B29" i="278"/>
  <c r="B28" i="278"/>
  <c r="B27" i="278"/>
  <c r="B26" i="278"/>
  <c r="B25" i="278"/>
  <c r="B24" i="278"/>
  <c r="B23" i="278"/>
  <c r="B22" i="278"/>
  <c r="B21" i="278"/>
  <c r="B20" i="278"/>
  <c r="B19" i="278"/>
  <c r="B18" i="278"/>
  <c r="B17" i="278"/>
  <c r="B16" i="278"/>
  <c r="B15" i="278"/>
  <c r="B14" i="278"/>
  <c r="B13" i="278"/>
  <c r="B12" i="278"/>
  <c r="B11" i="278"/>
  <c r="B10" i="278"/>
  <c r="B9" i="278"/>
  <c r="B39" i="225"/>
  <c r="B38" i="225"/>
  <c r="B37" i="225"/>
  <c r="B36" i="225"/>
  <c r="B35" i="225"/>
  <c r="B34" i="225"/>
  <c r="B33" i="225"/>
  <c r="B32" i="225"/>
  <c r="B31" i="225"/>
  <c r="B30" i="225"/>
  <c r="B29" i="225"/>
  <c r="B28" i="225"/>
  <c r="B27" i="225"/>
  <c r="B26" i="225"/>
  <c r="B25" i="225"/>
  <c r="B24" i="225"/>
  <c r="B23" i="225"/>
  <c r="B22" i="225"/>
  <c r="B21" i="225"/>
  <c r="B20" i="225"/>
  <c r="B19" i="225"/>
  <c r="B18" i="225"/>
  <c r="B17" i="225"/>
  <c r="B16" i="225"/>
  <c r="B15" i="225"/>
  <c r="B14" i="225"/>
  <c r="B13" i="225"/>
  <c r="B12" i="225"/>
  <c r="B11" i="225"/>
  <c r="B10" i="225"/>
  <c r="B9" i="225"/>
  <c r="B39" i="188"/>
  <c r="B38" i="188"/>
  <c r="B37" i="188"/>
  <c r="B36" i="188"/>
  <c r="B35" i="188"/>
  <c r="B34" i="188"/>
  <c r="B33" i="188"/>
  <c r="B32" i="188"/>
  <c r="B31" i="188"/>
  <c r="B30" i="188"/>
  <c r="B29" i="188"/>
  <c r="B28" i="188"/>
  <c r="B27" i="188"/>
  <c r="B26" i="188"/>
  <c r="B25" i="188"/>
  <c r="B24" i="188"/>
  <c r="B23" i="188"/>
  <c r="B22" i="188"/>
  <c r="B21" i="188"/>
  <c r="B20" i="188"/>
  <c r="B19" i="188"/>
  <c r="B18" i="188"/>
  <c r="B17" i="188"/>
  <c r="B16" i="188"/>
  <c r="B15" i="188"/>
  <c r="B14" i="188"/>
  <c r="B13" i="188"/>
  <c r="B12" i="188"/>
  <c r="B11" i="188"/>
  <c r="B10" i="188"/>
  <c r="B9" i="188"/>
  <c r="B39" i="226"/>
  <c r="B38" i="226"/>
  <c r="B37" i="226"/>
  <c r="B36" i="226"/>
  <c r="B35" i="226"/>
  <c r="B34" i="226"/>
  <c r="B33" i="226"/>
  <c r="B32" i="226"/>
  <c r="B31" i="226"/>
  <c r="B30" i="226"/>
  <c r="B29" i="226"/>
  <c r="B28" i="226"/>
  <c r="B27" i="226"/>
  <c r="B26" i="226"/>
  <c r="B25" i="226"/>
  <c r="B24" i="226"/>
  <c r="B23" i="226"/>
  <c r="B22" i="226"/>
  <c r="B21" i="226"/>
  <c r="B20" i="226"/>
  <c r="B19" i="226"/>
  <c r="B18" i="226"/>
  <c r="B17" i="226"/>
  <c r="B16" i="226"/>
  <c r="B15" i="226"/>
  <c r="B14" i="226"/>
  <c r="B13" i="226"/>
  <c r="B12" i="226"/>
  <c r="B11" i="226"/>
  <c r="B10" i="226"/>
  <c r="B9" i="226"/>
  <c r="B10" i="232"/>
  <c r="B11" i="232"/>
  <c r="B12" i="232"/>
  <c r="B13" i="232"/>
  <c r="B14" i="232"/>
  <c r="B15" i="232"/>
  <c r="B16" i="232"/>
  <c r="B17" i="232"/>
  <c r="B18" i="232"/>
  <c r="B19" i="232"/>
  <c r="B20" i="232"/>
  <c r="B21" i="232"/>
  <c r="B22" i="232"/>
  <c r="B23" i="232"/>
  <c r="B24" i="232"/>
  <c r="B25" i="232"/>
  <c r="B26" i="232"/>
  <c r="B27" i="232"/>
  <c r="B28" i="232"/>
  <c r="B29" i="232"/>
  <c r="B30" i="232"/>
  <c r="B31" i="232"/>
  <c r="B32" i="232"/>
  <c r="B33" i="232"/>
  <c r="B34" i="232"/>
  <c r="B35" i="232"/>
  <c r="B36" i="232"/>
  <c r="B37" i="232"/>
  <c r="B38" i="232"/>
  <c r="B39" i="232"/>
  <c r="B9" i="232"/>
  <c r="B39" i="182"/>
  <c r="B38" i="182"/>
  <c r="B37" i="182"/>
  <c r="B36" i="182"/>
  <c r="B35" i="182"/>
  <c r="B34" i="182"/>
  <c r="B33" i="182"/>
  <c r="B32" i="182"/>
  <c r="B31" i="182"/>
  <c r="B30" i="182"/>
  <c r="B29" i="182"/>
  <c r="B28" i="182"/>
  <c r="B27" i="182"/>
  <c r="B26" i="182"/>
  <c r="B25" i="182"/>
  <c r="B24" i="182"/>
  <c r="B23" i="182"/>
  <c r="B22" i="182"/>
  <c r="B21" i="182"/>
  <c r="B20" i="182"/>
  <c r="B19" i="182"/>
  <c r="B18" i="182"/>
  <c r="B17" i="182"/>
  <c r="B16" i="182"/>
  <c r="B15" i="182"/>
  <c r="B14" i="182"/>
  <c r="B13" i="182"/>
  <c r="B12" i="182"/>
  <c r="B11" i="182"/>
  <c r="B10" i="182"/>
  <c r="B9" i="182"/>
  <c r="B39" i="181"/>
  <c r="B38" i="181"/>
  <c r="B37" i="181"/>
  <c r="B36" i="181"/>
  <c r="B35" i="181"/>
  <c r="B34" i="181"/>
  <c r="B33" i="181"/>
  <c r="B32" i="181"/>
  <c r="B31" i="181"/>
  <c r="B30" i="181"/>
  <c r="B29" i="181"/>
  <c r="B28" i="181"/>
  <c r="B27" i="181"/>
  <c r="B26" i="181"/>
  <c r="B25" i="181"/>
  <c r="B24" i="181"/>
  <c r="B23" i="181"/>
  <c r="B22" i="181"/>
  <c r="B21" i="181"/>
  <c r="B20" i="181"/>
  <c r="B19" i="181"/>
  <c r="B18" i="181"/>
  <c r="B17" i="181"/>
  <c r="B16" i="181"/>
  <c r="B15" i="181"/>
  <c r="B14" i="181"/>
  <c r="B13" i="181"/>
  <c r="B12" i="181"/>
  <c r="B11" i="181"/>
  <c r="B10" i="181"/>
  <c r="B9" i="181"/>
  <c r="B39" i="218"/>
  <c r="B38" i="218"/>
  <c r="B37" i="218"/>
  <c r="B36" i="218"/>
  <c r="B35" i="218"/>
  <c r="B34" i="218"/>
  <c r="B33" i="218"/>
  <c r="B32" i="218"/>
  <c r="B31" i="218"/>
  <c r="B30" i="218"/>
  <c r="B29" i="218"/>
  <c r="B28" i="218"/>
  <c r="B27" i="218"/>
  <c r="B26" i="218"/>
  <c r="B25" i="218"/>
  <c r="B24" i="218"/>
  <c r="B23" i="218"/>
  <c r="B22" i="218"/>
  <c r="B21" i="218"/>
  <c r="B20" i="218"/>
  <c r="B19" i="218"/>
  <c r="B18" i="218"/>
  <c r="B17" i="218"/>
  <c r="B16" i="218"/>
  <c r="B15" i="218"/>
  <c r="B14" i="218"/>
  <c r="B13" i="218"/>
  <c r="B12" i="218"/>
  <c r="B11" i="218"/>
  <c r="B10" i="218"/>
  <c r="B9" i="218"/>
  <c r="B39" i="180"/>
  <c r="B38" i="180"/>
  <c r="B37" i="180"/>
  <c r="B36" i="180"/>
  <c r="B35" i="180"/>
  <c r="B34" i="180"/>
  <c r="B33" i="180"/>
  <c r="B32" i="180"/>
  <c r="B31" i="180"/>
  <c r="B30" i="180"/>
  <c r="B29" i="180"/>
  <c r="B28" i="180"/>
  <c r="B27" i="180"/>
  <c r="B26" i="180"/>
  <c r="B25" i="180"/>
  <c r="B24" i="180"/>
  <c r="B23" i="180"/>
  <c r="B22" i="180"/>
  <c r="B21" i="180"/>
  <c r="B20" i="180"/>
  <c r="B19" i="180"/>
  <c r="B18" i="180"/>
  <c r="B17" i="180"/>
  <c r="B16" i="180"/>
  <c r="B15" i="180"/>
  <c r="B14" i="180"/>
  <c r="B13" i="180"/>
  <c r="B12" i="180"/>
  <c r="B11" i="180"/>
  <c r="B10" i="180"/>
  <c r="B9" i="180"/>
  <c r="B39" i="216"/>
  <c r="B38" i="216"/>
  <c r="B37" i="216"/>
  <c r="B36" i="216"/>
  <c r="B35" i="216"/>
  <c r="B34" i="216"/>
  <c r="B33" i="216"/>
  <c r="B32" i="216"/>
  <c r="B31" i="216"/>
  <c r="B30" i="216"/>
  <c r="B29" i="216"/>
  <c r="B28" i="216"/>
  <c r="B27" i="216"/>
  <c r="B26" i="216"/>
  <c r="B25" i="216"/>
  <c r="B24" i="216"/>
  <c r="B23" i="216"/>
  <c r="B22" i="216"/>
  <c r="B21" i="216"/>
  <c r="B20" i="216"/>
  <c r="B19" i="216"/>
  <c r="B18" i="216"/>
  <c r="B17" i="216"/>
  <c r="B16" i="216"/>
  <c r="B15" i="216"/>
  <c r="B14" i="216"/>
  <c r="B13" i="216"/>
  <c r="B12" i="216"/>
  <c r="B11" i="216"/>
  <c r="B10" i="216"/>
  <c r="B9" i="216"/>
  <c r="B39" i="215"/>
  <c r="B38" i="215"/>
  <c r="B37" i="215"/>
  <c r="B36" i="215"/>
  <c r="B35" i="215"/>
  <c r="B34" i="215"/>
  <c r="B33" i="215"/>
  <c r="B32" i="215"/>
  <c r="B31" i="215"/>
  <c r="B30" i="215"/>
  <c r="B29" i="215"/>
  <c r="B28" i="215"/>
  <c r="B27" i="215"/>
  <c r="B26" i="215"/>
  <c r="B25" i="215"/>
  <c r="B24" i="215"/>
  <c r="B23" i="215"/>
  <c r="B22" i="215"/>
  <c r="B21" i="215"/>
  <c r="B20" i="215"/>
  <c r="B19" i="215"/>
  <c r="B18" i="215"/>
  <c r="B17" i="215"/>
  <c r="B16" i="215"/>
  <c r="B15" i="215"/>
  <c r="B14" i="215"/>
  <c r="B13" i="215"/>
  <c r="B12" i="215"/>
  <c r="B11" i="215"/>
  <c r="B10" i="215"/>
  <c r="B9" i="215"/>
  <c r="B39" i="214"/>
  <c r="B38" i="214"/>
  <c r="B37" i="214"/>
  <c r="B36" i="214"/>
  <c r="B35" i="214"/>
  <c r="B34" i="214"/>
  <c r="B33" i="214"/>
  <c r="B32" i="214"/>
  <c r="B31" i="214"/>
  <c r="B30" i="214"/>
  <c r="B29" i="214"/>
  <c r="B28" i="214"/>
  <c r="B27" i="214"/>
  <c r="B26" i="214"/>
  <c r="B25" i="214"/>
  <c r="B24" i="214"/>
  <c r="B23" i="214"/>
  <c r="B22" i="214"/>
  <c r="B21" i="214"/>
  <c r="B20" i="214"/>
  <c r="B19" i="214"/>
  <c r="B18" i="214"/>
  <c r="B17" i="214"/>
  <c r="B16" i="214"/>
  <c r="B15" i="214"/>
  <c r="B14" i="214"/>
  <c r="B13" i="214"/>
  <c r="B12" i="214"/>
  <c r="B11" i="214"/>
  <c r="B10" i="214"/>
  <c r="B9" i="214"/>
  <c r="B39" i="213"/>
  <c r="B38" i="213"/>
  <c r="B37" i="213"/>
  <c r="B36" i="213"/>
  <c r="B35" i="213"/>
  <c r="B34" i="213"/>
  <c r="B33" i="213"/>
  <c r="B32" i="213"/>
  <c r="B31" i="213"/>
  <c r="B30" i="213"/>
  <c r="B29" i="213"/>
  <c r="B28" i="213"/>
  <c r="B27" i="213"/>
  <c r="B26" i="213"/>
  <c r="B25" i="213"/>
  <c r="B24" i="213"/>
  <c r="B23" i="213"/>
  <c r="B22" i="213"/>
  <c r="B21" i="213"/>
  <c r="B20" i="213"/>
  <c r="B19" i="213"/>
  <c r="B18" i="213"/>
  <c r="B17" i="213"/>
  <c r="B16" i="213"/>
  <c r="B15" i="213"/>
  <c r="B14" i="213"/>
  <c r="B13" i="213"/>
  <c r="B12" i="213"/>
  <c r="B11" i="213"/>
  <c r="B10" i="213"/>
  <c r="B9" i="213"/>
  <c r="B39" i="212"/>
  <c r="B38" i="212"/>
  <c r="B37" i="212"/>
  <c r="B36" i="212"/>
  <c r="B35" i="212"/>
  <c r="B34" i="212"/>
  <c r="B33" i="212"/>
  <c r="B32" i="212"/>
  <c r="B31" i="212"/>
  <c r="B30" i="212"/>
  <c r="B29" i="212"/>
  <c r="B28" i="212"/>
  <c r="B27" i="212"/>
  <c r="B26" i="212"/>
  <c r="B25" i="212"/>
  <c r="B24" i="212"/>
  <c r="B23" i="212"/>
  <c r="B22" i="212"/>
  <c r="B21" i="212"/>
  <c r="B20" i="212"/>
  <c r="B19" i="212"/>
  <c r="B18" i="212"/>
  <c r="B17" i="212"/>
  <c r="B16" i="212"/>
  <c r="B15" i="212"/>
  <c r="B14" i="212"/>
  <c r="B13" i="212"/>
  <c r="B12" i="212"/>
  <c r="B11" i="212"/>
  <c r="B10" i="212"/>
  <c r="B9" i="212"/>
  <c r="B39" i="211"/>
  <c r="B35" i="211"/>
  <c r="B34" i="211"/>
  <c r="B33" i="211"/>
  <c r="B32" i="211"/>
  <c r="B31" i="211"/>
  <c r="B30" i="211"/>
  <c r="B29" i="211"/>
  <c r="B28" i="211"/>
  <c r="B27" i="211"/>
  <c r="B26" i="211"/>
  <c r="B25" i="211"/>
  <c r="B24" i="211"/>
  <c r="B23" i="211"/>
  <c r="B22" i="211"/>
  <c r="B21" i="211"/>
  <c r="B20" i="211"/>
  <c r="B19" i="211"/>
  <c r="B18" i="211"/>
  <c r="B17" i="211"/>
  <c r="B16" i="211"/>
  <c r="B15" i="211"/>
  <c r="B14" i="211"/>
  <c r="B13" i="211"/>
  <c r="B12" i="211"/>
  <c r="B11" i="211"/>
  <c r="B10" i="211"/>
  <c r="B9" i="211"/>
  <c r="B39" i="245"/>
  <c r="B38" i="245"/>
  <c r="B37" i="245"/>
  <c r="B36" i="245"/>
  <c r="B35" i="245"/>
  <c r="B34" i="245"/>
  <c r="B33" i="245"/>
  <c r="B32" i="245"/>
  <c r="B31" i="245"/>
  <c r="B30" i="245"/>
  <c r="B29" i="245"/>
  <c r="B28" i="245"/>
  <c r="B27" i="245"/>
  <c r="B26" i="245"/>
  <c r="B25" i="245"/>
  <c r="B24" i="245"/>
  <c r="B23" i="245"/>
  <c r="B22" i="245"/>
  <c r="B21" i="245"/>
  <c r="B20" i="245"/>
  <c r="B19" i="245"/>
  <c r="B18" i="245"/>
  <c r="B17" i="245"/>
  <c r="B16" i="245"/>
  <c r="B15" i="245"/>
  <c r="B14" i="245"/>
  <c r="B13" i="245"/>
  <c r="B12" i="245"/>
  <c r="B11" i="245"/>
  <c r="B10" i="245"/>
  <c r="B9" i="245"/>
  <c r="B39" i="204"/>
  <c r="K39" i="204" s="1"/>
  <c r="B38" i="204"/>
  <c r="K38" i="204" s="1"/>
  <c r="B37" i="204"/>
  <c r="K37" i="204" s="1"/>
  <c r="B36" i="204"/>
  <c r="K36" i="204" s="1"/>
  <c r="B35" i="204"/>
  <c r="K35" i="204" s="1"/>
  <c r="B34" i="204"/>
  <c r="K34" i="204" s="1"/>
  <c r="B33" i="204"/>
  <c r="K33" i="204" s="1"/>
  <c r="B32" i="204"/>
  <c r="K32" i="204" s="1"/>
  <c r="B31" i="204"/>
  <c r="K31" i="204" s="1"/>
  <c r="B30" i="204"/>
  <c r="K30" i="204" s="1"/>
  <c r="B29" i="204"/>
  <c r="K29" i="204" s="1"/>
  <c r="B28" i="204"/>
  <c r="K28" i="204" s="1"/>
  <c r="B27" i="204"/>
  <c r="K27" i="204" s="1"/>
  <c r="B26" i="204"/>
  <c r="K26" i="204" s="1"/>
  <c r="B25" i="204"/>
  <c r="K25" i="204" s="1"/>
  <c r="B24" i="204"/>
  <c r="K24" i="204" s="1"/>
  <c r="B23" i="204"/>
  <c r="K23" i="204" s="1"/>
  <c r="B22" i="204"/>
  <c r="K22" i="204" s="1"/>
  <c r="B21" i="204"/>
  <c r="K21" i="204" s="1"/>
  <c r="B20" i="204"/>
  <c r="K20" i="204" s="1"/>
  <c r="B19" i="204"/>
  <c r="K19" i="204" s="1"/>
  <c r="B18" i="204"/>
  <c r="K18" i="204" s="1"/>
  <c r="B17" i="204"/>
  <c r="K17" i="204" s="1"/>
  <c r="B16" i="204"/>
  <c r="K16" i="204" s="1"/>
  <c r="B15" i="204"/>
  <c r="K15" i="204" s="1"/>
  <c r="B14" i="204"/>
  <c r="K14" i="204" s="1"/>
  <c r="B13" i="204"/>
  <c r="K13" i="204" s="1"/>
  <c r="B12" i="204"/>
  <c r="K12" i="204" s="1"/>
  <c r="B11" i="204"/>
  <c r="K11" i="204" s="1"/>
  <c r="B10" i="204"/>
  <c r="K10" i="204" s="1"/>
  <c r="B9" i="204"/>
  <c r="K9" i="204" s="1"/>
  <c r="B39" i="240"/>
  <c r="L39" i="240" s="1"/>
  <c r="B38" i="240"/>
  <c r="L38" i="240" s="1"/>
  <c r="B37" i="240"/>
  <c r="L37" i="240" s="1"/>
  <c r="B36" i="240"/>
  <c r="L36" i="240" s="1"/>
  <c r="B35" i="240"/>
  <c r="L35" i="240" s="1"/>
  <c r="B34" i="240"/>
  <c r="L34" i="240" s="1"/>
  <c r="B33" i="240"/>
  <c r="L33" i="240" s="1"/>
  <c r="B32" i="240"/>
  <c r="L32" i="240" s="1"/>
  <c r="B31" i="240"/>
  <c r="L31" i="240" s="1"/>
  <c r="B30" i="240"/>
  <c r="L30" i="240" s="1"/>
  <c r="B29" i="240"/>
  <c r="L29" i="240" s="1"/>
  <c r="B28" i="240"/>
  <c r="L28" i="240" s="1"/>
  <c r="B27" i="240"/>
  <c r="L27" i="240" s="1"/>
  <c r="B26" i="240"/>
  <c r="L26" i="240" s="1"/>
  <c r="B25" i="240"/>
  <c r="L25" i="240" s="1"/>
  <c r="B24" i="240"/>
  <c r="L24" i="240" s="1"/>
  <c r="B23" i="240"/>
  <c r="L23" i="240" s="1"/>
  <c r="B22" i="240"/>
  <c r="L22" i="240" s="1"/>
  <c r="B21" i="240"/>
  <c r="L21" i="240" s="1"/>
  <c r="B20" i="240"/>
  <c r="L20" i="240" s="1"/>
  <c r="B19" i="240"/>
  <c r="L19" i="240" s="1"/>
  <c r="B18" i="240"/>
  <c r="L18" i="240" s="1"/>
  <c r="B17" i="240"/>
  <c r="L17" i="240" s="1"/>
  <c r="B16" i="240"/>
  <c r="L16" i="240" s="1"/>
  <c r="B15" i="240"/>
  <c r="L15" i="240" s="1"/>
  <c r="B14" i="240"/>
  <c r="L14" i="240" s="1"/>
  <c r="B13" i="240"/>
  <c r="L13" i="240" s="1"/>
  <c r="B12" i="240"/>
  <c r="L12" i="240" s="1"/>
  <c r="B11" i="240"/>
  <c r="L11" i="240" s="1"/>
  <c r="B10" i="240"/>
  <c r="L10" i="240" s="1"/>
  <c r="B9" i="240"/>
  <c r="L9" i="240" s="1"/>
  <c r="B39" i="242"/>
  <c r="B38" i="242"/>
  <c r="B37" i="242"/>
  <c r="B36" i="242"/>
  <c r="B35" i="242"/>
  <c r="B34" i="242"/>
  <c r="B33" i="242"/>
  <c r="B32" i="242"/>
  <c r="B31" i="242"/>
  <c r="B30" i="242"/>
  <c r="B29" i="242"/>
  <c r="B28" i="242"/>
  <c r="B27" i="242"/>
  <c r="B26" i="242"/>
  <c r="B25" i="242"/>
  <c r="B24" i="242"/>
  <c r="B23" i="242"/>
  <c r="B22" i="242"/>
  <c r="B21" i="242"/>
  <c r="B20" i="242"/>
  <c r="B19" i="242"/>
  <c r="B18" i="242"/>
  <c r="B17" i="242"/>
  <c r="B16" i="242"/>
  <c r="B15" i="242"/>
  <c r="B14" i="242"/>
  <c r="B13" i="242"/>
  <c r="B12" i="242"/>
  <c r="B11" i="242"/>
  <c r="B10" i="242"/>
  <c r="B9" i="242"/>
  <c r="B39" i="294"/>
  <c r="L39" i="294" s="1"/>
  <c r="B38" i="294"/>
  <c r="L38" i="294" s="1"/>
  <c r="B37" i="294"/>
  <c r="L37" i="294" s="1"/>
  <c r="B36" i="294"/>
  <c r="L36" i="294" s="1"/>
  <c r="B35" i="294"/>
  <c r="L35" i="294" s="1"/>
  <c r="B34" i="294"/>
  <c r="L34" i="294" s="1"/>
  <c r="B33" i="294"/>
  <c r="L33" i="294" s="1"/>
  <c r="B32" i="294"/>
  <c r="L32" i="294" s="1"/>
  <c r="B31" i="294"/>
  <c r="L31" i="294" s="1"/>
  <c r="B30" i="294"/>
  <c r="L30" i="294" s="1"/>
  <c r="B29" i="294"/>
  <c r="L29" i="294" s="1"/>
  <c r="B28" i="294"/>
  <c r="L28" i="294" s="1"/>
  <c r="B27" i="294"/>
  <c r="L27" i="294" s="1"/>
  <c r="B26" i="294"/>
  <c r="L26" i="294" s="1"/>
  <c r="B25" i="294"/>
  <c r="L25" i="294" s="1"/>
  <c r="B24" i="294"/>
  <c r="L24" i="294" s="1"/>
  <c r="B23" i="294"/>
  <c r="L23" i="294" s="1"/>
  <c r="B22" i="294"/>
  <c r="L22" i="294" s="1"/>
  <c r="B21" i="294"/>
  <c r="L21" i="294" s="1"/>
  <c r="B20" i="294"/>
  <c r="L20" i="294" s="1"/>
  <c r="B19" i="294"/>
  <c r="L19" i="294" s="1"/>
  <c r="B18" i="294"/>
  <c r="L18" i="294" s="1"/>
  <c r="B17" i="294"/>
  <c r="L17" i="294" s="1"/>
  <c r="B16" i="294"/>
  <c r="L16" i="294" s="1"/>
  <c r="B15" i="294"/>
  <c r="L15" i="294" s="1"/>
  <c r="B14" i="294"/>
  <c r="L14" i="294" s="1"/>
  <c r="B13" i="294"/>
  <c r="L13" i="294" s="1"/>
  <c r="B12" i="294"/>
  <c r="L12" i="294" s="1"/>
  <c r="B11" i="294"/>
  <c r="L11" i="294" s="1"/>
  <c r="B10" i="294"/>
  <c r="L10" i="294" s="1"/>
  <c r="B9" i="294"/>
  <c r="L9" i="294" s="1"/>
  <c r="B39" i="264"/>
  <c r="L39" i="264" s="1"/>
  <c r="B38" i="264"/>
  <c r="L38" i="264" s="1"/>
  <c r="B37" i="264"/>
  <c r="L37" i="264" s="1"/>
  <c r="B36" i="264"/>
  <c r="L36" i="264" s="1"/>
  <c r="B35" i="264"/>
  <c r="L35" i="264" s="1"/>
  <c r="B34" i="264"/>
  <c r="L34" i="264" s="1"/>
  <c r="B33" i="264"/>
  <c r="L33" i="264" s="1"/>
  <c r="B32" i="264"/>
  <c r="L32" i="264" s="1"/>
  <c r="B31" i="264"/>
  <c r="L31" i="264" s="1"/>
  <c r="B30" i="264"/>
  <c r="L30" i="264" s="1"/>
  <c r="B29" i="264"/>
  <c r="L29" i="264" s="1"/>
  <c r="B28" i="264"/>
  <c r="L28" i="264" s="1"/>
  <c r="B27" i="264"/>
  <c r="L27" i="264" s="1"/>
  <c r="B26" i="264"/>
  <c r="L26" i="264" s="1"/>
  <c r="B25" i="264"/>
  <c r="L25" i="264" s="1"/>
  <c r="B24" i="264"/>
  <c r="L24" i="264" s="1"/>
  <c r="B23" i="264"/>
  <c r="L23" i="264" s="1"/>
  <c r="B22" i="264"/>
  <c r="L22" i="264" s="1"/>
  <c r="B21" i="264"/>
  <c r="L21" i="264" s="1"/>
  <c r="B20" i="264"/>
  <c r="L20" i="264" s="1"/>
  <c r="B19" i="264"/>
  <c r="L19" i="264" s="1"/>
  <c r="B18" i="264"/>
  <c r="L18" i="264" s="1"/>
  <c r="B17" i="264"/>
  <c r="L17" i="264" s="1"/>
  <c r="B16" i="264"/>
  <c r="L16" i="264" s="1"/>
  <c r="B15" i="264"/>
  <c r="L15" i="264" s="1"/>
  <c r="B14" i="264"/>
  <c r="L14" i="264" s="1"/>
  <c r="B13" i="264"/>
  <c r="L13" i="264" s="1"/>
  <c r="B12" i="264"/>
  <c r="L12" i="264" s="1"/>
  <c r="B11" i="264"/>
  <c r="L11" i="264" s="1"/>
  <c r="B10" i="264"/>
  <c r="L10" i="264" s="1"/>
  <c r="B9" i="264"/>
  <c r="L9" i="264" s="1"/>
  <c r="B39" i="223"/>
  <c r="B38" i="223"/>
  <c r="B37" i="223"/>
  <c r="B36" i="223"/>
  <c r="B35" i="223"/>
  <c r="B34" i="223"/>
  <c r="B33" i="223"/>
  <c r="B32" i="223"/>
  <c r="B31" i="223"/>
  <c r="B30" i="223"/>
  <c r="B29" i="223"/>
  <c r="B28" i="223"/>
  <c r="B27" i="223"/>
  <c r="B26" i="223"/>
  <c r="B25" i="223"/>
  <c r="B24" i="223"/>
  <c r="B23" i="223"/>
  <c r="B22" i="223"/>
  <c r="B21" i="223"/>
  <c r="B20" i="223"/>
  <c r="B19" i="223"/>
  <c r="B18" i="223"/>
  <c r="B17" i="223"/>
  <c r="B16" i="223"/>
  <c r="B15" i="223"/>
  <c r="B14" i="223"/>
  <c r="B13" i="223"/>
  <c r="B12" i="223"/>
  <c r="B11" i="223"/>
  <c r="B10" i="223"/>
  <c r="B9" i="223"/>
  <c r="B39" i="314"/>
  <c r="B38" i="314"/>
  <c r="B37" i="314"/>
  <c r="B36" i="314"/>
  <c r="B35" i="314"/>
  <c r="B34" i="314"/>
  <c r="B33" i="314"/>
  <c r="B32" i="314"/>
  <c r="B31" i="314"/>
  <c r="B30" i="314"/>
  <c r="B29" i="314"/>
  <c r="B28" i="314"/>
  <c r="B27" i="314"/>
  <c r="B26" i="314"/>
  <c r="B25" i="314"/>
  <c r="B24" i="314"/>
  <c r="B23" i="314"/>
  <c r="B22" i="314"/>
  <c r="B21" i="314"/>
  <c r="B20" i="314"/>
  <c r="B19" i="314"/>
  <c r="B18" i="314"/>
  <c r="B17" i="314"/>
  <c r="B16" i="314"/>
  <c r="B15" i="314"/>
  <c r="B14" i="314"/>
  <c r="B13" i="314"/>
  <c r="B12" i="314"/>
  <c r="B11" i="314"/>
  <c r="B10" i="314"/>
  <c r="B9" i="314"/>
  <c r="B39" i="313"/>
  <c r="B38" i="313"/>
  <c r="B37" i="313"/>
  <c r="B36" i="313"/>
  <c r="B35" i="313"/>
  <c r="B34" i="313"/>
  <c r="B33" i="313"/>
  <c r="B32" i="313"/>
  <c r="B31" i="313"/>
  <c r="B30" i="313"/>
  <c r="B29" i="313"/>
  <c r="B28" i="313"/>
  <c r="B27" i="313"/>
  <c r="B26" i="313"/>
  <c r="B25" i="313"/>
  <c r="B24" i="313"/>
  <c r="B23" i="313"/>
  <c r="B22" i="313"/>
  <c r="B21" i="313"/>
  <c r="B20" i="313"/>
  <c r="B19" i="313"/>
  <c r="B18" i="313"/>
  <c r="B17" i="313"/>
  <c r="B16" i="313"/>
  <c r="B15" i="313"/>
  <c r="B14" i="313"/>
  <c r="B13" i="313"/>
  <c r="B12" i="313"/>
  <c r="B11" i="313"/>
  <c r="B10" i="313"/>
  <c r="B9" i="313"/>
  <c r="B39" i="246"/>
  <c r="B38" i="246"/>
  <c r="B37" i="246"/>
  <c r="B36" i="246"/>
  <c r="B35" i="246"/>
  <c r="B34" i="246"/>
  <c r="B33" i="246"/>
  <c r="B32" i="246"/>
  <c r="B31" i="246"/>
  <c r="B30" i="246"/>
  <c r="B29" i="246"/>
  <c r="B28" i="246"/>
  <c r="B27" i="246"/>
  <c r="B26" i="246"/>
  <c r="B25" i="246"/>
  <c r="B24" i="246"/>
  <c r="B23" i="246"/>
  <c r="B22" i="246"/>
  <c r="B21" i="246"/>
  <c r="B20" i="246"/>
  <c r="B19" i="246"/>
  <c r="B18" i="246"/>
  <c r="B17" i="246"/>
  <c r="B16" i="246"/>
  <c r="B15" i="246"/>
  <c r="B14" i="246"/>
  <c r="B13" i="246"/>
  <c r="B12" i="246"/>
  <c r="B11" i="246"/>
  <c r="B10" i="246"/>
  <c r="B9" i="246"/>
  <c r="B39" i="312"/>
  <c r="B38" i="312"/>
  <c r="B37" i="312"/>
  <c r="B36" i="312"/>
  <c r="B35" i="312"/>
  <c r="B34" i="312"/>
  <c r="B33" i="312"/>
  <c r="B32" i="312"/>
  <c r="B31" i="312"/>
  <c r="B30" i="312"/>
  <c r="B29" i="312"/>
  <c r="B28" i="312"/>
  <c r="B27" i="312"/>
  <c r="B26" i="312"/>
  <c r="B25" i="312"/>
  <c r="B24" i="312"/>
  <c r="B23" i="312"/>
  <c r="B22" i="312"/>
  <c r="B21" i="312"/>
  <c r="B20" i="312"/>
  <c r="B19" i="312"/>
  <c r="B18" i="312"/>
  <c r="B17" i="312"/>
  <c r="B16" i="312"/>
  <c r="B15" i="312"/>
  <c r="B14" i="312"/>
  <c r="B13" i="312"/>
  <c r="B12" i="312"/>
  <c r="B11" i="312"/>
  <c r="B10" i="312"/>
  <c r="B9" i="312"/>
  <c r="B39" i="282"/>
  <c r="B38" i="282"/>
  <c r="B37" i="282"/>
  <c r="B36" i="282"/>
  <c r="B35" i="282"/>
  <c r="B34" i="282"/>
  <c r="B33" i="282"/>
  <c r="B32" i="282"/>
  <c r="B31" i="282"/>
  <c r="B30" i="282"/>
  <c r="B29" i="282"/>
  <c r="B28" i="282"/>
  <c r="B27" i="282"/>
  <c r="B26" i="282"/>
  <c r="B25" i="282"/>
  <c r="B24" i="282"/>
  <c r="B23" i="282"/>
  <c r="B22" i="282"/>
  <c r="B21" i="282"/>
  <c r="B20" i="282"/>
  <c r="B19" i="282"/>
  <c r="B18" i="282"/>
  <c r="B17" i="282"/>
  <c r="B16" i="282"/>
  <c r="B15" i="282"/>
  <c r="B14" i="282"/>
  <c r="B13" i="282"/>
  <c r="B12" i="282"/>
  <c r="B11" i="282"/>
  <c r="B10" i="282"/>
  <c r="B9" i="282"/>
  <c r="B39" i="249"/>
  <c r="B38" i="249"/>
  <c r="B37" i="249"/>
  <c r="B36" i="249"/>
  <c r="B35" i="249"/>
  <c r="B34" i="249"/>
  <c r="B33" i="249"/>
  <c r="B32" i="249"/>
  <c r="B31" i="249"/>
  <c r="B30" i="249"/>
  <c r="B29" i="249"/>
  <c r="B28" i="249"/>
  <c r="B27" i="249"/>
  <c r="B26" i="249"/>
  <c r="B25" i="249"/>
  <c r="B24" i="249"/>
  <c r="B23" i="249"/>
  <c r="B22" i="249"/>
  <c r="B21" i="249"/>
  <c r="B20" i="249"/>
  <c r="B19" i="249"/>
  <c r="B18" i="249"/>
  <c r="B17" i="249"/>
  <c r="B16" i="249"/>
  <c r="B15" i="249"/>
  <c r="B14" i="249"/>
  <c r="B13" i="249"/>
  <c r="B12" i="249"/>
  <c r="B11" i="249"/>
  <c r="B10" i="249"/>
  <c r="B9" i="249"/>
  <c r="B39" i="221"/>
  <c r="B38" i="221"/>
  <c r="B37" i="221"/>
  <c r="B36" i="221"/>
  <c r="B35" i="221"/>
  <c r="B34" i="221"/>
  <c r="B33" i="221"/>
  <c r="B32" i="221"/>
  <c r="B31" i="221"/>
  <c r="B30" i="221"/>
  <c r="B29" i="221"/>
  <c r="B28" i="221"/>
  <c r="B27" i="221"/>
  <c r="B26" i="221"/>
  <c r="B25" i="221"/>
  <c r="B24" i="221"/>
  <c r="B23" i="221"/>
  <c r="B22" i="221"/>
  <c r="B21" i="221"/>
  <c r="B20" i="221"/>
  <c r="B19" i="221"/>
  <c r="B18" i="221"/>
  <c r="B17" i="221"/>
  <c r="B16" i="221"/>
  <c r="B15" i="221"/>
  <c r="B14" i="221"/>
  <c r="B13" i="221"/>
  <c r="B12" i="221"/>
  <c r="B11" i="221"/>
  <c r="B10" i="221"/>
  <c r="B9" i="221"/>
  <c r="B39" i="296"/>
  <c r="B38" i="296"/>
  <c r="B37" i="296"/>
  <c r="B36" i="296"/>
  <c r="B35" i="296"/>
  <c r="B34" i="296"/>
  <c r="B33" i="296"/>
  <c r="B32" i="296"/>
  <c r="B31" i="296"/>
  <c r="B30" i="296"/>
  <c r="B29" i="296"/>
  <c r="B28" i="296"/>
  <c r="B27" i="296"/>
  <c r="B26" i="296"/>
  <c r="B25" i="296"/>
  <c r="B24" i="296"/>
  <c r="B23" i="296"/>
  <c r="B22" i="296"/>
  <c r="B21" i="296"/>
  <c r="B20" i="296"/>
  <c r="B19" i="296"/>
  <c r="B18" i="296"/>
  <c r="B17" i="296"/>
  <c r="B16" i="296"/>
  <c r="B15" i="296"/>
  <c r="B14" i="296"/>
  <c r="B13" i="296"/>
  <c r="B12" i="296"/>
  <c r="B11" i="296"/>
  <c r="B10" i="296"/>
  <c r="B9" i="296"/>
  <c r="B39" i="300"/>
  <c r="B38" i="300"/>
  <c r="B37" i="300"/>
  <c r="B36" i="300"/>
  <c r="B35" i="300"/>
  <c r="B34" i="300"/>
  <c r="B33" i="300"/>
  <c r="B32" i="300"/>
  <c r="B31" i="300"/>
  <c r="B30" i="300"/>
  <c r="B29" i="300"/>
  <c r="B28" i="300"/>
  <c r="B27" i="300"/>
  <c r="B26" i="300"/>
  <c r="B25" i="300"/>
  <c r="B24" i="300"/>
  <c r="B23" i="300"/>
  <c r="B22" i="300"/>
  <c r="B21" i="300"/>
  <c r="B20" i="300"/>
  <c r="B19" i="300"/>
  <c r="B18" i="300"/>
  <c r="B17" i="300"/>
  <c r="B16" i="300"/>
  <c r="B15" i="300"/>
  <c r="B14" i="300"/>
  <c r="B13" i="300"/>
  <c r="B12" i="300"/>
  <c r="B11" i="300"/>
  <c r="B10" i="300"/>
  <c r="B9" i="300"/>
  <c r="B39" i="220"/>
  <c r="B38" i="220"/>
  <c r="B37" i="220"/>
  <c r="B36" i="220"/>
  <c r="B35" i="220"/>
  <c r="B34" i="220"/>
  <c r="B33" i="220"/>
  <c r="B32" i="220"/>
  <c r="B31" i="220"/>
  <c r="B30" i="220"/>
  <c r="B29" i="220"/>
  <c r="B28" i="220"/>
  <c r="B27" i="220"/>
  <c r="B26" i="220"/>
  <c r="B25" i="220"/>
  <c r="B24" i="220"/>
  <c r="B23" i="220"/>
  <c r="B22" i="220"/>
  <c r="B21" i="220"/>
  <c r="B20" i="220"/>
  <c r="B19" i="220"/>
  <c r="B18" i="220"/>
  <c r="B17" i="220"/>
  <c r="B16" i="220"/>
  <c r="B15" i="220"/>
  <c r="B14" i="220"/>
  <c r="B13" i="220"/>
  <c r="B12" i="220"/>
  <c r="B11" i="220"/>
  <c r="B10" i="220"/>
  <c r="B9" i="220"/>
  <c r="B39" i="297"/>
  <c r="B38" i="297"/>
  <c r="B37" i="297"/>
  <c r="B36" i="297"/>
  <c r="B35" i="297"/>
  <c r="B34" i="297"/>
  <c r="B33" i="297"/>
  <c r="B32" i="297"/>
  <c r="B31" i="297"/>
  <c r="B30" i="297"/>
  <c r="B29" i="297"/>
  <c r="B28" i="297"/>
  <c r="B27" i="297"/>
  <c r="B26" i="297"/>
  <c r="B25" i="297"/>
  <c r="B24" i="297"/>
  <c r="B23" i="297"/>
  <c r="B22" i="297"/>
  <c r="B21" i="297"/>
  <c r="B20" i="297"/>
  <c r="B19" i="297"/>
  <c r="B18" i="297"/>
  <c r="B17" i="297"/>
  <c r="B16" i="297"/>
  <c r="B15" i="297"/>
  <c r="B14" i="297"/>
  <c r="B13" i="297"/>
  <c r="B12" i="297"/>
  <c r="B11" i="297"/>
  <c r="B10" i="297"/>
  <c r="B9" i="297"/>
  <c r="B39" i="247"/>
  <c r="B38" i="247"/>
  <c r="B37" i="247"/>
  <c r="B36" i="247"/>
  <c r="B35" i="247"/>
  <c r="B34" i="247"/>
  <c r="B33" i="247"/>
  <c r="B32" i="247"/>
  <c r="B31" i="247"/>
  <c r="B30" i="247"/>
  <c r="B29" i="247"/>
  <c r="B28" i="247"/>
  <c r="B27" i="247"/>
  <c r="B26" i="247"/>
  <c r="B25" i="247"/>
  <c r="B24" i="247"/>
  <c r="B23" i="247"/>
  <c r="B22" i="247"/>
  <c r="B21" i="247"/>
  <c r="B20" i="247"/>
  <c r="B19" i="247"/>
  <c r="B18" i="247"/>
  <c r="B17" i="247"/>
  <c r="B16" i="247"/>
  <c r="B15" i="247"/>
  <c r="B14" i="247"/>
  <c r="B13" i="247"/>
  <c r="B12" i="247"/>
  <c r="B11" i="247"/>
  <c r="B10" i="247"/>
  <c r="B9" i="247"/>
  <c r="B39" i="310"/>
  <c r="B38" i="310"/>
  <c r="B37" i="310"/>
  <c r="B36" i="310"/>
  <c r="B35" i="310"/>
  <c r="B34" i="310"/>
  <c r="B33" i="310"/>
  <c r="B32" i="310"/>
  <c r="B31" i="310"/>
  <c r="B30" i="310"/>
  <c r="B29" i="310"/>
  <c r="B28" i="310"/>
  <c r="B27" i="310"/>
  <c r="B26" i="310"/>
  <c r="B25" i="310"/>
  <c r="B24" i="310"/>
  <c r="B23" i="310"/>
  <c r="B22" i="310"/>
  <c r="B21" i="310"/>
  <c r="B20" i="310"/>
  <c r="B19" i="310"/>
  <c r="B18" i="310"/>
  <c r="B17" i="310"/>
  <c r="B16" i="310"/>
  <c r="B15" i="310"/>
  <c r="B14" i="310"/>
  <c r="B13" i="310"/>
  <c r="B12" i="310"/>
  <c r="B11" i="310"/>
  <c r="B10" i="310"/>
  <c r="B9" i="310"/>
  <c r="B39" i="295"/>
  <c r="B38" i="295"/>
  <c r="B37" i="295"/>
  <c r="B36" i="295"/>
  <c r="B35" i="295"/>
  <c r="B34" i="295"/>
  <c r="B33" i="295"/>
  <c r="B32" i="295"/>
  <c r="B31" i="295"/>
  <c r="B30" i="295"/>
  <c r="B29" i="295"/>
  <c r="B28" i="295"/>
  <c r="B27" i="295"/>
  <c r="B26" i="295"/>
  <c r="B25" i="295"/>
  <c r="B24" i="295"/>
  <c r="B23" i="295"/>
  <c r="B22" i="295"/>
  <c r="B21" i="295"/>
  <c r="B20" i="295"/>
  <c r="B19" i="295"/>
  <c r="B18" i="295"/>
  <c r="B17" i="295"/>
  <c r="B16" i="295"/>
  <c r="B15" i="295"/>
  <c r="B14" i="295"/>
  <c r="B13" i="295"/>
  <c r="B12" i="295"/>
  <c r="B11" i="295"/>
  <c r="B10" i="295"/>
  <c r="B9" i="295"/>
  <c r="B39" i="254"/>
  <c r="B38" i="254"/>
  <c r="B37" i="254"/>
  <c r="B36" i="254"/>
  <c r="B35" i="254"/>
  <c r="B34" i="254"/>
  <c r="B33" i="254"/>
  <c r="B32" i="254"/>
  <c r="B31" i="254"/>
  <c r="B30" i="254"/>
  <c r="B29" i="254"/>
  <c r="B28" i="254"/>
  <c r="B27" i="254"/>
  <c r="B26" i="254"/>
  <c r="B25" i="254"/>
  <c r="B24" i="254"/>
  <c r="B23" i="254"/>
  <c r="B22" i="254"/>
  <c r="B21" i="254"/>
  <c r="B20" i="254"/>
  <c r="B19" i="254"/>
  <c r="B18" i="254"/>
  <c r="B17" i="254"/>
  <c r="B16" i="254"/>
  <c r="B15" i="254"/>
  <c r="B14" i="254"/>
  <c r="B13" i="254"/>
  <c r="B12" i="254"/>
  <c r="B11" i="254"/>
  <c r="B10" i="254"/>
  <c r="B9" i="254"/>
  <c r="B39" i="250"/>
  <c r="B38" i="250"/>
  <c r="B37" i="250"/>
  <c r="B36" i="250"/>
  <c r="B35" i="250"/>
  <c r="B34" i="250"/>
  <c r="B33" i="250"/>
  <c r="B32" i="250"/>
  <c r="B31" i="250"/>
  <c r="B30" i="250"/>
  <c r="B29" i="250"/>
  <c r="B28" i="250"/>
  <c r="B27" i="250"/>
  <c r="B26" i="250"/>
  <c r="B25" i="250"/>
  <c r="B24" i="250"/>
  <c r="B23" i="250"/>
  <c r="B22" i="250"/>
  <c r="B21" i="250"/>
  <c r="B20" i="250"/>
  <c r="B19" i="250"/>
  <c r="B18" i="250"/>
  <c r="B17" i="250"/>
  <c r="B16" i="250"/>
  <c r="B15" i="250"/>
  <c r="B14" i="250"/>
  <c r="B13" i="250"/>
  <c r="B12" i="250"/>
  <c r="B11" i="250"/>
  <c r="B10" i="250"/>
  <c r="B9" i="250"/>
  <c r="B39" i="253"/>
  <c r="B38" i="253"/>
  <c r="B37" i="253"/>
  <c r="B36" i="253"/>
  <c r="B35" i="253"/>
  <c r="B34" i="253"/>
  <c r="B33" i="253"/>
  <c r="B32" i="253"/>
  <c r="B31" i="253"/>
  <c r="B30" i="253"/>
  <c r="B29" i="253"/>
  <c r="B28" i="253"/>
  <c r="B27" i="253"/>
  <c r="B26" i="253"/>
  <c r="B25" i="253"/>
  <c r="B24" i="253"/>
  <c r="B23" i="253"/>
  <c r="B22" i="253"/>
  <c r="B21" i="253"/>
  <c r="B20" i="253"/>
  <c r="B19" i="253"/>
  <c r="B18" i="253"/>
  <c r="B17" i="253"/>
  <c r="B16" i="253"/>
  <c r="B15" i="253"/>
  <c r="B14" i="253"/>
  <c r="B13" i="253"/>
  <c r="B12" i="253"/>
  <c r="B11" i="253"/>
  <c r="B10" i="253"/>
  <c r="B9" i="253"/>
  <c r="B39" i="308"/>
  <c r="B38" i="308"/>
  <c r="B37" i="308"/>
  <c r="B36" i="308"/>
  <c r="B35" i="308"/>
  <c r="B34" i="308"/>
  <c r="B33" i="308"/>
  <c r="B32" i="308"/>
  <c r="B31" i="308"/>
  <c r="B30" i="308"/>
  <c r="B29" i="308"/>
  <c r="B28" i="308"/>
  <c r="B27" i="308"/>
  <c r="B26" i="308"/>
  <c r="B25" i="308"/>
  <c r="B24" i="308"/>
  <c r="B23" i="308"/>
  <c r="B22" i="308"/>
  <c r="B21" i="308"/>
  <c r="B20" i="308"/>
  <c r="B19" i="308"/>
  <c r="B18" i="308"/>
  <c r="B17" i="308"/>
  <c r="B16" i="308"/>
  <c r="B15" i="308"/>
  <c r="B14" i="308"/>
  <c r="B13" i="308"/>
  <c r="B12" i="308"/>
  <c r="B11" i="308"/>
  <c r="B10" i="308"/>
  <c r="B9" i="308"/>
  <c r="B39" i="307"/>
  <c r="B38" i="307"/>
  <c r="B37" i="307"/>
  <c r="B36" i="307"/>
  <c r="B35" i="307"/>
  <c r="B34" i="307"/>
  <c r="B33" i="307"/>
  <c r="B32" i="307"/>
  <c r="B31" i="307"/>
  <c r="B30" i="307"/>
  <c r="B29" i="307"/>
  <c r="B28" i="307"/>
  <c r="B27" i="307"/>
  <c r="B26" i="307"/>
  <c r="B25" i="307"/>
  <c r="B24" i="307"/>
  <c r="B23" i="307"/>
  <c r="B22" i="307"/>
  <c r="B21" i="307"/>
  <c r="B20" i="307"/>
  <c r="B19" i="307"/>
  <c r="B18" i="307"/>
  <c r="B17" i="307"/>
  <c r="B16" i="307"/>
  <c r="B15" i="307"/>
  <c r="B14" i="307"/>
  <c r="B13" i="307"/>
  <c r="B12" i="307"/>
  <c r="B11" i="307"/>
  <c r="B10" i="307"/>
  <c r="B9" i="307"/>
  <c r="B39" i="251"/>
  <c r="B38" i="251"/>
  <c r="B37" i="251"/>
  <c r="B36" i="251"/>
  <c r="B35" i="251"/>
  <c r="B34" i="251"/>
  <c r="B33" i="251"/>
  <c r="B32" i="251"/>
  <c r="B31" i="251"/>
  <c r="B30" i="251"/>
  <c r="B29" i="251"/>
  <c r="B28" i="251"/>
  <c r="B27" i="251"/>
  <c r="B26" i="251"/>
  <c r="B25" i="251"/>
  <c r="B24" i="251"/>
  <c r="B23" i="251"/>
  <c r="B22" i="251"/>
  <c r="B21" i="251"/>
  <c r="B20" i="251"/>
  <c r="B19" i="251"/>
  <c r="B18" i="251"/>
  <c r="B17" i="251"/>
  <c r="B16" i="251"/>
  <c r="B15" i="251"/>
  <c r="B14" i="251"/>
  <c r="B13" i="251"/>
  <c r="B12" i="251"/>
  <c r="B11" i="251"/>
  <c r="B10" i="251"/>
  <c r="B9" i="251"/>
  <c r="B39" i="255"/>
  <c r="B38" i="255"/>
  <c r="B37" i="255"/>
  <c r="B36" i="255"/>
  <c r="B35" i="255"/>
  <c r="B34" i="255"/>
  <c r="B33" i="255"/>
  <c r="B32" i="255"/>
  <c r="B31" i="255"/>
  <c r="B30" i="255"/>
  <c r="B29" i="255"/>
  <c r="B28" i="255"/>
  <c r="B27" i="255"/>
  <c r="B26" i="255"/>
  <c r="B25" i="255"/>
  <c r="B24" i="255"/>
  <c r="B23" i="255"/>
  <c r="B22" i="255"/>
  <c r="B21" i="255"/>
  <c r="B20" i="255"/>
  <c r="B19" i="255"/>
  <c r="B18" i="255"/>
  <c r="B17" i="255"/>
  <c r="B16" i="255"/>
  <c r="B15" i="255"/>
  <c r="B14" i="255"/>
  <c r="B13" i="255"/>
  <c r="B12" i="255"/>
  <c r="B11" i="255"/>
  <c r="B10" i="255"/>
  <c r="B9" i="255"/>
  <c r="B39" i="256"/>
  <c r="B38" i="256"/>
  <c r="B37" i="256"/>
  <c r="B36" i="256"/>
  <c r="B35" i="256"/>
  <c r="B34" i="256"/>
  <c r="B33" i="256"/>
  <c r="B32" i="256"/>
  <c r="B31" i="256"/>
  <c r="B30" i="256"/>
  <c r="B29" i="256"/>
  <c r="B28" i="256"/>
  <c r="B27" i="256"/>
  <c r="B26" i="256"/>
  <c r="B25" i="256"/>
  <c r="B24" i="256"/>
  <c r="B23" i="256"/>
  <c r="B22" i="256"/>
  <c r="B21" i="256"/>
  <c r="B20" i="256"/>
  <c r="B19" i="256"/>
  <c r="B18" i="256"/>
  <c r="B17" i="256"/>
  <c r="B16" i="256"/>
  <c r="B15" i="256"/>
  <c r="B14" i="256"/>
  <c r="B13" i="256"/>
  <c r="B12" i="256"/>
  <c r="B11" i="256"/>
  <c r="B10" i="256"/>
  <c r="B9" i="256"/>
  <c r="B39" i="252"/>
  <c r="B38" i="252"/>
  <c r="B37" i="252"/>
  <c r="B36" i="252"/>
  <c r="B35" i="252"/>
  <c r="B34" i="252"/>
  <c r="B33" i="252"/>
  <c r="B32" i="252"/>
  <c r="B31" i="252"/>
  <c r="B30" i="252"/>
  <c r="B29" i="252"/>
  <c r="B28" i="252"/>
  <c r="B27" i="252"/>
  <c r="B26" i="252"/>
  <c r="B25" i="252"/>
  <c r="B24" i="252"/>
  <c r="B23" i="252"/>
  <c r="B22" i="252"/>
  <c r="B21" i="252"/>
  <c r="B20" i="252"/>
  <c r="B19" i="252"/>
  <c r="B18" i="252"/>
  <c r="B17" i="252"/>
  <c r="B16" i="252"/>
  <c r="B15" i="252"/>
  <c r="B14" i="252"/>
  <c r="B13" i="252"/>
  <c r="B12" i="252"/>
  <c r="B11" i="252"/>
  <c r="B10" i="252"/>
  <c r="B9" i="252"/>
  <c r="B39" i="187"/>
  <c r="B38" i="187"/>
  <c r="B37" i="187"/>
  <c r="B36" i="187"/>
  <c r="B35" i="187"/>
  <c r="B34" i="187"/>
  <c r="B33" i="187"/>
  <c r="B32" i="187"/>
  <c r="B31" i="187"/>
  <c r="B30" i="187"/>
  <c r="B29" i="187"/>
  <c r="B28" i="187"/>
  <c r="B27" i="187"/>
  <c r="B26" i="187"/>
  <c r="B25" i="187"/>
  <c r="B24" i="187"/>
  <c r="B23" i="187"/>
  <c r="B22" i="187"/>
  <c r="B21" i="187"/>
  <c r="B20" i="187"/>
  <c r="B19" i="187"/>
  <c r="B18" i="187"/>
  <c r="B17" i="187"/>
  <c r="B16" i="187"/>
  <c r="B15" i="187"/>
  <c r="B14" i="187"/>
  <c r="B13" i="187"/>
  <c r="B12" i="187"/>
  <c r="B11" i="187"/>
  <c r="B10" i="187"/>
  <c r="B9" i="187"/>
  <c r="B39" i="184"/>
  <c r="B38" i="184"/>
  <c r="B37" i="184"/>
  <c r="B36" i="184"/>
  <c r="B35" i="184"/>
  <c r="B34" i="184"/>
  <c r="B33" i="184"/>
  <c r="B32" i="184"/>
  <c r="B31" i="184"/>
  <c r="B30" i="184"/>
  <c r="B29" i="184"/>
  <c r="B28" i="184"/>
  <c r="B27" i="184"/>
  <c r="B26" i="184"/>
  <c r="B25" i="184"/>
  <c r="B24" i="184"/>
  <c r="B23" i="184"/>
  <c r="B22" i="184"/>
  <c r="B21" i="184"/>
  <c r="B20" i="184"/>
  <c r="B19" i="184"/>
  <c r="B18" i="184"/>
  <c r="B17" i="184"/>
  <c r="B16" i="184"/>
  <c r="B15" i="184"/>
  <c r="B14" i="184"/>
  <c r="B13" i="184"/>
  <c r="B12" i="184"/>
  <c r="B11" i="184"/>
  <c r="B10" i="184"/>
  <c r="B9" i="184"/>
  <c r="B39" i="301"/>
  <c r="B38" i="301"/>
  <c r="B37" i="301"/>
  <c r="B36" i="301"/>
  <c r="B35" i="301"/>
  <c r="B34" i="301"/>
  <c r="B33" i="301"/>
  <c r="B32" i="301"/>
  <c r="B31" i="301"/>
  <c r="B30" i="301"/>
  <c r="B29" i="301"/>
  <c r="B28" i="301"/>
  <c r="B27" i="301"/>
  <c r="B26" i="301"/>
  <c r="B25" i="301"/>
  <c r="B24" i="301"/>
  <c r="B23" i="301"/>
  <c r="B22" i="301"/>
  <c r="B21" i="301"/>
  <c r="B20" i="301"/>
  <c r="B19" i="301"/>
  <c r="B18" i="301"/>
  <c r="B17" i="301"/>
  <c r="B16" i="301"/>
  <c r="B15" i="301"/>
  <c r="B14" i="301"/>
  <c r="B13" i="301"/>
  <c r="B12" i="301"/>
  <c r="B11" i="301"/>
  <c r="B10" i="301"/>
  <c r="B9" i="301"/>
  <c r="B39" i="183"/>
  <c r="B38" i="183"/>
  <c r="B37" i="183"/>
  <c r="B36" i="183"/>
  <c r="B35" i="183"/>
  <c r="B34" i="183"/>
  <c r="B33" i="183"/>
  <c r="B32" i="183"/>
  <c r="B31" i="183"/>
  <c r="B30" i="183"/>
  <c r="B29" i="183"/>
  <c r="B28" i="183"/>
  <c r="B27" i="183"/>
  <c r="B26" i="183"/>
  <c r="B25" i="183"/>
  <c r="B24" i="183"/>
  <c r="B23" i="183"/>
  <c r="B22" i="183"/>
  <c r="B21" i="183"/>
  <c r="B20" i="183"/>
  <c r="B19" i="183"/>
  <c r="B18" i="183"/>
  <c r="B17" i="183"/>
  <c r="B16" i="183"/>
  <c r="B15" i="183"/>
  <c r="B14" i="183"/>
  <c r="B13" i="183"/>
  <c r="B12" i="183"/>
  <c r="B11" i="183"/>
  <c r="B10" i="183"/>
  <c r="B9" i="183"/>
  <c r="B39" i="163"/>
  <c r="B38" i="163"/>
  <c r="B37" i="163"/>
  <c r="B36" i="163"/>
  <c r="B35" i="163"/>
  <c r="B34" i="163"/>
  <c r="B33" i="163"/>
  <c r="B32" i="163"/>
  <c r="B31" i="163"/>
  <c r="B30" i="163"/>
  <c r="B29" i="163"/>
  <c r="B28" i="163"/>
  <c r="B27" i="163"/>
  <c r="B26" i="163"/>
  <c r="B25" i="163"/>
  <c r="B24" i="163"/>
  <c r="B23" i="163"/>
  <c r="B22" i="163"/>
  <c r="B21" i="163"/>
  <c r="B20" i="163"/>
  <c r="B19" i="163"/>
  <c r="B18" i="163"/>
  <c r="B17" i="163"/>
  <c r="B16" i="163"/>
  <c r="B15" i="163"/>
  <c r="B14" i="163"/>
  <c r="B13" i="163"/>
  <c r="B12" i="163"/>
  <c r="B11" i="163"/>
  <c r="B10" i="163"/>
  <c r="B9" i="163"/>
  <c r="B39" i="291"/>
  <c r="B38" i="291"/>
  <c r="B37" i="291"/>
  <c r="B36" i="291"/>
  <c r="B35" i="291"/>
  <c r="B34" i="291"/>
  <c r="B33" i="291"/>
  <c r="B32" i="291"/>
  <c r="B31" i="291"/>
  <c r="B30" i="291"/>
  <c r="B29" i="291"/>
  <c r="B28" i="291"/>
  <c r="B27" i="291"/>
  <c r="B26" i="291"/>
  <c r="B25" i="291"/>
  <c r="B24" i="291"/>
  <c r="B23" i="291"/>
  <c r="B22" i="291"/>
  <c r="B21" i="291"/>
  <c r="B20" i="291"/>
  <c r="B19" i="291"/>
  <c r="B18" i="291"/>
  <c r="B17" i="291"/>
  <c r="B16" i="291"/>
  <c r="B15" i="291"/>
  <c r="B14" i="291"/>
  <c r="B13" i="291"/>
  <c r="B12" i="291"/>
  <c r="B11" i="291"/>
  <c r="B10" i="291"/>
  <c r="B9" i="291"/>
  <c r="B39" i="288"/>
  <c r="B38" i="288"/>
  <c r="B37" i="288"/>
  <c r="B36" i="288"/>
  <c r="B35" i="288"/>
  <c r="B34" i="288"/>
  <c r="B33" i="288"/>
  <c r="B32" i="288"/>
  <c r="B31" i="288"/>
  <c r="B30" i="288"/>
  <c r="B29" i="288"/>
  <c r="B28" i="288"/>
  <c r="B27" i="288"/>
  <c r="B26" i="288"/>
  <c r="B25" i="288"/>
  <c r="B24" i="288"/>
  <c r="B23" i="288"/>
  <c r="B22" i="288"/>
  <c r="B21" i="288"/>
  <c r="B20" i="288"/>
  <c r="B19" i="288"/>
  <c r="B18" i="288"/>
  <c r="B17" i="288"/>
  <c r="B16" i="288"/>
  <c r="B15" i="288"/>
  <c r="B14" i="288"/>
  <c r="B13" i="288"/>
  <c r="B12" i="288"/>
  <c r="B11" i="288"/>
  <c r="B10" i="288"/>
  <c r="B9" i="288"/>
  <c r="B39" i="290"/>
  <c r="B38" i="290"/>
  <c r="B37" i="290"/>
  <c r="B36" i="290"/>
  <c r="B35" i="290"/>
  <c r="B34" i="290"/>
  <c r="B33" i="290"/>
  <c r="B32" i="290"/>
  <c r="B31" i="290"/>
  <c r="B30" i="290"/>
  <c r="B29" i="290"/>
  <c r="B28" i="290"/>
  <c r="B27" i="290"/>
  <c r="B26" i="290"/>
  <c r="B25" i="290"/>
  <c r="B24" i="290"/>
  <c r="B23" i="290"/>
  <c r="B22" i="290"/>
  <c r="B21" i="290"/>
  <c r="B20" i="290"/>
  <c r="B19" i="290"/>
  <c r="B18" i="290"/>
  <c r="B17" i="290"/>
  <c r="B16" i="290"/>
  <c r="B15" i="290"/>
  <c r="B14" i="290"/>
  <c r="B13" i="290"/>
  <c r="B12" i="290"/>
  <c r="B11" i="290"/>
  <c r="B10" i="290"/>
  <c r="B9" i="290"/>
  <c r="B39" i="289"/>
  <c r="B38" i="289"/>
  <c r="B37" i="289"/>
  <c r="B36" i="289"/>
  <c r="B35" i="289"/>
  <c r="B34" i="289"/>
  <c r="B33" i="289"/>
  <c r="B32" i="289"/>
  <c r="B31" i="289"/>
  <c r="B30" i="289"/>
  <c r="B29" i="289"/>
  <c r="B28" i="289"/>
  <c r="B27" i="289"/>
  <c r="B26" i="289"/>
  <c r="B25" i="289"/>
  <c r="B24" i="289"/>
  <c r="B23" i="289"/>
  <c r="B22" i="289"/>
  <c r="B21" i="289"/>
  <c r="B20" i="289"/>
  <c r="B19" i="289"/>
  <c r="B17" i="289"/>
  <c r="B16" i="289"/>
  <c r="B15" i="289"/>
  <c r="B14" i="289"/>
  <c r="B13" i="289"/>
  <c r="B12" i="289"/>
  <c r="B11" i="289"/>
  <c r="B10" i="289"/>
  <c r="B9" i="289"/>
  <c r="B39" i="173"/>
  <c r="B38" i="173"/>
  <c r="B37" i="173"/>
  <c r="B36" i="173"/>
  <c r="B35" i="173"/>
  <c r="B34" i="173"/>
  <c r="B33" i="173"/>
  <c r="B32" i="173"/>
  <c r="B31" i="173"/>
  <c r="B30" i="173"/>
  <c r="B29" i="173"/>
  <c r="B28" i="173"/>
  <c r="B27" i="173"/>
  <c r="B26" i="173"/>
  <c r="B25" i="173"/>
  <c r="B24" i="173"/>
  <c r="B23" i="173"/>
  <c r="B22" i="173"/>
  <c r="B21" i="173"/>
  <c r="B20" i="173"/>
  <c r="B19" i="173"/>
  <c r="B18" i="173"/>
  <c r="B17" i="173"/>
  <c r="B16" i="173"/>
  <c r="B15" i="173"/>
  <c r="B14" i="173"/>
  <c r="B13" i="173"/>
  <c r="B12" i="173"/>
  <c r="B11" i="173"/>
  <c r="B10" i="173"/>
  <c r="B9" i="173"/>
  <c r="B39" i="160"/>
  <c r="B38" i="160"/>
  <c r="B37" i="160"/>
  <c r="B36" i="160"/>
  <c r="B35" i="160"/>
  <c r="B34" i="160"/>
  <c r="B33" i="160"/>
  <c r="B32" i="160"/>
  <c r="B31" i="160"/>
  <c r="B30" i="160"/>
  <c r="B29" i="160"/>
  <c r="B28" i="160"/>
  <c r="B27" i="160"/>
  <c r="B26" i="160"/>
  <c r="B25" i="160"/>
  <c r="B24" i="160"/>
  <c r="B23" i="160"/>
  <c r="B22" i="160"/>
  <c r="B21" i="160"/>
  <c r="B20" i="160"/>
  <c r="B19" i="160"/>
  <c r="B18" i="160"/>
  <c r="B17" i="160"/>
  <c r="B16" i="160"/>
  <c r="B15" i="160"/>
  <c r="B14" i="160"/>
  <c r="B13" i="160"/>
  <c r="B12" i="160"/>
  <c r="B11" i="160"/>
  <c r="B10" i="160"/>
  <c r="B9" i="160"/>
  <c r="B39" i="170"/>
  <c r="B38" i="170"/>
  <c r="B37" i="170"/>
  <c r="B36" i="170"/>
  <c r="B35" i="170"/>
  <c r="B34" i="170"/>
  <c r="B33" i="170"/>
  <c r="B32" i="170"/>
  <c r="B31" i="170"/>
  <c r="B30" i="170"/>
  <c r="B29" i="170"/>
  <c r="B28" i="170"/>
  <c r="B27" i="170"/>
  <c r="B26" i="170"/>
  <c r="B25" i="170"/>
  <c r="B24" i="170"/>
  <c r="B23" i="170"/>
  <c r="B22" i="170"/>
  <c r="B21" i="170"/>
  <c r="B20" i="170"/>
  <c r="B19" i="170"/>
  <c r="B18" i="170"/>
  <c r="B17" i="170"/>
  <c r="B16" i="170"/>
  <c r="B15" i="170"/>
  <c r="B14" i="170"/>
  <c r="B13" i="170"/>
  <c r="B12" i="170"/>
  <c r="B11" i="170"/>
  <c r="B10" i="170"/>
  <c r="B9" i="170"/>
  <c r="B39" i="169"/>
  <c r="B38" i="169"/>
  <c r="B37" i="169"/>
  <c r="B36" i="169"/>
  <c r="B35" i="169"/>
  <c r="B34" i="169"/>
  <c r="B33" i="169"/>
  <c r="B32" i="169"/>
  <c r="B31" i="169"/>
  <c r="B30" i="169"/>
  <c r="B29" i="169"/>
  <c r="B28" i="169"/>
  <c r="B27" i="169"/>
  <c r="B26" i="169"/>
  <c r="B25" i="169"/>
  <c r="B24" i="169"/>
  <c r="B23" i="169"/>
  <c r="B22" i="169"/>
  <c r="B21" i="169"/>
  <c r="B20" i="169"/>
  <c r="B19" i="169"/>
  <c r="B18" i="169"/>
  <c r="B17" i="169"/>
  <c r="B16" i="169"/>
  <c r="B15" i="169"/>
  <c r="B14" i="169"/>
  <c r="B13" i="169"/>
  <c r="B12" i="169"/>
  <c r="B11" i="169"/>
  <c r="B10" i="169"/>
  <c r="B9" i="169"/>
  <c r="B39" i="165"/>
  <c r="B38" i="165"/>
  <c r="B37" i="165"/>
  <c r="B36" i="165"/>
  <c r="B35" i="165"/>
  <c r="B34" i="165"/>
  <c r="B33" i="165"/>
  <c r="B32" i="165"/>
  <c r="B31" i="165"/>
  <c r="B30" i="165"/>
  <c r="B29" i="165"/>
  <c r="B28" i="165"/>
  <c r="B27" i="165"/>
  <c r="B26" i="165"/>
  <c r="B25" i="165"/>
  <c r="B24" i="165"/>
  <c r="B23" i="165"/>
  <c r="B22" i="165"/>
  <c r="B21" i="165"/>
  <c r="B20" i="165"/>
  <c r="B19" i="165"/>
  <c r="B18" i="165"/>
  <c r="B17" i="165"/>
  <c r="B16" i="165"/>
  <c r="B15" i="165"/>
  <c r="B14" i="165"/>
  <c r="B13" i="165"/>
  <c r="B12" i="165"/>
  <c r="B11" i="165"/>
  <c r="B10" i="165"/>
  <c r="B9" i="165"/>
  <c r="B39" i="309"/>
  <c r="B38" i="309"/>
  <c r="B37" i="309"/>
  <c r="B36" i="309"/>
  <c r="B35" i="309"/>
  <c r="B34" i="309"/>
  <c r="B33" i="309"/>
  <c r="B32" i="309"/>
  <c r="B31" i="309"/>
  <c r="B30" i="309"/>
  <c r="B29" i="309"/>
  <c r="B28" i="309"/>
  <c r="B27" i="309"/>
  <c r="B26" i="309"/>
  <c r="B25" i="309"/>
  <c r="B24" i="309"/>
  <c r="B23" i="309"/>
  <c r="B22" i="309"/>
  <c r="B21" i="309"/>
  <c r="B20" i="309"/>
  <c r="B19" i="309"/>
  <c r="B18" i="309"/>
  <c r="B17" i="309"/>
  <c r="B16" i="309"/>
  <c r="B15" i="309"/>
  <c r="B14" i="309"/>
  <c r="B13" i="309"/>
  <c r="B12" i="309"/>
  <c r="B11" i="309"/>
  <c r="B10" i="309"/>
  <c r="B9" i="309"/>
  <c r="B39" i="270"/>
  <c r="B38" i="270"/>
  <c r="B37" i="270"/>
  <c r="B36" i="270"/>
  <c r="B35" i="270"/>
  <c r="B34" i="270"/>
  <c r="B33" i="270"/>
  <c r="B32" i="270"/>
  <c r="B31" i="270"/>
  <c r="B30" i="270"/>
  <c r="B29" i="270"/>
  <c r="B28" i="270"/>
  <c r="B27" i="270"/>
  <c r="B26" i="270"/>
  <c r="B25" i="270"/>
  <c r="B24" i="270"/>
  <c r="B23" i="270"/>
  <c r="B22" i="270"/>
  <c r="B21" i="270"/>
  <c r="B20" i="270"/>
  <c r="B19" i="270"/>
  <c r="B18" i="270"/>
  <c r="B17" i="270"/>
  <c r="B16" i="270"/>
  <c r="B15" i="270"/>
  <c r="B14" i="270"/>
  <c r="B13" i="270"/>
  <c r="B12" i="270"/>
  <c r="B11" i="270"/>
  <c r="B10" i="270"/>
  <c r="B9" i="270"/>
  <c r="B39" i="269"/>
  <c r="B38" i="269"/>
  <c r="B37" i="269"/>
  <c r="B36" i="269"/>
  <c r="B35" i="269"/>
  <c r="B34" i="269"/>
  <c r="B33" i="269"/>
  <c r="B32" i="269"/>
  <c r="B31" i="269"/>
  <c r="B30" i="269"/>
  <c r="B29" i="269"/>
  <c r="B28" i="269"/>
  <c r="B27" i="269"/>
  <c r="B26" i="269"/>
  <c r="B25" i="269"/>
  <c r="B24" i="269"/>
  <c r="B23" i="269"/>
  <c r="B22" i="269"/>
  <c r="B21" i="269"/>
  <c r="B20" i="269"/>
  <c r="B19" i="269"/>
  <c r="B18" i="269"/>
  <c r="B17" i="269"/>
  <c r="B16" i="269"/>
  <c r="B15" i="269"/>
  <c r="B14" i="269"/>
  <c r="B13" i="269"/>
  <c r="B12" i="269"/>
  <c r="B11" i="269"/>
  <c r="B10" i="269"/>
  <c r="B9" i="269"/>
  <c r="B39" i="311"/>
  <c r="B38" i="311"/>
  <c r="B37" i="311"/>
  <c r="B36" i="311"/>
  <c r="B35" i="311"/>
  <c r="B34" i="311"/>
  <c r="B33" i="311"/>
  <c r="B32" i="311"/>
  <c r="B31" i="311"/>
  <c r="B30" i="311"/>
  <c r="B29" i="311"/>
  <c r="B28" i="311"/>
  <c r="B27" i="311"/>
  <c r="B26" i="311"/>
  <c r="B25" i="311"/>
  <c r="B24" i="311"/>
  <c r="B23" i="311"/>
  <c r="B22" i="311"/>
  <c r="B21" i="311"/>
  <c r="B20" i="311"/>
  <c r="B19" i="311"/>
  <c r="B18" i="311"/>
  <c r="B17" i="311"/>
  <c r="B16" i="311"/>
  <c r="B15" i="311"/>
  <c r="B14" i="311"/>
  <c r="B13" i="311"/>
  <c r="B12" i="311"/>
  <c r="B11" i="311"/>
  <c r="B10" i="311"/>
  <c r="B9" i="311"/>
  <c r="B39" i="266"/>
  <c r="B38" i="266"/>
  <c r="B37" i="266"/>
  <c r="B36" i="266"/>
  <c r="B35" i="266"/>
  <c r="B34" i="266"/>
  <c r="B33" i="266"/>
  <c r="B32" i="266"/>
  <c r="B31" i="266"/>
  <c r="B30" i="266"/>
  <c r="B29" i="266"/>
  <c r="B28" i="266"/>
  <c r="B27" i="266"/>
  <c r="B26" i="266"/>
  <c r="B25" i="266"/>
  <c r="B24" i="266"/>
  <c r="B23" i="266"/>
  <c r="B22" i="266"/>
  <c r="B21" i="266"/>
  <c r="B20" i="266"/>
  <c r="B19" i="266"/>
  <c r="B18" i="266"/>
  <c r="B17" i="266"/>
  <c r="B16" i="266"/>
  <c r="B15" i="266"/>
  <c r="B14" i="266"/>
  <c r="B13" i="266"/>
  <c r="B12" i="266"/>
  <c r="B11" i="266"/>
  <c r="B10" i="266"/>
  <c r="B9" i="266"/>
  <c r="B39" i="157"/>
  <c r="B38" i="157"/>
  <c r="B37" i="157"/>
  <c r="B36" i="157"/>
  <c r="B35" i="157"/>
  <c r="B34" i="157"/>
  <c r="B33" i="157"/>
  <c r="B32" i="157"/>
  <c r="B31" i="157"/>
  <c r="B30" i="157"/>
  <c r="B29" i="157"/>
  <c r="B28" i="157"/>
  <c r="B27" i="157"/>
  <c r="B26" i="157"/>
  <c r="B25" i="157"/>
  <c r="B24" i="157"/>
  <c r="B23" i="157"/>
  <c r="B22" i="157"/>
  <c r="B21" i="157"/>
  <c r="B20" i="157"/>
  <c r="B19" i="157"/>
  <c r="B18" i="157"/>
  <c r="B17" i="157"/>
  <c r="B16" i="157"/>
  <c r="B15" i="157"/>
  <c r="B14" i="157"/>
  <c r="B13" i="157"/>
  <c r="B12" i="157"/>
  <c r="B11" i="157"/>
  <c r="B10" i="157"/>
  <c r="B9" i="157"/>
  <c r="B39" i="164"/>
  <c r="B38" i="164"/>
  <c r="B37" i="164"/>
  <c r="B36" i="164"/>
  <c r="B35" i="164"/>
  <c r="B34" i="164"/>
  <c r="B33" i="164"/>
  <c r="B32" i="164"/>
  <c r="B31" i="164"/>
  <c r="B30" i="164"/>
  <c r="B29" i="164"/>
  <c r="B28" i="164"/>
  <c r="B27" i="164"/>
  <c r="B26" i="164"/>
  <c r="B25" i="164"/>
  <c r="B24" i="164"/>
  <c r="B23" i="164"/>
  <c r="B22" i="164"/>
  <c r="B21" i="164"/>
  <c r="B20" i="164"/>
  <c r="B19" i="164"/>
  <c r="B18" i="164"/>
  <c r="B17" i="164"/>
  <c r="B16" i="164"/>
  <c r="B15" i="164"/>
  <c r="B14" i="164"/>
  <c r="B13" i="164"/>
  <c r="B12" i="164"/>
  <c r="B11" i="164"/>
  <c r="B10" i="164"/>
  <c r="B9" i="164"/>
  <c r="B39" i="299"/>
  <c r="B38" i="299"/>
  <c r="B37" i="299"/>
  <c r="B36" i="299"/>
  <c r="B35" i="299"/>
  <c r="B34" i="299"/>
  <c r="B33" i="299"/>
  <c r="B32" i="299"/>
  <c r="B31" i="299"/>
  <c r="B30" i="299"/>
  <c r="B29" i="299"/>
  <c r="B28" i="299"/>
  <c r="B27" i="299"/>
  <c r="B26" i="299"/>
  <c r="B25" i="299"/>
  <c r="B24" i="299"/>
  <c r="B23" i="299"/>
  <c r="B22" i="299"/>
  <c r="B21" i="299"/>
  <c r="B20" i="299"/>
  <c r="B19" i="299"/>
  <c r="B18" i="299"/>
  <c r="B17" i="299"/>
  <c r="B16" i="299"/>
  <c r="B15" i="299"/>
  <c r="B14" i="299"/>
  <c r="B13" i="299"/>
  <c r="B12" i="299"/>
  <c r="B11" i="299"/>
  <c r="B10" i="299"/>
  <c r="B9" i="299"/>
  <c r="B10" i="261"/>
  <c r="B11" i="261"/>
  <c r="B12" i="261"/>
  <c r="B13" i="261"/>
  <c r="B14" i="261"/>
  <c r="B15" i="261"/>
  <c r="B16" i="261"/>
  <c r="B17" i="261"/>
  <c r="B18" i="261"/>
  <c r="B19" i="261"/>
  <c r="B20" i="261"/>
  <c r="B21" i="261"/>
  <c r="B22" i="261"/>
  <c r="B23" i="261"/>
  <c r="B24" i="261"/>
  <c r="B25" i="261"/>
  <c r="B26" i="261"/>
  <c r="B27" i="261"/>
  <c r="B28" i="261"/>
  <c r="B29" i="261"/>
  <c r="B30" i="261"/>
  <c r="B31" i="261"/>
  <c r="B32" i="261"/>
  <c r="B33" i="261"/>
  <c r="B34" i="261"/>
  <c r="B35" i="261"/>
  <c r="B36" i="261"/>
  <c r="B37" i="261"/>
  <c r="B38" i="261"/>
  <c r="B39" i="261"/>
  <c r="B10" i="283"/>
  <c r="B11" i="283"/>
  <c r="B12" i="283"/>
  <c r="B13" i="283"/>
  <c r="B14" i="283"/>
  <c r="B15" i="283"/>
  <c r="B16" i="283"/>
  <c r="B17" i="283"/>
  <c r="B18" i="283"/>
  <c r="B19" i="283"/>
  <c r="B20" i="283"/>
  <c r="B21" i="283"/>
  <c r="B22" i="283"/>
  <c r="B23" i="283"/>
  <c r="B24" i="283"/>
  <c r="B25" i="283"/>
  <c r="B26" i="283"/>
  <c r="B27" i="283"/>
  <c r="B28" i="283"/>
  <c r="B29" i="283"/>
  <c r="B30" i="283"/>
  <c r="B31" i="283"/>
  <c r="B32" i="283"/>
  <c r="B33" i="283"/>
  <c r="B34" i="283"/>
  <c r="B35" i="283"/>
  <c r="B36" i="283"/>
  <c r="B37" i="283"/>
  <c r="B38" i="283"/>
  <c r="B39" i="283"/>
  <c r="B10" i="159"/>
  <c r="B11" i="159"/>
  <c r="B12" i="159"/>
  <c r="B13" i="159"/>
  <c r="B14" i="159"/>
  <c r="B15" i="159"/>
  <c r="B16" i="159"/>
  <c r="B17" i="159"/>
  <c r="B18" i="159"/>
  <c r="B19" i="159"/>
  <c r="B20" i="159"/>
  <c r="B21" i="159"/>
  <c r="B22" i="159"/>
  <c r="B23" i="159"/>
  <c r="B24" i="159"/>
  <c r="B25" i="159"/>
  <c r="B26" i="159"/>
  <c r="B27" i="159"/>
  <c r="B28" i="159"/>
  <c r="B29" i="159"/>
  <c r="B30" i="159"/>
  <c r="B31" i="159"/>
  <c r="B32" i="159"/>
  <c r="B33" i="159"/>
  <c r="B34" i="159"/>
  <c r="B35" i="159"/>
  <c r="B36" i="159"/>
  <c r="B37" i="159"/>
  <c r="B38" i="159"/>
  <c r="B39" i="159"/>
  <c r="B9" i="159"/>
  <c r="B10" i="178"/>
  <c r="B11" i="178"/>
  <c r="B12" i="178"/>
  <c r="B13" i="178"/>
  <c r="B14" i="178"/>
  <c r="B15" i="178"/>
  <c r="B16" i="178"/>
  <c r="B17" i="178"/>
  <c r="B18" i="178"/>
  <c r="B19" i="178"/>
  <c r="B20" i="178"/>
  <c r="B21" i="178"/>
  <c r="B22" i="178"/>
  <c r="B23" i="178"/>
  <c r="B24" i="178"/>
  <c r="B25" i="178"/>
  <c r="B26" i="178"/>
  <c r="B27" i="178"/>
  <c r="B28" i="178"/>
  <c r="B29" i="178"/>
  <c r="B30" i="178"/>
  <c r="B31" i="178"/>
  <c r="B32" i="178"/>
  <c r="B33" i="178"/>
  <c r="B34" i="178"/>
  <c r="B35" i="178"/>
  <c r="B36" i="178"/>
  <c r="B37" i="178"/>
  <c r="B38" i="178"/>
  <c r="B39" i="178"/>
  <c r="D10" i="165"/>
  <c r="D11" i="165"/>
  <c r="D12" i="165"/>
  <c r="D13" i="165"/>
  <c r="D14" i="165"/>
  <c r="D15" i="165"/>
  <c r="D16" i="165"/>
  <c r="D17" i="165"/>
  <c r="D18" i="165"/>
  <c r="D19" i="165"/>
  <c r="D20" i="165"/>
  <c r="D21" i="165"/>
  <c r="D22" i="165"/>
  <c r="D23" i="165"/>
  <c r="D24" i="165"/>
  <c r="D25" i="165"/>
  <c r="D26" i="165"/>
  <c r="D27" i="165"/>
  <c r="D28" i="165"/>
  <c r="D29" i="165"/>
  <c r="D30" i="165"/>
  <c r="D31" i="165"/>
  <c r="D32" i="165"/>
  <c r="D33" i="165"/>
  <c r="D34" i="165"/>
  <c r="D35" i="165"/>
  <c r="D36" i="165"/>
  <c r="D37" i="165"/>
  <c r="D38" i="165"/>
  <c r="D39" i="165"/>
  <c r="D10" i="309"/>
  <c r="D11" i="309"/>
  <c r="D12" i="309"/>
  <c r="D13" i="309"/>
  <c r="D14" i="309"/>
  <c r="D15" i="309"/>
  <c r="D16" i="309"/>
  <c r="D17" i="309"/>
  <c r="D18" i="309"/>
  <c r="D19" i="309"/>
  <c r="D21" i="309"/>
  <c r="D22" i="309"/>
  <c r="D23" i="309"/>
  <c r="D25" i="309"/>
  <c r="D26" i="309"/>
  <c r="D31" i="309"/>
  <c r="D32" i="309"/>
  <c r="D33" i="309"/>
  <c r="D34" i="309"/>
  <c r="D35" i="309"/>
  <c r="D36" i="309"/>
  <c r="D37" i="309"/>
  <c r="D38" i="309"/>
  <c r="D39" i="309"/>
  <c r="D9" i="165"/>
  <c r="D27" i="284"/>
  <c r="D28" i="284"/>
  <c r="D29" i="284"/>
  <c r="D30" i="284"/>
  <c r="D31" i="284"/>
  <c r="D32" i="284"/>
  <c r="D33" i="284"/>
  <c r="D10" i="284"/>
  <c r="D11" i="284"/>
  <c r="D12" i="284"/>
  <c r="D13" i="284"/>
  <c r="D14" i="284"/>
  <c r="D15" i="284"/>
  <c r="D16" i="284"/>
  <c r="D17" i="284"/>
  <c r="D18" i="284"/>
  <c r="D19" i="284"/>
  <c r="D20" i="284"/>
  <c r="D21" i="284"/>
  <c r="D22" i="284"/>
  <c r="D26" i="284"/>
  <c r="D34" i="284"/>
  <c r="D35" i="284"/>
  <c r="D36" i="284"/>
  <c r="D37" i="284"/>
  <c r="D38" i="284"/>
  <c r="D39" i="284"/>
  <c r="D9" i="284"/>
  <c r="J9" i="263"/>
  <c r="D10" i="155"/>
  <c r="D11" i="155"/>
  <c r="D12" i="155"/>
  <c r="D13" i="155"/>
  <c r="D14" i="155"/>
  <c r="D15" i="155"/>
  <c r="D16" i="155"/>
  <c r="D17" i="155"/>
  <c r="D18" i="155"/>
  <c r="D19" i="155"/>
  <c r="D20" i="155"/>
  <c r="D21" i="155"/>
  <c r="D22" i="155"/>
  <c r="D23" i="155"/>
  <c r="D24" i="155"/>
  <c r="D25" i="155"/>
  <c r="D26" i="155"/>
  <c r="D27" i="155"/>
  <c r="D28" i="155"/>
  <c r="D29" i="155"/>
  <c r="D30" i="155"/>
  <c r="D31" i="155"/>
  <c r="D32" i="155"/>
  <c r="D33" i="155"/>
  <c r="D34" i="155"/>
  <c r="D35" i="155"/>
  <c r="D36" i="155"/>
  <c r="D37" i="155"/>
  <c r="D38" i="155"/>
  <c r="D39" i="155"/>
  <c r="D9" i="155"/>
  <c r="D10" i="157"/>
  <c r="D11" i="157"/>
  <c r="D12" i="157"/>
  <c r="D13" i="157"/>
  <c r="D14" i="157"/>
  <c r="D15" i="157"/>
  <c r="D16" i="157"/>
  <c r="D17" i="157"/>
  <c r="D18" i="157"/>
  <c r="D19" i="157"/>
  <c r="D20" i="157"/>
  <c r="D21" i="157"/>
  <c r="D22" i="157"/>
  <c r="D26" i="157"/>
  <c r="D27" i="157"/>
  <c r="D28" i="157"/>
  <c r="D29" i="157"/>
  <c r="D30" i="157"/>
  <c r="D31" i="157"/>
  <c r="D32" i="157"/>
  <c r="D33" i="157"/>
  <c r="D34" i="157"/>
  <c r="D35" i="157"/>
  <c r="D36" i="157"/>
  <c r="D37" i="157"/>
  <c r="D38" i="157"/>
  <c r="D39" i="157"/>
  <c r="D9" i="157"/>
  <c r="D10" i="164"/>
  <c r="D11" i="164"/>
  <c r="D12" i="164"/>
  <c r="D13" i="164"/>
  <c r="D14" i="164"/>
  <c r="D15" i="164"/>
  <c r="D16" i="164"/>
  <c r="D17" i="164"/>
  <c r="D18" i="164"/>
  <c r="D19" i="164"/>
  <c r="D20" i="164"/>
  <c r="D21" i="164"/>
  <c r="D22" i="164"/>
  <c r="D23" i="164"/>
  <c r="D26" i="164"/>
  <c r="D27" i="164"/>
  <c r="D28" i="164"/>
  <c r="D29" i="164"/>
  <c r="D30" i="164"/>
  <c r="D31" i="164"/>
  <c r="D32" i="164"/>
  <c r="D33" i="164"/>
  <c r="D34" i="164"/>
  <c r="D35" i="164"/>
  <c r="D36" i="164"/>
  <c r="D37" i="164"/>
  <c r="D38" i="164"/>
  <c r="D39" i="164"/>
  <c r="D9" i="164"/>
  <c r="D10" i="149"/>
  <c r="D11" i="149"/>
  <c r="D12" i="149"/>
  <c r="D13" i="149"/>
  <c r="D14" i="149"/>
  <c r="D15" i="149"/>
  <c r="D16" i="149"/>
  <c r="D17" i="149"/>
  <c r="D18" i="149"/>
  <c r="D19" i="149"/>
  <c r="D20" i="149"/>
  <c r="D21" i="149"/>
  <c r="D22" i="149"/>
  <c r="D26" i="149"/>
  <c r="D27" i="149"/>
  <c r="D28" i="149"/>
  <c r="D29" i="149"/>
  <c r="D30" i="149"/>
  <c r="D31" i="149"/>
  <c r="D32" i="149"/>
  <c r="D33" i="149"/>
  <c r="D34" i="149"/>
  <c r="D35" i="149"/>
  <c r="D36" i="149"/>
  <c r="D37" i="149"/>
  <c r="D38" i="149"/>
  <c r="D39" i="149"/>
  <c r="D9" i="149"/>
  <c r="D17" i="266"/>
  <c r="D18" i="266"/>
  <c r="D19" i="266"/>
  <c r="D20" i="266"/>
  <c r="D21" i="266"/>
  <c r="D22" i="266"/>
  <c r="D23" i="266"/>
  <c r="D24" i="266"/>
  <c r="F9" i="245"/>
  <c r="F12" i="245" s="1"/>
  <c r="J8" i="271"/>
  <c r="J8" i="278"/>
  <c r="L184" i="53"/>
  <c r="L128" i="53"/>
  <c r="D128" i="53"/>
  <c r="D184" i="53"/>
  <c r="D125" i="53"/>
  <c r="B128" i="53"/>
  <c r="B184" i="53"/>
  <c r="B125" i="53"/>
  <c r="B147" i="53"/>
  <c r="B127" i="53"/>
  <c r="B123" i="53"/>
  <c r="B183" i="53"/>
  <c r="E40" i="314"/>
  <c r="D40" i="314"/>
  <c r="D8" i="314"/>
  <c r="F9" i="223"/>
  <c r="F33" i="223" s="1"/>
  <c r="F9" i="313"/>
  <c r="F9" i="246"/>
  <c r="F33" i="246" s="1"/>
  <c r="F9" i="312"/>
  <c r="F9" i="282"/>
  <c r="F20" i="282" s="1"/>
  <c r="F9" i="221"/>
  <c r="F33" i="221" s="1"/>
  <c r="F9" i="296"/>
  <c r="F28" i="296" s="1"/>
  <c r="B189" i="53"/>
  <c r="B181" i="53"/>
  <c r="B120" i="53"/>
  <c r="G9" i="249"/>
  <c r="F9" i="249"/>
  <c r="F39" i="249" s="1"/>
  <c r="F9" i="300"/>
  <c r="F39" i="300" s="1"/>
  <c r="F9" i="297"/>
  <c r="F35" i="297" s="1"/>
  <c r="F9" i="247"/>
  <c r="F39" i="247" s="1"/>
  <c r="F9" i="310"/>
  <c r="F34" i="310" s="1"/>
  <c r="F9" i="295"/>
  <c r="F39" i="295" s="1"/>
  <c r="F9" i="220"/>
  <c r="F12" i="220" s="1"/>
  <c r="E40" i="313"/>
  <c r="I43" i="466" s="1"/>
  <c r="D40" i="313"/>
  <c r="G9" i="313"/>
  <c r="D8" i="313"/>
  <c r="E40" i="312"/>
  <c r="H20" i="341" s="1"/>
  <c r="D40" i="312"/>
  <c r="G9" i="312"/>
  <c r="D8" i="312"/>
  <c r="L110" i="53"/>
  <c r="L112" i="53"/>
  <c r="L111" i="53"/>
  <c r="L108" i="53"/>
  <c r="L113" i="53" s="1"/>
  <c r="L115" i="53" s="1"/>
  <c r="M115" i="53" s="1"/>
  <c r="L180" i="53"/>
  <c r="L118" i="53"/>
  <c r="L120" i="53"/>
  <c r="L181" i="53"/>
  <c r="L189" i="53"/>
  <c r="L127" i="53"/>
  <c r="L123" i="53"/>
  <c r="L182" i="53"/>
  <c r="L185" i="53"/>
  <c r="L125" i="53"/>
  <c r="I7" i="187"/>
  <c r="K7" i="187" s="1"/>
  <c r="M7" i="187" s="1"/>
  <c r="I7" i="184"/>
  <c r="K7" i="184" s="1"/>
  <c r="M7" i="184" s="1"/>
  <c r="I7" i="301"/>
  <c r="K7" i="301" s="1"/>
  <c r="M7" i="301" s="1"/>
  <c r="I7" i="183"/>
  <c r="K7" i="183" s="1"/>
  <c r="M7" i="183" s="1"/>
  <c r="I7" i="163"/>
  <c r="K7" i="163" s="1"/>
  <c r="M7" i="163" s="1"/>
  <c r="I7" i="291"/>
  <c r="K7" i="291" s="1"/>
  <c r="M7" i="291" s="1"/>
  <c r="I7" i="288"/>
  <c r="K7" i="288" s="1"/>
  <c r="M7" i="288" s="1"/>
  <c r="I7" i="290"/>
  <c r="K7" i="290" s="1"/>
  <c r="M7" i="290" s="1"/>
  <c r="I7" i="289"/>
  <c r="K7" i="289" s="1"/>
  <c r="M7" i="289" s="1"/>
  <c r="I7" i="173"/>
  <c r="K7" i="173" s="1"/>
  <c r="M7" i="173" s="1"/>
  <c r="I7" i="160"/>
  <c r="M7" i="160" s="1"/>
  <c r="I7" i="170"/>
  <c r="K7" i="170" s="1"/>
  <c r="M7" i="170" s="1"/>
  <c r="I7" i="169"/>
  <c r="K7" i="169" s="1"/>
  <c r="M7" i="169" s="1"/>
  <c r="I7" i="165"/>
  <c r="K7" i="165" s="1"/>
  <c r="M7" i="165" s="1"/>
  <c r="I7" i="309"/>
  <c r="K7" i="309" s="1"/>
  <c r="M7" i="309" s="1"/>
  <c r="I7" i="270"/>
  <c r="K7" i="270" s="1"/>
  <c r="M7" i="270" s="1"/>
  <c r="I7" i="269"/>
  <c r="K7" i="269" s="1"/>
  <c r="M7" i="269" s="1"/>
  <c r="I7" i="311"/>
  <c r="K7" i="311" s="1"/>
  <c r="M7" i="311" s="1"/>
  <c r="I7" i="266"/>
  <c r="K7" i="266" s="1"/>
  <c r="M7" i="266" s="1"/>
  <c r="I7" i="157"/>
  <c r="K7" i="157" s="1"/>
  <c r="M7" i="157" s="1"/>
  <c r="I7" i="164"/>
  <c r="K7" i="164" s="1"/>
  <c r="M7" i="164" s="1"/>
  <c r="I7" i="299"/>
  <c r="K7" i="299" s="1"/>
  <c r="M7" i="299" s="1"/>
  <c r="I7" i="261"/>
  <c r="K7" i="261" s="1"/>
  <c r="M7" i="261" s="1"/>
  <c r="I7" i="283"/>
  <c r="K7" i="283" s="1"/>
  <c r="M7" i="283" s="1"/>
  <c r="B9" i="283"/>
  <c r="C5" i="263"/>
  <c r="D5" i="263"/>
  <c r="E5" i="263"/>
  <c r="F5" i="263"/>
  <c r="G5" i="263"/>
  <c r="H5" i="263"/>
  <c r="I5" i="263"/>
  <c r="B5" i="263"/>
  <c r="I7" i="178"/>
  <c r="K7" i="178" s="1"/>
  <c r="M7" i="178" s="1"/>
  <c r="I7" i="155"/>
  <c r="K7" i="155" s="1"/>
  <c r="M7" i="155" s="1"/>
  <c r="I7" i="292"/>
  <c r="K7" i="292" s="1"/>
  <c r="M7" i="292" s="1"/>
  <c r="I7" i="263"/>
  <c r="K7" i="263" s="1"/>
  <c r="M7" i="263" s="1"/>
  <c r="B102" i="53"/>
  <c r="B101" i="53"/>
  <c r="I5" i="53"/>
  <c r="K5" i="53" s="1"/>
  <c r="B21" i="53"/>
  <c r="E54" i="53"/>
  <c r="B54" i="53"/>
  <c r="G40" i="311"/>
  <c r="G41" i="311" s="1"/>
  <c r="F40" i="311"/>
  <c r="F41" i="311" s="1"/>
  <c r="E40" i="311"/>
  <c r="G54" i="53" s="1"/>
  <c r="D39" i="311"/>
  <c r="D38" i="311"/>
  <c r="D37" i="311"/>
  <c r="D36" i="311"/>
  <c r="D35" i="311"/>
  <c r="D34" i="311"/>
  <c r="D33" i="311"/>
  <c r="D32" i="311"/>
  <c r="D30" i="311"/>
  <c r="D25" i="311"/>
  <c r="D24" i="311"/>
  <c r="D23" i="311"/>
  <c r="D22" i="311"/>
  <c r="D21" i="311"/>
  <c r="D20" i="311"/>
  <c r="D19" i="311"/>
  <c r="D18" i="311"/>
  <c r="D17" i="311"/>
  <c r="D16" i="311"/>
  <c r="D15" i="311"/>
  <c r="D14" i="311"/>
  <c r="D13" i="311"/>
  <c r="D12" i="311"/>
  <c r="D11" i="311"/>
  <c r="D10" i="311"/>
  <c r="K9" i="311"/>
  <c r="K10" i="311" s="1"/>
  <c r="D9" i="311"/>
  <c r="J8" i="311"/>
  <c r="D8" i="311" s="1"/>
  <c r="E8" i="311"/>
  <c r="D10" i="173"/>
  <c r="D11" i="173"/>
  <c r="D12" i="173"/>
  <c r="D13" i="173"/>
  <c r="D14" i="173"/>
  <c r="D15" i="173"/>
  <c r="D16" i="173"/>
  <c r="D17" i="173"/>
  <c r="D18" i="173"/>
  <c r="D19" i="173"/>
  <c r="D20" i="173"/>
  <c r="D21" i="173"/>
  <c r="D22" i="173"/>
  <c r="D23" i="173"/>
  <c r="D24" i="173"/>
  <c r="D25" i="173"/>
  <c r="D26" i="173"/>
  <c r="D27" i="173"/>
  <c r="D28" i="173"/>
  <c r="D29" i="173"/>
  <c r="D30" i="173"/>
  <c r="D31" i="173"/>
  <c r="D32" i="173"/>
  <c r="D33" i="173"/>
  <c r="D34" i="173"/>
  <c r="D35" i="173"/>
  <c r="D36" i="173"/>
  <c r="D37" i="173"/>
  <c r="D38" i="173"/>
  <c r="D39" i="173"/>
  <c r="D9" i="173"/>
  <c r="D10" i="159"/>
  <c r="D11" i="159"/>
  <c r="D12" i="159"/>
  <c r="D13" i="159"/>
  <c r="D14" i="159"/>
  <c r="D15" i="159"/>
  <c r="D16" i="159"/>
  <c r="D17" i="159"/>
  <c r="D18" i="159"/>
  <c r="D19" i="159"/>
  <c r="D20" i="159"/>
  <c r="D21" i="159"/>
  <c r="D22" i="159"/>
  <c r="D23" i="159"/>
  <c r="D25" i="159"/>
  <c r="D26" i="159"/>
  <c r="D27" i="159"/>
  <c r="D28" i="159"/>
  <c r="D29" i="159"/>
  <c r="D30" i="159"/>
  <c r="D31" i="159"/>
  <c r="D32" i="159"/>
  <c r="D33" i="159"/>
  <c r="D34" i="159"/>
  <c r="D35" i="159"/>
  <c r="D36" i="159"/>
  <c r="D37" i="159"/>
  <c r="D38" i="159"/>
  <c r="D39" i="159"/>
  <c r="D9" i="159"/>
  <c r="I7" i="159"/>
  <c r="K7" i="159" s="1"/>
  <c r="M7" i="159" s="1"/>
  <c r="B9" i="261"/>
  <c r="I43" i="464" l="1"/>
  <c r="I43" i="465"/>
  <c r="I43" i="461"/>
  <c r="I43" i="462"/>
  <c r="I43" i="458"/>
  <c r="I43" i="459"/>
  <c r="I43" i="455"/>
  <c r="I43" i="457"/>
  <c r="I43" i="453"/>
  <c r="I43" i="454"/>
  <c r="I43" i="450"/>
  <c r="I43" i="452"/>
  <c r="I43" i="448"/>
  <c r="I43" i="449"/>
  <c r="I43" i="445"/>
  <c r="I43" i="447"/>
  <c r="I43" i="441"/>
  <c r="I43" i="444"/>
  <c r="I43" i="439"/>
  <c r="I43" i="440"/>
  <c r="I43" i="437"/>
  <c r="I43" i="438"/>
  <c r="I43" i="432"/>
  <c r="I43" i="436"/>
  <c r="I43" i="429"/>
  <c r="I43" i="431"/>
  <c r="I43" i="426"/>
  <c r="I43" i="427"/>
  <c r="I43" i="422"/>
  <c r="I43" i="423"/>
  <c r="I43" i="415"/>
  <c r="I43" i="416"/>
  <c r="I43" i="413"/>
  <c r="I43" i="414"/>
  <c r="I43" i="411"/>
  <c r="I43" i="412"/>
  <c r="I43" i="408"/>
  <c r="I43" i="410"/>
  <c r="I43" i="343"/>
  <c r="I43" i="406"/>
  <c r="I43" i="404"/>
  <c r="I43" i="403"/>
  <c r="I43" i="401"/>
  <c r="I43" i="402"/>
  <c r="I43" i="393"/>
  <c r="I43" i="390"/>
  <c r="I43" i="384"/>
  <c r="I43" i="383"/>
  <c r="I43" i="364"/>
  <c r="I43" i="362"/>
  <c r="I43" i="350"/>
  <c r="I43" i="344"/>
  <c r="F184" i="53"/>
  <c r="F25" i="341"/>
  <c r="E8" i="312"/>
  <c r="I126" i="354"/>
  <c r="L126" i="354" s="1"/>
  <c r="F125" i="53"/>
  <c r="F20" i="341"/>
  <c r="E41" i="314"/>
  <c r="H23" i="341"/>
  <c r="F128" i="53"/>
  <c r="F23" i="341"/>
  <c r="I43" i="336"/>
  <c r="H25" i="341"/>
  <c r="J25" i="341" s="1"/>
  <c r="M25" i="341" s="1"/>
  <c r="F33" i="312"/>
  <c r="F39" i="312"/>
  <c r="F33" i="313"/>
  <c r="F39" i="313"/>
  <c r="E8" i="313"/>
  <c r="I43" i="331"/>
  <c r="H184" i="53"/>
  <c r="J184" i="53" s="1"/>
  <c r="M184" i="53" s="1"/>
  <c r="E8" i="314"/>
  <c r="F39" i="314" s="1"/>
  <c r="G10" i="313"/>
  <c r="L10" i="313" s="1"/>
  <c r="L9" i="313"/>
  <c r="L10" i="314"/>
  <c r="L9" i="314"/>
  <c r="G10" i="249"/>
  <c r="L9" i="249"/>
  <c r="G10" i="312"/>
  <c r="N10" i="312" s="1"/>
  <c r="N9" i="312"/>
  <c r="J10" i="263"/>
  <c r="S10" i="263" s="1"/>
  <c r="S9" i="263"/>
  <c r="F24" i="295"/>
  <c r="F14" i="295"/>
  <c r="F26" i="295"/>
  <c r="F22" i="313"/>
  <c r="F11" i="310"/>
  <c r="F8" i="311"/>
  <c r="F14" i="310"/>
  <c r="F10" i="246"/>
  <c r="F12" i="313"/>
  <c r="F31" i="310"/>
  <c r="F10" i="313"/>
  <c r="G8" i="311"/>
  <c r="F34" i="295"/>
  <c r="F26" i="310"/>
  <c r="F13" i="246"/>
  <c r="F19" i="313"/>
  <c r="D41" i="314"/>
  <c r="G41" i="314" s="1"/>
  <c r="F18" i="296"/>
  <c r="F23" i="282"/>
  <c r="F22" i="296"/>
  <c r="F34" i="296"/>
  <c r="F29" i="282"/>
  <c r="F10" i="295"/>
  <c r="F19" i="295"/>
  <c r="F29" i="295"/>
  <c r="F38" i="295"/>
  <c r="F19" i="310"/>
  <c r="F22" i="300"/>
  <c r="F24" i="249"/>
  <c r="F12" i="296"/>
  <c r="F24" i="296"/>
  <c r="F36" i="296"/>
  <c r="F14" i="282"/>
  <c r="F22" i="246"/>
  <c r="F14" i="313"/>
  <c r="F24" i="313"/>
  <c r="F30" i="296"/>
  <c r="F17" i="295"/>
  <c r="F36" i="295"/>
  <c r="F11" i="300"/>
  <c r="F10" i="249"/>
  <c r="F10" i="296"/>
  <c r="F11" i="282"/>
  <c r="F12" i="295"/>
  <c r="F22" i="295"/>
  <c r="F31" i="295"/>
  <c r="F23" i="310"/>
  <c r="F34" i="300"/>
  <c r="F38" i="249"/>
  <c r="F16" i="296"/>
  <c r="F17" i="313"/>
  <c r="E41" i="311"/>
  <c r="D41" i="313"/>
  <c r="F39" i="220"/>
  <c r="F37" i="220"/>
  <c r="F35" i="220"/>
  <c r="F33" i="220"/>
  <c r="F31" i="220"/>
  <c r="F29" i="220"/>
  <c r="F27" i="220"/>
  <c r="F25" i="220"/>
  <c r="F23" i="220"/>
  <c r="F21" i="220"/>
  <c r="F19" i="220"/>
  <c r="F17" i="220"/>
  <c r="F15" i="220"/>
  <c r="F13" i="220"/>
  <c r="F11" i="220"/>
  <c r="F11" i="247"/>
  <c r="F13" i="247"/>
  <c r="F16" i="247"/>
  <c r="F18" i="247"/>
  <c r="F20" i="247"/>
  <c r="F23" i="247"/>
  <c r="F25" i="247"/>
  <c r="F28" i="247"/>
  <c r="F30" i="247"/>
  <c r="F32" i="247"/>
  <c r="F35" i="247"/>
  <c r="F37" i="247"/>
  <c r="F12" i="297"/>
  <c r="F14" i="297"/>
  <c r="F18" i="297"/>
  <c r="F20" i="297"/>
  <c r="F24" i="297"/>
  <c r="F26" i="297"/>
  <c r="F30" i="297"/>
  <c r="F32" i="297"/>
  <c r="F36" i="297"/>
  <c r="F38" i="297"/>
  <c r="D41" i="312"/>
  <c r="E41" i="312"/>
  <c r="H125" i="53"/>
  <c r="E41" i="313"/>
  <c r="F10" i="220"/>
  <c r="F38" i="220"/>
  <c r="F36" i="220"/>
  <c r="F34" i="220"/>
  <c r="F32" i="220"/>
  <c r="F30" i="220"/>
  <c r="F28" i="220"/>
  <c r="F26" i="220"/>
  <c r="F24" i="220"/>
  <c r="F22" i="220"/>
  <c r="F20" i="220"/>
  <c r="F18" i="220"/>
  <c r="F16" i="220"/>
  <c r="F14" i="220"/>
  <c r="F11" i="295"/>
  <c r="F13" i="295"/>
  <c r="F16" i="295"/>
  <c r="F18" i="295"/>
  <c r="F20" i="295"/>
  <c r="F23" i="295"/>
  <c r="F25" i="295"/>
  <c r="F28" i="295"/>
  <c r="F30" i="295"/>
  <c r="F32" i="295"/>
  <c r="F35" i="295"/>
  <c r="F37" i="295"/>
  <c r="F13" i="310"/>
  <c r="F17" i="310"/>
  <c r="F20" i="310"/>
  <c r="F25" i="310"/>
  <c r="F29" i="310"/>
  <c r="F32" i="310"/>
  <c r="F10" i="247"/>
  <c r="F12" i="247"/>
  <c r="F14" i="247"/>
  <c r="F17" i="247"/>
  <c r="F19" i="247"/>
  <c r="F22" i="247"/>
  <c r="F24" i="247"/>
  <c r="F26" i="247"/>
  <c r="F29" i="247"/>
  <c r="F31" i="247"/>
  <c r="F34" i="247"/>
  <c r="F36" i="247"/>
  <c r="F38" i="247"/>
  <c r="F10" i="297"/>
  <c r="F13" i="297"/>
  <c r="F16" i="297"/>
  <c r="F19" i="297"/>
  <c r="F22" i="297"/>
  <c r="F25" i="297"/>
  <c r="F28" i="297"/>
  <c r="F31" i="297"/>
  <c r="F34" i="297"/>
  <c r="F37" i="297"/>
  <c r="F12" i="300"/>
  <c r="F32" i="300"/>
  <c r="F17" i="249"/>
  <c r="F31" i="249"/>
  <c r="F33" i="296"/>
  <c r="F39" i="296"/>
  <c r="F11" i="296"/>
  <c r="F13" i="296"/>
  <c r="F17" i="296"/>
  <c r="F19" i="296"/>
  <c r="F23" i="296"/>
  <c r="F25" i="296"/>
  <c r="F29" i="296"/>
  <c r="F31" i="296"/>
  <c r="F35" i="296"/>
  <c r="F37" i="296"/>
  <c r="F33" i="282"/>
  <c r="F38" i="282"/>
  <c r="F32" i="282"/>
  <c r="F34" i="282"/>
  <c r="F12" i="282"/>
  <c r="F16" i="282"/>
  <c r="F22" i="282"/>
  <c r="F24" i="282"/>
  <c r="F30" i="282"/>
  <c r="F16" i="312"/>
  <c r="F24" i="312"/>
  <c r="F34" i="312"/>
  <c r="F25" i="246"/>
  <c r="F34" i="246"/>
  <c r="F37" i="246"/>
  <c r="F26" i="313"/>
  <c r="F29" i="313"/>
  <c r="F31" i="313"/>
  <c r="F34" i="313"/>
  <c r="F37" i="313"/>
  <c r="F39" i="245"/>
  <c r="F37" i="245"/>
  <c r="F35" i="245"/>
  <c r="F33" i="245"/>
  <c r="F31" i="245"/>
  <c r="F29" i="245"/>
  <c r="F27" i="245"/>
  <c r="F25" i="245"/>
  <c r="F23" i="245"/>
  <c r="F21" i="245"/>
  <c r="F19" i="245"/>
  <c r="F17" i="245"/>
  <c r="F15" i="245"/>
  <c r="F13" i="245"/>
  <c r="F11" i="245"/>
  <c r="F12" i="312"/>
  <c r="F22" i="312"/>
  <c r="F30" i="312"/>
  <c r="F12" i="246"/>
  <c r="F16" i="246"/>
  <c r="F24" i="246"/>
  <c r="F28" i="246"/>
  <c r="F36" i="246"/>
  <c r="F11" i="313"/>
  <c r="F13" i="313"/>
  <c r="F16" i="313"/>
  <c r="F18" i="313"/>
  <c r="F20" i="313"/>
  <c r="F23" i="313"/>
  <c r="F25" i="313"/>
  <c r="F28" i="313"/>
  <c r="F30" i="313"/>
  <c r="F32" i="313"/>
  <c r="F36" i="313"/>
  <c r="F38" i="313"/>
  <c r="H128" i="53"/>
  <c r="J128" i="53" s="1"/>
  <c r="M128" i="53" s="1"/>
  <c r="F10" i="245"/>
  <c r="F38" i="245"/>
  <c r="F36" i="245"/>
  <c r="F34" i="245"/>
  <c r="F32" i="245"/>
  <c r="F30" i="245"/>
  <c r="F28" i="245"/>
  <c r="F26" i="245"/>
  <c r="F24" i="245"/>
  <c r="F22" i="245"/>
  <c r="F20" i="245"/>
  <c r="F18" i="245"/>
  <c r="F16" i="245"/>
  <c r="F14" i="245"/>
  <c r="I54" i="53"/>
  <c r="K54" i="53" s="1"/>
  <c r="D40" i="311"/>
  <c r="F54" i="53" s="1"/>
  <c r="H54" i="53"/>
  <c r="D54" i="53"/>
  <c r="F16" i="223"/>
  <c r="F39" i="223"/>
  <c r="F17" i="223"/>
  <c r="F29" i="223"/>
  <c r="F28" i="223"/>
  <c r="F18" i="246"/>
  <c r="F30" i="246"/>
  <c r="F19" i="246"/>
  <c r="F31" i="246"/>
  <c r="F13" i="223"/>
  <c r="F25" i="223"/>
  <c r="F37" i="223"/>
  <c r="F11" i="223"/>
  <c r="F23" i="223"/>
  <c r="F35" i="223"/>
  <c r="F10" i="223"/>
  <c r="F22" i="223"/>
  <c r="F34" i="223"/>
  <c r="F19" i="223"/>
  <c r="F31" i="223"/>
  <c r="F10" i="312"/>
  <c r="F18" i="312"/>
  <c r="F28" i="312"/>
  <c r="F36" i="312"/>
  <c r="F17" i="312"/>
  <c r="F25" i="312"/>
  <c r="F35" i="312"/>
  <c r="F13" i="312"/>
  <c r="F23" i="312"/>
  <c r="F31" i="312"/>
  <c r="F11" i="312"/>
  <c r="F19" i="312"/>
  <c r="F29" i="312"/>
  <c r="F37" i="312"/>
  <c r="F10" i="282"/>
  <c r="F18" i="282"/>
  <c r="F28" i="282"/>
  <c r="F36" i="282"/>
  <c r="F17" i="282"/>
  <c r="F26" i="282"/>
  <c r="F35" i="282"/>
  <c r="F14" i="221"/>
  <c r="F11" i="221"/>
  <c r="F20" i="221"/>
  <c r="F29" i="221"/>
  <c r="F38" i="221"/>
  <c r="F10" i="221"/>
  <c r="F18" i="221"/>
  <c r="F28" i="221"/>
  <c r="F36" i="221"/>
  <c r="F17" i="221"/>
  <c r="F26" i="221"/>
  <c r="F35" i="221"/>
  <c r="F16" i="221"/>
  <c r="F24" i="221"/>
  <c r="F34" i="221"/>
  <c r="F32" i="221"/>
  <c r="F23" i="221"/>
  <c r="F12" i="221"/>
  <c r="F22" i="221"/>
  <c r="F30" i="221"/>
  <c r="F14" i="223"/>
  <c r="F20" i="223"/>
  <c r="F26" i="223"/>
  <c r="F32" i="223"/>
  <c r="F38" i="223"/>
  <c r="F12" i="223"/>
  <c r="F18" i="223"/>
  <c r="F24" i="223"/>
  <c r="F30" i="223"/>
  <c r="F36" i="223"/>
  <c r="F15" i="223"/>
  <c r="F21" i="223"/>
  <c r="F27" i="223"/>
  <c r="F35" i="313"/>
  <c r="F15" i="313"/>
  <c r="F21" i="313"/>
  <c r="F27" i="313"/>
  <c r="F14" i="246"/>
  <c r="F20" i="246"/>
  <c r="F26" i="246"/>
  <c r="F32" i="246"/>
  <c r="F38" i="246"/>
  <c r="F11" i="246"/>
  <c r="F17" i="246"/>
  <c r="F23" i="246"/>
  <c r="F29" i="246"/>
  <c r="F35" i="246"/>
  <c r="F15" i="246"/>
  <c r="F21" i="246"/>
  <c r="F27" i="246"/>
  <c r="F14" i="312"/>
  <c r="F20" i="312"/>
  <c r="F26" i="312"/>
  <c r="F32" i="312"/>
  <c r="F38" i="312"/>
  <c r="F15" i="312"/>
  <c r="F21" i="312"/>
  <c r="F27" i="312"/>
  <c r="F13" i="282"/>
  <c r="F19" i="282"/>
  <c r="F25" i="282"/>
  <c r="F31" i="282"/>
  <c r="F37" i="282"/>
  <c r="F15" i="282"/>
  <c r="F21" i="282"/>
  <c r="F27" i="282"/>
  <c r="F13" i="221"/>
  <c r="F19" i="221"/>
  <c r="F25" i="221"/>
  <c r="F31" i="221"/>
  <c r="F37" i="221"/>
  <c r="F15" i="221"/>
  <c r="F21" i="221"/>
  <c r="F27" i="221"/>
  <c r="F14" i="296"/>
  <c r="F20" i="296"/>
  <c r="F26" i="296"/>
  <c r="F32" i="296"/>
  <c r="F38" i="296"/>
  <c r="F15" i="296"/>
  <c r="F21" i="296"/>
  <c r="F27" i="296"/>
  <c r="F11" i="249"/>
  <c r="F18" i="249"/>
  <c r="F25" i="249"/>
  <c r="F32" i="249"/>
  <c r="F16" i="249"/>
  <c r="F23" i="249"/>
  <c r="F30" i="249"/>
  <c r="F37" i="249"/>
  <c r="F14" i="249"/>
  <c r="F22" i="249"/>
  <c r="F29" i="249"/>
  <c r="F36" i="249"/>
  <c r="F13" i="249"/>
  <c r="F20" i="249"/>
  <c r="F28" i="249"/>
  <c r="F35" i="249"/>
  <c r="F12" i="249"/>
  <c r="F19" i="249"/>
  <c r="F26" i="249"/>
  <c r="F34" i="249"/>
  <c r="F13" i="300"/>
  <c r="F35" i="300"/>
  <c r="F25" i="300"/>
  <c r="F20" i="300"/>
  <c r="F19" i="300"/>
  <c r="F29" i="300"/>
  <c r="F14" i="300"/>
  <c r="F26" i="300"/>
  <c r="F36" i="300"/>
  <c r="F18" i="300"/>
  <c r="F28" i="300"/>
  <c r="F10" i="300"/>
  <c r="F17" i="300"/>
  <c r="F24" i="300"/>
  <c r="F31" i="300"/>
  <c r="F38" i="300"/>
  <c r="F16" i="300"/>
  <c r="F23" i="300"/>
  <c r="F30" i="300"/>
  <c r="F37" i="300"/>
  <c r="F15" i="249"/>
  <c r="F21" i="249"/>
  <c r="F27" i="249"/>
  <c r="F33" i="249"/>
  <c r="F15" i="300"/>
  <c r="F21" i="300"/>
  <c r="F27" i="300"/>
  <c r="F33" i="300"/>
  <c r="F15" i="297"/>
  <c r="F21" i="297"/>
  <c r="F27" i="297"/>
  <c r="F33" i="297"/>
  <c r="F39" i="297"/>
  <c r="F11" i="297"/>
  <c r="F17" i="297"/>
  <c r="F23" i="297"/>
  <c r="F29" i="297"/>
  <c r="F15" i="247"/>
  <c r="F21" i="247"/>
  <c r="F27" i="247"/>
  <c r="F33" i="247"/>
  <c r="F15" i="310"/>
  <c r="F21" i="310"/>
  <c r="F27" i="310"/>
  <c r="F33" i="310"/>
  <c r="F39" i="310"/>
  <c r="F38" i="310"/>
  <c r="F37" i="310"/>
  <c r="F12" i="310"/>
  <c r="F18" i="310"/>
  <c r="F24" i="310"/>
  <c r="F30" i="310"/>
  <c r="F36" i="310"/>
  <c r="F35" i="310"/>
  <c r="F10" i="310"/>
  <c r="F16" i="310"/>
  <c r="F22" i="310"/>
  <c r="F28" i="310"/>
  <c r="F15" i="295"/>
  <c r="F21" i="295"/>
  <c r="F27" i="295"/>
  <c r="F33" i="295"/>
  <c r="H9" i="313"/>
  <c r="H9" i="312"/>
  <c r="K11" i="311"/>
  <c r="J9" i="311"/>
  <c r="S9" i="311" s="1"/>
  <c r="I7" i="284"/>
  <c r="K7" i="284" s="1"/>
  <c r="M7" i="284" s="1"/>
  <c r="I7" i="285"/>
  <c r="K7" i="285" s="1"/>
  <c r="M7" i="285" s="1"/>
  <c r="I7" i="149"/>
  <c r="K7" i="149" s="1"/>
  <c r="M7" i="149" s="1"/>
  <c r="B39" i="149"/>
  <c r="B10" i="149"/>
  <c r="B11" i="149"/>
  <c r="B12" i="149"/>
  <c r="B13" i="149"/>
  <c r="B14" i="149"/>
  <c r="B15" i="149"/>
  <c r="B16" i="149"/>
  <c r="B17" i="149"/>
  <c r="B18" i="149"/>
  <c r="B19" i="149"/>
  <c r="B20" i="149"/>
  <c r="B21" i="149"/>
  <c r="B22" i="149"/>
  <c r="B23" i="149"/>
  <c r="B24" i="149"/>
  <c r="B25" i="149"/>
  <c r="B26" i="149"/>
  <c r="B27" i="149"/>
  <c r="B28" i="149"/>
  <c r="B29" i="149"/>
  <c r="B30" i="149"/>
  <c r="B31" i="149"/>
  <c r="B32" i="149"/>
  <c r="B33" i="149"/>
  <c r="B34" i="149"/>
  <c r="B35" i="149"/>
  <c r="B36" i="149"/>
  <c r="B37" i="149"/>
  <c r="B38" i="149"/>
  <c r="B9" i="149"/>
  <c r="B10" i="285"/>
  <c r="B11" i="285"/>
  <c r="B12" i="285"/>
  <c r="B13" i="285"/>
  <c r="B14" i="285"/>
  <c r="B15" i="285"/>
  <c r="B16" i="285"/>
  <c r="B17" i="285"/>
  <c r="B18" i="285"/>
  <c r="B19" i="285"/>
  <c r="B20" i="285"/>
  <c r="B21" i="285"/>
  <c r="B22" i="285"/>
  <c r="B23" i="285"/>
  <c r="B24" i="285"/>
  <c r="B25" i="285"/>
  <c r="B26" i="285"/>
  <c r="B27" i="285"/>
  <c r="B28" i="285"/>
  <c r="B29" i="285"/>
  <c r="B30" i="285"/>
  <c r="B31" i="285"/>
  <c r="B32" i="285"/>
  <c r="B33" i="285"/>
  <c r="B34" i="285"/>
  <c r="B35" i="285"/>
  <c r="B36" i="285"/>
  <c r="B37" i="285"/>
  <c r="B38" i="285"/>
  <c r="B39" i="285"/>
  <c r="B9" i="285"/>
  <c r="B10" i="155"/>
  <c r="B11" i="155"/>
  <c r="B12" i="155"/>
  <c r="B13" i="155"/>
  <c r="B14" i="155"/>
  <c r="B15" i="155"/>
  <c r="B16" i="155"/>
  <c r="B17" i="155"/>
  <c r="B18" i="155"/>
  <c r="B19" i="155"/>
  <c r="B20" i="155"/>
  <c r="B21" i="155"/>
  <c r="B22" i="155"/>
  <c r="B23" i="155"/>
  <c r="B24" i="155"/>
  <c r="B25" i="155"/>
  <c r="B26" i="155"/>
  <c r="B27" i="155"/>
  <c r="B28" i="155"/>
  <c r="B29" i="155"/>
  <c r="B30" i="155"/>
  <c r="B31" i="155"/>
  <c r="B32" i="155"/>
  <c r="B33" i="155"/>
  <c r="B34" i="155"/>
  <c r="B35" i="155"/>
  <c r="B36" i="155"/>
  <c r="B37" i="155"/>
  <c r="B38" i="155"/>
  <c r="B39" i="155"/>
  <c r="B10" i="292"/>
  <c r="B11" i="292"/>
  <c r="B12" i="292"/>
  <c r="B13" i="292"/>
  <c r="B14" i="292"/>
  <c r="B15" i="292"/>
  <c r="B16" i="292"/>
  <c r="B17" i="292"/>
  <c r="B18" i="292"/>
  <c r="B19" i="292"/>
  <c r="B20" i="292"/>
  <c r="B21" i="292"/>
  <c r="B22" i="292"/>
  <c r="B23" i="292"/>
  <c r="B24" i="292"/>
  <c r="B25" i="292"/>
  <c r="B26" i="292"/>
  <c r="B27" i="292"/>
  <c r="B28" i="292"/>
  <c r="B29" i="292"/>
  <c r="B30" i="292"/>
  <c r="B31" i="292"/>
  <c r="B32" i="292"/>
  <c r="B33" i="292"/>
  <c r="B34" i="292"/>
  <c r="B35" i="292"/>
  <c r="B36" i="292"/>
  <c r="B37" i="292"/>
  <c r="B38" i="292"/>
  <c r="B39" i="292"/>
  <c r="B9" i="292"/>
  <c r="D8" i="292"/>
  <c r="E8" i="292"/>
  <c r="B9" i="155"/>
  <c r="B9" i="178"/>
  <c r="B10" i="263"/>
  <c r="B11" i="263"/>
  <c r="B12" i="263"/>
  <c r="B13" i="263"/>
  <c r="B14" i="263"/>
  <c r="B15" i="263"/>
  <c r="B16" i="263"/>
  <c r="B17" i="263"/>
  <c r="B18" i="263"/>
  <c r="B19" i="263"/>
  <c r="B20" i="263"/>
  <c r="B21" i="263"/>
  <c r="B22" i="263"/>
  <c r="B23" i="263"/>
  <c r="B24" i="263"/>
  <c r="B25" i="263"/>
  <c r="B26" i="263"/>
  <c r="B27" i="263"/>
  <c r="B28" i="263"/>
  <c r="B29" i="263"/>
  <c r="B30" i="263"/>
  <c r="B31" i="263"/>
  <c r="B32" i="263"/>
  <c r="B33" i="263"/>
  <c r="B34" i="263"/>
  <c r="B35" i="263"/>
  <c r="B36" i="263"/>
  <c r="B37" i="263"/>
  <c r="B38" i="263"/>
  <c r="B39" i="263"/>
  <c r="B9" i="263"/>
  <c r="L54" i="53" l="1"/>
  <c r="G126" i="354"/>
  <c r="H10" i="312"/>
  <c r="I128" i="354"/>
  <c r="L128" i="354" s="1"/>
  <c r="J23" i="341"/>
  <c r="M23" i="341" s="1"/>
  <c r="G128" i="354"/>
  <c r="J20" i="341"/>
  <c r="M20" i="341" s="1"/>
  <c r="G11" i="313"/>
  <c r="L11" i="313" s="1"/>
  <c r="L11" i="314"/>
  <c r="H10" i="313"/>
  <c r="G11" i="312"/>
  <c r="N11" i="312" s="1"/>
  <c r="G11" i="249"/>
  <c r="L10" i="249"/>
  <c r="K41" i="311"/>
  <c r="I36" i="311"/>
  <c r="I32" i="311"/>
  <c r="I29" i="311"/>
  <c r="I25" i="311"/>
  <c r="I21" i="311"/>
  <c r="I17" i="311"/>
  <c r="I13" i="311"/>
  <c r="I10" i="311"/>
  <c r="M10" i="311" s="1"/>
  <c r="I23" i="311"/>
  <c r="I15" i="311"/>
  <c r="I39" i="311"/>
  <c r="I35" i="311"/>
  <c r="I31" i="311"/>
  <c r="I28" i="311"/>
  <c r="I24" i="311"/>
  <c r="I16" i="311"/>
  <c r="I37" i="311"/>
  <c r="I33" i="311"/>
  <c r="I30" i="311"/>
  <c r="I26" i="311"/>
  <c r="I22" i="311"/>
  <c r="I18" i="311"/>
  <c r="I14" i="311"/>
  <c r="I9" i="311"/>
  <c r="M9" i="311" s="1"/>
  <c r="I38" i="311"/>
  <c r="I34" i="311"/>
  <c r="I27" i="311"/>
  <c r="I19" i="311"/>
  <c r="I11" i="311"/>
  <c r="M11" i="311" s="1"/>
  <c r="I20" i="311"/>
  <c r="I12" i="311"/>
  <c r="G41" i="312"/>
  <c r="G41" i="313"/>
  <c r="J54" i="53"/>
  <c r="D41" i="311"/>
  <c r="K12" i="311"/>
  <c r="L9" i="311"/>
  <c r="J10" i="311"/>
  <c r="S10" i="311" s="1"/>
  <c r="M54" i="53" l="1"/>
  <c r="K128" i="354"/>
  <c r="G35" i="421" s="1"/>
  <c r="P35" i="421" s="1"/>
  <c r="L12" i="314"/>
  <c r="G12" i="313"/>
  <c r="L12" i="313" s="1"/>
  <c r="H11" i="313"/>
  <c r="H11" i="312"/>
  <c r="G12" i="312"/>
  <c r="N12" i="312" s="1"/>
  <c r="G12" i="249"/>
  <c r="L11" i="249"/>
  <c r="J41" i="311"/>
  <c r="K13" i="311"/>
  <c r="M12" i="311"/>
  <c r="L10" i="311"/>
  <c r="J11" i="311"/>
  <c r="S11" i="311" s="1"/>
  <c r="L13" i="314" l="1"/>
  <c r="H12" i="313"/>
  <c r="G13" i="313"/>
  <c r="L13" i="313" s="1"/>
  <c r="G13" i="312"/>
  <c r="N13" i="312" s="1"/>
  <c r="H12" i="312"/>
  <c r="G13" i="249"/>
  <c r="L12" i="249"/>
  <c r="K14" i="311"/>
  <c r="M13" i="311"/>
  <c r="J12" i="311"/>
  <c r="S12" i="311" s="1"/>
  <c r="L11" i="311"/>
  <c r="K9" i="155"/>
  <c r="K10" i="155" s="1"/>
  <c r="K11" i="155" s="1"/>
  <c r="K12" i="155" s="1"/>
  <c r="K13" i="155" s="1"/>
  <c r="K14" i="155" s="1"/>
  <c r="K15" i="155" s="1"/>
  <c r="K16" i="155" s="1"/>
  <c r="K17" i="155" s="1"/>
  <c r="K18" i="155" s="1"/>
  <c r="K19" i="155" s="1"/>
  <c r="K20" i="155" s="1"/>
  <c r="K21" i="155" s="1"/>
  <c r="K22" i="155" s="1"/>
  <c r="K23" i="155" s="1"/>
  <c r="K24" i="155" s="1"/>
  <c r="K25" i="155" s="1"/>
  <c r="K26" i="155" s="1"/>
  <c r="K27" i="155" s="1"/>
  <c r="K28" i="155" s="1"/>
  <c r="K29" i="155" s="1"/>
  <c r="K30" i="155" s="1"/>
  <c r="K31" i="155" s="1"/>
  <c r="K32" i="155" s="1"/>
  <c r="K33" i="155" s="1"/>
  <c r="K34" i="155" s="1"/>
  <c r="K35" i="155" s="1"/>
  <c r="K36" i="155" s="1"/>
  <c r="K37" i="155" s="1"/>
  <c r="K38" i="155" s="1"/>
  <c r="K39" i="155" s="1"/>
  <c r="K40" i="155" s="1"/>
  <c r="L14" i="314" l="1"/>
  <c r="G14" i="313"/>
  <c r="L14" i="313" s="1"/>
  <c r="H13" i="313"/>
  <c r="G14" i="312"/>
  <c r="N14" i="312" s="1"/>
  <c r="H13" i="312"/>
  <c r="G14" i="249"/>
  <c r="L13" i="249"/>
  <c r="K15" i="311"/>
  <c r="M14" i="311"/>
  <c r="J13" i="311"/>
  <c r="S13" i="311" s="1"/>
  <c r="L12" i="311"/>
  <c r="L15" i="314" l="1"/>
  <c r="H14" i="313"/>
  <c r="G15" i="313"/>
  <c r="L15" i="313" s="1"/>
  <c r="H14" i="312"/>
  <c r="G15" i="312"/>
  <c r="N15" i="312" s="1"/>
  <c r="G15" i="249"/>
  <c r="L14" i="249"/>
  <c r="K16" i="311"/>
  <c r="M15" i="311"/>
  <c r="J14" i="311"/>
  <c r="S14" i="311" s="1"/>
  <c r="L13" i="311"/>
  <c r="L16" i="314" l="1"/>
  <c r="G16" i="313"/>
  <c r="L16" i="313" s="1"/>
  <c r="H15" i="313"/>
  <c r="G16" i="312"/>
  <c r="N16" i="312" s="1"/>
  <c r="H15" i="312"/>
  <c r="G16" i="249"/>
  <c r="L15" i="249"/>
  <c r="L14" i="311"/>
  <c r="J15" i="311"/>
  <c r="S15" i="311" s="1"/>
  <c r="K17" i="311"/>
  <c r="M16" i="311"/>
  <c r="L17" i="314" l="1"/>
  <c r="G17" i="313"/>
  <c r="L17" i="313" s="1"/>
  <c r="H16" i="313"/>
  <c r="G17" i="312"/>
  <c r="N17" i="312" s="1"/>
  <c r="H16" i="312"/>
  <c r="G17" i="249"/>
  <c r="L16" i="249"/>
  <c r="J16" i="311"/>
  <c r="S16" i="311" s="1"/>
  <c r="L15" i="311"/>
  <c r="K18" i="311"/>
  <c r="M17" i="311"/>
  <c r="L18" i="314" l="1"/>
  <c r="H17" i="313"/>
  <c r="G18" i="313"/>
  <c r="L18" i="313" s="1"/>
  <c r="H17" i="312"/>
  <c r="G18" i="312"/>
  <c r="N18" i="312" s="1"/>
  <c r="G18" i="249"/>
  <c r="L17" i="249"/>
  <c r="L16" i="311"/>
  <c r="J17" i="311"/>
  <c r="S17" i="311" s="1"/>
  <c r="K19" i="311"/>
  <c r="M18" i="311"/>
  <c r="D180" i="53"/>
  <c r="B180" i="53"/>
  <c r="E40" i="310"/>
  <c r="D40" i="310"/>
  <c r="G9" i="310"/>
  <c r="L9" i="310" s="1"/>
  <c r="D8" i="310"/>
  <c r="L19" i="314" l="1"/>
  <c r="F180" i="53"/>
  <c r="F9" i="341"/>
  <c r="E41" i="310"/>
  <c r="H9" i="341"/>
  <c r="J9" i="341" s="1"/>
  <c r="M9" i="341" s="1"/>
  <c r="G19" i="313"/>
  <c r="L19" i="313" s="1"/>
  <c r="H18" i="313"/>
  <c r="G19" i="312"/>
  <c r="N19" i="312" s="1"/>
  <c r="H18" i="312"/>
  <c r="H9" i="310"/>
  <c r="G19" i="249"/>
  <c r="L18" i="249"/>
  <c r="L17" i="311"/>
  <c r="J18" i="311"/>
  <c r="S18" i="311" s="1"/>
  <c r="K20" i="311"/>
  <c r="M19" i="311"/>
  <c r="E8" i="310"/>
  <c r="D41" i="310"/>
  <c r="G41" i="310" s="1"/>
  <c r="H180" i="53"/>
  <c r="G10" i="310"/>
  <c r="L20" i="314" l="1"/>
  <c r="J180" i="53"/>
  <c r="M180" i="53" s="1"/>
  <c r="G20" i="313"/>
  <c r="L20" i="313" s="1"/>
  <c r="H19" i="313"/>
  <c r="G20" i="312"/>
  <c r="N20" i="312" s="1"/>
  <c r="H19" i="312"/>
  <c r="L10" i="310"/>
  <c r="G20" i="249"/>
  <c r="L19" i="249"/>
  <c r="J19" i="311"/>
  <c r="S19" i="311" s="1"/>
  <c r="L18" i="311"/>
  <c r="K21" i="311"/>
  <c r="M20" i="311"/>
  <c r="H10" i="310"/>
  <c r="G11" i="310"/>
  <c r="L21" i="314" l="1"/>
  <c r="H20" i="313"/>
  <c r="G21" i="313"/>
  <c r="L21" i="313" s="1"/>
  <c r="H20" i="312"/>
  <c r="G21" i="312"/>
  <c r="N21" i="312" s="1"/>
  <c r="L11" i="310"/>
  <c r="G21" i="249"/>
  <c r="L20" i="249"/>
  <c r="J20" i="311"/>
  <c r="S20" i="311" s="1"/>
  <c r="L19" i="311"/>
  <c r="K22" i="311"/>
  <c r="M21" i="311"/>
  <c r="H11" i="310"/>
  <c r="G12" i="310"/>
  <c r="L22" i="314" l="1"/>
  <c r="G22" i="313"/>
  <c r="L22" i="313" s="1"/>
  <c r="H21" i="313"/>
  <c r="G22" i="312"/>
  <c r="N22" i="312" s="1"/>
  <c r="H21" i="312"/>
  <c r="L12" i="310"/>
  <c r="G22" i="249"/>
  <c r="L21" i="249"/>
  <c r="J21" i="311"/>
  <c r="S21" i="311" s="1"/>
  <c r="L20" i="311"/>
  <c r="K23" i="311"/>
  <c r="M22" i="311"/>
  <c r="H12" i="310"/>
  <c r="G13" i="310"/>
  <c r="L23" i="314" l="1"/>
  <c r="G23" i="313"/>
  <c r="L23" i="313" s="1"/>
  <c r="H22" i="313"/>
  <c r="G23" i="312"/>
  <c r="N23" i="312" s="1"/>
  <c r="H22" i="312"/>
  <c r="L13" i="310"/>
  <c r="G23" i="249"/>
  <c r="L22" i="249"/>
  <c r="K24" i="311"/>
  <c r="M23" i="311"/>
  <c r="J22" i="311"/>
  <c r="S22" i="311" s="1"/>
  <c r="L21" i="311"/>
  <c r="H13" i="310"/>
  <c r="G14" i="310"/>
  <c r="L24" i="314" l="1"/>
  <c r="H23" i="313"/>
  <c r="G24" i="313"/>
  <c r="L24" i="313" s="1"/>
  <c r="H23" i="312"/>
  <c r="G24" i="312"/>
  <c r="N24" i="312" s="1"/>
  <c r="L14" i="310"/>
  <c r="G24" i="249"/>
  <c r="L23" i="249"/>
  <c r="M24" i="311"/>
  <c r="K25" i="311"/>
  <c r="L22" i="311"/>
  <c r="J23" i="311"/>
  <c r="S23" i="311" s="1"/>
  <c r="H14" i="310"/>
  <c r="G15" i="310"/>
  <c r="L25" i="314" l="1"/>
  <c r="G25" i="313"/>
  <c r="L25" i="313" s="1"/>
  <c r="H24" i="313"/>
  <c r="G25" i="312"/>
  <c r="N25" i="312" s="1"/>
  <c r="H24" i="312"/>
  <c r="L15" i="310"/>
  <c r="G25" i="249"/>
  <c r="L24" i="249"/>
  <c r="K26" i="311"/>
  <c r="M25" i="311"/>
  <c r="J24" i="311"/>
  <c r="S24" i="311" s="1"/>
  <c r="L23" i="311"/>
  <c r="H15" i="310"/>
  <c r="G16" i="310"/>
  <c r="L26" i="314" l="1"/>
  <c r="G26" i="313"/>
  <c r="L26" i="313" s="1"/>
  <c r="H25" i="313"/>
  <c r="G26" i="312"/>
  <c r="N26" i="312" s="1"/>
  <c r="H25" i="312"/>
  <c r="L16" i="310"/>
  <c r="G26" i="249"/>
  <c r="L25" i="249"/>
  <c r="M26" i="311"/>
  <c r="K27" i="311"/>
  <c r="J25" i="311"/>
  <c r="S25" i="311" s="1"/>
  <c r="L24" i="311"/>
  <c r="H16" i="310"/>
  <c r="G17" i="310"/>
  <c r="L27" i="314" l="1"/>
  <c r="H26" i="313"/>
  <c r="G27" i="313"/>
  <c r="L27" i="313" s="1"/>
  <c r="H26" i="312"/>
  <c r="G27" i="312"/>
  <c r="N27" i="312" s="1"/>
  <c r="L17" i="310"/>
  <c r="G27" i="249"/>
  <c r="L26" i="249"/>
  <c r="K28" i="311"/>
  <c r="M27" i="311"/>
  <c r="J26" i="311"/>
  <c r="S26" i="311" s="1"/>
  <c r="L25" i="311"/>
  <c r="H17" i="310"/>
  <c r="G18" i="310"/>
  <c r="L28" i="314" l="1"/>
  <c r="G28" i="313"/>
  <c r="L28" i="313" s="1"/>
  <c r="H27" i="313"/>
  <c r="G28" i="312"/>
  <c r="N28" i="312" s="1"/>
  <c r="H27" i="312"/>
  <c r="L18" i="310"/>
  <c r="G28" i="249"/>
  <c r="L27" i="249"/>
  <c r="K29" i="311"/>
  <c r="M28" i="311"/>
  <c r="J27" i="311"/>
  <c r="S27" i="311" s="1"/>
  <c r="L26" i="311"/>
  <c r="H18" i="310"/>
  <c r="G19" i="310"/>
  <c r="L29" i="314" l="1"/>
  <c r="G29" i="313"/>
  <c r="L29" i="313" s="1"/>
  <c r="H28" i="313"/>
  <c r="G29" i="312"/>
  <c r="N29" i="312" s="1"/>
  <c r="H28" i="312"/>
  <c r="L19" i="310"/>
  <c r="G29" i="249"/>
  <c r="L28" i="249"/>
  <c r="J28" i="311"/>
  <c r="S28" i="311" s="1"/>
  <c r="L27" i="311"/>
  <c r="K30" i="311"/>
  <c r="M29" i="311"/>
  <c r="H19" i="310"/>
  <c r="G20" i="310"/>
  <c r="L30" i="314" l="1"/>
  <c r="H29" i="313"/>
  <c r="G30" i="313"/>
  <c r="L30" i="313" s="1"/>
  <c r="H29" i="312"/>
  <c r="G30" i="312"/>
  <c r="N30" i="312" s="1"/>
  <c r="L20" i="310"/>
  <c r="G30" i="249"/>
  <c r="L29" i="249"/>
  <c r="K31" i="311"/>
  <c r="M30" i="311"/>
  <c r="J29" i="311"/>
  <c r="S29" i="311" s="1"/>
  <c r="L28" i="311"/>
  <c r="H20" i="310"/>
  <c r="G21" i="310"/>
  <c r="L31" i="314" l="1"/>
  <c r="G31" i="313"/>
  <c r="L31" i="313" s="1"/>
  <c r="H30" i="313"/>
  <c r="G31" i="312"/>
  <c r="N31" i="312" s="1"/>
  <c r="H30" i="312"/>
  <c r="L21" i="310"/>
  <c r="G31" i="249"/>
  <c r="L30" i="249"/>
  <c r="K32" i="311"/>
  <c r="M31" i="311"/>
  <c r="J30" i="311"/>
  <c r="S30" i="311" s="1"/>
  <c r="L29" i="311"/>
  <c r="H21" i="310"/>
  <c r="G22" i="310"/>
  <c r="L32" i="314" l="1"/>
  <c r="G32" i="313"/>
  <c r="L32" i="313" s="1"/>
  <c r="H31" i="313"/>
  <c r="G32" i="312"/>
  <c r="N32" i="312" s="1"/>
  <c r="H31" i="312"/>
  <c r="L22" i="310"/>
  <c r="G32" i="249"/>
  <c r="L31" i="249"/>
  <c r="M32" i="311"/>
  <c r="K33" i="311"/>
  <c r="J31" i="311"/>
  <c r="S31" i="311" s="1"/>
  <c r="L30" i="311"/>
  <c r="H22" i="310"/>
  <c r="G23" i="310"/>
  <c r="L33" i="314" l="1"/>
  <c r="H32" i="313"/>
  <c r="G33" i="313"/>
  <c r="L33" i="313" s="1"/>
  <c r="H32" i="312"/>
  <c r="G33" i="312"/>
  <c r="N33" i="312" s="1"/>
  <c r="L23" i="310"/>
  <c r="G33" i="249"/>
  <c r="L32" i="249"/>
  <c r="K34" i="311"/>
  <c r="M33" i="311"/>
  <c r="J32" i="311"/>
  <c r="S32" i="311" s="1"/>
  <c r="L31" i="311"/>
  <c r="H23" i="310"/>
  <c r="G24" i="310"/>
  <c r="L34" i="314" l="1"/>
  <c r="G34" i="313"/>
  <c r="L34" i="313" s="1"/>
  <c r="H33" i="313"/>
  <c r="G34" i="312"/>
  <c r="N34" i="312" s="1"/>
  <c r="H33" i="312"/>
  <c r="L24" i="310"/>
  <c r="G34" i="249"/>
  <c r="L33" i="249"/>
  <c r="K35" i="311"/>
  <c r="M34" i="311"/>
  <c r="J33" i="311"/>
  <c r="S33" i="311" s="1"/>
  <c r="L32" i="311"/>
  <c r="H24" i="310"/>
  <c r="G25" i="310"/>
  <c r="L35" i="314" l="1"/>
  <c r="G35" i="313"/>
  <c r="L35" i="313" s="1"/>
  <c r="H34" i="313"/>
  <c r="G35" i="312"/>
  <c r="N35" i="312" s="1"/>
  <c r="H34" i="312"/>
  <c r="L25" i="310"/>
  <c r="G35" i="249"/>
  <c r="L34" i="249"/>
  <c r="K36" i="311"/>
  <c r="M35" i="311"/>
  <c r="J34" i="311"/>
  <c r="S34" i="311" s="1"/>
  <c r="L33" i="311"/>
  <c r="H25" i="310"/>
  <c r="G26" i="310"/>
  <c r="L36" i="314" l="1"/>
  <c r="H35" i="313"/>
  <c r="G36" i="313"/>
  <c r="L36" i="313" s="1"/>
  <c r="H35" i="312"/>
  <c r="G36" i="312"/>
  <c r="N36" i="312" s="1"/>
  <c r="L26" i="310"/>
  <c r="G36" i="249"/>
  <c r="L35" i="249"/>
  <c r="L37" i="314"/>
  <c r="K37" i="311"/>
  <c r="M36" i="311"/>
  <c r="J35" i="311"/>
  <c r="S35" i="311" s="1"/>
  <c r="L34" i="311"/>
  <c r="H26" i="310"/>
  <c r="G27" i="310"/>
  <c r="G37" i="313" l="1"/>
  <c r="L37" i="313" s="1"/>
  <c r="H36" i="313"/>
  <c r="G37" i="312"/>
  <c r="N37" i="312" s="1"/>
  <c r="H36" i="312"/>
  <c r="L27" i="310"/>
  <c r="G37" i="249"/>
  <c r="L36" i="249"/>
  <c r="L38" i="314"/>
  <c r="K38" i="311"/>
  <c r="M37" i="311"/>
  <c r="L35" i="311"/>
  <c r="J36" i="311"/>
  <c r="S36" i="311" s="1"/>
  <c r="H27" i="310"/>
  <c r="G28" i="310"/>
  <c r="G38" i="313" l="1"/>
  <c r="L38" i="313" s="1"/>
  <c r="H37" i="313"/>
  <c r="G38" i="312"/>
  <c r="N38" i="312" s="1"/>
  <c r="H37" i="312"/>
  <c r="L28" i="310"/>
  <c r="G38" i="249"/>
  <c r="L37" i="249"/>
  <c r="L39" i="314"/>
  <c r="K39" i="311"/>
  <c r="M38" i="311"/>
  <c r="J37" i="311"/>
  <c r="S37" i="311" s="1"/>
  <c r="L36" i="311"/>
  <c r="H28" i="310"/>
  <c r="G29" i="310"/>
  <c r="H38" i="313" l="1"/>
  <c r="G39" i="313"/>
  <c r="L39" i="313" s="1"/>
  <c r="H38" i="312"/>
  <c r="G39" i="312"/>
  <c r="N39" i="312" s="1"/>
  <c r="L29" i="310"/>
  <c r="G39" i="249"/>
  <c r="L39" i="249" s="1"/>
  <c r="L38" i="249"/>
  <c r="G40" i="314"/>
  <c r="K40" i="311"/>
  <c r="M39" i="311"/>
  <c r="J38" i="311"/>
  <c r="S38" i="311" s="1"/>
  <c r="L37" i="311"/>
  <c r="H29" i="310"/>
  <c r="G30" i="310"/>
  <c r="G40" i="313" l="1"/>
  <c r="H39" i="313"/>
  <c r="G40" i="312"/>
  <c r="H39" i="312"/>
  <c r="L30" i="310"/>
  <c r="J39" i="311"/>
  <c r="S39" i="311" s="1"/>
  <c r="L38" i="311"/>
  <c r="H30" i="310"/>
  <c r="G31" i="310"/>
  <c r="L31" i="310" l="1"/>
  <c r="J40" i="311"/>
  <c r="L39" i="311"/>
  <c r="H31" i="310"/>
  <c r="G32" i="310"/>
  <c r="L32" i="310" l="1"/>
  <c r="H32" i="310"/>
  <c r="G33" i="310"/>
  <c r="L33" i="310" l="1"/>
  <c r="H33" i="310"/>
  <c r="G34" i="310"/>
  <c r="L34" i="310" l="1"/>
  <c r="H34" i="310"/>
  <c r="G35" i="310"/>
  <c r="L35" i="310" l="1"/>
  <c r="H35" i="310"/>
  <c r="G36" i="310"/>
  <c r="L36" i="310" l="1"/>
  <c r="H36" i="310"/>
  <c r="G37" i="310"/>
  <c r="L37" i="310" l="1"/>
  <c r="H37" i="310"/>
  <c r="G38" i="310"/>
  <c r="L38" i="310" l="1"/>
  <c r="H38" i="310"/>
  <c r="G39" i="310"/>
  <c r="L39" i="310" l="1"/>
  <c r="H39" i="310"/>
  <c r="G40" i="310"/>
  <c r="E41" i="53" l="1"/>
  <c r="D41" i="53"/>
  <c r="E40" i="309"/>
  <c r="G41" i="53" s="1"/>
  <c r="D9" i="309"/>
  <c r="E8" i="309"/>
  <c r="D8" i="309"/>
  <c r="G53" i="354" l="1"/>
  <c r="E53" i="354"/>
  <c r="K9" i="309"/>
  <c r="G40" i="309"/>
  <c r="K10" i="309"/>
  <c r="E41" i="309"/>
  <c r="D40" i="309"/>
  <c r="F41" i="53" s="1"/>
  <c r="J9" i="309"/>
  <c r="I14" i="309"/>
  <c r="H37" i="309"/>
  <c r="H36" i="309"/>
  <c r="H34" i="309"/>
  <c r="H33" i="309"/>
  <c r="H32" i="309"/>
  <c r="H28" i="309"/>
  <c r="H25" i="309"/>
  <c r="H23" i="309"/>
  <c r="H22" i="309"/>
  <c r="H17" i="309"/>
  <c r="H16" i="309"/>
  <c r="F40" i="309"/>
  <c r="H41" i="53" s="1"/>
  <c r="H39" i="309"/>
  <c r="H38" i="309"/>
  <c r="H35" i="309"/>
  <c r="H31" i="309"/>
  <c r="H30" i="309"/>
  <c r="H29" i="309"/>
  <c r="H27" i="309"/>
  <c r="H26" i="309"/>
  <c r="H24" i="309"/>
  <c r="H21" i="309"/>
  <c r="H20" i="309"/>
  <c r="H19" i="309"/>
  <c r="H18" i="309"/>
  <c r="H9" i="309"/>
  <c r="I10" i="309"/>
  <c r="I11" i="309"/>
  <c r="I12" i="309"/>
  <c r="I13" i="309"/>
  <c r="I41" i="53"/>
  <c r="K41" i="53" s="1"/>
  <c r="I39" i="309"/>
  <c r="I38" i="309"/>
  <c r="I35" i="309"/>
  <c r="I31" i="309"/>
  <c r="I30" i="309"/>
  <c r="I29" i="309"/>
  <c r="I27" i="309"/>
  <c r="I26" i="309"/>
  <c r="I24" i="309"/>
  <c r="I21" i="309"/>
  <c r="I20" i="309"/>
  <c r="I19" i="309"/>
  <c r="I18" i="309"/>
  <c r="I37" i="309"/>
  <c r="I36" i="309"/>
  <c r="I34" i="309"/>
  <c r="I33" i="309"/>
  <c r="I32" i="309"/>
  <c r="I28" i="309"/>
  <c r="I25" i="309"/>
  <c r="I23" i="309"/>
  <c r="I22" i="309"/>
  <c r="I17" i="309"/>
  <c r="I16" i="309"/>
  <c r="I15" i="309"/>
  <c r="I9" i="309"/>
  <c r="H10" i="309"/>
  <c r="H11" i="309"/>
  <c r="H12" i="309"/>
  <c r="H13" i="309"/>
  <c r="H14" i="309"/>
  <c r="H15" i="309"/>
  <c r="L41" i="53" l="1"/>
  <c r="J41" i="53"/>
  <c r="H53" i="354"/>
  <c r="I53" i="354"/>
  <c r="K53" i="354" s="1"/>
  <c r="J10" i="309"/>
  <c r="S10" i="309" s="1"/>
  <c r="S9" i="309"/>
  <c r="L9" i="309"/>
  <c r="D41" i="309"/>
  <c r="M9" i="309"/>
  <c r="G41" i="309"/>
  <c r="K41" i="309" s="1"/>
  <c r="G8" i="309"/>
  <c r="F41" i="309"/>
  <c r="F8" i="309"/>
  <c r="D100" i="53"/>
  <c r="B100" i="53"/>
  <c r="D101" i="53"/>
  <c r="M41" i="53" l="1"/>
  <c r="E63" i="355"/>
  <c r="G74" i="355"/>
  <c r="E101" i="354"/>
  <c r="F35" i="365"/>
  <c r="E102" i="354"/>
  <c r="F36" i="365"/>
  <c r="J11" i="309"/>
  <c r="S11" i="309" s="1"/>
  <c r="L10" i="309"/>
  <c r="J41" i="309"/>
  <c r="K11" i="309"/>
  <c r="M10" i="309"/>
  <c r="J12" i="309"/>
  <c r="S12" i="309" s="1"/>
  <c r="L11" i="309" l="1"/>
  <c r="J13" i="309"/>
  <c r="S13" i="309" s="1"/>
  <c r="L12" i="309"/>
  <c r="K12" i="309"/>
  <c r="M11" i="309"/>
  <c r="F40" i="307"/>
  <c r="H39" i="307"/>
  <c r="G39" i="307"/>
  <c r="E39" i="307"/>
  <c r="H38" i="307"/>
  <c r="G38" i="307"/>
  <c r="E38" i="307"/>
  <c r="H37" i="307"/>
  <c r="G37" i="307"/>
  <c r="E37" i="307"/>
  <c r="H36" i="307"/>
  <c r="G36" i="307"/>
  <c r="E36" i="307"/>
  <c r="H35" i="307"/>
  <c r="G35" i="307"/>
  <c r="E35" i="307"/>
  <c r="H34" i="307"/>
  <c r="G34" i="307"/>
  <c r="E34" i="307"/>
  <c r="H33" i="307"/>
  <c r="G33" i="307"/>
  <c r="E33" i="307"/>
  <c r="H32" i="307"/>
  <c r="G32" i="307"/>
  <c r="E32" i="307"/>
  <c r="H31" i="307"/>
  <c r="G31" i="307"/>
  <c r="E31" i="307"/>
  <c r="H30" i="307"/>
  <c r="G30" i="307"/>
  <c r="E30" i="307"/>
  <c r="H29" i="307"/>
  <c r="G29" i="307"/>
  <c r="E29" i="307"/>
  <c r="H28" i="307"/>
  <c r="G28" i="307"/>
  <c r="E28" i="307"/>
  <c r="H27" i="307"/>
  <c r="G27" i="307"/>
  <c r="E27" i="307"/>
  <c r="H26" i="307"/>
  <c r="G26" i="307"/>
  <c r="E26" i="307"/>
  <c r="H25" i="307"/>
  <c r="G25" i="307"/>
  <c r="E25" i="307"/>
  <c r="H24" i="307"/>
  <c r="G24" i="307"/>
  <c r="E24" i="307"/>
  <c r="H23" i="307"/>
  <c r="G23" i="307"/>
  <c r="E23" i="307"/>
  <c r="H22" i="307"/>
  <c r="G22" i="307"/>
  <c r="E22" i="307"/>
  <c r="H21" i="307"/>
  <c r="G21" i="307"/>
  <c r="E21" i="307"/>
  <c r="H20" i="307"/>
  <c r="G20" i="307"/>
  <c r="E20" i="307"/>
  <c r="H19" i="307"/>
  <c r="G19" i="307"/>
  <c r="E19" i="307"/>
  <c r="H18" i="307"/>
  <c r="G18" i="307"/>
  <c r="E18" i="307"/>
  <c r="H17" i="307"/>
  <c r="G17" i="307"/>
  <c r="E17" i="307"/>
  <c r="H16" i="307"/>
  <c r="G16" i="307"/>
  <c r="E16" i="307"/>
  <c r="H15" i="307"/>
  <c r="G15" i="307"/>
  <c r="E15" i="307"/>
  <c r="H14" i="307"/>
  <c r="G14" i="307"/>
  <c r="E14" i="307"/>
  <c r="D40" i="307"/>
  <c r="F100" i="53" s="1"/>
  <c r="H13" i="307"/>
  <c r="G13" i="307"/>
  <c r="E13" i="307"/>
  <c r="H12" i="307"/>
  <c r="G12" i="307"/>
  <c r="E12" i="307"/>
  <c r="H11" i="307"/>
  <c r="G11" i="307"/>
  <c r="E11" i="307"/>
  <c r="H10" i="307"/>
  <c r="G10" i="307"/>
  <c r="E10" i="307"/>
  <c r="I9" i="307"/>
  <c r="H9" i="307"/>
  <c r="G9" i="307"/>
  <c r="E9" i="307"/>
  <c r="J8" i="307"/>
  <c r="D8" i="307"/>
  <c r="F40" i="308"/>
  <c r="H39" i="308"/>
  <c r="G39" i="308"/>
  <c r="E39" i="308"/>
  <c r="H38" i="308"/>
  <c r="G38" i="308"/>
  <c r="E38" i="308"/>
  <c r="H37" i="308"/>
  <c r="G37" i="308"/>
  <c r="E37" i="308"/>
  <c r="H36" i="308"/>
  <c r="G36" i="308"/>
  <c r="E36" i="308"/>
  <c r="H35" i="308"/>
  <c r="G35" i="308"/>
  <c r="E35" i="308"/>
  <c r="H34" i="308"/>
  <c r="G34" i="308"/>
  <c r="E34" i="308"/>
  <c r="H33" i="308"/>
  <c r="G33" i="308"/>
  <c r="E33" i="308"/>
  <c r="H32" i="308"/>
  <c r="G32" i="308"/>
  <c r="E32" i="308"/>
  <c r="H31" i="308"/>
  <c r="G31" i="308"/>
  <c r="E31" i="308"/>
  <c r="H30" i="308"/>
  <c r="G30" i="308"/>
  <c r="E30" i="308"/>
  <c r="H29" i="308"/>
  <c r="G29" i="308"/>
  <c r="E29" i="308"/>
  <c r="H28" i="308"/>
  <c r="G28" i="308"/>
  <c r="E28" i="308"/>
  <c r="H27" i="308"/>
  <c r="G27" i="308"/>
  <c r="E27" i="308"/>
  <c r="H26" i="308"/>
  <c r="G26" i="308"/>
  <c r="E26" i="308"/>
  <c r="H25" i="308"/>
  <c r="G25" i="308"/>
  <c r="E25" i="308"/>
  <c r="H24" i="308"/>
  <c r="G24" i="308"/>
  <c r="E24" i="308"/>
  <c r="H23" i="308"/>
  <c r="G23" i="308"/>
  <c r="E23" i="308"/>
  <c r="H22" i="308"/>
  <c r="G22" i="308"/>
  <c r="E22" i="308"/>
  <c r="H21" i="308"/>
  <c r="G21" i="308"/>
  <c r="E21" i="308"/>
  <c r="H20" i="308"/>
  <c r="G20" i="308"/>
  <c r="E20" i="308"/>
  <c r="H19" i="308"/>
  <c r="G19" i="308"/>
  <c r="E19" i="308"/>
  <c r="H18" i="308"/>
  <c r="G18" i="308"/>
  <c r="E18" i="308"/>
  <c r="H17" i="308"/>
  <c r="G17" i="308"/>
  <c r="E17" i="308"/>
  <c r="H16" i="308"/>
  <c r="G16" i="308"/>
  <c r="E16" i="308"/>
  <c r="H15" i="308"/>
  <c r="G15" i="308"/>
  <c r="E15" i="308"/>
  <c r="H14" i="308"/>
  <c r="G14" i="308"/>
  <c r="E14" i="308"/>
  <c r="H13" i="308"/>
  <c r="G13" i="308"/>
  <c r="D40" i="308"/>
  <c r="F101" i="53" s="1"/>
  <c r="H12" i="308"/>
  <c r="G12" i="308"/>
  <c r="E12" i="308"/>
  <c r="H11" i="308"/>
  <c r="G11" i="308"/>
  <c r="E11" i="308"/>
  <c r="H10" i="308"/>
  <c r="G10" i="308"/>
  <c r="E10" i="308"/>
  <c r="I9" i="308"/>
  <c r="H9" i="308"/>
  <c r="G9" i="308"/>
  <c r="E9" i="308"/>
  <c r="J8" i="308"/>
  <c r="F8" i="308"/>
  <c r="D8" i="308"/>
  <c r="H74" i="355" l="1"/>
  <c r="G101" i="354"/>
  <c r="H35" i="365"/>
  <c r="G102" i="354"/>
  <c r="H36" i="365"/>
  <c r="F72" i="351"/>
  <c r="F8" i="307"/>
  <c r="F73" i="351"/>
  <c r="I10" i="308"/>
  <c r="O10" i="308" s="1"/>
  <c r="O9" i="308"/>
  <c r="J9" i="307"/>
  <c r="P9" i="307"/>
  <c r="D41" i="307"/>
  <c r="E8" i="307"/>
  <c r="E100" i="53"/>
  <c r="E8" i="308"/>
  <c r="E101" i="53"/>
  <c r="G40" i="308"/>
  <c r="K9" i="307"/>
  <c r="G40" i="307"/>
  <c r="E40" i="307"/>
  <c r="I10" i="307"/>
  <c r="F41" i="307"/>
  <c r="H100" i="53"/>
  <c r="F41" i="308"/>
  <c r="H101" i="53"/>
  <c r="K13" i="309"/>
  <c r="M12" i="309"/>
  <c r="J14" i="309"/>
  <c r="S14" i="309" s="1"/>
  <c r="L13" i="309"/>
  <c r="D41" i="308"/>
  <c r="J9" i="308"/>
  <c r="K10" i="308"/>
  <c r="K9" i="308"/>
  <c r="E13" i="308"/>
  <c r="E40" i="308" s="1"/>
  <c r="J35" i="365" l="1"/>
  <c r="L35" i="365" s="1"/>
  <c r="J36" i="365"/>
  <c r="L36" i="365" s="1"/>
  <c r="L100" i="53"/>
  <c r="I102" i="354"/>
  <c r="L102" i="354" s="1"/>
  <c r="L101" i="53"/>
  <c r="I101" i="354"/>
  <c r="L101" i="354" s="1"/>
  <c r="J10" i="308"/>
  <c r="I11" i="308"/>
  <c r="O11" i="308" s="1"/>
  <c r="K10" i="307"/>
  <c r="P10" i="307"/>
  <c r="I41" i="308"/>
  <c r="I41" i="307"/>
  <c r="I11" i="307"/>
  <c r="P11" i="307" s="1"/>
  <c r="E41" i="307"/>
  <c r="G100" i="53"/>
  <c r="E41" i="308"/>
  <c r="G101" i="53"/>
  <c r="G8" i="307"/>
  <c r="I100" i="53"/>
  <c r="G8" i="308"/>
  <c r="I101" i="53"/>
  <c r="J101" i="53"/>
  <c r="J100" i="53"/>
  <c r="G41" i="308"/>
  <c r="J10" i="307"/>
  <c r="G41" i="307"/>
  <c r="J15" i="309"/>
  <c r="S15" i="309" s="1"/>
  <c r="L14" i="309"/>
  <c r="K14" i="309"/>
  <c r="M13" i="309"/>
  <c r="K101" i="354" l="1"/>
  <c r="K102" i="354"/>
  <c r="F42" i="318"/>
  <c r="M101" i="53"/>
  <c r="F41" i="318"/>
  <c r="J11" i="308"/>
  <c r="K100" i="53"/>
  <c r="K11" i="308"/>
  <c r="I12" i="308"/>
  <c r="O12" i="308" s="1"/>
  <c r="J41" i="308"/>
  <c r="K11" i="307"/>
  <c r="I12" i="307"/>
  <c r="P12" i="307" s="1"/>
  <c r="J11" i="307"/>
  <c r="K101" i="53"/>
  <c r="J41" i="307"/>
  <c r="M100" i="53"/>
  <c r="K15" i="309"/>
  <c r="M14" i="309"/>
  <c r="J16" i="309"/>
  <c r="S16" i="309" s="1"/>
  <c r="L15" i="309"/>
  <c r="E109" i="355" l="1"/>
  <c r="E110" i="355"/>
  <c r="K12" i="307"/>
  <c r="I13" i="308"/>
  <c r="O13" i="308" s="1"/>
  <c r="K12" i="308"/>
  <c r="J12" i="308"/>
  <c r="I13" i="307"/>
  <c r="P13" i="307" s="1"/>
  <c r="J12" i="307"/>
  <c r="J17" i="309"/>
  <c r="S17" i="309" s="1"/>
  <c r="L16" i="309"/>
  <c r="K16" i="309"/>
  <c r="M15" i="309"/>
  <c r="I14" i="308" l="1"/>
  <c r="O14" i="308" s="1"/>
  <c r="J13" i="308"/>
  <c r="K13" i="308"/>
  <c r="K13" i="307"/>
  <c r="I14" i="307"/>
  <c r="P14" i="307" s="1"/>
  <c r="J13" i="307"/>
  <c r="K17" i="309"/>
  <c r="M16" i="309"/>
  <c r="L17" i="309"/>
  <c r="J18" i="309"/>
  <c r="S18" i="309" s="1"/>
  <c r="I15" i="308" l="1"/>
  <c r="O15" i="308" s="1"/>
  <c r="K14" i="308"/>
  <c r="J14" i="308"/>
  <c r="K14" i="307"/>
  <c r="I15" i="307"/>
  <c r="P15" i="307" s="1"/>
  <c r="J14" i="307"/>
  <c r="J19" i="309"/>
  <c r="S19" i="309" s="1"/>
  <c r="L18" i="309"/>
  <c r="K18" i="309"/>
  <c r="M17" i="309"/>
  <c r="K15" i="308" l="1"/>
  <c r="J15" i="308"/>
  <c r="I16" i="308"/>
  <c r="O16" i="308" s="1"/>
  <c r="J15" i="307"/>
  <c r="I16" i="307"/>
  <c r="P16" i="307" s="1"/>
  <c r="K15" i="307"/>
  <c r="K19" i="309"/>
  <c r="M18" i="309"/>
  <c r="J20" i="309"/>
  <c r="S20" i="309" s="1"/>
  <c r="L19" i="309"/>
  <c r="J16" i="308" l="1"/>
  <c r="K16" i="308"/>
  <c r="K16" i="307"/>
  <c r="I17" i="308"/>
  <c r="O17" i="308" s="1"/>
  <c r="J16" i="307"/>
  <c r="I17" i="307"/>
  <c r="P17" i="307" s="1"/>
  <c r="K20" i="309"/>
  <c r="M19" i="309"/>
  <c r="J21" i="309"/>
  <c r="S21" i="309" s="1"/>
  <c r="L20" i="309"/>
  <c r="J17" i="308" l="1"/>
  <c r="I18" i="308"/>
  <c r="O18" i="308" s="1"/>
  <c r="K17" i="308"/>
  <c r="J17" i="307"/>
  <c r="K17" i="307"/>
  <c r="I18" i="307"/>
  <c r="P18" i="307" s="1"/>
  <c r="J22" i="309"/>
  <c r="S22" i="309" s="1"/>
  <c r="L21" i="309"/>
  <c r="K21" i="309"/>
  <c r="M20" i="309"/>
  <c r="J18" i="308" l="1"/>
  <c r="I19" i="308"/>
  <c r="O19" i="308" s="1"/>
  <c r="K18" i="308"/>
  <c r="K18" i="307"/>
  <c r="J18" i="307"/>
  <c r="I19" i="307"/>
  <c r="P19" i="307" s="1"/>
  <c r="J23" i="309"/>
  <c r="S23" i="309" s="1"/>
  <c r="L22" i="309"/>
  <c r="M21" i="309"/>
  <c r="K22" i="309"/>
  <c r="I20" i="308" l="1"/>
  <c r="O20" i="308" s="1"/>
  <c r="J19" i="308"/>
  <c r="K19" i="308"/>
  <c r="I20" i="307"/>
  <c r="P20" i="307" s="1"/>
  <c r="K19" i="307"/>
  <c r="J19" i="307"/>
  <c r="K23" i="309"/>
  <c r="M22" i="309"/>
  <c r="L23" i="309"/>
  <c r="J24" i="309"/>
  <c r="S24" i="309" s="1"/>
  <c r="I21" i="308" l="1"/>
  <c r="O21" i="308" s="1"/>
  <c r="K20" i="308"/>
  <c r="J20" i="308"/>
  <c r="K20" i="307"/>
  <c r="J20" i="307"/>
  <c r="I21" i="307"/>
  <c r="P21" i="307" s="1"/>
  <c r="J25" i="309"/>
  <c r="S25" i="309" s="1"/>
  <c r="L24" i="309"/>
  <c r="K24" i="309"/>
  <c r="M23" i="309"/>
  <c r="K21" i="308" l="1"/>
  <c r="J21" i="308"/>
  <c r="I22" i="308"/>
  <c r="O22" i="308" s="1"/>
  <c r="I22" i="307"/>
  <c r="P22" i="307" s="1"/>
  <c r="J21" i="307"/>
  <c r="K21" i="307"/>
  <c r="M24" i="309"/>
  <c r="K25" i="309"/>
  <c r="L25" i="309"/>
  <c r="J26" i="309"/>
  <c r="S26" i="309" s="1"/>
  <c r="I23" i="308" l="1"/>
  <c r="O23" i="308" s="1"/>
  <c r="K22" i="308"/>
  <c r="J22" i="308"/>
  <c r="K22" i="307"/>
  <c r="J22" i="307"/>
  <c r="I23" i="307"/>
  <c r="P23" i="307" s="1"/>
  <c r="J27" i="309"/>
  <c r="S27" i="309" s="1"/>
  <c r="L26" i="309"/>
  <c r="K26" i="309"/>
  <c r="M25" i="309"/>
  <c r="K23" i="308"/>
  <c r="J23" i="308" l="1"/>
  <c r="I24" i="308"/>
  <c r="O24" i="308" s="1"/>
  <c r="I24" i="307"/>
  <c r="P24" i="307" s="1"/>
  <c r="J23" i="307"/>
  <c r="K23" i="307"/>
  <c r="K27" i="309"/>
  <c r="M26" i="309"/>
  <c r="J28" i="309"/>
  <c r="S28" i="309" s="1"/>
  <c r="L27" i="309"/>
  <c r="K24" i="308"/>
  <c r="I25" i="308" l="1"/>
  <c r="O25" i="308" s="1"/>
  <c r="J24" i="308"/>
  <c r="K24" i="307"/>
  <c r="J24" i="307"/>
  <c r="I25" i="307"/>
  <c r="P25" i="307" s="1"/>
  <c r="L28" i="309"/>
  <c r="J29" i="309"/>
  <c r="S29" i="309" s="1"/>
  <c r="M27" i="309"/>
  <c r="K28" i="309"/>
  <c r="I26" i="308" l="1"/>
  <c r="O26" i="308" s="1"/>
  <c r="J25" i="308"/>
  <c r="K25" i="308"/>
  <c r="I26" i="307"/>
  <c r="P26" i="307" s="1"/>
  <c r="J25" i="307"/>
  <c r="K25" i="307"/>
  <c r="K29" i="309"/>
  <c r="M28" i="309"/>
  <c r="J30" i="309"/>
  <c r="S30" i="309" s="1"/>
  <c r="L29" i="309"/>
  <c r="F40" i="157"/>
  <c r="F8" i="157" s="1"/>
  <c r="G40" i="157"/>
  <c r="I27" i="308" l="1"/>
  <c r="O27" i="308" s="1"/>
  <c r="K26" i="308"/>
  <c r="J26" i="308"/>
  <c r="E54" i="351"/>
  <c r="G41" i="157"/>
  <c r="F54" i="351"/>
  <c r="F41" i="157"/>
  <c r="K26" i="307"/>
  <c r="J26" i="307"/>
  <c r="I27" i="307"/>
  <c r="P27" i="307" s="1"/>
  <c r="J31" i="309"/>
  <c r="S31" i="309" s="1"/>
  <c r="L30" i="309"/>
  <c r="K30" i="309"/>
  <c r="M29" i="309"/>
  <c r="I28" i="308" l="1"/>
  <c r="O28" i="308" s="1"/>
  <c r="J27" i="308"/>
  <c r="K27" i="308"/>
  <c r="I28" i="307"/>
  <c r="P28" i="307" s="1"/>
  <c r="J27" i="307"/>
  <c r="K27" i="307"/>
  <c r="K31" i="309"/>
  <c r="M30" i="309"/>
  <c r="J32" i="309"/>
  <c r="S32" i="309" s="1"/>
  <c r="L31" i="309"/>
  <c r="I29" i="308"/>
  <c r="O29" i="308" s="1"/>
  <c r="G40" i="301"/>
  <c r="G41" i="301" s="1"/>
  <c r="F40" i="301"/>
  <c r="F41" i="301" s="1"/>
  <c r="E40" i="301"/>
  <c r="D40" i="301"/>
  <c r="I39" i="301"/>
  <c r="H39" i="301"/>
  <c r="I38" i="301"/>
  <c r="H38" i="301"/>
  <c r="I37" i="301"/>
  <c r="H37" i="301"/>
  <c r="I36" i="301"/>
  <c r="H36" i="301"/>
  <c r="I35" i="301"/>
  <c r="H35" i="301"/>
  <c r="I34" i="301"/>
  <c r="H34" i="301"/>
  <c r="I33" i="301"/>
  <c r="H33" i="301"/>
  <c r="I32" i="301"/>
  <c r="H32" i="301"/>
  <c r="I31" i="301"/>
  <c r="H31" i="301"/>
  <c r="I30" i="301"/>
  <c r="H30" i="301"/>
  <c r="I29" i="301"/>
  <c r="H29" i="301"/>
  <c r="I28" i="301"/>
  <c r="H28" i="301"/>
  <c r="I27" i="301"/>
  <c r="H27" i="301"/>
  <c r="I26" i="301"/>
  <c r="H26" i="301"/>
  <c r="I25" i="301"/>
  <c r="H25" i="301"/>
  <c r="I24" i="301"/>
  <c r="H24" i="301"/>
  <c r="I23" i="301"/>
  <c r="H23" i="301"/>
  <c r="I22" i="301"/>
  <c r="H22" i="301"/>
  <c r="I21" i="301"/>
  <c r="H21" i="301"/>
  <c r="I20" i="301"/>
  <c r="H20" i="301"/>
  <c r="I19" i="301"/>
  <c r="H19" i="301"/>
  <c r="I18" i="301"/>
  <c r="H18" i="301"/>
  <c r="I17" i="301"/>
  <c r="H17" i="301"/>
  <c r="I16" i="301"/>
  <c r="H16" i="301"/>
  <c r="I15" i="301"/>
  <c r="H15" i="301"/>
  <c r="I14" i="301"/>
  <c r="H14" i="301"/>
  <c r="I13" i="301"/>
  <c r="H13" i="301"/>
  <c r="I12" i="301"/>
  <c r="H12" i="301"/>
  <c r="I11" i="301"/>
  <c r="H11" i="301"/>
  <c r="K10" i="301"/>
  <c r="K11" i="301" s="1"/>
  <c r="I10" i="301"/>
  <c r="H10" i="301"/>
  <c r="J9" i="301"/>
  <c r="I9" i="301"/>
  <c r="M9" i="301" s="1"/>
  <c r="H9" i="301"/>
  <c r="E8" i="301"/>
  <c r="D8" i="301"/>
  <c r="D41" i="301" s="1"/>
  <c r="J41" i="301" s="1"/>
  <c r="K28" i="308" l="1"/>
  <c r="J28" i="308"/>
  <c r="J28" i="307"/>
  <c r="K28" i="307"/>
  <c r="I29" i="307"/>
  <c r="P29" i="307" s="1"/>
  <c r="J10" i="301"/>
  <c r="O10" i="301" s="1"/>
  <c r="O9" i="301"/>
  <c r="E41" i="301"/>
  <c r="K41" i="301" s="1"/>
  <c r="F8" i="301"/>
  <c r="J33" i="309"/>
  <c r="S33" i="309" s="1"/>
  <c r="L32" i="309"/>
  <c r="M31" i="309"/>
  <c r="K32" i="309"/>
  <c r="K29" i="308"/>
  <c r="I30" i="308"/>
  <c r="O30" i="308" s="1"/>
  <c r="J29" i="308"/>
  <c r="L9" i="301"/>
  <c r="M11" i="301"/>
  <c r="K12" i="301"/>
  <c r="M10" i="301"/>
  <c r="J11" i="301" l="1"/>
  <c r="O11" i="301" s="1"/>
  <c r="J29" i="307"/>
  <c r="K29" i="307"/>
  <c r="I30" i="307"/>
  <c r="P30" i="307" s="1"/>
  <c r="L10" i="301"/>
  <c r="K33" i="309"/>
  <c r="M32" i="309"/>
  <c r="J34" i="309"/>
  <c r="S34" i="309" s="1"/>
  <c r="L33" i="309"/>
  <c r="I31" i="308"/>
  <c r="O31" i="308" s="1"/>
  <c r="J30" i="308"/>
  <c r="K30" i="308"/>
  <c r="J12" i="301"/>
  <c r="O12" i="301" s="1"/>
  <c r="K13" i="301"/>
  <c r="M12" i="301"/>
  <c r="E40" i="300"/>
  <c r="H14" i="341" s="1"/>
  <c r="D40" i="300"/>
  <c r="G9" i="300"/>
  <c r="D8" i="300"/>
  <c r="L11" i="301" l="1"/>
  <c r="F189" i="53"/>
  <c r="F14" i="341"/>
  <c r="E41" i="300"/>
  <c r="H189" i="53"/>
  <c r="I31" i="307"/>
  <c r="P31" i="307" s="1"/>
  <c r="K30" i="307"/>
  <c r="J30" i="307"/>
  <c r="H9" i="300"/>
  <c r="L9" i="300"/>
  <c r="D41" i="300"/>
  <c r="E8" i="300"/>
  <c r="L34" i="309"/>
  <c r="J35" i="309"/>
  <c r="S35" i="309" s="1"/>
  <c r="K34" i="309"/>
  <c r="M33" i="309"/>
  <c r="K31" i="308"/>
  <c r="I32" i="308"/>
  <c r="O32" i="308" s="1"/>
  <c r="J31" i="308"/>
  <c r="M13" i="301"/>
  <c r="K14" i="301"/>
  <c r="L12" i="301"/>
  <c r="J13" i="301"/>
  <c r="O13" i="301" s="1"/>
  <c r="G10" i="300"/>
  <c r="L10" i="300" s="1"/>
  <c r="J14" i="341" l="1"/>
  <c r="M14" i="341" s="1"/>
  <c r="J189" i="53"/>
  <c r="M189" i="53" s="1"/>
  <c r="K31" i="307"/>
  <c r="G41" i="300"/>
  <c r="J31" i="307"/>
  <c r="I32" i="307"/>
  <c r="P32" i="307" s="1"/>
  <c r="J36" i="309"/>
  <c r="S36" i="309" s="1"/>
  <c r="L35" i="309"/>
  <c r="K35" i="309"/>
  <c r="M34" i="309"/>
  <c r="I33" i="308"/>
  <c r="O33" i="308" s="1"/>
  <c r="J32" i="308"/>
  <c r="K32" i="308"/>
  <c r="J14" i="301"/>
  <c r="O14" i="301" s="1"/>
  <c r="L13" i="301"/>
  <c r="K15" i="301"/>
  <c r="M14" i="301"/>
  <c r="H10" i="300"/>
  <c r="G11" i="300"/>
  <c r="L11" i="300" s="1"/>
  <c r="J32" i="307" l="1"/>
  <c r="K32" i="307"/>
  <c r="I33" i="307"/>
  <c r="P33" i="307" s="1"/>
  <c r="M35" i="309"/>
  <c r="K36" i="309"/>
  <c r="J37" i="309"/>
  <c r="S37" i="309" s="1"/>
  <c r="L36" i="309"/>
  <c r="K33" i="308"/>
  <c r="I34" i="308"/>
  <c r="O34" i="308" s="1"/>
  <c r="J33" i="308"/>
  <c r="M15" i="301"/>
  <c r="K16" i="301"/>
  <c r="L14" i="301"/>
  <c r="J15" i="301"/>
  <c r="O15" i="301" s="1"/>
  <c r="H11" i="300"/>
  <c r="G12" i="300"/>
  <c r="L12" i="300" s="1"/>
  <c r="I34" i="307" l="1"/>
  <c r="P34" i="307" s="1"/>
  <c r="K33" i="307"/>
  <c r="J33" i="307"/>
  <c r="L37" i="309"/>
  <c r="J38" i="309"/>
  <c r="S38" i="309" s="1"/>
  <c r="K37" i="309"/>
  <c r="M36" i="309"/>
  <c r="I35" i="308"/>
  <c r="O35" i="308" s="1"/>
  <c r="J34" i="308"/>
  <c r="K34" i="308"/>
  <c r="J16" i="301"/>
  <c r="O16" i="301" s="1"/>
  <c r="L15" i="301"/>
  <c r="K17" i="301"/>
  <c r="M16" i="301"/>
  <c r="H12" i="300"/>
  <c r="G13" i="300"/>
  <c r="L13" i="300" s="1"/>
  <c r="K34" i="307" l="1"/>
  <c r="J34" i="307"/>
  <c r="I35" i="307"/>
  <c r="P35" i="307" s="1"/>
  <c r="J39" i="309"/>
  <c r="S39" i="309" s="1"/>
  <c r="L38" i="309"/>
  <c r="K38" i="309"/>
  <c r="M37" i="309"/>
  <c r="K35" i="308"/>
  <c r="I36" i="308"/>
  <c r="O36" i="308" s="1"/>
  <c r="J35" i="308"/>
  <c r="M17" i="301"/>
  <c r="K18" i="301"/>
  <c r="L16" i="301"/>
  <c r="J17" i="301"/>
  <c r="O17" i="301" s="1"/>
  <c r="H13" i="300"/>
  <c r="G14" i="300"/>
  <c r="L14" i="300" s="1"/>
  <c r="I36" i="307" l="1"/>
  <c r="P36" i="307" s="1"/>
  <c r="J35" i="307"/>
  <c r="K35" i="307"/>
  <c r="K39" i="309"/>
  <c r="M38" i="309"/>
  <c r="J40" i="309"/>
  <c r="L39" i="309"/>
  <c r="I37" i="308"/>
  <c r="O37" i="308" s="1"/>
  <c r="J36" i="308"/>
  <c r="K36" i="308"/>
  <c r="J18" i="301"/>
  <c r="O18" i="301" s="1"/>
  <c r="L17" i="301"/>
  <c r="K19" i="301"/>
  <c r="M18" i="301"/>
  <c r="H14" i="300"/>
  <c r="G15" i="300"/>
  <c r="L15" i="300" s="1"/>
  <c r="K36" i="307" l="1"/>
  <c r="J36" i="307"/>
  <c r="I37" i="307"/>
  <c r="P37" i="307" s="1"/>
  <c r="K40" i="309"/>
  <c r="M39" i="309"/>
  <c r="K37" i="308"/>
  <c r="I38" i="308"/>
  <c r="O38" i="308" s="1"/>
  <c r="J37" i="308"/>
  <c r="M19" i="301"/>
  <c r="K20" i="301"/>
  <c r="L18" i="301"/>
  <c r="J19" i="301"/>
  <c r="O19" i="301" s="1"/>
  <c r="H15" i="300"/>
  <c r="G16" i="300"/>
  <c r="L16" i="300" s="1"/>
  <c r="I38" i="307" l="1"/>
  <c r="P38" i="307" s="1"/>
  <c r="J37" i="307"/>
  <c r="K37" i="307"/>
  <c r="I39" i="308"/>
  <c r="O39" i="308" s="1"/>
  <c r="J38" i="308"/>
  <c r="K38" i="308"/>
  <c r="J20" i="301"/>
  <c r="O20" i="301" s="1"/>
  <c r="L19" i="301"/>
  <c r="K21" i="301"/>
  <c r="M20" i="301"/>
  <c r="H16" i="300"/>
  <c r="G17" i="300"/>
  <c r="L17" i="300" s="1"/>
  <c r="K38" i="307" l="1"/>
  <c r="J38" i="307"/>
  <c r="I39" i="307"/>
  <c r="P39" i="307" s="1"/>
  <c r="K39" i="308"/>
  <c r="I40" i="308"/>
  <c r="J39" i="308"/>
  <c r="J40" i="308" s="1"/>
  <c r="M21" i="301"/>
  <c r="K22" i="301"/>
  <c r="L20" i="301"/>
  <c r="J21" i="301"/>
  <c r="O21" i="301" s="1"/>
  <c r="H17" i="300"/>
  <c r="G18" i="300"/>
  <c r="L18" i="300" s="1"/>
  <c r="I40" i="307" l="1"/>
  <c r="J39" i="307"/>
  <c r="J40" i="307" s="1"/>
  <c r="K39" i="307"/>
  <c r="J22" i="301"/>
  <c r="O22" i="301" s="1"/>
  <c r="L21" i="301"/>
  <c r="K23" i="301"/>
  <c r="M22" i="301"/>
  <c r="H18" i="300"/>
  <c r="G19" i="300"/>
  <c r="L19" i="300" s="1"/>
  <c r="M23" i="301" l="1"/>
  <c r="K24" i="301"/>
  <c r="L22" i="301"/>
  <c r="J23" i="301"/>
  <c r="O23" i="301" s="1"/>
  <c r="H19" i="300"/>
  <c r="G20" i="300"/>
  <c r="L20" i="300" s="1"/>
  <c r="I25" i="299"/>
  <c r="J24" i="301" l="1"/>
  <c r="O24" i="301" s="1"/>
  <c r="L23" i="301"/>
  <c r="K25" i="301"/>
  <c r="M24" i="301"/>
  <c r="H20" i="300"/>
  <c r="G21" i="300"/>
  <c r="L21" i="300" s="1"/>
  <c r="M25" i="301" l="1"/>
  <c r="K26" i="301"/>
  <c r="L24" i="301"/>
  <c r="J25" i="301"/>
  <c r="O25" i="301" s="1"/>
  <c r="H21" i="300"/>
  <c r="G22" i="300"/>
  <c r="L22" i="300" s="1"/>
  <c r="J26" i="301" l="1"/>
  <c r="O26" i="301" s="1"/>
  <c r="L25" i="301"/>
  <c r="K27" i="301"/>
  <c r="M26" i="301"/>
  <c r="H22" i="300"/>
  <c r="G23" i="300"/>
  <c r="L23" i="300" s="1"/>
  <c r="M27" i="301" l="1"/>
  <c r="K28" i="301"/>
  <c r="L26" i="301"/>
  <c r="J27" i="301"/>
  <c r="O27" i="301" s="1"/>
  <c r="H23" i="300"/>
  <c r="G24" i="300"/>
  <c r="L24" i="300" s="1"/>
  <c r="J28" i="301" l="1"/>
  <c r="O28" i="301" s="1"/>
  <c r="L27" i="301"/>
  <c r="K29" i="301"/>
  <c r="M28" i="301"/>
  <c r="H24" i="300"/>
  <c r="G25" i="300"/>
  <c r="L25" i="300" s="1"/>
  <c r="M29" i="301" l="1"/>
  <c r="K30" i="301"/>
  <c r="L28" i="301"/>
  <c r="J29" i="301"/>
  <c r="O29" i="301" s="1"/>
  <c r="H25" i="300"/>
  <c r="G26" i="300"/>
  <c r="L26" i="300" s="1"/>
  <c r="J30" i="301" l="1"/>
  <c r="O30" i="301" s="1"/>
  <c r="L29" i="301"/>
  <c r="K31" i="301"/>
  <c r="M30" i="301"/>
  <c r="H26" i="300"/>
  <c r="G27" i="300"/>
  <c r="L27" i="300" s="1"/>
  <c r="M31" i="301" l="1"/>
  <c r="K32" i="301"/>
  <c r="L30" i="301"/>
  <c r="J31" i="301"/>
  <c r="O31" i="301" s="1"/>
  <c r="H27" i="300"/>
  <c r="G28" i="300"/>
  <c r="L28" i="300" s="1"/>
  <c r="J32" i="301" l="1"/>
  <c r="O32" i="301" s="1"/>
  <c r="L31" i="301"/>
  <c r="K33" i="301"/>
  <c r="M32" i="301"/>
  <c r="H28" i="300"/>
  <c r="G29" i="300"/>
  <c r="L29" i="300" s="1"/>
  <c r="M33" i="301" l="1"/>
  <c r="K34" i="301"/>
  <c r="L32" i="301"/>
  <c r="J33" i="301"/>
  <c r="O33" i="301" s="1"/>
  <c r="H29" i="300"/>
  <c r="G30" i="300"/>
  <c r="L30" i="300" s="1"/>
  <c r="J34" i="301" l="1"/>
  <c r="O34" i="301" s="1"/>
  <c r="L33" i="301"/>
  <c r="K35" i="301"/>
  <c r="M34" i="301"/>
  <c r="H30" i="300"/>
  <c r="G31" i="300"/>
  <c r="L31" i="300" s="1"/>
  <c r="M35" i="301" l="1"/>
  <c r="K36" i="301"/>
  <c r="L34" i="301"/>
  <c r="J35" i="301"/>
  <c r="O35" i="301" s="1"/>
  <c r="H31" i="300"/>
  <c r="G32" i="300"/>
  <c r="L32" i="300" s="1"/>
  <c r="J36" i="301" l="1"/>
  <c r="O36" i="301" s="1"/>
  <c r="L35" i="301"/>
  <c r="K37" i="301"/>
  <c r="M36" i="301"/>
  <c r="H32" i="300"/>
  <c r="G33" i="300"/>
  <c r="L33" i="300" s="1"/>
  <c r="M37" i="301" l="1"/>
  <c r="K38" i="301"/>
  <c r="L36" i="301"/>
  <c r="J37" i="301"/>
  <c r="O37" i="301" s="1"/>
  <c r="H33" i="300"/>
  <c r="G34" i="300"/>
  <c r="L34" i="300" s="1"/>
  <c r="J38" i="301" l="1"/>
  <c r="O38" i="301" s="1"/>
  <c r="L37" i="301"/>
  <c r="K39" i="301"/>
  <c r="M38" i="301"/>
  <c r="H34" i="300"/>
  <c r="G35" i="300"/>
  <c r="L35" i="300" s="1"/>
  <c r="K40" i="301" l="1"/>
  <c r="M39" i="301"/>
  <c r="L38" i="301"/>
  <c r="J39" i="301"/>
  <c r="O39" i="301" s="1"/>
  <c r="H35" i="300"/>
  <c r="G36" i="300"/>
  <c r="L36" i="300" s="1"/>
  <c r="J40" i="301" l="1"/>
  <c r="L39" i="301"/>
  <c r="H36" i="300"/>
  <c r="G37" i="300"/>
  <c r="L37" i="300" s="1"/>
  <c r="H37" i="300" l="1"/>
  <c r="G38" i="300"/>
  <c r="L38" i="300" s="1"/>
  <c r="F87" i="351" l="1"/>
  <c r="H38" i="300"/>
  <c r="G39" i="300"/>
  <c r="L39" i="300" s="1"/>
  <c r="H39" i="300" l="1"/>
  <c r="G40" i="300"/>
  <c r="D40" i="212" l="1"/>
  <c r="X40" i="264" l="1"/>
  <c r="W40" i="264"/>
  <c r="F40" i="299" l="1"/>
  <c r="J8" i="173"/>
  <c r="H32" i="53" l="1"/>
  <c r="L57" i="299"/>
  <c r="E43" i="351"/>
  <c r="K9" i="299"/>
  <c r="K10" i="299" s="1"/>
  <c r="K11" i="299" s="1"/>
  <c r="K12" i="299" s="1"/>
  <c r="K13" i="299" s="1"/>
  <c r="K14" i="299" s="1"/>
  <c r="K15" i="299" s="1"/>
  <c r="K16" i="299" s="1"/>
  <c r="K17" i="299" s="1"/>
  <c r="K18" i="299" s="1"/>
  <c r="K19" i="299" s="1"/>
  <c r="K20" i="299" s="1"/>
  <c r="K21" i="299" s="1"/>
  <c r="K22" i="299" s="1"/>
  <c r="K23" i="299" s="1"/>
  <c r="K24" i="299" s="1"/>
  <c r="K25" i="299" s="1"/>
  <c r="H67" i="354" l="1"/>
  <c r="I16" i="365"/>
  <c r="K26" i="299"/>
  <c r="M25" i="299"/>
  <c r="M40" i="264"/>
  <c r="K27" i="299" l="1"/>
  <c r="K28" i="299" s="1"/>
  <c r="K29" i="299" s="1"/>
  <c r="K30" i="299" s="1"/>
  <c r="K31" i="299" s="1"/>
  <c r="K32" i="299" s="1"/>
  <c r="K33" i="299" s="1"/>
  <c r="K34" i="299" s="1"/>
  <c r="K35" i="299" s="1"/>
  <c r="K36" i="299" s="1"/>
  <c r="K37" i="299" s="1"/>
  <c r="K38" i="299" s="1"/>
  <c r="K39" i="299" s="1"/>
  <c r="K40" i="299" s="1"/>
  <c r="E32" i="53" l="1"/>
  <c r="E67" i="354" s="1"/>
  <c r="B32" i="53"/>
  <c r="G40" i="299"/>
  <c r="M57" i="299" s="1"/>
  <c r="F41" i="299"/>
  <c r="E40" i="299"/>
  <c r="G32" i="53" s="1"/>
  <c r="G67" i="354" s="1"/>
  <c r="I39" i="299"/>
  <c r="D39" i="299"/>
  <c r="I38" i="299"/>
  <c r="M38" i="299" s="1"/>
  <c r="D38" i="299"/>
  <c r="I37" i="299"/>
  <c r="M37" i="299" s="1"/>
  <c r="D37" i="299"/>
  <c r="I36" i="299"/>
  <c r="M36" i="299" s="1"/>
  <c r="D36" i="299"/>
  <c r="I35" i="299"/>
  <c r="M35" i="299" s="1"/>
  <c r="D35" i="299"/>
  <c r="I34" i="299"/>
  <c r="M34" i="299" s="1"/>
  <c r="D34" i="299"/>
  <c r="I33" i="299"/>
  <c r="M33" i="299" s="1"/>
  <c r="D33" i="299"/>
  <c r="I32" i="299"/>
  <c r="M32" i="299" s="1"/>
  <c r="D32" i="299"/>
  <c r="I31" i="299"/>
  <c r="M31" i="299" s="1"/>
  <c r="D31" i="299"/>
  <c r="I30" i="299"/>
  <c r="M30" i="299" s="1"/>
  <c r="D30" i="299"/>
  <c r="I29" i="299"/>
  <c r="M29" i="299" s="1"/>
  <c r="D29" i="299"/>
  <c r="I28" i="299"/>
  <c r="M28" i="299" s="1"/>
  <c r="I27" i="299"/>
  <c r="M27" i="299" s="1"/>
  <c r="I26" i="299"/>
  <c r="M26" i="299" s="1"/>
  <c r="D26" i="299"/>
  <c r="I24" i="299"/>
  <c r="M24" i="299" s="1"/>
  <c r="D24" i="299"/>
  <c r="I23" i="299"/>
  <c r="M23" i="299" s="1"/>
  <c r="D23" i="299"/>
  <c r="I22" i="299"/>
  <c r="M22" i="299" s="1"/>
  <c r="D22" i="299"/>
  <c r="I21" i="299"/>
  <c r="M21" i="299" s="1"/>
  <c r="D21" i="299"/>
  <c r="I20" i="299"/>
  <c r="M20" i="299" s="1"/>
  <c r="D20" i="299"/>
  <c r="I19" i="299"/>
  <c r="M19" i="299" s="1"/>
  <c r="D19" i="299"/>
  <c r="I18" i="299"/>
  <c r="M18" i="299" s="1"/>
  <c r="D18" i="299"/>
  <c r="I17" i="299"/>
  <c r="M17" i="299" s="1"/>
  <c r="D17" i="299"/>
  <c r="I16" i="299"/>
  <c r="M16" i="299" s="1"/>
  <c r="D16" i="299"/>
  <c r="I15" i="299"/>
  <c r="M15" i="299" s="1"/>
  <c r="D15" i="299"/>
  <c r="I14" i="299"/>
  <c r="M14" i="299" s="1"/>
  <c r="D14" i="299"/>
  <c r="I13" i="299"/>
  <c r="M13" i="299" s="1"/>
  <c r="D13" i="299"/>
  <c r="I12" i="299"/>
  <c r="M12" i="299" s="1"/>
  <c r="D12" i="299"/>
  <c r="I11" i="299"/>
  <c r="M11" i="299" s="1"/>
  <c r="D11" i="299"/>
  <c r="I10" i="299"/>
  <c r="M10" i="299" s="1"/>
  <c r="D10" i="299"/>
  <c r="I9" i="299"/>
  <c r="M9" i="299" s="1"/>
  <c r="D9" i="299"/>
  <c r="J8" i="299"/>
  <c r="D8" i="299" s="1"/>
  <c r="E8" i="299"/>
  <c r="H16" i="365" l="1"/>
  <c r="F16" i="365"/>
  <c r="G41" i="299"/>
  <c r="F43" i="351"/>
  <c r="D32" i="53"/>
  <c r="J9" i="299"/>
  <c r="E41" i="299"/>
  <c r="I32" i="53"/>
  <c r="I67" i="354" s="1"/>
  <c r="K67" i="354" s="1"/>
  <c r="D40" i="299"/>
  <c r="M39" i="299"/>
  <c r="E77" i="355" l="1"/>
  <c r="F77" i="355" s="1"/>
  <c r="G77" i="355" s="1"/>
  <c r="J16" i="365"/>
  <c r="L16" i="365" s="1"/>
  <c r="K32" i="53"/>
  <c r="E19" i="318"/>
  <c r="K41" i="299"/>
  <c r="L32" i="53"/>
  <c r="J10" i="299"/>
  <c r="J11" i="299" s="1"/>
  <c r="S9" i="299"/>
  <c r="L9" i="299"/>
  <c r="D41" i="299"/>
  <c r="J41" i="299" s="1"/>
  <c r="F32" i="53"/>
  <c r="J32" i="53" s="1"/>
  <c r="H77" i="355" l="1"/>
  <c r="F19" i="318"/>
  <c r="M32" i="53"/>
  <c r="J12" i="299"/>
  <c r="L12" i="299" s="1"/>
  <c r="S11" i="299"/>
  <c r="L10" i="299"/>
  <c r="S10" i="299"/>
  <c r="L11" i="299"/>
  <c r="H65" i="355" l="1"/>
  <c r="J13" i="299"/>
  <c r="S12" i="299"/>
  <c r="J9" i="188"/>
  <c r="O9" i="188" s="1"/>
  <c r="J14" i="299" l="1"/>
  <c r="S13" i="299"/>
  <c r="L13" i="299"/>
  <c r="D40" i="297"/>
  <c r="F11" i="341" s="1"/>
  <c r="J15" i="299" l="1"/>
  <c r="S14" i="299"/>
  <c r="L14" i="299"/>
  <c r="J16" i="299" l="1"/>
  <c r="S15" i="299"/>
  <c r="L15" i="299"/>
  <c r="J17" i="299" l="1"/>
  <c r="S16" i="299"/>
  <c r="L16" i="299"/>
  <c r="J18" i="299" l="1"/>
  <c r="S17" i="299"/>
  <c r="L17" i="299"/>
  <c r="J19" i="299" l="1"/>
  <c r="S18" i="299"/>
  <c r="L18" i="299"/>
  <c r="J20" i="299" l="1"/>
  <c r="S19" i="299"/>
  <c r="L19" i="299"/>
  <c r="U10" i="208"/>
  <c r="J21" i="299" l="1"/>
  <c r="S20" i="299"/>
  <c r="L20" i="299"/>
  <c r="J22" i="299" l="1"/>
  <c r="S21" i="299"/>
  <c r="L21" i="299"/>
  <c r="J23" i="299" l="1"/>
  <c r="S22" i="299"/>
  <c r="L22" i="299"/>
  <c r="G40" i="289"/>
  <c r="F40" i="351" l="1"/>
  <c r="J24" i="299"/>
  <c r="S23" i="299"/>
  <c r="L23" i="299"/>
  <c r="G30" i="271"/>
  <c r="J25" i="299" l="1"/>
  <c r="L24" i="299"/>
  <c r="S24" i="299"/>
  <c r="P40" i="264"/>
  <c r="O40" i="264"/>
  <c r="M42" i="264" s="1"/>
  <c r="N40" i="264"/>
  <c r="S25" i="299" l="1"/>
  <c r="J26" i="299"/>
  <c r="L25" i="299"/>
  <c r="F40" i="169"/>
  <c r="E52" i="351" l="1"/>
  <c r="F52" i="351" s="1"/>
  <c r="S26" i="299"/>
  <c r="L26" i="299"/>
  <c r="J27" i="299"/>
  <c r="S27" i="299" l="1"/>
  <c r="J28" i="299"/>
  <c r="L27" i="299"/>
  <c r="G30" i="278"/>
  <c r="S28" i="299" l="1"/>
  <c r="L28" i="299"/>
  <c r="J29" i="299"/>
  <c r="S29" i="299" l="1"/>
  <c r="J30" i="299"/>
  <c r="L29" i="299"/>
  <c r="S30" i="299" l="1"/>
  <c r="L30" i="299"/>
  <c r="J31" i="299"/>
  <c r="S31" i="299" l="1"/>
  <c r="L31" i="299"/>
  <c r="J32" i="299"/>
  <c r="D12" i="283"/>
  <c r="S32" i="299" l="1"/>
  <c r="L32" i="299"/>
  <c r="J33" i="299"/>
  <c r="J34" i="299" s="1"/>
  <c r="S33" i="299" l="1"/>
  <c r="L33" i="299"/>
  <c r="E40" i="297"/>
  <c r="H11" i="341" s="1"/>
  <c r="F120" i="53"/>
  <c r="S34" i="299" l="1"/>
  <c r="J35" i="299"/>
  <c r="L34" i="299"/>
  <c r="E41" i="297"/>
  <c r="H120" i="53"/>
  <c r="E8" i="297"/>
  <c r="S35" i="299" l="1"/>
  <c r="J36" i="299"/>
  <c r="L35" i="299"/>
  <c r="S36" i="299" l="1"/>
  <c r="L36" i="299"/>
  <c r="J37" i="299"/>
  <c r="S37" i="299" l="1"/>
  <c r="L37" i="299"/>
  <c r="J38" i="299"/>
  <c r="S38" i="299" l="1"/>
  <c r="L38" i="299"/>
  <c r="J39" i="299"/>
  <c r="S39" i="299" l="1"/>
  <c r="L39" i="299"/>
  <c r="J40" i="299"/>
  <c r="E25" i="160" l="1"/>
  <c r="D29" i="169" l="1"/>
  <c r="G22" i="271" l="1"/>
  <c r="D182" i="53" l="1"/>
  <c r="D185" i="53"/>
  <c r="E40" i="296" l="1"/>
  <c r="H18" i="341" s="1"/>
  <c r="D40" i="296"/>
  <c r="F18" i="341" s="1"/>
  <c r="D8" i="296"/>
  <c r="J18" i="341" l="1"/>
  <c r="M18" i="341" s="1"/>
  <c r="F182" i="53"/>
  <c r="D41" i="296"/>
  <c r="E41" i="296"/>
  <c r="H182" i="53"/>
  <c r="E8" i="296"/>
  <c r="G9" i="296"/>
  <c r="L9" i="296" s="1"/>
  <c r="J182" i="53" l="1"/>
  <c r="M182" i="53" s="1"/>
  <c r="H9" i="296"/>
  <c r="G10" i="296"/>
  <c r="L10" i="296" s="1"/>
  <c r="F40" i="149"/>
  <c r="P9" i="253"/>
  <c r="E17" i="351" l="1"/>
  <c r="F41" i="149"/>
  <c r="H10" i="296"/>
  <c r="G11" i="296"/>
  <c r="L11" i="296" s="1"/>
  <c r="H11" i="296" l="1"/>
  <c r="G12" i="296"/>
  <c r="L12" i="296" s="1"/>
  <c r="H12" i="296" l="1"/>
  <c r="G13" i="296"/>
  <c r="L13" i="296" s="1"/>
  <c r="H13" i="296" l="1"/>
  <c r="G14" i="296"/>
  <c r="L14" i="296" s="1"/>
  <c r="H14" i="296" l="1"/>
  <c r="G15" i="296"/>
  <c r="L15" i="296" s="1"/>
  <c r="D11" i="283"/>
  <c r="H15" i="296" l="1"/>
  <c r="G16" i="296"/>
  <c r="L16" i="296" s="1"/>
  <c r="H16" i="296" l="1"/>
  <c r="G17" i="296"/>
  <c r="L17" i="296" s="1"/>
  <c r="H17" i="296" l="1"/>
  <c r="G18" i="296"/>
  <c r="L18" i="296" s="1"/>
  <c r="H18" i="296" l="1"/>
  <c r="G19" i="296"/>
  <c r="L19" i="296" s="1"/>
  <c r="H19" i="296" l="1"/>
  <c r="G20" i="296"/>
  <c r="L20" i="296" s="1"/>
  <c r="E25" i="288"/>
  <c r="D26" i="261"/>
  <c r="G29" i="190"/>
  <c r="G30" i="190"/>
  <c r="G31" i="190"/>
  <c r="G32" i="190"/>
  <c r="G33" i="190"/>
  <c r="G34" i="190"/>
  <c r="G35" i="190"/>
  <c r="G36" i="190"/>
  <c r="G37" i="190"/>
  <c r="G38" i="190"/>
  <c r="G39" i="190"/>
  <c r="G10" i="190"/>
  <c r="G11" i="190"/>
  <c r="G12" i="190"/>
  <c r="G13" i="190"/>
  <c r="G14" i="190"/>
  <c r="G15" i="190"/>
  <c r="G16" i="190"/>
  <c r="G17" i="190"/>
  <c r="G18" i="190"/>
  <c r="G19" i="190"/>
  <c r="G20" i="190"/>
  <c r="G21" i="190"/>
  <c r="G22" i="190"/>
  <c r="G23" i="190"/>
  <c r="G24" i="190"/>
  <c r="G25" i="190"/>
  <c r="G26" i="190"/>
  <c r="G27" i="190"/>
  <c r="G28" i="190"/>
  <c r="G9" i="190"/>
  <c r="D31" i="231"/>
  <c r="D32" i="231"/>
  <c r="D33" i="231"/>
  <c r="E8" i="231"/>
  <c r="D9" i="231"/>
  <c r="D10" i="231"/>
  <c r="D11" i="231"/>
  <c r="D12" i="231"/>
  <c r="D13" i="231"/>
  <c r="D14" i="231"/>
  <c r="D15" i="231"/>
  <c r="D16" i="231"/>
  <c r="D17" i="231"/>
  <c r="D18" i="231"/>
  <c r="D19" i="231"/>
  <c r="D20" i="231"/>
  <c r="D21" i="231"/>
  <c r="D22" i="231"/>
  <c r="D23" i="231"/>
  <c r="D24" i="231"/>
  <c r="D25" i="231"/>
  <c r="D26" i="231"/>
  <c r="D27" i="231"/>
  <c r="D28" i="231"/>
  <c r="D29" i="231"/>
  <c r="D30" i="231"/>
  <c r="D34" i="231"/>
  <c r="D35" i="231"/>
  <c r="D36" i="231"/>
  <c r="D37" i="231"/>
  <c r="D38" i="231"/>
  <c r="D39" i="231"/>
  <c r="E40" i="231"/>
  <c r="F40" i="231"/>
  <c r="G40" i="231"/>
  <c r="G8" i="231" l="1"/>
  <c r="F10" i="351"/>
  <c r="F8" i="231"/>
  <c r="E10" i="351"/>
  <c r="D40" i="231"/>
  <c r="E41" i="231"/>
  <c r="H20" i="296"/>
  <c r="G21" i="296"/>
  <c r="L21" i="296" s="1"/>
  <c r="G41" i="231"/>
  <c r="F41" i="231"/>
  <c r="H21" i="296" l="1"/>
  <c r="G22" i="296"/>
  <c r="L22" i="296" s="1"/>
  <c r="H22" i="296" l="1"/>
  <c r="G23" i="296"/>
  <c r="G24" i="296" l="1"/>
  <c r="L24" i="296" s="1"/>
  <c r="L23" i="296"/>
  <c r="H23" i="296"/>
  <c r="H24" i="296" l="1"/>
  <c r="G25" i="296"/>
  <c r="L25" i="296" s="1"/>
  <c r="D118" i="53"/>
  <c r="B118" i="53"/>
  <c r="D40" i="295"/>
  <c r="G9" i="295"/>
  <c r="D8" i="295"/>
  <c r="F118" i="53" l="1"/>
  <c r="F7" i="341"/>
  <c r="H9" i="295"/>
  <c r="P9" i="295"/>
  <c r="H25" i="296"/>
  <c r="G26" i="296"/>
  <c r="L26" i="296" s="1"/>
  <c r="H118" i="53"/>
  <c r="E41" i="295"/>
  <c r="E8" i="295"/>
  <c r="D41" i="295"/>
  <c r="G10" i="295"/>
  <c r="P10" i="295" s="1"/>
  <c r="G122" i="354" l="1"/>
  <c r="J7" i="341"/>
  <c r="M7" i="341" s="1"/>
  <c r="J118" i="53"/>
  <c r="M118" i="53" s="1"/>
  <c r="G41" i="295"/>
  <c r="H26" i="296"/>
  <c r="G27" i="296"/>
  <c r="L27" i="296" s="1"/>
  <c r="H10" i="295"/>
  <c r="G11" i="295"/>
  <c r="P11" i="295" s="1"/>
  <c r="H27" i="296" l="1"/>
  <c r="G28" i="296"/>
  <c r="L28" i="296" s="1"/>
  <c r="H11" i="295"/>
  <c r="G12" i="295"/>
  <c r="P12" i="295" s="1"/>
  <c r="D10" i="285"/>
  <c r="D11" i="285"/>
  <c r="D12" i="285"/>
  <c r="D13" i="285"/>
  <c r="D14" i="285"/>
  <c r="D15" i="285"/>
  <c r="D16" i="285"/>
  <c r="D17" i="285"/>
  <c r="H28" i="296" l="1"/>
  <c r="G29" i="296"/>
  <c r="L29" i="296" s="1"/>
  <c r="H12" i="295"/>
  <c r="G13" i="295"/>
  <c r="P13" i="295" s="1"/>
  <c r="H29" i="296" l="1"/>
  <c r="G30" i="296"/>
  <c r="L30" i="296" s="1"/>
  <c r="H13" i="295"/>
  <c r="G14" i="295"/>
  <c r="P14" i="295" s="1"/>
  <c r="H30" i="296" l="1"/>
  <c r="G31" i="296"/>
  <c r="L31" i="296" s="1"/>
  <c r="H14" i="295"/>
  <c r="G15" i="295"/>
  <c r="P15" i="295" s="1"/>
  <c r="D16" i="178"/>
  <c r="D17" i="178"/>
  <c r="H31" i="296" l="1"/>
  <c r="G32" i="296"/>
  <c r="L32" i="296" s="1"/>
  <c r="H15" i="295"/>
  <c r="G16" i="295"/>
  <c r="P16" i="295" s="1"/>
  <c r="H32" i="296" l="1"/>
  <c r="G33" i="296"/>
  <c r="L33" i="296" s="1"/>
  <c r="H16" i="295"/>
  <c r="G17" i="295"/>
  <c r="P17" i="295" s="1"/>
  <c r="H33" i="296" l="1"/>
  <c r="G34" i="296"/>
  <c r="L34" i="296" s="1"/>
  <c r="H17" i="295"/>
  <c r="G18" i="295"/>
  <c r="P18" i="295" s="1"/>
  <c r="H34" i="296" l="1"/>
  <c r="G35" i="296"/>
  <c r="L35" i="296" s="1"/>
  <c r="H18" i="295"/>
  <c r="G19" i="295"/>
  <c r="P19" i="295" s="1"/>
  <c r="H35" i="296" l="1"/>
  <c r="G36" i="296"/>
  <c r="L36" i="296" s="1"/>
  <c r="H19" i="295"/>
  <c r="G20" i="295"/>
  <c r="P20" i="295" s="1"/>
  <c r="H36" i="296" l="1"/>
  <c r="G37" i="296"/>
  <c r="L37" i="296" s="1"/>
  <c r="H20" i="295"/>
  <c r="G21" i="295"/>
  <c r="P21" i="295" s="1"/>
  <c r="H37" i="296" l="1"/>
  <c r="G38" i="296"/>
  <c r="L38" i="296" s="1"/>
  <c r="H21" i="295"/>
  <c r="G22" i="295"/>
  <c r="P22" i="295" s="1"/>
  <c r="H38" i="296" l="1"/>
  <c r="G39" i="296"/>
  <c r="L39" i="296" s="1"/>
  <c r="H22" i="295"/>
  <c r="G23" i="295"/>
  <c r="P23" i="295" s="1"/>
  <c r="H39" i="296" l="1"/>
  <c r="G41" i="296"/>
  <c r="G40" i="296"/>
  <c r="H23" i="295"/>
  <c r="G24" i="295"/>
  <c r="P24" i="295" s="1"/>
  <c r="E8" i="190"/>
  <c r="H24" i="295" l="1"/>
  <c r="G25" i="295"/>
  <c r="P25" i="295" s="1"/>
  <c r="H25" i="295" l="1"/>
  <c r="G26" i="295"/>
  <c r="P26" i="295" s="1"/>
  <c r="K9" i="231"/>
  <c r="H26" i="295" l="1"/>
  <c r="G27" i="295"/>
  <c r="P27" i="295" s="1"/>
  <c r="J8" i="232"/>
  <c r="H27" i="295" l="1"/>
  <c r="G28" i="295"/>
  <c r="P28" i="295" s="1"/>
  <c r="J8" i="259"/>
  <c r="D40" i="220"/>
  <c r="F13" i="341" s="1"/>
  <c r="E40" i="220"/>
  <c r="H48" i="365" l="1"/>
  <c r="E41" i="220"/>
  <c r="H13" i="341"/>
  <c r="H28" i="295"/>
  <c r="G29" i="295"/>
  <c r="P29" i="295" s="1"/>
  <c r="J48" i="365" l="1"/>
  <c r="M48" i="365" s="1"/>
  <c r="H29" i="295"/>
  <c r="G30" i="295"/>
  <c r="P30" i="295" s="1"/>
  <c r="H30" i="295" l="1"/>
  <c r="G31" i="295"/>
  <c r="P31" i="295" s="1"/>
  <c r="H31" i="295" l="1"/>
  <c r="G32" i="295"/>
  <c r="P32" i="295" s="1"/>
  <c r="L114" i="53"/>
  <c r="H32" i="295" l="1"/>
  <c r="G33" i="295"/>
  <c r="P33" i="295" s="1"/>
  <c r="H33" i="231"/>
  <c r="H31" i="155"/>
  <c r="H33" i="295" l="1"/>
  <c r="G34" i="295"/>
  <c r="P34" i="295" s="1"/>
  <c r="H34" i="295" l="1"/>
  <c r="G35" i="295"/>
  <c r="P35" i="295" s="1"/>
  <c r="H35" i="295" l="1"/>
  <c r="G36" i="295"/>
  <c r="P36" i="295" s="1"/>
  <c r="D110" i="53"/>
  <c r="E40" i="294"/>
  <c r="D40" i="294"/>
  <c r="G9" i="294"/>
  <c r="G10" i="294" s="1"/>
  <c r="D8" i="294"/>
  <c r="E110" i="354" l="1"/>
  <c r="E41" i="294"/>
  <c r="F80" i="351"/>
  <c r="H36" i="295"/>
  <c r="G37" i="295"/>
  <c r="P37" i="295" s="1"/>
  <c r="D41" i="294"/>
  <c r="G41" i="294" s="1"/>
  <c r="F110" i="53"/>
  <c r="H110" i="53"/>
  <c r="G11" i="294"/>
  <c r="G110" i="354" l="1"/>
  <c r="I110" i="354"/>
  <c r="L110" i="354" s="1"/>
  <c r="H37" i="295"/>
  <c r="G38" i="295"/>
  <c r="P38" i="295" s="1"/>
  <c r="J110" i="53"/>
  <c r="M110" i="53" s="1"/>
  <c r="G12" i="294"/>
  <c r="K110" i="354" l="1"/>
  <c r="N21" i="421" s="1"/>
  <c r="H38" i="295"/>
  <c r="G39" i="295"/>
  <c r="P39" i="295" s="1"/>
  <c r="G13" i="294"/>
  <c r="H39" i="295" l="1"/>
  <c r="G40" i="295"/>
  <c r="G14" i="294"/>
  <c r="G15" i="294" l="1"/>
  <c r="G16" i="294" l="1"/>
  <c r="G17" i="294" l="1"/>
  <c r="G18" i="294" l="1"/>
  <c r="G19" i="294" l="1"/>
  <c r="G20" i="294" l="1"/>
  <c r="G21" i="294" l="1"/>
  <c r="G22" i="294" l="1"/>
  <c r="G23" i="294" l="1"/>
  <c r="G24" i="294" l="1"/>
  <c r="E23" i="53"/>
  <c r="G40" i="293"/>
  <c r="G41" i="293" s="1"/>
  <c r="F40" i="293"/>
  <c r="F8" i="293" s="1"/>
  <c r="E40" i="293"/>
  <c r="G23" i="53" s="1"/>
  <c r="I39" i="293"/>
  <c r="H39" i="293"/>
  <c r="D39" i="293"/>
  <c r="I38" i="293"/>
  <c r="H38" i="293"/>
  <c r="D38" i="293"/>
  <c r="I37" i="293"/>
  <c r="H37" i="293"/>
  <c r="D37" i="293"/>
  <c r="I36" i="293"/>
  <c r="H36" i="293"/>
  <c r="D36" i="293"/>
  <c r="I35" i="293"/>
  <c r="H35" i="293"/>
  <c r="D35" i="293"/>
  <c r="I34" i="293"/>
  <c r="H34" i="293"/>
  <c r="D34" i="293"/>
  <c r="I33" i="293"/>
  <c r="H33" i="293"/>
  <c r="D33" i="293"/>
  <c r="I32" i="293"/>
  <c r="H32" i="293"/>
  <c r="D32" i="293"/>
  <c r="I31" i="293"/>
  <c r="H31" i="293"/>
  <c r="D31" i="293"/>
  <c r="I30" i="293"/>
  <c r="H30" i="293"/>
  <c r="D30" i="293"/>
  <c r="I29" i="293"/>
  <c r="H29" i="293"/>
  <c r="D29" i="293"/>
  <c r="I28" i="293"/>
  <c r="H28" i="293"/>
  <c r="D28" i="293"/>
  <c r="I27" i="293"/>
  <c r="H27" i="293"/>
  <c r="D27" i="293"/>
  <c r="I26" i="293"/>
  <c r="H26" i="293"/>
  <c r="D26" i="293"/>
  <c r="I25" i="293"/>
  <c r="H25" i="293"/>
  <c r="D25" i="293"/>
  <c r="I24" i="293"/>
  <c r="H24" i="293"/>
  <c r="D24" i="293"/>
  <c r="I23" i="293"/>
  <c r="H23" i="293"/>
  <c r="D23" i="293"/>
  <c r="I22" i="293"/>
  <c r="H22" i="293"/>
  <c r="D22" i="293"/>
  <c r="I21" i="293"/>
  <c r="H21" i="293"/>
  <c r="D21" i="293"/>
  <c r="I20" i="293"/>
  <c r="H20" i="293"/>
  <c r="D20" i="293"/>
  <c r="I19" i="293"/>
  <c r="H19" i="293"/>
  <c r="D19" i="293"/>
  <c r="I18" i="293"/>
  <c r="H18" i="293"/>
  <c r="D18" i="293"/>
  <c r="I17" i="293"/>
  <c r="H17" i="293"/>
  <c r="D17" i="293"/>
  <c r="I16" i="293"/>
  <c r="H16" i="293"/>
  <c r="D16" i="293"/>
  <c r="I15" i="293"/>
  <c r="H15" i="293"/>
  <c r="D15" i="293"/>
  <c r="I14" i="293"/>
  <c r="H14" i="293"/>
  <c r="D14" i="293"/>
  <c r="I13" i="293"/>
  <c r="H13" i="293"/>
  <c r="D13" i="293"/>
  <c r="I12" i="293"/>
  <c r="H12" i="293"/>
  <c r="D12" i="293"/>
  <c r="I11" i="293"/>
  <c r="H11" i="293"/>
  <c r="D11" i="293"/>
  <c r="I10" i="293"/>
  <c r="H10" i="293"/>
  <c r="D10" i="293"/>
  <c r="K9" i="293"/>
  <c r="I9" i="293"/>
  <c r="H9" i="293"/>
  <c r="D9" i="293"/>
  <c r="J8" i="293"/>
  <c r="D8" i="293" s="1"/>
  <c r="E8" i="293"/>
  <c r="E41" i="293" s="1"/>
  <c r="K41" i="293" s="1"/>
  <c r="G8" i="293" l="1"/>
  <c r="J9" i="293"/>
  <c r="F41" i="293"/>
  <c r="H23" i="53"/>
  <c r="D23" i="53"/>
  <c r="M9" i="293"/>
  <c r="I23" i="53"/>
  <c r="K23" i="53" s="1"/>
  <c r="D40" i="293"/>
  <c r="F23" i="53" s="1"/>
  <c r="G25" i="294"/>
  <c r="K10" i="293"/>
  <c r="J10" i="293" l="1"/>
  <c r="O10" i="293" s="1"/>
  <c r="O9" i="293"/>
  <c r="L9" i="293"/>
  <c r="D41" i="293"/>
  <c r="J41" i="293" s="1"/>
  <c r="J23" i="53"/>
  <c r="G26" i="294"/>
  <c r="K11" i="293"/>
  <c r="M10" i="293"/>
  <c r="L10" i="293"/>
  <c r="E11" i="53"/>
  <c r="E13" i="354" s="1"/>
  <c r="B11" i="53"/>
  <c r="C63" i="53"/>
  <c r="C67" i="53"/>
  <c r="F10" i="365" l="1"/>
  <c r="J11" i="293"/>
  <c r="O11" i="293" s="1"/>
  <c r="G27" i="294"/>
  <c r="M11" i="293"/>
  <c r="K12" i="293"/>
  <c r="J12" i="293" l="1"/>
  <c r="O12" i="293" s="1"/>
  <c r="L11" i="293"/>
  <c r="G28" i="294"/>
  <c r="K13" i="293"/>
  <c r="M12" i="293"/>
  <c r="J13" i="293" l="1"/>
  <c r="O13" i="293" s="1"/>
  <c r="L12" i="293"/>
  <c r="G29" i="294"/>
  <c r="M13" i="293"/>
  <c r="K14" i="293"/>
  <c r="U40" i="204"/>
  <c r="T40" i="204"/>
  <c r="L13" i="293" l="1"/>
  <c r="J14" i="293"/>
  <c r="O14" i="293" s="1"/>
  <c r="G30" i="294"/>
  <c r="K15" i="293"/>
  <c r="M14" i="293"/>
  <c r="L14" i="293"/>
  <c r="J15" i="293" l="1"/>
  <c r="O15" i="293" s="1"/>
  <c r="G31" i="294"/>
  <c r="M15" i="293"/>
  <c r="K16" i="293"/>
  <c r="H24" i="263"/>
  <c r="J16" i="293" l="1"/>
  <c r="O16" i="293" s="1"/>
  <c r="L15" i="293"/>
  <c r="G32" i="294"/>
  <c r="K17" i="293"/>
  <c r="M16" i="293"/>
  <c r="J17" i="293" l="1"/>
  <c r="O17" i="293" s="1"/>
  <c r="L16" i="293"/>
  <c r="G33" i="294"/>
  <c r="M17" i="293"/>
  <c r="K18" i="293"/>
  <c r="H23" i="157"/>
  <c r="L17" i="293" l="1"/>
  <c r="J18" i="293"/>
  <c r="O18" i="293" s="1"/>
  <c r="G34" i="294"/>
  <c r="K19" i="293"/>
  <c r="M18" i="293"/>
  <c r="L18" i="293" l="1"/>
  <c r="J19" i="293"/>
  <c r="O19" i="293" s="1"/>
  <c r="G35" i="294"/>
  <c r="M19" i="293"/>
  <c r="K20" i="293"/>
  <c r="S40" i="204"/>
  <c r="R40" i="204"/>
  <c r="J20" i="293" l="1"/>
  <c r="O20" i="293" s="1"/>
  <c r="L19" i="293"/>
  <c r="G36" i="294"/>
  <c r="K21" i="293"/>
  <c r="M20" i="293"/>
  <c r="Q40" i="204"/>
  <c r="P40" i="204"/>
  <c r="K43" i="204" s="1"/>
  <c r="E10" i="53"/>
  <c r="F40" i="292"/>
  <c r="E40" i="292"/>
  <c r="G10" i="53" s="1"/>
  <c r="H38" i="292"/>
  <c r="H37" i="292"/>
  <c r="H36" i="292"/>
  <c r="H35" i="292"/>
  <c r="H34" i="292"/>
  <c r="H33" i="292"/>
  <c r="H32" i="292"/>
  <c r="H31" i="292"/>
  <c r="H30" i="292"/>
  <c r="H29" i="292"/>
  <c r="H28" i="292"/>
  <c r="H27" i="292"/>
  <c r="H26" i="292"/>
  <c r="H25" i="292"/>
  <c r="H24" i="292"/>
  <c r="H23" i="292"/>
  <c r="H22" i="292"/>
  <c r="H21" i="292"/>
  <c r="H20" i="292"/>
  <c r="H19" i="292"/>
  <c r="H18" i="292"/>
  <c r="H17" i="292"/>
  <c r="H16" i="292"/>
  <c r="H15" i="292"/>
  <c r="H13" i="292"/>
  <c r="H12" i="292"/>
  <c r="H11" i="292"/>
  <c r="H10" i="292"/>
  <c r="J21" i="293" l="1"/>
  <c r="O21" i="293" s="1"/>
  <c r="L20" i="293"/>
  <c r="G16" i="354"/>
  <c r="H11" i="365"/>
  <c r="E16" i="354"/>
  <c r="F11" i="365"/>
  <c r="F41" i="292"/>
  <c r="H10" i="53" s="1"/>
  <c r="E16" i="351"/>
  <c r="G40" i="292"/>
  <c r="G37" i="294"/>
  <c r="J22" i="293"/>
  <c r="O22" i="293" s="1"/>
  <c r="M21" i="293"/>
  <c r="K22" i="293"/>
  <c r="E41" i="292"/>
  <c r="J9" i="292"/>
  <c r="D10" i="53"/>
  <c r="D40" i="292"/>
  <c r="F10" i="53" s="1"/>
  <c r="I39" i="292"/>
  <c r="I38" i="292"/>
  <c r="I37" i="292"/>
  <c r="I36" i="292"/>
  <c r="I35" i="292"/>
  <c r="I34" i="292"/>
  <c r="I33" i="292"/>
  <c r="I32" i="292"/>
  <c r="I29" i="292"/>
  <c r="I28" i="292"/>
  <c r="I27" i="292"/>
  <c r="I26" i="292"/>
  <c r="I24" i="292"/>
  <c r="I23" i="292"/>
  <c r="I20" i="292"/>
  <c r="I31" i="292"/>
  <c r="I30" i="292"/>
  <c r="I25" i="292"/>
  <c r="I22" i="292"/>
  <c r="I21" i="292"/>
  <c r="I10" i="292"/>
  <c r="I11" i="292"/>
  <c r="I12" i="292"/>
  <c r="I13" i="292"/>
  <c r="I14" i="292"/>
  <c r="I15" i="292"/>
  <c r="I16" i="292"/>
  <c r="I17" i="292"/>
  <c r="K9" i="292"/>
  <c r="I18" i="292"/>
  <c r="I19" i="292"/>
  <c r="H16" i="231"/>
  <c r="L21" i="293" l="1"/>
  <c r="H16" i="354"/>
  <c r="I11" i="365"/>
  <c r="F16" i="351"/>
  <c r="F24" i="351"/>
  <c r="L9" i="292"/>
  <c r="S9" i="292"/>
  <c r="J10" i="53"/>
  <c r="G38" i="294"/>
  <c r="K23" i="293"/>
  <c r="M22" i="293"/>
  <c r="L22" i="293"/>
  <c r="J23" i="293"/>
  <c r="O23" i="293" s="1"/>
  <c r="J10" i="292"/>
  <c r="D41" i="292"/>
  <c r="J41" i="292" s="1"/>
  <c r="G41" i="292"/>
  <c r="K10" i="292"/>
  <c r="M9" i="292"/>
  <c r="E14" i="318" l="1"/>
  <c r="L10" i="292"/>
  <c r="S10" i="292"/>
  <c r="J11" i="292"/>
  <c r="G39" i="294"/>
  <c r="J24" i="293"/>
  <c r="O24" i="293" s="1"/>
  <c r="L23" i="293"/>
  <c r="M23" i="293"/>
  <c r="K24" i="293"/>
  <c r="K41" i="292"/>
  <c r="I10" i="53"/>
  <c r="K11" i="292"/>
  <c r="M10" i="292"/>
  <c r="V40" i="264"/>
  <c r="U40" i="264"/>
  <c r="T40" i="264"/>
  <c r="S40" i="264"/>
  <c r="R40" i="264"/>
  <c r="Q40" i="264"/>
  <c r="J11" i="365" l="1"/>
  <c r="L11" i="365" s="1"/>
  <c r="K10" i="53"/>
  <c r="I16" i="354"/>
  <c r="K16" i="354" s="1"/>
  <c r="J12" i="292"/>
  <c r="S12" i="292" s="1"/>
  <c r="S11" i="292"/>
  <c r="L11" i="292"/>
  <c r="G40" i="294"/>
  <c r="K25" i="293"/>
  <c r="M24" i="293"/>
  <c r="L24" i="293"/>
  <c r="J25" i="293"/>
  <c r="O25" i="293" s="1"/>
  <c r="K12" i="292"/>
  <c r="M11" i="292"/>
  <c r="E26" i="355" l="1"/>
  <c r="F14" i="318"/>
  <c r="L12" i="292"/>
  <c r="J13" i="292"/>
  <c r="S13" i="292" s="1"/>
  <c r="J26" i="293"/>
  <c r="O26" i="293" s="1"/>
  <c r="L25" i="293"/>
  <c r="M25" i="293"/>
  <c r="K26" i="293"/>
  <c r="K13" i="292"/>
  <c r="M12" i="292"/>
  <c r="H25" i="355" l="1"/>
  <c r="L13" i="292"/>
  <c r="J14" i="292"/>
  <c r="J15" i="292" s="1"/>
  <c r="S15" i="292" s="1"/>
  <c r="K27" i="293"/>
  <c r="M26" i="293"/>
  <c r="L26" i="293"/>
  <c r="J27" i="293"/>
  <c r="O27" i="293" s="1"/>
  <c r="K14" i="292"/>
  <c r="M13" i="292"/>
  <c r="L14" i="292" l="1"/>
  <c r="S14" i="292"/>
  <c r="J28" i="293"/>
  <c r="O28" i="293" s="1"/>
  <c r="L27" i="293"/>
  <c r="M27" i="293"/>
  <c r="K28" i="293"/>
  <c r="K15" i="292"/>
  <c r="M14" i="292"/>
  <c r="J16" i="292"/>
  <c r="S16" i="292" s="1"/>
  <c r="L15" i="292"/>
  <c r="K29" i="293" l="1"/>
  <c r="M28" i="293"/>
  <c r="L28" i="293"/>
  <c r="J29" i="293"/>
  <c r="O29" i="293" s="1"/>
  <c r="J17" i="292"/>
  <c r="S17" i="292" s="1"/>
  <c r="L16" i="292"/>
  <c r="K16" i="292"/>
  <c r="M15" i="292"/>
  <c r="D8" i="240"/>
  <c r="J30" i="293" l="1"/>
  <c r="O30" i="293" s="1"/>
  <c r="L29" i="293"/>
  <c r="M29" i="293"/>
  <c r="K30" i="293"/>
  <c r="K17" i="292"/>
  <c r="M16" i="292"/>
  <c r="J18" i="292"/>
  <c r="S18" i="292" s="1"/>
  <c r="L17" i="292"/>
  <c r="G9" i="245"/>
  <c r="K9" i="245" s="1"/>
  <c r="K31" i="293" l="1"/>
  <c r="M30" i="293"/>
  <c r="L30" i="293"/>
  <c r="J31" i="293"/>
  <c r="O31" i="293" s="1"/>
  <c r="J19" i="292"/>
  <c r="S19" i="292" s="1"/>
  <c r="L18" i="292"/>
  <c r="K18" i="292"/>
  <c r="M17" i="292"/>
  <c r="J32" i="293" l="1"/>
  <c r="O32" i="293" s="1"/>
  <c r="L31" i="293"/>
  <c r="M31" i="293"/>
  <c r="K32" i="293"/>
  <c r="M18" i="292"/>
  <c r="K19" i="292"/>
  <c r="J20" i="292"/>
  <c r="S20" i="292" s="1"/>
  <c r="L19" i="292"/>
  <c r="F40" i="289"/>
  <c r="J9" i="174"/>
  <c r="J8" i="231"/>
  <c r="D8" i="231" s="1"/>
  <c r="D41" i="231" s="1"/>
  <c r="E40" i="351" l="1"/>
  <c r="K33" i="293"/>
  <c r="M32" i="293"/>
  <c r="L32" i="293"/>
  <c r="J33" i="293"/>
  <c r="O33" i="293" s="1"/>
  <c r="K20" i="292"/>
  <c r="M19" i="292"/>
  <c r="J21" i="292"/>
  <c r="S21" i="292" s="1"/>
  <c r="L20" i="292"/>
  <c r="J34" i="293" l="1"/>
  <c r="O34" i="293" s="1"/>
  <c r="L33" i="293"/>
  <c r="M33" i="293"/>
  <c r="K34" i="293"/>
  <c r="J22" i="292"/>
  <c r="S22" i="292" s="1"/>
  <c r="L21" i="292"/>
  <c r="K21" i="292"/>
  <c r="M20" i="292"/>
  <c r="K35" i="293" l="1"/>
  <c r="M34" i="293"/>
  <c r="L34" i="293"/>
  <c r="J35" i="293"/>
  <c r="O35" i="293" s="1"/>
  <c r="K22" i="292"/>
  <c r="M21" i="292"/>
  <c r="J23" i="292"/>
  <c r="S23" i="292" s="1"/>
  <c r="L22" i="292"/>
  <c r="J36" i="293" l="1"/>
  <c r="O36" i="293" s="1"/>
  <c r="L35" i="293"/>
  <c r="M35" i="293"/>
  <c r="K36" i="293"/>
  <c r="J24" i="292"/>
  <c r="S24" i="292" s="1"/>
  <c r="L23" i="292"/>
  <c r="K23" i="292"/>
  <c r="M22" i="292"/>
  <c r="K37" i="293" l="1"/>
  <c r="M36" i="293"/>
  <c r="L36" i="293"/>
  <c r="J37" i="293"/>
  <c r="O37" i="293" s="1"/>
  <c r="M23" i="292"/>
  <c r="K24" i="292"/>
  <c r="J25" i="292"/>
  <c r="S25" i="292" s="1"/>
  <c r="L24" i="292"/>
  <c r="J38" i="293" l="1"/>
  <c r="O38" i="293" s="1"/>
  <c r="L37" i="293"/>
  <c r="M37" i="293"/>
  <c r="K38" i="293"/>
  <c r="K25" i="292"/>
  <c r="M24" i="292"/>
  <c r="J26" i="292"/>
  <c r="S26" i="292" s="1"/>
  <c r="L25" i="292"/>
  <c r="K39" i="293" l="1"/>
  <c r="M38" i="293"/>
  <c r="L38" i="293"/>
  <c r="J39" i="293"/>
  <c r="O39" i="293" s="1"/>
  <c r="J27" i="292"/>
  <c r="S27" i="292" s="1"/>
  <c r="L26" i="292"/>
  <c r="K26" i="292"/>
  <c r="M25" i="292"/>
  <c r="J40" i="293" l="1"/>
  <c r="L39" i="293"/>
  <c r="K40" i="293"/>
  <c r="M39" i="293"/>
  <c r="K27" i="292"/>
  <c r="M26" i="292"/>
  <c r="J28" i="292"/>
  <c r="S28" i="292" s="1"/>
  <c r="L27" i="292"/>
  <c r="J29" i="292" l="1"/>
  <c r="S29" i="292" s="1"/>
  <c r="L28" i="292"/>
  <c r="M27" i="292"/>
  <c r="K28" i="292"/>
  <c r="K29" i="292" l="1"/>
  <c r="M28" i="292"/>
  <c r="J30" i="292"/>
  <c r="S30" i="292" s="1"/>
  <c r="L29" i="292"/>
  <c r="J31" i="292" l="1"/>
  <c r="S31" i="292" s="1"/>
  <c r="L30" i="292"/>
  <c r="M29" i="292"/>
  <c r="K30" i="292"/>
  <c r="K31" i="292" l="1"/>
  <c r="M30" i="292"/>
  <c r="J32" i="292"/>
  <c r="S32" i="292" s="1"/>
  <c r="L31" i="292"/>
  <c r="E67" i="53"/>
  <c r="G40" i="291"/>
  <c r="F40" i="291"/>
  <c r="E40" i="291"/>
  <c r="G67" i="53" s="1"/>
  <c r="I39" i="291"/>
  <c r="D39" i="291"/>
  <c r="I38" i="291"/>
  <c r="D38" i="291"/>
  <c r="I37" i="291"/>
  <c r="D37" i="291"/>
  <c r="I36" i="291"/>
  <c r="D36" i="291"/>
  <c r="I35" i="291"/>
  <c r="D35" i="291"/>
  <c r="I34" i="291"/>
  <c r="D34" i="291"/>
  <c r="I33" i="291"/>
  <c r="D33" i="291"/>
  <c r="I32" i="291"/>
  <c r="D32" i="291"/>
  <c r="I31" i="291"/>
  <c r="D31" i="291"/>
  <c r="I30" i="291"/>
  <c r="D30" i="291"/>
  <c r="I29" i="291"/>
  <c r="D29" i="291"/>
  <c r="I28" i="291"/>
  <c r="D28" i="291"/>
  <c r="I27" i="291"/>
  <c r="D27" i="291"/>
  <c r="I26" i="291"/>
  <c r="D26" i="291"/>
  <c r="I25" i="291"/>
  <c r="I24" i="291"/>
  <c r="D24" i="291"/>
  <c r="I23" i="291"/>
  <c r="D23" i="291"/>
  <c r="I22" i="291"/>
  <c r="D22" i="291"/>
  <c r="I21" i="291"/>
  <c r="D21" i="291"/>
  <c r="I20" i="291"/>
  <c r="D20" i="291"/>
  <c r="I19" i="291"/>
  <c r="D19" i="291"/>
  <c r="I18" i="291"/>
  <c r="D18" i="291"/>
  <c r="I17" i="291"/>
  <c r="D17" i="291"/>
  <c r="I16" i="291"/>
  <c r="D16" i="291"/>
  <c r="I15" i="291"/>
  <c r="D15" i="291"/>
  <c r="I14" i="291"/>
  <c r="D14" i="291"/>
  <c r="I13" i="291"/>
  <c r="D13" i="291"/>
  <c r="I12" i="291"/>
  <c r="D12" i="291"/>
  <c r="I11" i="291"/>
  <c r="D11" i="291"/>
  <c r="I10" i="291"/>
  <c r="D10" i="291"/>
  <c r="K9" i="291"/>
  <c r="K10" i="291" s="1"/>
  <c r="I9" i="291"/>
  <c r="D9" i="291"/>
  <c r="E8" i="291"/>
  <c r="E41" i="354" l="1"/>
  <c r="F41" i="291"/>
  <c r="E41" i="351"/>
  <c r="G41" i="291"/>
  <c r="F41" i="351"/>
  <c r="E41" i="291"/>
  <c r="K41" i="291" s="1"/>
  <c r="J9" i="291"/>
  <c r="J33" i="292"/>
  <c r="S33" i="292" s="1"/>
  <c r="L32" i="292"/>
  <c r="K32" i="292"/>
  <c r="M31" i="292"/>
  <c r="D40" i="291"/>
  <c r="F67" i="53" s="1"/>
  <c r="D8" i="291"/>
  <c r="D67" i="53"/>
  <c r="I67" i="53"/>
  <c r="H67" i="53"/>
  <c r="K11" i="291"/>
  <c r="M10" i="291"/>
  <c r="M9" i="291"/>
  <c r="L67" i="53" l="1"/>
  <c r="H41" i="354"/>
  <c r="K67" i="53"/>
  <c r="I41" i="354"/>
  <c r="J10" i="291"/>
  <c r="S9" i="291"/>
  <c r="L9" i="291"/>
  <c r="J67" i="53"/>
  <c r="L10" i="291"/>
  <c r="D41" i="291"/>
  <c r="J41" i="291" s="1"/>
  <c r="M32" i="292"/>
  <c r="K33" i="292"/>
  <c r="J34" i="292"/>
  <c r="S34" i="292" s="1"/>
  <c r="L33" i="292"/>
  <c r="K12" i="291"/>
  <c r="M11" i="291"/>
  <c r="K41" i="354" l="1"/>
  <c r="J11" i="291"/>
  <c r="S10" i="291"/>
  <c r="K34" i="292"/>
  <c r="M33" i="292"/>
  <c r="J35" i="292"/>
  <c r="S35" i="292" s="1"/>
  <c r="L34" i="292"/>
  <c r="K13" i="291"/>
  <c r="M12" i="291"/>
  <c r="E52" i="355" l="1"/>
  <c r="H63" i="355"/>
  <c r="S11" i="291"/>
  <c r="J12" i="291"/>
  <c r="L11" i="291"/>
  <c r="J36" i="292"/>
  <c r="S36" i="292" s="1"/>
  <c r="L35" i="292"/>
  <c r="K35" i="292"/>
  <c r="M34" i="292"/>
  <c r="K14" i="291"/>
  <c r="M13" i="291"/>
  <c r="F41" i="156"/>
  <c r="F52" i="355" l="1"/>
  <c r="S12" i="291"/>
  <c r="L12" i="291"/>
  <c r="J13" i="291"/>
  <c r="K36" i="292"/>
  <c r="M35" i="292"/>
  <c r="J37" i="292"/>
  <c r="S37" i="292" s="1"/>
  <c r="L36" i="292"/>
  <c r="K15" i="291"/>
  <c r="M14" i="291"/>
  <c r="E66" i="53"/>
  <c r="E63" i="53"/>
  <c r="D9" i="290"/>
  <c r="D10" i="290"/>
  <c r="D11" i="290"/>
  <c r="D12" i="290"/>
  <c r="D13" i="290"/>
  <c r="D15" i="290"/>
  <c r="D16" i="290"/>
  <c r="D17" i="290"/>
  <c r="D18" i="290"/>
  <c r="D19" i="290"/>
  <c r="D20" i="290"/>
  <c r="D21" i="290"/>
  <c r="D22" i="290"/>
  <c r="D23" i="290"/>
  <c r="D24" i="290"/>
  <c r="D26" i="290"/>
  <c r="D27" i="290"/>
  <c r="D28" i="290"/>
  <c r="D29" i="290"/>
  <c r="D30" i="290"/>
  <c r="D31" i="290"/>
  <c r="D32" i="290"/>
  <c r="D33" i="290"/>
  <c r="D34" i="290"/>
  <c r="D35" i="290"/>
  <c r="D36" i="290"/>
  <c r="D37" i="290"/>
  <c r="D38" i="290"/>
  <c r="D39" i="290"/>
  <c r="D14" i="290"/>
  <c r="D10" i="289"/>
  <c r="D11" i="289"/>
  <c r="D12" i="289"/>
  <c r="D13" i="289"/>
  <c r="D14" i="289"/>
  <c r="D15" i="289"/>
  <c r="D16" i="289"/>
  <c r="D17" i="289"/>
  <c r="D19" i="289"/>
  <c r="D20" i="289"/>
  <c r="D21" i="289"/>
  <c r="D22" i="289"/>
  <c r="D23" i="289"/>
  <c r="D24" i="289"/>
  <c r="D26" i="289"/>
  <c r="D27" i="289"/>
  <c r="D28" i="289"/>
  <c r="D29" i="289"/>
  <c r="D30" i="289"/>
  <c r="D31" i="289"/>
  <c r="D32" i="289"/>
  <c r="D33" i="289"/>
  <c r="D34" i="289"/>
  <c r="D35" i="289"/>
  <c r="D36" i="289"/>
  <c r="D37" i="289"/>
  <c r="D38" i="289"/>
  <c r="D39" i="289"/>
  <c r="D9" i="289"/>
  <c r="G40" i="290"/>
  <c r="F40" i="290"/>
  <c r="I39" i="290"/>
  <c r="I38" i="290"/>
  <c r="I37" i="290"/>
  <c r="I36" i="290"/>
  <c r="I35" i="290"/>
  <c r="I34" i="290"/>
  <c r="I33" i="290"/>
  <c r="I32" i="290"/>
  <c r="I31" i="290"/>
  <c r="I30" i="290"/>
  <c r="I29" i="290"/>
  <c r="I28" i="290"/>
  <c r="I27" i="290"/>
  <c r="I26" i="290"/>
  <c r="I25" i="290"/>
  <c r="I24" i="290"/>
  <c r="I23" i="290"/>
  <c r="I22" i="290"/>
  <c r="I21" i="290"/>
  <c r="I20" i="290"/>
  <c r="I19" i="290"/>
  <c r="I18" i="290"/>
  <c r="I17" i="290"/>
  <c r="I16" i="290"/>
  <c r="I15" i="290"/>
  <c r="I14" i="290"/>
  <c r="I13" i="290"/>
  <c r="I12" i="290"/>
  <c r="I11" i="290"/>
  <c r="I10" i="290"/>
  <c r="I9" i="290"/>
  <c r="J8" i="290"/>
  <c r="E8" i="290"/>
  <c r="G41" i="289"/>
  <c r="F41" i="289"/>
  <c r="I39" i="289"/>
  <c r="I38" i="289"/>
  <c r="I37" i="289"/>
  <c r="I36" i="289"/>
  <c r="I35" i="289"/>
  <c r="I34" i="289"/>
  <c r="I33" i="289"/>
  <c r="I32" i="289"/>
  <c r="I31" i="289"/>
  <c r="I30" i="289"/>
  <c r="I29" i="289"/>
  <c r="I28" i="289"/>
  <c r="I27" i="289"/>
  <c r="I26" i="289"/>
  <c r="I25" i="289"/>
  <c r="I24" i="289"/>
  <c r="I23" i="289"/>
  <c r="I22" i="289"/>
  <c r="I21" i="289"/>
  <c r="I20" i="289"/>
  <c r="I19" i="289"/>
  <c r="I17" i="289"/>
  <c r="I16" i="289"/>
  <c r="I15" i="289"/>
  <c r="I14" i="289"/>
  <c r="I13" i="289"/>
  <c r="I12" i="289"/>
  <c r="I11" i="289"/>
  <c r="I10" i="289"/>
  <c r="I9" i="289"/>
  <c r="J8" i="289"/>
  <c r="E8" i="289"/>
  <c r="G52" i="355" l="1"/>
  <c r="H52" i="355"/>
  <c r="E39" i="354"/>
  <c r="E40" i="354"/>
  <c r="F41" i="290"/>
  <c r="E39" i="351"/>
  <c r="G41" i="290"/>
  <c r="F39" i="351"/>
  <c r="S13" i="291"/>
  <c r="J14" i="291"/>
  <c r="L13" i="291"/>
  <c r="D66" i="53"/>
  <c r="J9" i="290"/>
  <c r="D63" i="53"/>
  <c r="J9" i="289"/>
  <c r="D40" i="290"/>
  <c r="F66" i="53" s="1"/>
  <c r="D8" i="290"/>
  <c r="J38" i="292"/>
  <c r="S38" i="292" s="1"/>
  <c r="L37" i="292"/>
  <c r="K37" i="292"/>
  <c r="M36" i="292"/>
  <c r="D8" i="289"/>
  <c r="I66" i="53"/>
  <c r="H66" i="53"/>
  <c r="I63" i="53"/>
  <c r="H63" i="53"/>
  <c r="K16" i="291"/>
  <c r="M15" i="291"/>
  <c r="E40" i="290"/>
  <c r="E65" i="53"/>
  <c r="E10" i="288"/>
  <c r="E11" i="288"/>
  <c r="E12" i="288"/>
  <c r="E13" i="288"/>
  <c r="E14" i="288"/>
  <c r="E15" i="288"/>
  <c r="E16" i="288"/>
  <c r="E18" i="288"/>
  <c r="E19" i="288"/>
  <c r="E20" i="288"/>
  <c r="E21" i="288"/>
  <c r="E22" i="288"/>
  <c r="E23" i="288"/>
  <c r="E26" i="288"/>
  <c r="E27" i="288"/>
  <c r="E28" i="288"/>
  <c r="E29" i="288"/>
  <c r="E30" i="288"/>
  <c r="E31" i="288"/>
  <c r="E32" i="288"/>
  <c r="E33" i="288"/>
  <c r="E34" i="288"/>
  <c r="E35" i="288"/>
  <c r="E36" i="288"/>
  <c r="E37" i="288"/>
  <c r="E38" i="288"/>
  <c r="E39" i="288"/>
  <c r="G40" i="288"/>
  <c r="F40" i="288"/>
  <c r="D40" i="288"/>
  <c r="F65" i="53" s="1"/>
  <c r="I39" i="288"/>
  <c r="I38" i="288"/>
  <c r="I37" i="288"/>
  <c r="I36" i="288"/>
  <c r="I35" i="288"/>
  <c r="I34" i="288"/>
  <c r="I33" i="288"/>
  <c r="I32" i="288"/>
  <c r="I31" i="288"/>
  <c r="I30" i="288"/>
  <c r="I29" i="288"/>
  <c r="I28" i="288"/>
  <c r="I27" i="288"/>
  <c r="I26" i="288"/>
  <c r="I25" i="288"/>
  <c r="I24" i="288"/>
  <c r="I23" i="288"/>
  <c r="I22" i="288"/>
  <c r="I21" i="288"/>
  <c r="I20" i="288"/>
  <c r="I19" i="288"/>
  <c r="I18" i="288"/>
  <c r="I17" i="288"/>
  <c r="I16" i="288"/>
  <c r="I15" i="288"/>
  <c r="I14" i="288"/>
  <c r="I13" i="288"/>
  <c r="I12" i="288"/>
  <c r="I11" i="288"/>
  <c r="I10" i="288"/>
  <c r="I9" i="288"/>
  <c r="J8" i="288"/>
  <c r="E8" i="288"/>
  <c r="E38" i="354" l="1"/>
  <c r="I40" i="354"/>
  <c r="K40" i="354" s="1"/>
  <c r="I39" i="354"/>
  <c r="K39" i="354" s="1"/>
  <c r="H62" i="355"/>
  <c r="L63" i="53"/>
  <c r="H40" i="354"/>
  <c r="L66" i="53"/>
  <c r="H39" i="354"/>
  <c r="G41" i="288"/>
  <c r="I65" i="53" s="1"/>
  <c r="F38" i="351"/>
  <c r="F41" i="288"/>
  <c r="H65" i="53" s="1"/>
  <c r="E38" i="351"/>
  <c r="J9" i="288"/>
  <c r="S9" i="288" s="1"/>
  <c r="J10" i="289"/>
  <c r="S9" i="289"/>
  <c r="S14" i="291"/>
  <c r="L14" i="291"/>
  <c r="J15" i="291"/>
  <c r="J10" i="290"/>
  <c r="L10" i="290" s="1"/>
  <c r="S9" i="290"/>
  <c r="E40" i="288"/>
  <c r="G65" i="53" s="1"/>
  <c r="J66" i="53"/>
  <c r="D41" i="290"/>
  <c r="J41" i="290" s="1"/>
  <c r="M9" i="288"/>
  <c r="L9" i="290"/>
  <c r="K38" i="292"/>
  <c r="M37" i="292"/>
  <c r="J39" i="292"/>
  <c r="S39" i="292" s="1"/>
  <c r="L38" i="292"/>
  <c r="D65" i="53"/>
  <c r="D8" i="288"/>
  <c r="D41" i="288" s="1"/>
  <c r="J41" i="288" s="1"/>
  <c r="E41" i="290"/>
  <c r="K41" i="290" s="1"/>
  <c r="G66" i="53"/>
  <c r="K66" i="53" s="1"/>
  <c r="K17" i="291"/>
  <c r="M16" i="291"/>
  <c r="M9" i="290"/>
  <c r="J10" i="288"/>
  <c r="S10" i="288" s="1"/>
  <c r="E51" i="355" l="1"/>
  <c r="E50" i="355"/>
  <c r="G61" i="355"/>
  <c r="G60" i="355"/>
  <c r="I38" i="354"/>
  <c r="K38" i="354" s="1"/>
  <c r="J65" i="53"/>
  <c r="L65" i="53"/>
  <c r="H38" i="354"/>
  <c r="K65" i="53"/>
  <c r="L9" i="288"/>
  <c r="J11" i="290"/>
  <c r="S10" i="290"/>
  <c r="S15" i="291"/>
  <c r="J16" i="291"/>
  <c r="L15" i="291"/>
  <c r="J11" i="289"/>
  <c r="S10" i="289"/>
  <c r="E41" i="288"/>
  <c r="K41" i="288" s="1"/>
  <c r="K10" i="288"/>
  <c r="M10" i="288" s="1"/>
  <c r="J40" i="292"/>
  <c r="L39" i="292"/>
  <c r="K39" i="292"/>
  <c r="M38" i="292"/>
  <c r="K18" i="291"/>
  <c r="M17" i="291"/>
  <c r="M10" i="290"/>
  <c r="L10" i="288"/>
  <c r="J11" i="288"/>
  <c r="S11" i="288" s="1"/>
  <c r="J8" i="280"/>
  <c r="J8" i="277"/>
  <c r="E10" i="280"/>
  <c r="G10" i="280"/>
  <c r="E11" i="280"/>
  <c r="G11" i="280"/>
  <c r="E12" i="280"/>
  <c r="G12" i="280"/>
  <c r="E13" i="280"/>
  <c r="G13" i="280"/>
  <c r="E14" i="280"/>
  <c r="G14" i="280"/>
  <c r="E15" i="280"/>
  <c r="G15" i="280"/>
  <c r="E16" i="280"/>
  <c r="G16" i="280"/>
  <c r="E17" i="280"/>
  <c r="G17" i="280"/>
  <c r="E18" i="280"/>
  <c r="G18" i="280"/>
  <c r="E19" i="280"/>
  <c r="G19" i="280"/>
  <c r="E20" i="280"/>
  <c r="G20" i="280"/>
  <c r="E21" i="280"/>
  <c r="G21" i="280"/>
  <c r="E22" i="280"/>
  <c r="G22" i="280"/>
  <c r="E23" i="280"/>
  <c r="G23" i="280"/>
  <c r="E24" i="280"/>
  <c r="G24" i="280"/>
  <c r="E25" i="280"/>
  <c r="G25" i="280"/>
  <c r="E26" i="280"/>
  <c r="G26" i="280"/>
  <c r="E27" i="280"/>
  <c r="G27" i="280"/>
  <c r="E28" i="280"/>
  <c r="G28" i="280"/>
  <c r="E29" i="280"/>
  <c r="G29" i="280"/>
  <c r="E30" i="280"/>
  <c r="G30" i="280"/>
  <c r="E31" i="280"/>
  <c r="G31" i="280"/>
  <c r="E32" i="280"/>
  <c r="G32" i="280"/>
  <c r="E33" i="280"/>
  <c r="G33" i="280"/>
  <c r="E34" i="280"/>
  <c r="G34" i="280"/>
  <c r="E35" i="280"/>
  <c r="G35" i="280"/>
  <c r="E36" i="280"/>
  <c r="G36" i="280"/>
  <c r="E37" i="280"/>
  <c r="G37" i="280"/>
  <c r="E38" i="280"/>
  <c r="G38" i="280"/>
  <c r="E39" i="280"/>
  <c r="G39" i="280"/>
  <c r="E9" i="280"/>
  <c r="G9" i="280"/>
  <c r="E10" i="277"/>
  <c r="G10" i="277"/>
  <c r="E11" i="277"/>
  <c r="G11" i="277"/>
  <c r="E12" i="277"/>
  <c r="G12" i="277"/>
  <c r="E13" i="277"/>
  <c r="G13" i="277"/>
  <c r="E14" i="277"/>
  <c r="G14" i="277"/>
  <c r="E15" i="277"/>
  <c r="G15" i="277"/>
  <c r="E16" i="277"/>
  <c r="G16" i="277"/>
  <c r="E17" i="277"/>
  <c r="G17" i="277"/>
  <c r="E18" i="277"/>
  <c r="G18" i="277"/>
  <c r="E19" i="277"/>
  <c r="G19" i="277"/>
  <c r="E20" i="277"/>
  <c r="G20" i="277"/>
  <c r="E21" i="277"/>
  <c r="G21" i="277"/>
  <c r="E22" i="277"/>
  <c r="G22" i="277"/>
  <c r="E23" i="277"/>
  <c r="G23" i="277"/>
  <c r="E24" i="277"/>
  <c r="G24" i="277"/>
  <c r="E25" i="277"/>
  <c r="G25" i="277"/>
  <c r="E26" i="277"/>
  <c r="G26" i="277"/>
  <c r="E27" i="277"/>
  <c r="G27" i="277"/>
  <c r="E28" i="277"/>
  <c r="G28" i="277"/>
  <c r="E29" i="277"/>
  <c r="G29" i="277"/>
  <c r="E30" i="277"/>
  <c r="G30" i="277"/>
  <c r="E31" i="277"/>
  <c r="G31" i="277"/>
  <c r="E32" i="277"/>
  <c r="G32" i="277"/>
  <c r="E33" i="277"/>
  <c r="G33" i="277"/>
  <c r="E34" i="277"/>
  <c r="G34" i="277"/>
  <c r="E35" i="277"/>
  <c r="G35" i="277"/>
  <c r="E36" i="277"/>
  <c r="G36" i="277"/>
  <c r="E37" i="277"/>
  <c r="G37" i="277"/>
  <c r="E38" i="277"/>
  <c r="G38" i="277"/>
  <c r="E39" i="277"/>
  <c r="G39" i="277"/>
  <c r="G9" i="277"/>
  <c r="E9" i="277"/>
  <c r="E10" i="276"/>
  <c r="G10" i="276"/>
  <c r="E11" i="276"/>
  <c r="G11" i="276"/>
  <c r="E12" i="276"/>
  <c r="G12" i="276"/>
  <c r="E13" i="276"/>
  <c r="G13" i="276"/>
  <c r="E14" i="276"/>
  <c r="G14" i="276"/>
  <c r="E15" i="276"/>
  <c r="G15" i="276"/>
  <c r="E16" i="276"/>
  <c r="G16" i="276"/>
  <c r="E17" i="276"/>
  <c r="G17" i="276"/>
  <c r="E18" i="276"/>
  <c r="G18" i="276"/>
  <c r="E19" i="276"/>
  <c r="G19" i="276"/>
  <c r="E20" i="276"/>
  <c r="G20" i="276"/>
  <c r="E21" i="276"/>
  <c r="G21" i="276"/>
  <c r="E22" i="276"/>
  <c r="G22" i="276"/>
  <c r="E23" i="276"/>
  <c r="G23" i="276"/>
  <c r="E24" i="276"/>
  <c r="G24" i="276"/>
  <c r="E25" i="276"/>
  <c r="G25" i="276"/>
  <c r="E26" i="276"/>
  <c r="G26" i="276"/>
  <c r="E27" i="276"/>
  <c r="G27" i="276"/>
  <c r="E28" i="276"/>
  <c r="G28" i="276"/>
  <c r="E29" i="276"/>
  <c r="G29" i="276"/>
  <c r="E30" i="276"/>
  <c r="G30" i="276"/>
  <c r="E31" i="276"/>
  <c r="G31" i="276"/>
  <c r="E32" i="276"/>
  <c r="G32" i="276"/>
  <c r="E33" i="276"/>
  <c r="G33" i="276"/>
  <c r="E34" i="276"/>
  <c r="G34" i="276"/>
  <c r="E35" i="276"/>
  <c r="G35" i="276"/>
  <c r="E36" i="276"/>
  <c r="G36" i="276"/>
  <c r="E37" i="276"/>
  <c r="G37" i="276"/>
  <c r="E38" i="276"/>
  <c r="G38" i="276"/>
  <c r="E39" i="276"/>
  <c r="G39" i="276"/>
  <c r="E9" i="276"/>
  <c r="G9" i="276"/>
  <c r="E10" i="271"/>
  <c r="G10" i="271"/>
  <c r="E11" i="271"/>
  <c r="G11" i="271"/>
  <c r="E12" i="271"/>
  <c r="G12" i="271"/>
  <c r="E13" i="271"/>
  <c r="G13" i="271"/>
  <c r="E14" i="271"/>
  <c r="G14" i="271"/>
  <c r="E15" i="271"/>
  <c r="G15" i="271"/>
  <c r="E16" i="271"/>
  <c r="G16" i="271"/>
  <c r="E17" i="271"/>
  <c r="G17" i="271"/>
  <c r="E18" i="271"/>
  <c r="G18" i="271"/>
  <c r="E19" i="271"/>
  <c r="G19" i="271"/>
  <c r="E20" i="271"/>
  <c r="G20" i="271"/>
  <c r="E21" i="271"/>
  <c r="G21" i="271"/>
  <c r="E22" i="271"/>
  <c r="E23" i="271"/>
  <c r="G23" i="271"/>
  <c r="E24" i="271"/>
  <c r="G24" i="271"/>
  <c r="E25" i="271"/>
  <c r="G25" i="271"/>
  <c r="E26" i="271"/>
  <c r="G26" i="271"/>
  <c r="E27" i="271"/>
  <c r="G27" i="271"/>
  <c r="E28" i="271"/>
  <c r="G28" i="271"/>
  <c r="E29" i="271"/>
  <c r="G29" i="271"/>
  <c r="E30" i="271"/>
  <c r="E31" i="271"/>
  <c r="G31" i="271"/>
  <c r="E32" i="271"/>
  <c r="G32" i="271"/>
  <c r="E33" i="271"/>
  <c r="G33" i="271"/>
  <c r="E34" i="271"/>
  <c r="G34" i="271"/>
  <c r="E35" i="271"/>
  <c r="G35" i="271"/>
  <c r="E36" i="271"/>
  <c r="G36" i="271"/>
  <c r="E37" i="271"/>
  <c r="G37" i="271"/>
  <c r="E38" i="271"/>
  <c r="G38" i="271"/>
  <c r="E39" i="271"/>
  <c r="G39" i="271"/>
  <c r="G9" i="271"/>
  <c r="E9" i="271"/>
  <c r="G10" i="278"/>
  <c r="G11" i="278"/>
  <c r="G12" i="278"/>
  <c r="G13" i="278"/>
  <c r="G14" i="278"/>
  <c r="G15" i="278"/>
  <c r="G16" i="278"/>
  <c r="G17" i="278"/>
  <c r="G18" i="278"/>
  <c r="G19" i="278"/>
  <c r="G20" i="278"/>
  <c r="G9" i="278"/>
  <c r="E10" i="278"/>
  <c r="E11" i="278"/>
  <c r="E12" i="278"/>
  <c r="E13" i="278"/>
  <c r="E14" i="278"/>
  <c r="E15" i="278"/>
  <c r="E16" i="278"/>
  <c r="E17" i="278"/>
  <c r="E18" i="278"/>
  <c r="E19" i="278"/>
  <c r="E20" i="278"/>
  <c r="E21" i="278"/>
  <c r="E22" i="278"/>
  <c r="E23" i="278"/>
  <c r="E24" i="278"/>
  <c r="E25" i="278"/>
  <c r="E26" i="278"/>
  <c r="E27" i="278"/>
  <c r="E28" i="278"/>
  <c r="E29" i="278"/>
  <c r="E30" i="278"/>
  <c r="E31" i="278"/>
  <c r="E32" i="278"/>
  <c r="E33" i="278"/>
  <c r="E34" i="278"/>
  <c r="E35" i="278"/>
  <c r="E36" i="278"/>
  <c r="E37" i="278"/>
  <c r="E38" i="278"/>
  <c r="E39" i="278"/>
  <c r="E9" i="278"/>
  <c r="E10" i="269"/>
  <c r="E11" i="269"/>
  <c r="E12" i="269"/>
  <c r="E13" i="269"/>
  <c r="E14" i="269"/>
  <c r="E15" i="269"/>
  <c r="E16" i="269"/>
  <c r="E17" i="269"/>
  <c r="E18" i="269"/>
  <c r="E19" i="269"/>
  <c r="E20" i="269"/>
  <c r="E21" i="269"/>
  <c r="E22" i="269"/>
  <c r="E23" i="269"/>
  <c r="E24" i="269"/>
  <c r="E25" i="269"/>
  <c r="E26" i="269"/>
  <c r="E27" i="269"/>
  <c r="E28" i="269"/>
  <c r="E29" i="269"/>
  <c r="E30" i="269"/>
  <c r="E31" i="269"/>
  <c r="E32" i="269"/>
  <c r="E33" i="269"/>
  <c r="E34" i="269"/>
  <c r="E35" i="269"/>
  <c r="E36" i="269"/>
  <c r="E37" i="269"/>
  <c r="E38" i="269"/>
  <c r="E39" i="269"/>
  <c r="E9" i="269"/>
  <c r="E10" i="270"/>
  <c r="E11" i="270"/>
  <c r="E12" i="270"/>
  <c r="E13" i="270"/>
  <c r="E14" i="270"/>
  <c r="E15" i="270"/>
  <c r="E16" i="270"/>
  <c r="E17" i="270"/>
  <c r="E18" i="270"/>
  <c r="E19" i="270"/>
  <c r="E20" i="270"/>
  <c r="E21" i="270"/>
  <c r="E22" i="270"/>
  <c r="E23" i="270"/>
  <c r="E24" i="270"/>
  <c r="E25" i="270"/>
  <c r="E26" i="270"/>
  <c r="E27" i="270"/>
  <c r="E28" i="270"/>
  <c r="E29" i="270"/>
  <c r="E30" i="270"/>
  <c r="E31" i="270"/>
  <c r="E32" i="270"/>
  <c r="E33" i="270"/>
  <c r="E34" i="270"/>
  <c r="E35" i="270"/>
  <c r="E36" i="270"/>
  <c r="E37" i="270"/>
  <c r="E38" i="270"/>
  <c r="E39" i="270"/>
  <c r="E9" i="270"/>
  <c r="F50" i="355" l="1"/>
  <c r="F51" i="355"/>
  <c r="E49" i="355"/>
  <c r="H60" i="355"/>
  <c r="H61" i="355"/>
  <c r="G59" i="355"/>
  <c r="S16" i="291"/>
  <c r="J17" i="291"/>
  <c r="L16" i="291"/>
  <c r="J12" i="289"/>
  <c r="S11" i="289"/>
  <c r="K9" i="270"/>
  <c r="J12" i="290"/>
  <c r="L12" i="290" s="1"/>
  <c r="S11" i="290"/>
  <c r="L11" i="290"/>
  <c r="K11" i="288"/>
  <c r="K12" i="288" s="1"/>
  <c r="K13" i="288" s="1"/>
  <c r="K40" i="292"/>
  <c r="M39" i="292"/>
  <c r="K19" i="291"/>
  <c r="M18" i="291"/>
  <c r="M11" i="290"/>
  <c r="J12" i="288"/>
  <c r="S12" i="288" s="1"/>
  <c r="L11" i="288"/>
  <c r="K40" i="236"/>
  <c r="L40" i="236"/>
  <c r="M40" i="236"/>
  <c r="N40" i="236"/>
  <c r="O40" i="236"/>
  <c r="P40" i="236"/>
  <c r="Q40" i="236"/>
  <c r="J40" i="236"/>
  <c r="G50" i="355" l="1"/>
  <c r="H50" i="355"/>
  <c r="G51" i="355"/>
  <c r="H51" i="355"/>
  <c r="F49" i="355"/>
  <c r="S12" i="290"/>
  <c r="J13" i="290"/>
  <c r="J13" i="289"/>
  <c r="S12" i="289"/>
  <c r="S17" i="291"/>
  <c r="L17" i="291"/>
  <c r="J18" i="291"/>
  <c r="M11" i="288"/>
  <c r="K20" i="291"/>
  <c r="M19" i="291"/>
  <c r="M12" i="290"/>
  <c r="M12" i="288"/>
  <c r="L12" i="288"/>
  <c r="J13" i="288"/>
  <c r="S13" i="288" s="1"/>
  <c r="K46" i="236"/>
  <c r="G49" i="355" l="1"/>
  <c r="H49" i="355"/>
  <c r="S18" i="291"/>
  <c r="J19" i="291"/>
  <c r="L18" i="291"/>
  <c r="J14" i="289"/>
  <c r="S13" i="289"/>
  <c r="S13" i="290"/>
  <c r="J14" i="290"/>
  <c r="L13" i="290"/>
  <c r="K21" i="291"/>
  <c r="M20" i="291"/>
  <c r="M13" i="290"/>
  <c r="J14" i="288"/>
  <c r="S14" i="288" s="1"/>
  <c r="L13" i="288"/>
  <c r="M13" i="288"/>
  <c r="K14" i="288"/>
  <c r="J15" i="290" l="1"/>
  <c r="S14" i="290"/>
  <c r="L14" i="290"/>
  <c r="S14" i="289"/>
  <c r="J15" i="289"/>
  <c r="S19" i="291"/>
  <c r="J20" i="291"/>
  <c r="L19" i="291"/>
  <c r="K22" i="291"/>
  <c r="M21" i="291"/>
  <c r="M14" i="290"/>
  <c r="K15" i="288"/>
  <c r="M14" i="288"/>
  <c r="L14" i="288"/>
  <c r="J15" i="288"/>
  <c r="S15" i="288" s="1"/>
  <c r="D11" i="261"/>
  <c r="D12" i="261"/>
  <c r="S20" i="291" l="1"/>
  <c r="J21" i="291"/>
  <c r="L20" i="291"/>
  <c r="J16" i="289"/>
  <c r="S15" i="289"/>
  <c r="S15" i="290"/>
  <c r="J16" i="290"/>
  <c r="L15" i="290"/>
  <c r="K23" i="291"/>
  <c r="M22" i="291"/>
  <c r="M15" i="290"/>
  <c r="J16" i="288"/>
  <c r="S16" i="288" s="1"/>
  <c r="L15" i="288"/>
  <c r="M15" i="288"/>
  <c r="K16" i="288"/>
  <c r="D29" i="178"/>
  <c r="D30" i="178"/>
  <c r="D31" i="178"/>
  <c r="D32" i="178"/>
  <c r="D33" i="178"/>
  <c r="D34" i="178"/>
  <c r="D35" i="178"/>
  <c r="D36" i="178"/>
  <c r="D37" i="178"/>
  <c r="D38" i="178"/>
  <c r="D39" i="178"/>
  <c r="D9" i="178"/>
  <c r="D10" i="178"/>
  <c r="D11" i="178"/>
  <c r="D12" i="178"/>
  <c r="D13" i="178"/>
  <c r="D14" i="178"/>
  <c r="D15" i="178"/>
  <c r="D18" i="178"/>
  <c r="D19" i="178"/>
  <c r="D20" i="178"/>
  <c r="D21" i="178"/>
  <c r="D22" i="178"/>
  <c r="D23" i="178"/>
  <c r="D24" i="178"/>
  <c r="D25" i="178"/>
  <c r="D26" i="178"/>
  <c r="D27" i="178"/>
  <c r="D28" i="178"/>
  <c r="S16" i="289" l="1"/>
  <c r="J17" i="289"/>
  <c r="J17" i="290"/>
  <c r="S16" i="290"/>
  <c r="L16" i="290"/>
  <c r="S21" i="291"/>
  <c r="J22" i="291"/>
  <c r="L21" i="291"/>
  <c r="K24" i="291"/>
  <c r="M23" i="291"/>
  <c r="M16" i="290"/>
  <c r="K17" i="288"/>
  <c r="M16" i="288"/>
  <c r="L16" i="288"/>
  <c r="J17" i="288"/>
  <c r="S17" i="288" s="1"/>
  <c r="E40" i="287"/>
  <c r="E41" i="287" s="1"/>
  <c r="D40" i="287"/>
  <c r="B39" i="287"/>
  <c r="B38" i="287"/>
  <c r="B37" i="287"/>
  <c r="B36" i="287"/>
  <c r="B35" i="287"/>
  <c r="B34" i="287"/>
  <c r="B33" i="287"/>
  <c r="B32" i="287"/>
  <c r="B31" i="287"/>
  <c r="B30" i="287"/>
  <c r="B29" i="287"/>
  <c r="B28" i="287"/>
  <c r="B27" i="287"/>
  <c r="B26" i="287"/>
  <c r="B25" i="287"/>
  <c r="B24" i="287"/>
  <c r="B23" i="287"/>
  <c r="B22" i="287"/>
  <c r="B21" i="287"/>
  <c r="B20" i="287"/>
  <c r="B19" i="287"/>
  <c r="B18" i="287"/>
  <c r="B17" i="287"/>
  <c r="B16" i="287"/>
  <c r="B15" i="287"/>
  <c r="B14" i="287"/>
  <c r="B13" i="287"/>
  <c r="B12" i="287"/>
  <c r="B11" i="287"/>
  <c r="B10" i="287"/>
  <c r="G9" i="287"/>
  <c r="H9" i="287" s="1"/>
  <c r="B9" i="287"/>
  <c r="D8" i="287"/>
  <c r="I5" i="287"/>
  <c r="H5" i="287"/>
  <c r="G5" i="287"/>
  <c r="F5" i="287"/>
  <c r="E5" i="287"/>
  <c r="D5" i="287"/>
  <c r="C5" i="287"/>
  <c r="B5" i="287"/>
  <c r="A3" i="287"/>
  <c r="I2" i="287"/>
  <c r="A2" i="287"/>
  <c r="A1" i="287"/>
  <c r="J18" i="290" l="1"/>
  <c r="S17" i="290"/>
  <c r="L17" i="290"/>
  <c r="S22" i="291"/>
  <c r="J23" i="291"/>
  <c r="L22" i="291"/>
  <c r="J18" i="289"/>
  <c r="S17" i="289"/>
  <c r="E8" i="287"/>
  <c r="K25" i="291"/>
  <c r="M24" i="291"/>
  <c r="M17" i="290"/>
  <c r="J18" i="288"/>
  <c r="S18" i="288" s="1"/>
  <c r="L17" i="288"/>
  <c r="M17" i="288"/>
  <c r="K18" i="288"/>
  <c r="D41" i="287"/>
  <c r="G10" i="287"/>
  <c r="J19" i="290" l="1"/>
  <c r="S18" i="290"/>
  <c r="L18" i="290"/>
  <c r="J19" i="289"/>
  <c r="S18" i="289"/>
  <c r="S23" i="291"/>
  <c r="J24" i="291"/>
  <c r="L23" i="291"/>
  <c r="F39" i="287"/>
  <c r="F38" i="287"/>
  <c r="F36" i="287"/>
  <c r="F35" i="287"/>
  <c r="F33" i="287"/>
  <c r="F32" i="287"/>
  <c r="F30" i="287"/>
  <c r="F27" i="287"/>
  <c r="F25" i="287"/>
  <c r="F24" i="287"/>
  <c r="F23" i="287"/>
  <c r="F21" i="287"/>
  <c r="F20" i="287"/>
  <c r="F18" i="287"/>
  <c r="F14" i="287"/>
  <c r="F12" i="287"/>
  <c r="F9" i="287"/>
  <c r="F37" i="287"/>
  <c r="F34" i="287"/>
  <c r="F31" i="287"/>
  <c r="F29" i="287"/>
  <c r="F28" i="287"/>
  <c r="F26" i="287"/>
  <c r="F22" i="287"/>
  <c r="F19" i="287"/>
  <c r="F17" i="287"/>
  <c r="F16" i="287"/>
  <c r="F15" i="287"/>
  <c r="F13" i="287"/>
  <c r="F11" i="287"/>
  <c r="F10" i="287"/>
  <c r="G41" i="287"/>
  <c r="K26" i="291"/>
  <c r="M25" i="291"/>
  <c r="M18" i="290"/>
  <c r="K19" i="288"/>
  <c r="M18" i="288"/>
  <c r="L18" i="288"/>
  <c r="J19" i="288"/>
  <c r="S19" i="288" s="1"/>
  <c r="H10" i="287"/>
  <c r="G11" i="287"/>
  <c r="J20" i="289" l="1"/>
  <c r="S19" i="289"/>
  <c r="S24" i="291"/>
  <c r="J25" i="291"/>
  <c r="L24" i="291"/>
  <c r="J20" i="290"/>
  <c r="S19" i="290"/>
  <c r="L19" i="290"/>
  <c r="K27" i="291"/>
  <c r="M26" i="291"/>
  <c r="M19" i="290"/>
  <c r="J20" i="288"/>
  <c r="S20" i="288" s="1"/>
  <c r="L19" i="288"/>
  <c r="M19" i="288"/>
  <c r="K20" i="288"/>
  <c r="H11" i="287"/>
  <c r="G12" i="287"/>
  <c r="F58" i="170"/>
  <c r="E10" i="250"/>
  <c r="S20" i="290" l="1"/>
  <c r="J21" i="290"/>
  <c r="L20" i="290"/>
  <c r="S25" i="291"/>
  <c r="J26" i="291"/>
  <c r="L25" i="291"/>
  <c r="J21" i="289"/>
  <c r="S20" i="289"/>
  <c r="K28" i="291"/>
  <c r="M27" i="291"/>
  <c r="M20" i="290"/>
  <c r="K21" i="288"/>
  <c r="M20" i="288"/>
  <c r="L20" i="288"/>
  <c r="J21" i="288"/>
  <c r="S21" i="288" s="1"/>
  <c r="H12" i="287"/>
  <c r="G13" i="287"/>
  <c r="S26" i="291" l="1"/>
  <c r="J27" i="291"/>
  <c r="L26" i="291"/>
  <c r="J22" i="289"/>
  <c r="S21" i="289"/>
  <c r="J22" i="290"/>
  <c r="S21" i="290"/>
  <c r="L21" i="290"/>
  <c r="K29" i="291"/>
  <c r="M28" i="291"/>
  <c r="M21" i="290"/>
  <c r="J22" i="288"/>
  <c r="S22" i="288" s="1"/>
  <c r="L21" i="288"/>
  <c r="M21" i="288"/>
  <c r="K22" i="288"/>
  <c r="H13" i="287"/>
  <c r="G14" i="287"/>
  <c r="J23" i="289" l="1"/>
  <c r="S22" i="289"/>
  <c r="J23" i="290"/>
  <c r="S22" i="290"/>
  <c r="L22" i="290"/>
  <c r="S27" i="291"/>
  <c r="J28" i="291"/>
  <c r="L27" i="291"/>
  <c r="K30" i="291"/>
  <c r="M29" i="291"/>
  <c r="M22" i="290"/>
  <c r="K23" i="288"/>
  <c r="M22" i="288"/>
  <c r="L22" i="288"/>
  <c r="J23" i="288"/>
  <c r="S23" i="288" s="1"/>
  <c r="H14" i="287"/>
  <c r="G15" i="287"/>
  <c r="S28" i="291" l="1"/>
  <c r="J29" i="291"/>
  <c r="L28" i="291"/>
  <c r="S23" i="290"/>
  <c r="J24" i="290"/>
  <c r="L23" i="290"/>
  <c r="J24" i="289"/>
  <c r="S23" i="289"/>
  <c r="K31" i="291"/>
  <c r="M30" i="291"/>
  <c r="M23" i="290"/>
  <c r="J24" i="288"/>
  <c r="S24" i="288" s="1"/>
  <c r="L23" i="288"/>
  <c r="M23" i="288"/>
  <c r="K24" i="288"/>
  <c r="H15" i="287"/>
  <c r="G16" i="287"/>
  <c r="G21" i="278"/>
  <c r="G22" i="278"/>
  <c r="G23" i="278"/>
  <c r="G24" i="278"/>
  <c r="G25" i="278"/>
  <c r="G26" i="278"/>
  <c r="G27" i="278"/>
  <c r="G28" i="278"/>
  <c r="G29" i="278"/>
  <c r="G31" i="278"/>
  <c r="G32" i="278"/>
  <c r="G33" i="278"/>
  <c r="G34" i="278"/>
  <c r="G35" i="278"/>
  <c r="G36" i="278"/>
  <c r="G37" i="278"/>
  <c r="G38" i="278"/>
  <c r="G39" i="278"/>
  <c r="S29" i="291" l="1"/>
  <c r="J30" i="291"/>
  <c r="L29" i="291"/>
  <c r="S24" i="289"/>
  <c r="J25" i="289"/>
  <c r="J25" i="290"/>
  <c r="S24" i="290"/>
  <c r="L24" i="290"/>
  <c r="K32" i="291"/>
  <c r="M31" i="291"/>
  <c r="M24" i="290"/>
  <c r="K25" i="288"/>
  <c r="M24" i="288"/>
  <c r="L24" i="288"/>
  <c r="J25" i="288"/>
  <c r="S25" i="288" s="1"/>
  <c r="H16" i="287"/>
  <c r="G17" i="287"/>
  <c r="J26" i="289" l="1"/>
  <c r="S25" i="289"/>
  <c r="J26" i="290"/>
  <c r="S25" i="290"/>
  <c r="L25" i="290"/>
  <c r="S30" i="291"/>
  <c r="J31" i="291"/>
  <c r="L30" i="291"/>
  <c r="K33" i="291"/>
  <c r="M32" i="291"/>
  <c r="M25" i="290"/>
  <c r="J26" i="288"/>
  <c r="S26" i="288" s="1"/>
  <c r="L25" i="288"/>
  <c r="M25" i="288"/>
  <c r="K26" i="288"/>
  <c r="H17" i="287"/>
  <c r="G18" i="287"/>
  <c r="J27" i="289" l="1"/>
  <c r="S26" i="289"/>
  <c r="S31" i="291"/>
  <c r="L31" i="291"/>
  <c r="J32" i="291"/>
  <c r="J27" i="290"/>
  <c r="S26" i="290"/>
  <c r="L26" i="290"/>
  <c r="K34" i="291"/>
  <c r="M33" i="291"/>
  <c r="M26" i="290"/>
  <c r="K27" i="288"/>
  <c r="M26" i="288"/>
  <c r="L26" i="288"/>
  <c r="J27" i="288"/>
  <c r="S27" i="288" s="1"/>
  <c r="H18" i="287"/>
  <c r="G19" i="287"/>
  <c r="S27" i="290" l="1"/>
  <c r="J28" i="290"/>
  <c r="L27" i="290"/>
  <c r="S32" i="291"/>
  <c r="J33" i="291"/>
  <c r="L32" i="291"/>
  <c r="J28" i="289"/>
  <c r="S27" i="289"/>
  <c r="K35" i="291"/>
  <c r="M34" i="291"/>
  <c r="M27" i="290"/>
  <c r="J28" i="288"/>
  <c r="S28" i="288" s="1"/>
  <c r="L27" i="288"/>
  <c r="M27" i="288"/>
  <c r="K28" i="288"/>
  <c r="H19" i="287"/>
  <c r="G20" i="287"/>
  <c r="J29" i="289" l="1"/>
  <c r="S28" i="289"/>
  <c r="S28" i="290"/>
  <c r="J29" i="290"/>
  <c r="L28" i="290"/>
  <c r="S33" i="291"/>
  <c r="J34" i="291"/>
  <c r="L33" i="291"/>
  <c r="K36" i="291"/>
  <c r="M35" i="291"/>
  <c r="M28" i="290"/>
  <c r="K29" i="288"/>
  <c r="M28" i="288"/>
  <c r="L28" i="288"/>
  <c r="J29" i="288"/>
  <c r="S29" i="288" s="1"/>
  <c r="H20" i="287"/>
  <c r="G21" i="287"/>
  <c r="J30" i="290" l="1"/>
  <c r="S29" i="290"/>
  <c r="L29" i="290"/>
  <c r="S34" i="291"/>
  <c r="L34" i="291"/>
  <c r="J35" i="291"/>
  <c r="J30" i="289"/>
  <c r="S29" i="289"/>
  <c r="K37" i="291"/>
  <c r="M36" i="291"/>
  <c r="M29" i="290"/>
  <c r="J30" i="288"/>
  <c r="S30" i="288" s="1"/>
  <c r="L29" i="288"/>
  <c r="M29" i="288"/>
  <c r="K30" i="288"/>
  <c r="H21" i="287"/>
  <c r="G22" i="287"/>
  <c r="S30" i="289" l="1"/>
  <c r="J31" i="289"/>
  <c r="S35" i="291"/>
  <c r="J36" i="291"/>
  <c r="L35" i="291"/>
  <c r="J31" i="290"/>
  <c r="S30" i="290"/>
  <c r="L30" i="290"/>
  <c r="K38" i="291"/>
  <c r="M37" i="291"/>
  <c r="M30" i="290"/>
  <c r="K31" i="288"/>
  <c r="M30" i="288"/>
  <c r="L30" i="288"/>
  <c r="J31" i="288"/>
  <c r="S31" i="288" s="1"/>
  <c r="H22" i="287"/>
  <c r="G23" i="287"/>
  <c r="S36" i="291" l="1"/>
  <c r="L36" i="291"/>
  <c r="J37" i="291"/>
  <c r="S31" i="289"/>
  <c r="J32" i="289"/>
  <c r="J32" i="290"/>
  <c r="S31" i="290"/>
  <c r="L31" i="290"/>
  <c r="K39" i="291"/>
  <c r="M38" i="291"/>
  <c r="M31" i="290"/>
  <c r="J32" i="288"/>
  <c r="S32" i="288" s="1"/>
  <c r="L31" i="288"/>
  <c r="M31" i="288"/>
  <c r="K32" i="288"/>
  <c r="H23" i="287"/>
  <c r="G24" i="287"/>
  <c r="S37" i="291" l="1"/>
  <c r="J38" i="291"/>
  <c r="L37" i="291"/>
  <c r="J33" i="290"/>
  <c r="S32" i="290"/>
  <c r="L32" i="290"/>
  <c r="J33" i="289"/>
  <c r="S32" i="289"/>
  <c r="K40" i="291"/>
  <c r="M39" i="291"/>
  <c r="M32" i="290"/>
  <c r="K33" i="288"/>
  <c r="M32" i="288"/>
  <c r="L32" i="288"/>
  <c r="J33" i="288"/>
  <c r="S33" i="288" s="1"/>
  <c r="H24" i="287"/>
  <c r="G25" i="287"/>
  <c r="J9" i="183"/>
  <c r="S9" i="183" s="1"/>
  <c r="G20" i="234"/>
  <c r="G21" i="234"/>
  <c r="G22" i="234"/>
  <c r="G23" i="234"/>
  <c r="G24" i="234"/>
  <c r="G25" i="234"/>
  <c r="J34" i="289" l="1"/>
  <c r="S33" i="289"/>
  <c r="S38" i="291"/>
  <c r="J39" i="291"/>
  <c r="L38" i="291"/>
  <c r="J34" i="290"/>
  <c r="S33" i="290"/>
  <c r="L33" i="290"/>
  <c r="J10" i="183"/>
  <c r="S10" i="183" s="1"/>
  <c r="M33" i="290"/>
  <c r="J34" i="288"/>
  <c r="S34" i="288" s="1"/>
  <c r="L33" i="288"/>
  <c r="M33" i="288"/>
  <c r="K34" i="288"/>
  <c r="H25" i="287"/>
  <c r="G26" i="287"/>
  <c r="S39" i="291" l="1"/>
  <c r="J40" i="291"/>
  <c r="L39" i="291"/>
  <c r="J35" i="290"/>
  <c r="S34" i="290"/>
  <c r="L34" i="290"/>
  <c r="S34" i="289"/>
  <c r="J35" i="289"/>
  <c r="J11" i="183"/>
  <c r="S11" i="183" s="1"/>
  <c r="M34" i="290"/>
  <c r="K35" i="288"/>
  <c r="M34" i="288"/>
  <c r="L34" i="288"/>
  <c r="J35" i="288"/>
  <c r="S35" i="288" s="1"/>
  <c r="H26" i="287"/>
  <c r="G27" i="287"/>
  <c r="D37" i="170"/>
  <c r="D36" i="170"/>
  <c r="H36" i="170"/>
  <c r="D35" i="170"/>
  <c r="D37" i="169"/>
  <c r="D36" i="169"/>
  <c r="F8" i="169"/>
  <c r="D35" i="169"/>
  <c r="H36" i="165"/>
  <c r="D37" i="261"/>
  <c r="D36" i="261"/>
  <c r="D35" i="261"/>
  <c r="D37" i="283"/>
  <c r="D36" i="283"/>
  <c r="D35" i="283"/>
  <c r="D38" i="153"/>
  <c r="D37" i="153"/>
  <c r="D36" i="153"/>
  <c r="G38" i="156"/>
  <c r="D38" i="156"/>
  <c r="G37" i="156"/>
  <c r="D37" i="156"/>
  <c r="G36" i="156"/>
  <c r="D36" i="156"/>
  <c r="G38" i="260"/>
  <c r="D38" i="260"/>
  <c r="G37" i="260"/>
  <c r="D37" i="260"/>
  <c r="G36" i="260"/>
  <c r="D36" i="260"/>
  <c r="D37" i="285"/>
  <c r="D36" i="285"/>
  <c r="D35" i="285"/>
  <c r="B25" i="53"/>
  <c r="B7" i="53"/>
  <c r="B17" i="53"/>
  <c r="H9" i="157"/>
  <c r="I11" i="162"/>
  <c r="H11" i="162"/>
  <c r="H10" i="162"/>
  <c r="I10" i="162"/>
  <c r="H12" i="162"/>
  <c r="I12" i="162"/>
  <c r="H13" i="162"/>
  <c r="I13" i="162"/>
  <c r="H14" i="162"/>
  <c r="I14" i="162"/>
  <c r="H15" i="162"/>
  <c r="I15" i="162"/>
  <c r="H16" i="162"/>
  <c r="I16" i="162"/>
  <c r="H17" i="162"/>
  <c r="I17" i="162"/>
  <c r="H18" i="162"/>
  <c r="I18" i="162"/>
  <c r="H19" i="162"/>
  <c r="I19" i="162"/>
  <c r="H20" i="162"/>
  <c r="I20" i="162"/>
  <c r="H21" i="162"/>
  <c r="I21" i="162"/>
  <c r="H22" i="162"/>
  <c r="I22" i="162"/>
  <c r="H23" i="162"/>
  <c r="I23" i="162"/>
  <c r="H24" i="162"/>
  <c r="I24" i="162"/>
  <c r="H25" i="162"/>
  <c r="I25" i="162"/>
  <c r="H26" i="162"/>
  <c r="I26" i="162"/>
  <c r="H27" i="162"/>
  <c r="I27" i="162"/>
  <c r="H28" i="162"/>
  <c r="I28" i="162"/>
  <c r="H29" i="162"/>
  <c r="I29" i="162"/>
  <c r="H30" i="162"/>
  <c r="I30" i="162"/>
  <c r="H31" i="162"/>
  <c r="I31" i="162"/>
  <c r="H32" i="162"/>
  <c r="I32" i="162"/>
  <c r="H33" i="162"/>
  <c r="I33" i="162"/>
  <c r="H34" i="162"/>
  <c r="I34" i="162"/>
  <c r="H35" i="162"/>
  <c r="I35" i="162"/>
  <c r="H36" i="162"/>
  <c r="I36" i="162"/>
  <c r="H37" i="162"/>
  <c r="I37" i="162"/>
  <c r="H38" i="162"/>
  <c r="I38" i="162"/>
  <c r="H39" i="162"/>
  <c r="I39" i="162"/>
  <c r="I9" i="162"/>
  <c r="H9" i="162"/>
  <c r="H9" i="231"/>
  <c r="H9" i="254"/>
  <c r="H10" i="250"/>
  <c r="H11" i="250"/>
  <c r="H12" i="250"/>
  <c r="H13" i="250"/>
  <c r="H14" i="250"/>
  <c r="H15" i="250"/>
  <c r="H16" i="250"/>
  <c r="H17" i="250"/>
  <c r="H18" i="250"/>
  <c r="H19" i="250"/>
  <c r="H20" i="250"/>
  <c r="H21" i="250"/>
  <c r="H22" i="250"/>
  <c r="H23" i="250"/>
  <c r="H24" i="250"/>
  <c r="H25" i="250"/>
  <c r="H26" i="250"/>
  <c r="H27" i="250"/>
  <c r="H28" i="250"/>
  <c r="H29" i="250"/>
  <c r="H30" i="250"/>
  <c r="H31" i="250"/>
  <c r="H32" i="250"/>
  <c r="H33" i="250"/>
  <c r="H34" i="250"/>
  <c r="H35" i="250"/>
  <c r="H36" i="250"/>
  <c r="H37" i="250"/>
  <c r="H38" i="250"/>
  <c r="H39" i="250"/>
  <c r="H9" i="250"/>
  <c r="I9" i="187"/>
  <c r="H9" i="187"/>
  <c r="H13" i="184"/>
  <c r="H14" i="184"/>
  <c r="H15" i="184"/>
  <c r="H16" i="184"/>
  <c r="H17" i="184"/>
  <c r="H18" i="184"/>
  <c r="H19" i="184"/>
  <c r="H20" i="184"/>
  <c r="H21" i="184"/>
  <c r="H22" i="184"/>
  <c r="H23" i="184"/>
  <c r="H24" i="184"/>
  <c r="H25" i="184"/>
  <c r="H26" i="184"/>
  <c r="H27" i="184"/>
  <c r="H28" i="184"/>
  <c r="H29" i="184"/>
  <c r="H30" i="184"/>
  <c r="H31" i="184"/>
  <c r="H32" i="184"/>
  <c r="H33" i="184"/>
  <c r="H34" i="184"/>
  <c r="H35" i="184"/>
  <c r="H36" i="184"/>
  <c r="H37" i="184"/>
  <c r="H38" i="184"/>
  <c r="H39" i="184"/>
  <c r="H10" i="184"/>
  <c r="H11" i="184"/>
  <c r="H12" i="184"/>
  <c r="H9" i="184"/>
  <c r="H10" i="183"/>
  <c r="L10" i="183" s="1"/>
  <c r="H11" i="183"/>
  <c r="H12" i="183"/>
  <c r="H13" i="183"/>
  <c r="H14" i="183"/>
  <c r="H15" i="183"/>
  <c r="H16" i="183"/>
  <c r="H17" i="183"/>
  <c r="H18" i="183"/>
  <c r="H19" i="183"/>
  <c r="H20" i="183"/>
  <c r="H21" i="183"/>
  <c r="H22" i="183"/>
  <c r="H23" i="183"/>
  <c r="H24" i="183"/>
  <c r="H25" i="183"/>
  <c r="H26" i="183"/>
  <c r="H27" i="183"/>
  <c r="H28" i="183"/>
  <c r="H29" i="183"/>
  <c r="H30" i="183"/>
  <c r="H31" i="183"/>
  <c r="H32" i="183"/>
  <c r="H33" i="183"/>
  <c r="H34" i="183"/>
  <c r="H35" i="183"/>
  <c r="H36" i="183"/>
  <c r="H37" i="183"/>
  <c r="H38" i="183"/>
  <c r="H39" i="183"/>
  <c r="H9" i="183"/>
  <c r="L9" i="183" s="1"/>
  <c r="H10" i="159"/>
  <c r="H11" i="159"/>
  <c r="H12" i="159"/>
  <c r="H13" i="159"/>
  <c r="H14" i="159"/>
  <c r="H15" i="159"/>
  <c r="H16" i="159"/>
  <c r="H17" i="159"/>
  <c r="H18" i="159"/>
  <c r="H19" i="159"/>
  <c r="H20" i="159"/>
  <c r="H21" i="159"/>
  <c r="H22" i="159"/>
  <c r="H23" i="159"/>
  <c r="H24" i="159"/>
  <c r="H25" i="159"/>
  <c r="H26" i="159"/>
  <c r="H27" i="159"/>
  <c r="H28" i="159"/>
  <c r="H29" i="159"/>
  <c r="H30" i="159"/>
  <c r="H31" i="159"/>
  <c r="H32" i="159"/>
  <c r="H33" i="159"/>
  <c r="H34" i="159"/>
  <c r="H35" i="159"/>
  <c r="H36" i="159"/>
  <c r="H37" i="159"/>
  <c r="H38" i="159"/>
  <c r="H39" i="159"/>
  <c r="H9" i="159"/>
  <c r="H10" i="178"/>
  <c r="I10" i="178"/>
  <c r="H11" i="178"/>
  <c r="I11" i="178"/>
  <c r="H12" i="178"/>
  <c r="I12" i="178"/>
  <c r="H13" i="178"/>
  <c r="I13" i="178"/>
  <c r="H14" i="178"/>
  <c r="I14" i="178"/>
  <c r="H15" i="178"/>
  <c r="I15" i="178"/>
  <c r="H16" i="178"/>
  <c r="I16" i="178"/>
  <c r="H17" i="178"/>
  <c r="I17" i="178"/>
  <c r="H18" i="178"/>
  <c r="I18" i="178"/>
  <c r="H19" i="178"/>
  <c r="I19" i="178"/>
  <c r="H20" i="178"/>
  <c r="I20" i="178"/>
  <c r="H21" i="178"/>
  <c r="I21" i="178"/>
  <c r="H22" i="178"/>
  <c r="I22" i="178"/>
  <c r="H23" i="178"/>
  <c r="I23" i="178"/>
  <c r="H24" i="178"/>
  <c r="I24" i="178"/>
  <c r="H25" i="178"/>
  <c r="I25" i="178"/>
  <c r="H26" i="178"/>
  <c r="I26" i="178"/>
  <c r="H27" i="178"/>
  <c r="I27" i="178"/>
  <c r="H28" i="178"/>
  <c r="I28" i="178"/>
  <c r="H29" i="178"/>
  <c r="I29" i="178"/>
  <c r="H30" i="178"/>
  <c r="I30" i="178"/>
  <c r="H31" i="178"/>
  <c r="I31" i="178"/>
  <c r="H32" i="178"/>
  <c r="I32" i="178"/>
  <c r="H33" i="178"/>
  <c r="I33" i="178"/>
  <c r="H34" i="178"/>
  <c r="I34" i="178"/>
  <c r="H35" i="178"/>
  <c r="I35" i="178"/>
  <c r="H36" i="178"/>
  <c r="I36" i="178"/>
  <c r="H37" i="178"/>
  <c r="I37" i="178"/>
  <c r="H38" i="178"/>
  <c r="I38" i="178"/>
  <c r="H39" i="178"/>
  <c r="I39" i="178"/>
  <c r="I9" i="178"/>
  <c r="H9" i="178"/>
  <c r="H10" i="173"/>
  <c r="I10" i="173"/>
  <c r="H11" i="173"/>
  <c r="I11" i="173"/>
  <c r="H12" i="173"/>
  <c r="I12" i="173"/>
  <c r="H13" i="173"/>
  <c r="I13" i="173"/>
  <c r="H14" i="173"/>
  <c r="I14" i="173"/>
  <c r="H15" i="173"/>
  <c r="I15" i="173"/>
  <c r="H16" i="173"/>
  <c r="I16" i="173"/>
  <c r="H17" i="173"/>
  <c r="I17" i="173"/>
  <c r="H18" i="173"/>
  <c r="I18" i="173"/>
  <c r="H19" i="173"/>
  <c r="I19" i="173"/>
  <c r="H20" i="173"/>
  <c r="I20" i="173"/>
  <c r="H21" i="173"/>
  <c r="I21" i="173"/>
  <c r="H22" i="173"/>
  <c r="I22" i="173"/>
  <c r="H23" i="173"/>
  <c r="I23" i="173"/>
  <c r="H24" i="173"/>
  <c r="I24" i="173"/>
  <c r="H25" i="173"/>
  <c r="I25" i="173"/>
  <c r="H26" i="173"/>
  <c r="I26" i="173"/>
  <c r="H27" i="173"/>
  <c r="I27" i="173"/>
  <c r="H28" i="173"/>
  <c r="I28" i="173"/>
  <c r="H29" i="173"/>
  <c r="I29" i="173"/>
  <c r="H30" i="173"/>
  <c r="I30" i="173"/>
  <c r="H31" i="173"/>
  <c r="I31" i="173"/>
  <c r="H32" i="173"/>
  <c r="I32" i="173"/>
  <c r="H33" i="173"/>
  <c r="I33" i="173"/>
  <c r="H34" i="173"/>
  <c r="I34" i="173"/>
  <c r="H35" i="173"/>
  <c r="I35" i="173"/>
  <c r="H36" i="173"/>
  <c r="I36" i="173"/>
  <c r="H37" i="173"/>
  <c r="I37" i="173"/>
  <c r="H38" i="173"/>
  <c r="I38" i="173"/>
  <c r="H39" i="173"/>
  <c r="I39" i="173"/>
  <c r="I9" i="173"/>
  <c r="H9" i="173"/>
  <c r="H10" i="160"/>
  <c r="H11" i="160"/>
  <c r="H12" i="160"/>
  <c r="H13" i="160"/>
  <c r="H14" i="160"/>
  <c r="H15" i="160"/>
  <c r="H16" i="160"/>
  <c r="H17" i="160"/>
  <c r="H18" i="160"/>
  <c r="H19" i="160"/>
  <c r="H20" i="160"/>
  <c r="H21" i="160"/>
  <c r="H22" i="160"/>
  <c r="H23" i="160"/>
  <c r="H24" i="160"/>
  <c r="H25" i="160"/>
  <c r="H26" i="160"/>
  <c r="H27" i="160"/>
  <c r="H28" i="160"/>
  <c r="H29" i="160"/>
  <c r="H30" i="160"/>
  <c r="H31" i="160"/>
  <c r="H32" i="160"/>
  <c r="H33" i="160"/>
  <c r="H34" i="160"/>
  <c r="H35" i="160"/>
  <c r="H36" i="160"/>
  <c r="H37" i="160"/>
  <c r="H38" i="160"/>
  <c r="H39" i="160"/>
  <c r="H9" i="160"/>
  <c r="H10" i="163"/>
  <c r="I10" i="163"/>
  <c r="H11" i="163"/>
  <c r="I11" i="163"/>
  <c r="H12" i="163"/>
  <c r="I12" i="163"/>
  <c r="H13" i="163"/>
  <c r="I13" i="163"/>
  <c r="H14" i="163"/>
  <c r="I14" i="163"/>
  <c r="H15" i="163"/>
  <c r="I15" i="163"/>
  <c r="H16" i="163"/>
  <c r="I16" i="163"/>
  <c r="H17" i="163"/>
  <c r="I17" i="163"/>
  <c r="H18" i="163"/>
  <c r="I18" i="163"/>
  <c r="H19" i="163"/>
  <c r="I19" i="163"/>
  <c r="H20" i="163"/>
  <c r="I20" i="163"/>
  <c r="H21" i="163"/>
  <c r="I21" i="163"/>
  <c r="H22" i="163"/>
  <c r="I22" i="163"/>
  <c r="H23" i="163"/>
  <c r="I23" i="163"/>
  <c r="H24" i="163"/>
  <c r="I24" i="163"/>
  <c r="H25" i="163"/>
  <c r="I25" i="163"/>
  <c r="H26" i="163"/>
  <c r="I26" i="163"/>
  <c r="H27" i="163"/>
  <c r="I27" i="163"/>
  <c r="H28" i="163"/>
  <c r="I28" i="163"/>
  <c r="H29" i="163"/>
  <c r="I29" i="163"/>
  <c r="H30" i="163"/>
  <c r="I30" i="163"/>
  <c r="H31" i="163"/>
  <c r="I31" i="163"/>
  <c r="H32" i="163"/>
  <c r="I32" i="163"/>
  <c r="H33" i="163"/>
  <c r="I33" i="163"/>
  <c r="H34" i="163"/>
  <c r="I34" i="163"/>
  <c r="H35" i="163"/>
  <c r="I35" i="163"/>
  <c r="H36" i="163"/>
  <c r="I36" i="163"/>
  <c r="H37" i="163"/>
  <c r="I37" i="163"/>
  <c r="H38" i="163"/>
  <c r="I38" i="163"/>
  <c r="H39" i="163"/>
  <c r="I39" i="163"/>
  <c r="I9" i="163"/>
  <c r="H9" i="163"/>
  <c r="H10" i="170"/>
  <c r="H11" i="170"/>
  <c r="H12" i="170"/>
  <c r="H13" i="170"/>
  <c r="H14" i="170"/>
  <c r="H15" i="170"/>
  <c r="H16" i="170"/>
  <c r="H17" i="170"/>
  <c r="H18" i="170"/>
  <c r="H19" i="170"/>
  <c r="H20" i="170"/>
  <c r="H21" i="170"/>
  <c r="H22" i="170"/>
  <c r="H23" i="170"/>
  <c r="H24" i="170"/>
  <c r="H25" i="170"/>
  <c r="H26" i="170"/>
  <c r="H27" i="170"/>
  <c r="H28" i="170"/>
  <c r="H29" i="170"/>
  <c r="H30" i="170"/>
  <c r="H31" i="170"/>
  <c r="H32" i="170"/>
  <c r="H33" i="170"/>
  <c r="H34" i="170"/>
  <c r="H9" i="170"/>
  <c r="H10" i="169"/>
  <c r="H11" i="169"/>
  <c r="H12" i="169"/>
  <c r="H13" i="169"/>
  <c r="H14" i="169"/>
  <c r="H15" i="169"/>
  <c r="H16" i="169"/>
  <c r="H17" i="169"/>
  <c r="H18" i="169"/>
  <c r="H19" i="169"/>
  <c r="H20" i="169"/>
  <c r="H21" i="169"/>
  <c r="H22" i="169"/>
  <c r="H23" i="169"/>
  <c r="H24" i="169"/>
  <c r="H25" i="169"/>
  <c r="H26" i="169"/>
  <c r="H27" i="169"/>
  <c r="H28" i="169"/>
  <c r="H29" i="169"/>
  <c r="H30" i="169"/>
  <c r="H31" i="169"/>
  <c r="H32" i="169"/>
  <c r="H33" i="169"/>
  <c r="H34" i="169"/>
  <c r="H35" i="169"/>
  <c r="H37" i="169"/>
  <c r="H39" i="169"/>
  <c r="H9" i="169"/>
  <c r="H10" i="165"/>
  <c r="H11" i="165"/>
  <c r="H12" i="165"/>
  <c r="H13" i="165"/>
  <c r="H14" i="165"/>
  <c r="H15" i="165"/>
  <c r="H16" i="165"/>
  <c r="H17" i="165"/>
  <c r="H18" i="165"/>
  <c r="H19" i="165"/>
  <c r="H20" i="165"/>
  <c r="H21" i="165"/>
  <c r="H22" i="165"/>
  <c r="H23" i="165"/>
  <c r="H24" i="165"/>
  <c r="H25" i="165"/>
  <c r="H26" i="165"/>
  <c r="H27" i="165"/>
  <c r="H28" i="165"/>
  <c r="H29" i="165"/>
  <c r="H30" i="165"/>
  <c r="H31" i="165"/>
  <c r="H32" i="165"/>
  <c r="H33" i="165"/>
  <c r="H34" i="165"/>
  <c r="H35" i="165"/>
  <c r="H37" i="165"/>
  <c r="H39" i="165"/>
  <c r="H9" i="165"/>
  <c r="H10" i="157"/>
  <c r="I10" i="157"/>
  <c r="H11" i="157"/>
  <c r="I11" i="157"/>
  <c r="H12" i="157"/>
  <c r="I12" i="157"/>
  <c r="H13" i="157"/>
  <c r="I13" i="157"/>
  <c r="H14" i="157"/>
  <c r="I14" i="157"/>
  <c r="H15" i="157"/>
  <c r="I15" i="157"/>
  <c r="H16" i="157"/>
  <c r="I16" i="157"/>
  <c r="H17" i="157"/>
  <c r="I17" i="157"/>
  <c r="H18" i="157"/>
  <c r="I18" i="157"/>
  <c r="H19" i="157"/>
  <c r="I19" i="157"/>
  <c r="H20" i="157"/>
  <c r="I20" i="157"/>
  <c r="H21" i="157"/>
  <c r="I21" i="157"/>
  <c r="H22" i="157"/>
  <c r="I22" i="157"/>
  <c r="I23" i="157"/>
  <c r="H24" i="157"/>
  <c r="I24" i="157"/>
  <c r="H25" i="157"/>
  <c r="I25" i="157"/>
  <c r="H26" i="157"/>
  <c r="I26" i="157"/>
  <c r="H27" i="157"/>
  <c r="I27" i="157"/>
  <c r="H28" i="157"/>
  <c r="I28" i="157"/>
  <c r="H29" i="157"/>
  <c r="I29" i="157"/>
  <c r="H30" i="157"/>
  <c r="I30" i="157"/>
  <c r="H31" i="157"/>
  <c r="I31" i="157"/>
  <c r="H32" i="157"/>
  <c r="I32" i="157"/>
  <c r="H33" i="157"/>
  <c r="I33" i="157"/>
  <c r="H34" i="157"/>
  <c r="I34" i="157"/>
  <c r="H35" i="157"/>
  <c r="I35" i="157"/>
  <c r="H36" i="157"/>
  <c r="I36" i="157"/>
  <c r="H37" i="157"/>
  <c r="I37" i="157"/>
  <c r="H38" i="157"/>
  <c r="I38" i="157"/>
  <c r="H39" i="157"/>
  <c r="I39" i="157"/>
  <c r="I9" i="157"/>
  <c r="H10" i="164"/>
  <c r="I10" i="164"/>
  <c r="H11" i="164"/>
  <c r="I11" i="164"/>
  <c r="H12" i="164"/>
  <c r="I12" i="164"/>
  <c r="H13" i="164"/>
  <c r="I13" i="164"/>
  <c r="H14" i="164"/>
  <c r="I14" i="164"/>
  <c r="H15" i="164"/>
  <c r="I15" i="164"/>
  <c r="H16" i="164"/>
  <c r="I16" i="164"/>
  <c r="H17" i="164"/>
  <c r="I17" i="164"/>
  <c r="H18" i="164"/>
  <c r="I18" i="164"/>
  <c r="H19" i="164"/>
  <c r="I19" i="164"/>
  <c r="H20" i="164"/>
  <c r="I20" i="164"/>
  <c r="H21" i="164"/>
  <c r="I21" i="164"/>
  <c r="H22" i="164"/>
  <c r="I22" i="164"/>
  <c r="H23" i="164"/>
  <c r="I23" i="164"/>
  <c r="H24" i="164"/>
  <c r="I24" i="164"/>
  <c r="H25" i="164"/>
  <c r="I25" i="164"/>
  <c r="H26" i="164"/>
  <c r="I26" i="164"/>
  <c r="H27" i="164"/>
  <c r="I27" i="164"/>
  <c r="H28" i="164"/>
  <c r="I28" i="164"/>
  <c r="H29" i="164"/>
  <c r="I29" i="164"/>
  <c r="H30" i="164"/>
  <c r="I30" i="164"/>
  <c r="H31" i="164"/>
  <c r="I31" i="164"/>
  <c r="H32" i="164"/>
  <c r="I32" i="164"/>
  <c r="H33" i="164"/>
  <c r="I33" i="164"/>
  <c r="H34" i="164"/>
  <c r="I34" i="164"/>
  <c r="H35" i="164"/>
  <c r="I35" i="164"/>
  <c r="H36" i="164"/>
  <c r="I36" i="164"/>
  <c r="H37" i="164"/>
  <c r="I37" i="164"/>
  <c r="H38" i="164"/>
  <c r="I38" i="164"/>
  <c r="H39" i="164"/>
  <c r="I39" i="164"/>
  <c r="I9" i="164"/>
  <c r="H9" i="164"/>
  <c r="H10" i="261"/>
  <c r="I10" i="261"/>
  <c r="H11" i="261"/>
  <c r="I11" i="261"/>
  <c r="H12" i="261"/>
  <c r="I12" i="261"/>
  <c r="H13" i="261"/>
  <c r="I13" i="261"/>
  <c r="H14" i="261"/>
  <c r="I14" i="261"/>
  <c r="H15" i="261"/>
  <c r="I15" i="261"/>
  <c r="H16" i="261"/>
  <c r="I16" i="261"/>
  <c r="H17" i="261"/>
  <c r="I17" i="261"/>
  <c r="H18" i="261"/>
  <c r="I18" i="261"/>
  <c r="H19" i="261"/>
  <c r="I19" i="261"/>
  <c r="H20" i="261"/>
  <c r="I20" i="261"/>
  <c r="H21" i="261"/>
  <c r="I21" i="261"/>
  <c r="H22" i="261"/>
  <c r="I22" i="261"/>
  <c r="H23" i="261"/>
  <c r="I23" i="261"/>
  <c r="H24" i="261"/>
  <c r="I24" i="261"/>
  <c r="H25" i="261"/>
  <c r="I25" i="261"/>
  <c r="H26" i="261"/>
  <c r="I26" i="261"/>
  <c r="H27" i="261"/>
  <c r="I27" i="261"/>
  <c r="H28" i="261"/>
  <c r="I28" i="261"/>
  <c r="H29" i="261"/>
  <c r="I29" i="261"/>
  <c r="H30" i="261"/>
  <c r="I30" i="261"/>
  <c r="H31" i="261"/>
  <c r="I31" i="261"/>
  <c r="H32" i="261"/>
  <c r="I32" i="261"/>
  <c r="H33" i="261"/>
  <c r="I33" i="261"/>
  <c r="H34" i="261"/>
  <c r="I34" i="261"/>
  <c r="H35" i="261"/>
  <c r="I35" i="261"/>
  <c r="H36" i="261"/>
  <c r="I36" i="261"/>
  <c r="H37" i="261"/>
  <c r="I37" i="261"/>
  <c r="H38" i="261"/>
  <c r="I38" i="261"/>
  <c r="H39" i="261"/>
  <c r="I39" i="261"/>
  <c r="I9" i="261"/>
  <c r="H9" i="261"/>
  <c r="H10" i="283"/>
  <c r="I10" i="283"/>
  <c r="H11" i="283"/>
  <c r="I11" i="283"/>
  <c r="H12" i="283"/>
  <c r="I12" i="283"/>
  <c r="H13" i="283"/>
  <c r="I13" i="283"/>
  <c r="H14" i="283"/>
  <c r="I14" i="283"/>
  <c r="H15" i="283"/>
  <c r="I15" i="283"/>
  <c r="H16" i="283"/>
  <c r="I16" i="283"/>
  <c r="H17" i="283"/>
  <c r="I17" i="283"/>
  <c r="H18" i="283"/>
  <c r="I18" i="283"/>
  <c r="H19" i="283"/>
  <c r="I19" i="283"/>
  <c r="H20" i="283"/>
  <c r="I20" i="283"/>
  <c r="H21" i="283"/>
  <c r="I21" i="283"/>
  <c r="H22" i="283"/>
  <c r="I22" i="283"/>
  <c r="H23" i="283"/>
  <c r="I23" i="283"/>
  <c r="H24" i="283"/>
  <c r="I24" i="283"/>
  <c r="H25" i="283"/>
  <c r="I25" i="283"/>
  <c r="H26" i="283"/>
  <c r="I26" i="283"/>
  <c r="H27" i="283"/>
  <c r="I27" i="283"/>
  <c r="H28" i="283"/>
  <c r="I28" i="283"/>
  <c r="H29" i="283"/>
  <c r="I29" i="283"/>
  <c r="H30" i="283"/>
  <c r="I30" i="283"/>
  <c r="H31" i="283"/>
  <c r="I31" i="283"/>
  <c r="H32" i="283"/>
  <c r="I32" i="283"/>
  <c r="H33" i="283"/>
  <c r="I33" i="283"/>
  <c r="H34" i="283"/>
  <c r="I34" i="283"/>
  <c r="H35" i="283"/>
  <c r="I35" i="283"/>
  <c r="H36" i="283"/>
  <c r="I36" i="283"/>
  <c r="H37" i="283"/>
  <c r="I37" i="283"/>
  <c r="H38" i="283"/>
  <c r="I38" i="283"/>
  <c r="H39" i="283"/>
  <c r="I39" i="283"/>
  <c r="I9" i="283"/>
  <c r="H9" i="283"/>
  <c r="H10" i="158"/>
  <c r="I10" i="158"/>
  <c r="H11" i="158"/>
  <c r="I11" i="158"/>
  <c r="H12" i="158"/>
  <c r="I12" i="158"/>
  <c r="H13" i="158"/>
  <c r="I13" i="158"/>
  <c r="H14" i="158"/>
  <c r="I14" i="158"/>
  <c r="H15" i="158"/>
  <c r="I15" i="158"/>
  <c r="H16" i="158"/>
  <c r="I16" i="158"/>
  <c r="H17" i="158"/>
  <c r="I17" i="158"/>
  <c r="H18" i="158"/>
  <c r="I18" i="158"/>
  <c r="H19" i="158"/>
  <c r="I19" i="158"/>
  <c r="H20" i="158"/>
  <c r="I20" i="158"/>
  <c r="H21" i="158"/>
  <c r="I21" i="158"/>
  <c r="H22" i="158"/>
  <c r="I22" i="158"/>
  <c r="H23" i="158"/>
  <c r="I23" i="158"/>
  <c r="H24" i="158"/>
  <c r="I24" i="158"/>
  <c r="H25" i="158"/>
  <c r="I25" i="158"/>
  <c r="H26" i="158"/>
  <c r="I26" i="158"/>
  <c r="H27" i="158"/>
  <c r="I27" i="158"/>
  <c r="H28" i="158"/>
  <c r="I28" i="158"/>
  <c r="H29" i="158"/>
  <c r="I29" i="158"/>
  <c r="H30" i="158"/>
  <c r="I30" i="158"/>
  <c r="H31" i="158"/>
  <c r="I31" i="158"/>
  <c r="H32" i="158"/>
  <c r="I32" i="158"/>
  <c r="H33" i="158"/>
  <c r="I33" i="158"/>
  <c r="H34" i="158"/>
  <c r="I34" i="158"/>
  <c r="H35" i="158"/>
  <c r="I35" i="158"/>
  <c r="H36" i="158"/>
  <c r="I36" i="158"/>
  <c r="H37" i="158"/>
  <c r="I37" i="158"/>
  <c r="H38" i="158"/>
  <c r="I38" i="158"/>
  <c r="H39" i="158"/>
  <c r="I39" i="158"/>
  <c r="I9" i="158"/>
  <c r="H9" i="158"/>
  <c r="H11" i="234"/>
  <c r="H12" i="234"/>
  <c r="H13" i="234"/>
  <c r="H14" i="234"/>
  <c r="H15" i="234"/>
  <c r="H16" i="234"/>
  <c r="H17" i="234"/>
  <c r="H18" i="234"/>
  <c r="H19" i="234"/>
  <c r="H20" i="234"/>
  <c r="H21" i="234"/>
  <c r="H22" i="234"/>
  <c r="H23" i="234"/>
  <c r="H24" i="234"/>
  <c r="H25" i="234"/>
  <c r="H26" i="234"/>
  <c r="H27" i="234"/>
  <c r="H28" i="234"/>
  <c r="H29" i="234"/>
  <c r="H30" i="234"/>
  <c r="H31" i="234"/>
  <c r="H32" i="234"/>
  <c r="H33" i="234"/>
  <c r="H34" i="234"/>
  <c r="H35" i="234"/>
  <c r="H36" i="234"/>
  <c r="H37" i="234"/>
  <c r="H38" i="234"/>
  <c r="H39" i="234"/>
  <c r="H40" i="234"/>
  <c r="H10" i="234"/>
  <c r="H11" i="153"/>
  <c r="I11" i="153"/>
  <c r="H12" i="153"/>
  <c r="I12" i="153"/>
  <c r="H13" i="153"/>
  <c r="I13" i="153"/>
  <c r="H14" i="153"/>
  <c r="I14" i="153"/>
  <c r="H15" i="153"/>
  <c r="I15" i="153"/>
  <c r="H16" i="153"/>
  <c r="I16" i="153"/>
  <c r="H17" i="153"/>
  <c r="I17" i="153"/>
  <c r="H18" i="153"/>
  <c r="I18" i="153"/>
  <c r="H19" i="153"/>
  <c r="I19" i="153"/>
  <c r="H20" i="153"/>
  <c r="I20" i="153"/>
  <c r="H21" i="153"/>
  <c r="I21" i="153"/>
  <c r="H22" i="153"/>
  <c r="I22" i="153"/>
  <c r="H23" i="153"/>
  <c r="I23" i="153"/>
  <c r="H24" i="153"/>
  <c r="I24" i="153"/>
  <c r="H25" i="153"/>
  <c r="I25" i="153"/>
  <c r="H26" i="153"/>
  <c r="I26" i="153"/>
  <c r="H27" i="153"/>
  <c r="I27" i="153"/>
  <c r="H28" i="153"/>
  <c r="I28" i="153"/>
  <c r="H29" i="153"/>
  <c r="I29" i="153"/>
  <c r="H30" i="153"/>
  <c r="I30" i="153"/>
  <c r="H31" i="153"/>
  <c r="I31" i="153"/>
  <c r="H32" i="153"/>
  <c r="I32" i="153"/>
  <c r="H33" i="153"/>
  <c r="I33" i="153"/>
  <c r="H34" i="153"/>
  <c r="I34" i="153"/>
  <c r="H35" i="153"/>
  <c r="I35" i="153"/>
  <c r="H36" i="153"/>
  <c r="I36" i="153"/>
  <c r="H37" i="153"/>
  <c r="I37" i="153"/>
  <c r="H38" i="153"/>
  <c r="I38" i="153"/>
  <c r="H39" i="153"/>
  <c r="I39" i="153"/>
  <c r="H40" i="153"/>
  <c r="I40" i="153"/>
  <c r="I10" i="153"/>
  <c r="H10" i="153"/>
  <c r="H11" i="156"/>
  <c r="H12" i="156"/>
  <c r="H13" i="156"/>
  <c r="H14" i="156"/>
  <c r="H15" i="156"/>
  <c r="H16" i="156"/>
  <c r="H17" i="156"/>
  <c r="H18" i="156"/>
  <c r="H19" i="156"/>
  <c r="H20" i="156"/>
  <c r="H21" i="156"/>
  <c r="H22" i="156"/>
  <c r="H23" i="156"/>
  <c r="H24" i="156"/>
  <c r="H25" i="156"/>
  <c r="H26" i="156"/>
  <c r="H27" i="156"/>
  <c r="H28" i="156"/>
  <c r="H29" i="156"/>
  <c r="H30" i="156"/>
  <c r="H31" i="156"/>
  <c r="H32" i="156"/>
  <c r="H33" i="156"/>
  <c r="H34" i="156"/>
  <c r="H35" i="156"/>
  <c r="H36" i="156"/>
  <c r="H37" i="156"/>
  <c r="H38" i="156"/>
  <c r="H39" i="156"/>
  <c r="H40" i="156"/>
  <c r="H11" i="260"/>
  <c r="H12" i="260"/>
  <c r="H13" i="260"/>
  <c r="H14" i="260"/>
  <c r="H15" i="260"/>
  <c r="H16" i="260"/>
  <c r="H17" i="260"/>
  <c r="H18" i="260"/>
  <c r="H19" i="260"/>
  <c r="H20" i="260"/>
  <c r="H21" i="260"/>
  <c r="H22" i="260"/>
  <c r="H23" i="260"/>
  <c r="H24" i="260"/>
  <c r="H25" i="260"/>
  <c r="H26" i="260"/>
  <c r="H27" i="260"/>
  <c r="H28" i="260"/>
  <c r="H29" i="260"/>
  <c r="H30" i="260"/>
  <c r="H31" i="260"/>
  <c r="H32" i="260"/>
  <c r="H33" i="260"/>
  <c r="H34" i="260"/>
  <c r="H35" i="260"/>
  <c r="H36" i="260"/>
  <c r="H37" i="260"/>
  <c r="H38" i="260"/>
  <c r="H39" i="260"/>
  <c r="H40" i="260"/>
  <c r="H10" i="149"/>
  <c r="I10" i="149"/>
  <c r="H11" i="149"/>
  <c r="H12" i="149"/>
  <c r="H13" i="149"/>
  <c r="H14" i="149"/>
  <c r="H15" i="149"/>
  <c r="H16" i="149"/>
  <c r="H17" i="149"/>
  <c r="H18" i="149"/>
  <c r="H19" i="149"/>
  <c r="H20" i="149"/>
  <c r="H21" i="149"/>
  <c r="H22" i="149"/>
  <c r="H23" i="149"/>
  <c r="H24" i="149"/>
  <c r="H25" i="149"/>
  <c r="H26" i="149"/>
  <c r="H27" i="149"/>
  <c r="H28" i="149"/>
  <c r="H29" i="149"/>
  <c r="H30" i="149"/>
  <c r="H31" i="149"/>
  <c r="H32" i="149"/>
  <c r="H33" i="149"/>
  <c r="H34" i="149"/>
  <c r="H35" i="149"/>
  <c r="H36" i="149"/>
  <c r="H37" i="149"/>
  <c r="H38" i="149"/>
  <c r="H39" i="149"/>
  <c r="H10" i="155"/>
  <c r="I10" i="155"/>
  <c r="H11" i="155"/>
  <c r="I11" i="155"/>
  <c r="H12" i="155"/>
  <c r="I12" i="155"/>
  <c r="H13" i="155"/>
  <c r="I13" i="155"/>
  <c r="H14" i="155"/>
  <c r="I14" i="155"/>
  <c r="H15" i="155"/>
  <c r="I15" i="155"/>
  <c r="H16" i="155"/>
  <c r="I16" i="155"/>
  <c r="H17" i="155"/>
  <c r="I17" i="155"/>
  <c r="H18" i="155"/>
  <c r="I18" i="155"/>
  <c r="H19" i="155"/>
  <c r="I19" i="155"/>
  <c r="H20" i="155"/>
  <c r="I20" i="155"/>
  <c r="H21" i="155"/>
  <c r="I21" i="155"/>
  <c r="H22" i="155"/>
  <c r="I22" i="155"/>
  <c r="H23" i="155"/>
  <c r="I23" i="155"/>
  <c r="H24" i="155"/>
  <c r="I24" i="155"/>
  <c r="H25" i="155"/>
  <c r="I25" i="155"/>
  <c r="H26" i="155"/>
  <c r="I26" i="155"/>
  <c r="H27" i="155"/>
  <c r="I27" i="155"/>
  <c r="H28" i="155"/>
  <c r="I28" i="155"/>
  <c r="H29" i="155"/>
  <c r="I29" i="155"/>
  <c r="H30" i="155"/>
  <c r="I30" i="155"/>
  <c r="I31" i="155"/>
  <c r="H32" i="155"/>
  <c r="I32" i="155"/>
  <c r="H33" i="155"/>
  <c r="I33" i="155"/>
  <c r="H34" i="155"/>
  <c r="I34" i="155"/>
  <c r="H35" i="155"/>
  <c r="I35" i="155"/>
  <c r="H36" i="155"/>
  <c r="I36" i="155"/>
  <c r="H37" i="155"/>
  <c r="I37" i="155"/>
  <c r="H38" i="155"/>
  <c r="I38" i="155"/>
  <c r="H39" i="155"/>
  <c r="I39" i="155"/>
  <c r="H10" i="285"/>
  <c r="I10" i="285"/>
  <c r="H11" i="285"/>
  <c r="I11" i="285"/>
  <c r="H12" i="285"/>
  <c r="I12" i="285"/>
  <c r="H13" i="285"/>
  <c r="I13" i="285"/>
  <c r="H14" i="285"/>
  <c r="I14" i="285"/>
  <c r="H15" i="285"/>
  <c r="I15" i="285"/>
  <c r="H16" i="285"/>
  <c r="I16" i="285"/>
  <c r="H17" i="285"/>
  <c r="I17" i="285"/>
  <c r="H18" i="285"/>
  <c r="I18" i="285"/>
  <c r="H19" i="285"/>
  <c r="I19" i="285"/>
  <c r="H20" i="285"/>
  <c r="I20" i="285"/>
  <c r="H21" i="285"/>
  <c r="I21" i="285"/>
  <c r="H22" i="285"/>
  <c r="I22" i="285"/>
  <c r="H23" i="285"/>
  <c r="I23" i="285"/>
  <c r="H24" i="285"/>
  <c r="I24" i="285"/>
  <c r="H25" i="285"/>
  <c r="I25" i="285"/>
  <c r="H26" i="285"/>
  <c r="H27" i="285"/>
  <c r="H28" i="285"/>
  <c r="H29" i="285"/>
  <c r="H30" i="285"/>
  <c r="H31" i="285"/>
  <c r="H32" i="285"/>
  <c r="H33" i="285"/>
  <c r="H34" i="285"/>
  <c r="H35" i="285"/>
  <c r="H36" i="285"/>
  <c r="H37" i="285"/>
  <c r="H38" i="285"/>
  <c r="H39" i="285"/>
  <c r="H10" i="263"/>
  <c r="I10" i="263"/>
  <c r="H11" i="263"/>
  <c r="I11" i="263"/>
  <c r="H12" i="263"/>
  <c r="I12" i="263"/>
  <c r="H13" i="263"/>
  <c r="I13" i="263"/>
  <c r="H14" i="263"/>
  <c r="I14" i="263"/>
  <c r="H15" i="263"/>
  <c r="I15" i="263"/>
  <c r="H16" i="263"/>
  <c r="I16" i="263"/>
  <c r="H17" i="263"/>
  <c r="I17" i="263"/>
  <c r="H18" i="263"/>
  <c r="I18" i="263"/>
  <c r="H19" i="263"/>
  <c r="I19" i="263"/>
  <c r="H20" i="263"/>
  <c r="I20" i="263"/>
  <c r="H21" i="263"/>
  <c r="I21" i="263"/>
  <c r="H22" i="263"/>
  <c r="I22" i="263"/>
  <c r="H23" i="263"/>
  <c r="I23" i="263"/>
  <c r="I24" i="263"/>
  <c r="H25" i="263"/>
  <c r="I25" i="263"/>
  <c r="H26" i="263"/>
  <c r="I26" i="263"/>
  <c r="H27" i="263"/>
  <c r="I27" i="263"/>
  <c r="H28" i="263"/>
  <c r="I28" i="263"/>
  <c r="H29" i="263"/>
  <c r="I29" i="263"/>
  <c r="H30" i="263"/>
  <c r="I30" i="263"/>
  <c r="H31" i="263"/>
  <c r="I31" i="263"/>
  <c r="H32" i="263"/>
  <c r="I32" i="263"/>
  <c r="H33" i="263"/>
  <c r="I33" i="263"/>
  <c r="H34" i="263"/>
  <c r="I34" i="263"/>
  <c r="H35" i="263"/>
  <c r="I35" i="263"/>
  <c r="H36" i="263"/>
  <c r="I36" i="263"/>
  <c r="H37" i="263"/>
  <c r="I37" i="263"/>
  <c r="H38" i="263"/>
  <c r="I38" i="263"/>
  <c r="H39" i="263"/>
  <c r="I39" i="263"/>
  <c r="I11" i="284"/>
  <c r="I12" i="284"/>
  <c r="I13" i="284"/>
  <c r="I14" i="284"/>
  <c r="I15" i="284"/>
  <c r="I16" i="284"/>
  <c r="I17" i="284"/>
  <c r="I18" i="284"/>
  <c r="I19" i="284"/>
  <c r="I20" i="284"/>
  <c r="I21" i="284"/>
  <c r="I22" i="284"/>
  <c r="I23" i="284"/>
  <c r="I24" i="284"/>
  <c r="I25" i="284"/>
  <c r="H26" i="284"/>
  <c r="I26" i="284"/>
  <c r="H27" i="284"/>
  <c r="I27" i="284"/>
  <c r="H28" i="284"/>
  <c r="I28" i="284"/>
  <c r="H29" i="284"/>
  <c r="I29" i="284"/>
  <c r="H30" i="284"/>
  <c r="I30" i="284"/>
  <c r="H31" i="284"/>
  <c r="I31" i="284"/>
  <c r="H32" i="284"/>
  <c r="I32" i="284"/>
  <c r="H33" i="284"/>
  <c r="I33" i="284"/>
  <c r="H34" i="284"/>
  <c r="I34" i="284"/>
  <c r="H35" i="284"/>
  <c r="H36" i="284"/>
  <c r="I36" i="284"/>
  <c r="H37" i="284"/>
  <c r="I37" i="284"/>
  <c r="H38" i="284"/>
  <c r="I38" i="284"/>
  <c r="H39" i="284"/>
  <c r="I39" i="284"/>
  <c r="H10" i="231"/>
  <c r="I10" i="231"/>
  <c r="H11" i="231"/>
  <c r="I11" i="231"/>
  <c r="H12" i="231"/>
  <c r="I12" i="231"/>
  <c r="H13" i="231"/>
  <c r="I13" i="231"/>
  <c r="H14" i="231"/>
  <c r="I14" i="231"/>
  <c r="H15" i="231"/>
  <c r="I15" i="231"/>
  <c r="I16" i="231"/>
  <c r="H17" i="231"/>
  <c r="I17" i="231"/>
  <c r="H18" i="231"/>
  <c r="I18" i="231"/>
  <c r="H19" i="231"/>
  <c r="I19" i="231"/>
  <c r="H20" i="231"/>
  <c r="I20" i="231"/>
  <c r="H21" i="231"/>
  <c r="I21" i="231"/>
  <c r="H22" i="231"/>
  <c r="I22" i="231"/>
  <c r="H23" i="231"/>
  <c r="I23" i="231"/>
  <c r="H24" i="231"/>
  <c r="I24" i="231"/>
  <c r="H25" i="231"/>
  <c r="I25" i="231"/>
  <c r="H26" i="231"/>
  <c r="I26" i="231"/>
  <c r="H27" i="231"/>
  <c r="I27" i="231"/>
  <c r="H28" i="231"/>
  <c r="I28" i="231"/>
  <c r="H29" i="231"/>
  <c r="I29" i="231"/>
  <c r="H30" i="231"/>
  <c r="I30" i="231"/>
  <c r="H31" i="231"/>
  <c r="I31" i="231"/>
  <c r="H32" i="231"/>
  <c r="I32" i="231"/>
  <c r="I33" i="231"/>
  <c r="H34" i="231"/>
  <c r="I34" i="231"/>
  <c r="H35" i="231"/>
  <c r="I35" i="231"/>
  <c r="H36" i="231"/>
  <c r="I36" i="231"/>
  <c r="H37" i="231"/>
  <c r="I37" i="231"/>
  <c r="H38" i="231"/>
  <c r="I38" i="231"/>
  <c r="H39" i="231"/>
  <c r="I39" i="231"/>
  <c r="I9" i="231"/>
  <c r="M9" i="231" s="1"/>
  <c r="H10" i="260"/>
  <c r="H10" i="156"/>
  <c r="G10" i="156"/>
  <c r="I10" i="156" s="1"/>
  <c r="K9" i="149"/>
  <c r="K10" i="149" s="1"/>
  <c r="I9" i="149"/>
  <c r="H9" i="149"/>
  <c r="I9" i="155"/>
  <c r="H9" i="155"/>
  <c r="K9" i="285"/>
  <c r="I9" i="285"/>
  <c r="H9" i="285"/>
  <c r="D9" i="285"/>
  <c r="I9" i="263"/>
  <c r="H9" i="263"/>
  <c r="D40" i="263"/>
  <c r="K9" i="284"/>
  <c r="G40" i="284"/>
  <c r="F40" i="284"/>
  <c r="E40" i="284"/>
  <c r="G40" i="263"/>
  <c r="G8" i="263" s="1"/>
  <c r="F40" i="263"/>
  <c r="E40" i="263"/>
  <c r="F40" i="285"/>
  <c r="E40" i="285"/>
  <c r="G17" i="53" s="1"/>
  <c r="G42" i="354" s="1"/>
  <c r="G40" i="155"/>
  <c r="F40" i="155"/>
  <c r="F8" i="155" s="1"/>
  <c r="E40" i="155"/>
  <c r="E40" i="149"/>
  <c r="F41" i="260"/>
  <c r="F9" i="260" s="1"/>
  <c r="E41" i="260"/>
  <c r="F9" i="156"/>
  <c r="E41" i="156"/>
  <c r="G41" i="153"/>
  <c r="G9" i="153" s="1"/>
  <c r="F41" i="153"/>
  <c r="F9" i="153" s="1"/>
  <c r="E41" i="153"/>
  <c r="F41" i="234"/>
  <c r="F9" i="234" s="1"/>
  <c r="E41" i="234"/>
  <c r="D41" i="234"/>
  <c r="F40" i="159"/>
  <c r="F8" i="159" s="1"/>
  <c r="E40" i="159"/>
  <c r="D40" i="159"/>
  <c r="G40" i="178"/>
  <c r="E40" i="178"/>
  <c r="G11" i="53" s="1"/>
  <c r="G13" i="354" s="1"/>
  <c r="D40" i="178"/>
  <c r="F11" i="53" s="1"/>
  <c r="G40" i="173"/>
  <c r="F40" i="173"/>
  <c r="E40" i="173"/>
  <c r="D40" i="173"/>
  <c r="F40" i="160"/>
  <c r="F8" i="160" s="1"/>
  <c r="D40" i="160"/>
  <c r="G40" i="163"/>
  <c r="F40" i="163"/>
  <c r="E40" i="163"/>
  <c r="D40" i="163"/>
  <c r="G40" i="162"/>
  <c r="F40" i="162"/>
  <c r="E40" i="162"/>
  <c r="E40" i="170"/>
  <c r="E41" i="170" s="1"/>
  <c r="E40" i="169"/>
  <c r="E40" i="165"/>
  <c r="G8" i="157"/>
  <c r="E40" i="157"/>
  <c r="G40" i="164"/>
  <c r="F40" i="164"/>
  <c r="E40" i="164"/>
  <c r="F40" i="261"/>
  <c r="G40" i="261"/>
  <c r="E40" i="261"/>
  <c r="F40" i="283"/>
  <c r="F8" i="283" s="1"/>
  <c r="G8" i="283"/>
  <c r="E40" i="283"/>
  <c r="G40" i="158"/>
  <c r="G8" i="158" s="1"/>
  <c r="F40" i="158"/>
  <c r="F8" i="158" s="1"/>
  <c r="C20" i="53"/>
  <c r="C94" i="53"/>
  <c r="C98" i="53"/>
  <c r="C102" i="53"/>
  <c r="C105" i="53"/>
  <c r="C106" i="53"/>
  <c r="C96" i="53"/>
  <c r="C48" i="53"/>
  <c r="C30" i="53"/>
  <c r="C39" i="53" s="1"/>
  <c r="C75" i="53" s="1"/>
  <c r="C47" i="53"/>
  <c r="G8" i="162" l="1"/>
  <c r="F9" i="351"/>
  <c r="F8" i="162"/>
  <c r="E9" i="351"/>
  <c r="C69" i="53"/>
  <c r="C33" i="53"/>
  <c r="H15" i="365"/>
  <c r="H10" i="365"/>
  <c r="G8" i="164"/>
  <c r="F12" i="351"/>
  <c r="F8" i="164"/>
  <c r="E12" i="351"/>
  <c r="G8" i="261"/>
  <c r="F55" i="351"/>
  <c r="F8" i="261"/>
  <c r="E55" i="351"/>
  <c r="E11" i="351"/>
  <c r="F8" i="285"/>
  <c r="E37" i="351"/>
  <c r="F15" i="351"/>
  <c r="F8" i="263"/>
  <c r="E24" i="351"/>
  <c r="F36" i="351"/>
  <c r="E36" i="351"/>
  <c r="C76" i="53"/>
  <c r="C34" i="53"/>
  <c r="G40" i="285"/>
  <c r="C38" i="53"/>
  <c r="C32" i="53" s="1"/>
  <c r="C77" i="53"/>
  <c r="J36" i="289"/>
  <c r="S35" i="289"/>
  <c r="J36" i="290"/>
  <c r="S35" i="290"/>
  <c r="L35" i="290"/>
  <c r="G8" i="155"/>
  <c r="H35" i="53"/>
  <c r="H19" i="53"/>
  <c r="I11" i="53"/>
  <c r="I13" i="354" s="1"/>
  <c r="G8" i="178"/>
  <c r="H11" i="53"/>
  <c r="F8" i="178"/>
  <c r="M10" i="149"/>
  <c r="J12" i="183"/>
  <c r="S12" i="183" s="1"/>
  <c r="L11" i="183"/>
  <c r="M9" i="285"/>
  <c r="M35" i="290"/>
  <c r="J36" i="288"/>
  <c r="S36" i="288" s="1"/>
  <c r="L35" i="288"/>
  <c r="M35" i="288"/>
  <c r="K36" i="288"/>
  <c r="M9" i="284"/>
  <c r="M9" i="149"/>
  <c r="F41" i="285"/>
  <c r="G41" i="285" s="1"/>
  <c r="H27" i="287"/>
  <c r="G28" i="287"/>
  <c r="M9" i="155"/>
  <c r="M9" i="263"/>
  <c r="H39" i="170"/>
  <c r="H37" i="170"/>
  <c r="H35" i="170"/>
  <c r="F40" i="170"/>
  <c r="H38" i="170"/>
  <c r="H38" i="169"/>
  <c r="H36" i="169"/>
  <c r="F40" i="165"/>
  <c r="F8" i="165" s="1"/>
  <c r="H38" i="165"/>
  <c r="H17" i="53"/>
  <c r="M10" i="155"/>
  <c r="K10" i="285"/>
  <c r="M10" i="285" s="1"/>
  <c r="K10" i="284"/>
  <c r="M10" i="284" s="1"/>
  <c r="H42" i="354" l="1"/>
  <c r="H13" i="354"/>
  <c r="J10" i="365"/>
  <c r="L10" i="365" s="1"/>
  <c r="H72" i="354"/>
  <c r="E28" i="318" s="1"/>
  <c r="I21" i="365"/>
  <c r="H17" i="354"/>
  <c r="E15" i="318" s="1"/>
  <c r="I12" i="365"/>
  <c r="E18" i="318"/>
  <c r="I15" i="365"/>
  <c r="E11" i="318"/>
  <c r="I10" i="365"/>
  <c r="K11" i="53"/>
  <c r="E53" i="351"/>
  <c r="F53" i="351" s="1"/>
  <c r="F37" i="351"/>
  <c r="C68" i="53"/>
  <c r="C93" i="53" s="1"/>
  <c r="C65" i="53"/>
  <c r="C74" i="53"/>
  <c r="H39" i="53"/>
  <c r="J37" i="290"/>
  <c r="S36" i="290"/>
  <c r="L36" i="290"/>
  <c r="J37" i="289"/>
  <c r="S36" i="289"/>
  <c r="L17" i="53"/>
  <c r="M10" i="263"/>
  <c r="J13" i="183"/>
  <c r="S13" i="183" s="1"/>
  <c r="L12" i="183"/>
  <c r="M36" i="290"/>
  <c r="K37" i="288"/>
  <c r="M36" i="288"/>
  <c r="L36" i="288"/>
  <c r="J37" i="288"/>
  <c r="S37" i="288" s="1"/>
  <c r="H28" i="287"/>
  <c r="G29" i="287"/>
  <c r="G41" i="284"/>
  <c r="F41" i="284"/>
  <c r="H7" i="53" s="1"/>
  <c r="G41" i="263"/>
  <c r="F41" i="263"/>
  <c r="G41" i="155"/>
  <c r="F41" i="155"/>
  <c r="F42" i="260"/>
  <c r="F42" i="156"/>
  <c r="G42" i="153"/>
  <c r="F42" i="153"/>
  <c r="F42" i="234"/>
  <c r="G41" i="158"/>
  <c r="F41" i="158"/>
  <c r="E40" i="158"/>
  <c r="G41" i="283"/>
  <c r="F41" i="283"/>
  <c r="H25" i="53" s="1"/>
  <c r="G41" i="261"/>
  <c r="F41" i="261"/>
  <c r="G41" i="164"/>
  <c r="F41" i="164"/>
  <c r="F41" i="165"/>
  <c r="F41" i="169"/>
  <c r="F41" i="170"/>
  <c r="F41" i="162"/>
  <c r="G41" i="162"/>
  <c r="G41" i="163"/>
  <c r="F41" i="163"/>
  <c r="F41" i="160"/>
  <c r="F41" i="173"/>
  <c r="G41" i="173"/>
  <c r="G41" i="178"/>
  <c r="F41" i="178"/>
  <c r="F41" i="159"/>
  <c r="D11" i="53"/>
  <c r="J11" i="53" s="1"/>
  <c r="L25" i="53" l="1"/>
  <c r="L7" i="53"/>
  <c r="I14" i="365"/>
  <c r="H71" i="354"/>
  <c r="E27" i="318" s="1"/>
  <c r="I20" i="365"/>
  <c r="J20" i="365" s="1"/>
  <c r="H37" i="354"/>
  <c r="K13" i="354"/>
  <c r="F11" i="318"/>
  <c r="J38" i="289"/>
  <c r="S37" i="289"/>
  <c r="J38" i="290"/>
  <c r="S37" i="290"/>
  <c r="L37" i="290"/>
  <c r="J14" i="183"/>
  <c r="S14" i="183" s="1"/>
  <c r="L13" i="183"/>
  <c r="M37" i="290"/>
  <c r="J38" i="288"/>
  <c r="S38" i="288" s="1"/>
  <c r="L37" i="288"/>
  <c r="M37" i="288"/>
  <c r="K38" i="288"/>
  <c r="H29" i="287"/>
  <c r="G30" i="287"/>
  <c r="C20" i="153"/>
  <c r="C23" i="153"/>
  <c r="C22" i="153"/>
  <c r="C21" i="153"/>
  <c r="E23" i="355" l="1"/>
  <c r="E17" i="318"/>
  <c r="I71" i="354"/>
  <c r="F27" i="318" s="1"/>
  <c r="H24" i="355"/>
  <c r="J39" i="290"/>
  <c r="S38" i="290"/>
  <c r="L38" i="290"/>
  <c r="S38" i="289"/>
  <c r="J39" i="289"/>
  <c r="J15" i="183"/>
  <c r="S15" i="183" s="1"/>
  <c r="L14" i="183"/>
  <c r="M38" i="290"/>
  <c r="K39" i="288"/>
  <c r="M38" i="288"/>
  <c r="L38" i="288"/>
  <c r="J39" i="288"/>
  <c r="S39" i="288" s="1"/>
  <c r="H30" i="287"/>
  <c r="G31" i="287"/>
  <c r="H23" i="355" l="1"/>
  <c r="J40" i="289"/>
  <c r="S39" i="289"/>
  <c r="S39" i="290"/>
  <c r="J40" i="290"/>
  <c r="L39" i="290"/>
  <c r="J16" i="183"/>
  <c r="S16" i="183" s="1"/>
  <c r="L15" i="183"/>
  <c r="M39" i="290"/>
  <c r="J40" i="288"/>
  <c r="L39" i="288"/>
  <c r="K40" i="288"/>
  <c r="M39" i="288"/>
  <c r="H31" i="287"/>
  <c r="G32" i="287"/>
  <c r="J17" i="183" l="1"/>
  <c r="S17" i="183" s="1"/>
  <c r="L16" i="183"/>
  <c r="H32" i="287"/>
  <c r="G33" i="287"/>
  <c r="J18" i="183" l="1"/>
  <c r="S18" i="183" s="1"/>
  <c r="L17" i="183"/>
  <c r="H33" i="287"/>
  <c r="G34" i="287"/>
  <c r="J19" i="183" l="1"/>
  <c r="S19" i="183" s="1"/>
  <c r="L18" i="183"/>
  <c r="H34" i="287"/>
  <c r="G35" i="287"/>
  <c r="J20" i="183" l="1"/>
  <c r="S20" i="183" s="1"/>
  <c r="L19" i="183"/>
  <c r="H35" i="287"/>
  <c r="G36" i="287"/>
  <c r="J21" i="183" l="1"/>
  <c r="S21" i="183" s="1"/>
  <c r="L20" i="183"/>
  <c r="H36" i="287"/>
  <c r="G37" i="287"/>
  <c r="J22" i="183" l="1"/>
  <c r="S22" i="183" s="1"/>
  <c r="L21" i="183"/>
  <c r="H37" i="287"/>
  <c r="G38" i="287"/>
  <c r="D30" i="169"/>
  <c r="D31" i="169"/>
  <c r="D32" i="169"/>
  <c r="D33" i="169"/>
  <c r="J23" i="183" l="1"/>
  <c r="S23" i="183" s="1"/>
  <c r="L22" i="183"/>
  <c r="H38" i="287"/>
  <c r="G39" i="287"/>
  <c r="J24" i="183" l="1"/>
  <c r="S24" i="183" s="1"/>
  <c r="L23" i="183"/>
  <c r="H39" i="287"/>
  <c r="G40" i="287"/>
  <c r="I38" i="285"/>
  <c r="I26" i="285"/>
  <c r="I27" i="285"/>
  <c r="I28" i="285"/>
  <c r="I29" i="285"/>
  <c r="I30" i="285"/>
  <c r="I31" i="285"/>
  <c r="I32" i="285"/>
  <c r="I33" i="285"/>
  <c r="I34" i="285"/>
  <c r="I35" i="285"/>
  <c r="I36" i="285"/>
  <c r="I39" i="285"/>
  <c r="I37" i="285"/>
  <c r="L24" i="183" l="1"/>
  <c r="J25" i="183"/>
  <c r="S25" i="183" s="1"/>
  <c r="G8" i="285"/>
  <c r="I17" i="53"/>
  <c r="I42" i="354" s="1"/>
  <c r="F18" i="318" l="1"/>
  <c r="J15" i="365"/>
  <c r="J26" i="183"/>
  <c r="S26" i="183" s="1"/>
  <c r="L25" i="183"/>
  <c r="J27" i="183" l="1"/>
  <c r="S27" i="183" s="1"/>
  <c r="L26" i="183"/>
  <c r="C12" i="260"/>
  <c r="C13" i="260"/>
  <c r="C14" i="260"/>
  <c r="C15" i="260"/>
  <c r="C16" i="260"/>
  <c r="C17" i="260"/>
  <c r="J28" i="183" l="1"/>
  <c r="S28" i="183" s="1"/>
  <c r="L27" i="183"/>
  <c r="G16" i="234"/>
  <c r="G17" i="234"/>
  <c r="G18" i="234"/>
  <c r="G19" i="234"/>
  <c r="G26" i="234"/>
  <c r="G27" i="234"/>
  <c r="G28" i="234"/>
  <c r="G29" i="234"/>
  <c r="G30" i="234"/>
  <c r="G31" i="234"/>
  <c r="G32" i="234"/>
  <c r="G33" i="234"/>
  <c r="G34" i="234"/>
  <c r="G35" i="234"/>
  <c r="G36" i="234"/>
  <c r="G37" i="234"/>
  <c r="G38" i="234"/>
  <c r="G39" i="234"/>
  <c r="G40" i="234"/>
  <c r="G12" i="234"/>
  <c r="G13" i="234"/>
  <c r="G14" i="234"/>
  <c r="G15" i="234"/>
  <c r="G11" i="234"/>
  <c r="G10" i="234"/>
  <c r="I10" i="234" s="1"/>
  <c r="C11" i="234"/>
  <c r="C12" i="234"/>
  <c r="C13" i="234"/>
  <c r="C14" i="234"/>
  <c r="C15" i="234"/>
  <c r="C16" i="234"/>
  <c r="C17" i="234"/>
  <c r="C19" i="234"/>
  <c r="C20" i="234"/>
  <c r="C21" i="234"/>
  <c r="C24" i="234"/>
  <c r="C25" i="234"/>
  <c r="C26" i="234"/>
  <c r="C27" i="234"/>
  <c r="C28" i="234"/>
  <c r="C29" i="234"/>
  <c r="C30" i="234"/>
  <c r="C31" i="234"/>
  <c r="C32" i="234"/>
  <c r="C33" i="234"/>
  <c r="C34" i="234"/>
  <c r="C35" i="234"/>
  <c r="C36" i="234"/>
  <c r="C37" i="234"/>
  <c r="C38" i="234"/>
  <c r="C39" i="234"/>
  <c r="C40" i="234"/>
  <c r="C10" i="234"/>
  <c r="J29" i="183" l="1"/>
  <c r="S29" i="183" s="1"/>
  <c r="L28" i="183"/>
  <c r="G41" i="234"/>
  <c r="I11" i="234"/>
  <c r="I12" i="234"/>
  <c r="I13" i="234"/>
  <c r="I14" i="234"/>
  <c r="I15" i="234"/>
  <c r="I16" i="234"/>
  <c r="I17" i="234"/>
  <c r="I18" i="234"/>
  <c r="I19" i="234"/>
  <c r="I20" i="234"/>
  <c r="I21" i="234"/>
  <c r="I22" i="234"/>
  <c r="I23" i="234"/>
  <c r="I24" i="234"/>
  <c r="I25" i="234"/>
  <c r="I26" i="234"/>
  <c r="I27" i="234"/>
  <c r="I28" i="234"/>
  <c r="I29" i="234"/>
  <c r="I30" i="234"/>
  <c r="I31" i="234"/>
  <c r="I32" i="234"/>
  <c r="I33" i="234"/>
  <c r="I34" i="234"/>
  <c r="I35" i="234"/>
  <c r="I36" i="234"/>
  <c r="I37" i="234"/>
  <c r="I38" i="234"/>
  <c r="I39" i="234"/>
  <c r="I40" i="234"/>
  <c r="C23" i="234"/>
  <c r="C18" i="234"/>
  <c r="J30" i="183" l="1"/>
  <c r="S30" i="183" s="1"/>
  <c r="L29" i="183"/>
  <c r="G9" i="234"/>
  <c r="G42" i="234"/>
  <c r="J31" i="183" l="1"/>
  <c r="S31" i="183" s="1"/>
  <c r="L30" i="183"/>
  <c r="J9" i="186"/>
  <c r="J32" i="183" l="1"/>
  <c r="S32" i="183" s="1"/>
  <c r="L31" i="183"/>
  <c r="J33" i="183" l="1"/>
  <c r="S33" i="183" s="1"/>
  <c r="L32" i="183"/>
  <c r="J34" i="183" l="1"/>
  <c r="S34" i="183" s="1"/>
  <c r="L33" i="183"/>
  <c r="I9" i="170"/>
  <c r="J35" i="183" l="1"/>
  <c r="S35" i="183" s="1"/>
  <c r="L34" i="183"/>
  <c r="I10" i="170"/>
  <c r="I11" i="170"/>
  <c r="I12" i="170"/>
  <c r="I13" i="170"/>
  <c r="I14" i="170"/>
  <c r="I15" i="170"/>
  <c r="I16" i="170"/>
  <c r="I17" i="170"/>
  <c r="I18" i="170"/>
  <c r="I19" i="170"/>
  <c r="I20" i="170"/>
  <c r="I21" i="170"/>
  <c r="I22" i="170"/>
  <c r="I23" i="170"/>
  <c r="I24" i="170"/>
  <c r="I25" i="170"/>
  <c r="I26" i="170"/>
  <c r="I27" i="170"/>
  <c r="I28" i="170"/>
  <c r="I29" i="170"/>
  <c r="I30" i="170"/>
  <c r="I31" i="170"/>
  <c r="I32" i="170"/>
  <c r="I33" i="170"/>
  <c r="I34" i="170"/>
  <c r="I37" i="170"/>
  <c r="I38" i="170"/>
  <c r="I35" i="170"/>
  <c r="I39" i="170"/>
  <c r="G40" i="170"/>
  <c r="I36" i="170"/>
  <c r="C10" i="260"/>
  <c r="J8" i="226"/>
  <c r="J8" i="190"/>
  <c r="D8" i="190" s="1"/>
  <c r="J8" i="182"/>
  <c r="C11" i="153"/>
  <c r="C12" i="153"/>
  <c r="C13" i="153"/>
  <c r="C14" i="153"/>
  <c r="C15" i="153"/>
  <c r="C16" i="153"/>
  <c r="C17" i="153"/>
  <c r="C18" i="153"/>
  <c r="C19" i="153"/>
  <c r="C24" i="153"/>
  <c r="C25" i="153"/>
  <c r="C26" i="153"/>
  <c r="C27" i="153"/>
  <c r="C28" i="153"/>
  <c r="C29" i="153"/>
  <c r="C30" i="153"/>
  <c r="C31" i="153"/>
  <c r="C32" i="153"/>
  <c r="C33" i="153"/>
  <c r="C34" i="153"/>
  <c r="C35" i="153"/>
  <c r="C36" i="153"/>
  <c r="C37" i="153"/>
  <c r="C38" i="153"/>
  <c r="C39" i="153"/>
  <c r="C40" i="153"/>
  <c r="C10" i="153"/>
  <c r="J36" i="183" l="1"/>
  <c r="S36" i="183" s="1"/>
  <c r="L35" i="183"/>
  <c r="D40" i="165"/>
  <c r="G8" i="170"/>
  <c r="G41" i="170"/>
  <c r="K41" i="170" s="1"/>
  <c r="I11" i="149"/>
  <c r="I12" i="149"/>
  <c r="I13" i="149"/>
  <c r="I14" i="149"/>
  <c r="I15" i="149"/>
  <c r="I16" i="149"/>
  <c r="I17" i="149"/>
  <c r="I18" i="149"/>
  <c r="I19" i="149"/>
  <c r="I20" i="149"/>
  <c r="I21" i="149"/>
  <c r="I22" i="149"/>
  <c r="I23" i="149"/>
  <c r="I24" i="149"/>
  <c r="I25" i="149"/>
  <c r="I26" i="149"/>
  <c r="I27" i="149"/>
  <c r="I28" i="149"/>
  <c r="I29" i="149"/>
  <c r="I30" i="149"/>
  <c r="I31" i="149"/>
  <c r="I32" i="149"/>
  <c r="I33" i="149"/>
  <c r="I34" i="149"/>
  <c r="I35" i="149"/>
  <c r="I36" i="149"/>
  <c r="I37" i="149"/>
  <c r="I38" i="149"/>
  <c r="I39" i="149"/>
  <c r="G40" i="149"/>
  <c r="E40" i="247"/>
  <c r="G8" i="149" l="1"/>
  <c r="F17" i="351"/>
  <c r="H188" i="53"/>
  <c r="H10" i="341"/>
  <c r="J37" i="183"/>
  <c r="S37" i="183" s="1"/>
  <c r="L36" i="183"/>
  <c r="E8" i="247"/>
  <c r="E41" i="247"/>
  <c r="G41" i="149"/>
  <c r="J47" i="365" l="1"/>
  <c r="J38" i="183"/>
  <c r="S38" i="183" s="1"/>
  <c r="L37" i="183"/>
  <c r="E40" i="286"/>
  <c r="E41" i="286" s="1"/>
  <c r="D40" i="286"/>
  <c r="F39" i="286"/>
  <c r="B39" i="286"/>
  <c r="F38" i="286"/>
  <c r="B38" i="286"/>
  <c r="F37" i="286"/>
  <c r="B37" i="286"/>
  <c r="F36" i="286"/>
  <c r="B36" i="286"/>
  <c r="F35" i="286"/>
  <c r="B35" i="286"/>
  <c r="F34" i="286"/>
  <c r="B34" i="286"/>
  <c r="F33" i="286"/>
  <c r="B33" i="286"/>
  <c r="F32" i="286"/>
  <c r="B32" i="286"/>
  <c r="F31" i="286"/>
  <c r="B31" i="286"/>
  <c r="F30" i="286"/>
  <c r="B30" i="286"/>
  <c r="F29" i="286"/>
  <c r="B29" i="286"/>
  <c r="F28" i="286"/>
  <c r="B28" i="286"/>
  <c r="F27" i="286"/>
  <c r="B27" i="286"/>
  <c r="F26" i="286"/>
  <c r="B26" i="286"/>
  <c r="F25" i="286"/>
  <c r="B25" i="286"/>
  <c r="F24" i="286"/>
  <c r="B24" i="286"/>
  <c r="F23" i="286"/>
  <c r="B23" i="286"/>
  <c r="F22" i="286"/>
  <c r="B22" i="286"/>
  <c r="F21" i="286"/>
  <c r="B21" i="286"/>
  <c r="F20" i="286"/>
  <c r="B20" i="286"/>
  <c r="F19" i="286"/>
  <c r="B19" i="286"/>
  <c r="F18" i="286"/>
  <c r="B18" i="286"/>
  <c r="F17" i="286"/>
  <c r="B17" i="286"/>
  <c r="F16" i="286"/>
  <c r="B16" i="286"/>
  <c r="F15" i="286"/>
  <c r="B15" i="286"/>
  <c r="F14" i="286"/>
  <c r="B14" i="286"/>
  <c r="F13" i="286"/>
  <c r="B13" i="286"/>
  <c r="F12" i="286"/>
  <c r="B12" i="286"/>
  <c r="F11" i="286"/>
  <c r="B11" i="286"/>
  <c r="F10" i="286"/>
  <c r="B10" i="286"/>
  <c r="G9" i="286"/>
  <c r="G10" i="286" s="1"/>
  <c r="F9" i="286"/>
  <c r="B9" i="286"/>
  <c r="D8" i="286"/>
  <c r="I5" i="286"/>
  <c r="H5" i="286"/>
  <c r="G5" i="286"/>
  <c r="F5" i="286"/>
  <c r="E5" i="286"/>
  <c r="D5" i="286"/>
  <c r="C5" i="286"/>
  <c r="B5" i="286"/>
  <c r="I2" i="286"/>
  <c r="A2" i="286"/>
  <c r="A1" i="286"/>
  <c r="M47" i="365" l="1"/>
  <c r="J39" i="183"/>
  <c r="L38" i="183"/>
  <c r="H9" i="286"/>
  <c r="D41" i="286"/>
  <c r="G41" i="286" s="1"/>
  <c r="H10" i="286"/>
  <c r="G11" i="286"/>
  <c r="L39" i="183" l="1"/>
  <c r="S39" i="183"/>
  <c r="H11" i="286"/>
  <c r="G12" i="286"/>
  <c r="H12" i="286" l="1"/>
  <c r="G13" i="286"/>
  <c r="H13" i="286" l="1"/>
  <c r="G14" i="286"/>
  <c r="I9" i="159" l="1"/>
  <c r="I10" i="159"/>
  <c r="I11" i="159"/>
  <c r="I12" i="159"/>
  <c r="I13" i="159"/>
  <c r="I14" i="159"/>
  <c r="I15" i="159"/>
  <c r="I16" i="159"/>
  <c r="I17" i="159"/>
  <c r="I18" i="159"/>
  <c r="H14" i="286"/>
  <c r="G15" i="286"/>
  <c r="H15" i="286" l="1"/>
  <c r="G16" i="286"/>
  <c r="H16" i="286" l="1"/>
  <c r="G17" i="286"/>
  <c r="H17" i="286" l="1"/>
  <c r="G18" i="286"/>
  <c r="H18" i="286" l="1"/>
  <c r="G19" i="286"/>
  <c r="H19" i="286" l="1"/>
  <c r="G20" i="286"/>
  <c r="E7" i="53"/>
  <c r="D39" i="285"/>
  <c r="D38" i="285"/>
  <c r="D34" i="285"/>
  <c r="D33" i="285"/>
  <c r="D32" i="285"/>
  <c r="D31" i="285"/>
  <c r="D30" i="285"/>
  <c r="D29" i="285"/>
  <c r="D28" i="285"/>
  <c r="D27" i="285"/>
  <c r="D26" i="285"/>
  <c r="D25" i="285"/>
  <c r="D24" i="285"/>
  <c r="D23" i="285"/>
  <c r="D22" i="285"/>
  <c r="D21" i="285"/>
  <c r="D20" i="285"/>
  <c r="D19" i="285"/>
  <c r="D18" i="285"/>
  <c r="J9" i="285"/>
  <c r="S9" i="285" s="1"/>
  <c r="E8" i="285"/>
  <c r="G7" i="53"/>
  <c r="E41" i="284"/>
  <c r="K41" i="284" s="1"/>
  <c r="G37" i="354" l="1"/>
  <c r="H14" i="365"/>
  <c r="E37" i="354"/>
  <c r="F14" i="365"/>
  <c r="D40" i="285"/>
  <c r="F17" i="53" s="1"/>
  <c r="L9" i="285"/>
  <c r="J10" i="285"/>
  <c r="E17" i="53"/>
  <c r="E42" i="354" s="1"/>
  <c r="K42" i="354" s="1"/>
  <c r="E41" i="285"/>
  <c r="K41" i="285" s="1"/>
  <c r="D40" i="284"/>
  <c r="F7" i="53" s="1"/>
  <c r="J9" i="284"/>
  <c r="D8" i="285"/>
  <c r="D7" i="53"/>
  <c r="H20" i="286"/>
  <c r="G21" i="286"/>
  <c r="D8" i="284"/>
  <c r="I7" i="53"/>
  <c r="F15" i="365" l="1"/>
  <c r="L15" i="365" s="1"/>
  <c r="J14" i="365"/>
  <c r="L14" i="365" s="1"/>
  <c r="K17" i="53"/>
  <c r="K7" i="53"/>
  <c r="I37" i="354"/>
  <c r="D41" i="284"/>
  <c r="J41" i="284" s="1"/>
  <c r="S9" i="284"/>
  <c r="L9" i="284"/>
  <c r="L10" i="285"/>
  <c r="S10" i="285"/>
  <c r="J7" i="53"/>
  <c r="M7" i="53" s="1"/>
  <c r="D17" i="53"/>
  <c r="J17" i="53" s="1"/>
  <c r="M17" i="53" s="1"/>
  <c r="D41" i="285"/>
  <c r="J41" i="285" s="1"/>
  <c r="J10" i="284"/>
  <c r="S10" i="284" s="1"/>
  <c r="H21" i="286"/>
  <c r="G22" i="286"/>
  <c r="J11" i="285"/>
  <c r="S11" i="285" s="1"/>
  <c r="K37" i="354" l="1"/>
  <c r="H59" i="355"/>
  <c r="F17" i="318"/>
  <c r="L10" i="284"/>
  <c r="J11" i="284"/>
  <c r="H22" i="286"/>
  <c r="G23" i="286"/>
  <c r="L11" i="285"/>
  <c r="J12" i="285"/>
  <c r="S12" i="285" s="1"/>
  <c r="K11" i="285"/>
  <c r="K12" i="285" s="1"/>
  <c r="K11" i="284"/>
  <c r="E48" i="355" l="1"/>
  <c r="H57" i="355"/>
  <c r="E47" i="355"/>
  <c r="H47" i="355" s="1"/>
  <c r="G58" i="355"/>
  <c r="J12" i="284"/>
  <c r="L12" i="284" s="1"/>
  <c r="S11" i="284"/>
  <c r="K13" i="285"/>
  <c r="M12" i="285"/>
  <c r="L11" i="284"/>
  <c r="H23" i="286"/>
  <c r="G24" i="286"/>
  <c r="M11" i="285"/>
  <c r="J13" i="285"/>
  <c r="S13" i="285" s="1"/>
  <c r="L12" i="285"/>
  <c r="K12" i="284"/>
  <c r="K13" i="284" s="1"/>
  <c r="K14" i="284" s="1"/>
  <c r="M11" i="284"/>
  <c r="G47" i="355" l="1"/>
  <c r="F48" i="355"/>
  <c r="H58" i="355"/>
  <c r="J13" i="284"/>
  <c r="L13" i="284" s="1"/>
  <c r="S12" i="284"/>
  <c r="K14" i="285"/>
  <c r="M13" i="285"/>
  <c r="H24" i="286"/>
  <c r="G25" i="286"/>
  <c r="J14" i="285"/>
  <c r="L13" i="285"/>
  <c r="M12" i="284"/>
  <c r="G48" i="355" l="1"/>
  <c r="H48" i="355"/>
  <c r="L14" i="285"/>
  <c r="S14" i="285"/>
  <c r="J14" i="284"/>
  <c r="S14" i="284" s="1"/>
  <c r="S13" i="284"/>
  <c r="K15" i="285"/>
  <c r="M14" i="285"/>
  <c r="H25" i="286"/>
  <c r="G26" i="286"/>
  <c r="J15" i="285"/>
  <c r="S15" i="285" s="1"/>
  <c r="M13" i="284"/>
  <c r="L14" i="284" l="1"/>
  <c r="J15" i="284"/>
  <c r="S15" i="284" s="1"/>
  <c r="K16" i="285"/>
  <c r="M15" i="285"/>
  <c r="H26" i="286"/>
  <c r="G27" i="286"/>
  <c r="J16" i="285"/>
  <c r="S16" i="285" s="1"/>
  <c r="L15" i="285"/>
  <c r="K15" i="284"/>
  <c r="M14" i="284"/>
  <c r="L15" i="284" l="1"/>
  <c r="J16" i="284"/>
  <c r="S16" i="284" s="1"/>
  <c r="H27" i="286"/>
  <c r="G28" i="286"/>
  <c r="L16" i="285"/>
  <c r="J17" i="285"/>
  <c r="S17" i="285" s="1"/>
  <c r="M15" i="284"/>
  <c r="K16" i="284"/>
  <c r="J17" i="284" l="1"/>
  <c r="S17" i="284" s="1"/>
  <c r="L16" i="284"/>
  <c r="H28" i="286"/>
  <c r="G29" i="286"/>
  <c r="J18" i="285"/>
  <c r="S18" i="285" s="1"/>
  <c r="L17" i="285"/>
  <c r="K17" i="285"/>
  <c r="M16" i="285"/>
  <c r="K17" i="284"/>
  <c r="M16" i="284"/>
  <c r="D9" i="283"/>
  <c r="D10" i="283"/>
  <c r="D13" i="283"/>
  <c r="D14" i="283"/>
  <c r="D15" i="283"/>
  <c r="D16" i="283"/>
  <c r="D17" i="283"/>
  <c r="D18" i="283"/>
  <c r="D20" i="283"/>
  <c r="D21" i="283"/>
  <c r="D22" i="283"/>
  <c r="D23" i="283"/>
  <c r="D24" i="283"/>
  <c r="D25" i="283"/>
  <c r="D26" i="283"/>
  <c r="D27" i="283"/>
  <c r="D28" i="283"/>
  <c r="D29" i="283"/>
  <c r="D30" i="283"/>
  <c r="D31" i="283"/>
  <c r="D32" i="283"/>
  <c r="D33" i="283"/>
  <c r="D34" i="283"/>
  <c r="D38" i="283"/>
  <c r="D39" i="283"/>
  <c r="E25" i="53"/>
  <c r="D25" i="53"/>
  <c r="I25" i="53"/>
  <c r="G25" i="53"/>
  <c r="K9" i="283"/>
  <c r="E8" i="283"/>
  <c r="E41" i="283" s="1"/>
  <c r="K41" i="283" s="1"/>
  <c r="J18" i="284" l="1"/>
  <c r="S18" i="284" s="1"/>
  <c r="L17" i="284"/>
  <c r="J9" i="283"/>
  <c r="D40" i="283"/>
  <c r="F25" i="53" s="1"/>
  <c r="J25" i="53" s="1"/>
  <c r="D8" i="283"/>
  <c r="M9" i="283"/>
  <c r="H29" i="286"/>
  <c r="G30" i="286"/>
  <c r="K25" i="53"/>
  <c r="M17" i="285"/>
  <c r="K18" i="285"/>
  <c r="L18" i="285"/>
  <c r="J19" i="285"/>
  <c r="S19" i="285" s="1"/>
  <c r="M17" i="284"/>
  <c r="K18" i="284"/>
  <c r="K10" i="283"/>
  <c r="D113" i="53"/>
  <c r="E116" i="354" l="1"/>
  <c r="F43" i="365"/>
  <c r="J19" i="284"/>
  <c r="S19" i="284" s="1"/>
  <c r="L18" i="284"/>
  <c r="J10" i="283"/>
  <c r="O10" i="283" s="1"/>
  <c r="O9" i="283"/>
  <c r="L9" i="283"/>
  <c r="D41" i="283"/>
  <c r="J41" i="283" s="1"/>
  <c r="H30" i="286"/>
  <c r="G31" i="286"/>
  <c r="J20" i="285"/>
  <c r="S20" i="285" s="1"/>
  <c r="L19" i="285"/>
  <c r="K19" i="285"/>
  <c r="M18" i="285"/>
  <c r="K19" i="284"/>
  <c r="M18" i="284"/>
  <c r="K11" i="283"/>
  <c r="M10" i="283"/>
  <c r="J20" i="284" l="1"/>
  <c r="S20" i="284" s="1"/>
  <c r="L19" i="284"/>
  <c r="L10" i="283"/>
  <c r="J11" i="283"/>
  <c r="O11" i="283" s="1"/>
  <c r="H31" i="286"/>
  <c r="G32" i="286"/>
  <c r="M19" i="285"/>
  <c r="K20" i="285"/>
  <c r="L20" i="285"/>
  <c r="J21" i="285"/>
  <c r="S21" i="285" s="1"/>
  <c r="M19" i="284"/>
  <c r="K20" i="284"/>
  <c r="M11" i="283"/>
  <c r="K12" i="283"/>
  <c r="D11" i="156"/>
  <c r="D12" i="156"/>
  <c r="L20" i="284" l="1"/>
  <c r="J21" i="284"/>
  <c r="S21" i="284" s="1"/>
  <c r="L11" i="283"/>
  <c r="J12" i="283"/>
  <c r="O12" i="283" s="1"/>
  <c r="H32" i="286"/>
  <c r="G33" i="286"/>
  <c r="J22" i="285"/>
  <c r="S22" i="285" s="1"/>
  <c r="L21" i="285"/>
  <c r="K21" i="285"/>
  <c r="M20" i="285"/>
  <c r="K21" i="284"/>
  <c r="M20" i="284"/>
  <c r="K13" i="283"/>
  <c r="M12" i="283"/>
  <c r="D40" i="267"/>
  <c r="E40" i="267"/>
  <c r="I9" i="169"/>
  <c r="I9" i="165"/>
  <c r="G11" i="260"/>
  <c r="G12" i="260"/>
  <c r="G13" i="260"/>
  <c r="G14" i="260"/>
  <c r="G15" i="260"/>
  <c r="G16" i="260"/>
  <c r="G17" i="260"/>
  <c r="G18" i="260"/>
  <c r="G19" i="260"/>
  <c r="G20" i="260"/>
  <c r="G21" i="260"/>
  <c r="G22" i="260"/>
  <c r="G23" i="260"/>
  <c r="G24" i="260"/>
  <c r="G25" i="260"/>
  <c r="G26" i="260"/>
  <c r="G27" i="260"/>
  <c r="G28" i="260"/>
  <c r="G29" i="260"/>
  <c r="G30" i="260"/>
  <c r="G31" i="260"/>
  <c r="G32" i="260"/>
  <c r="G33" i="260"/>
  <c r="G34" i="260"/>
  <c r="G35" i="260"/>
  <c r="G39" i="260"/>
  <c r="G40" i="260"/>
  <c r="G10" i="260"/>
  <c r="I10" i="260" s="1"/>
  <c r="G11" i="156"/>
  <c r="G12" i="156"/>
  <c r="G13" i="156"/>
  <c r="G14" i="156"/>
  <c r="G15" i="156"/>
  <c r="G16" i="156"/>
  <c r="G17" i="156"/>
  <c r="G18" i="156"/>
  <c r="G19" i="156"/>
  <c r="G20" i="156"/>
  <c r="G21" i="156"/>
  <c r="G22" i="156"/>
  <c r="G23" i="156"/>
  <c r="G24" i="156"/>
  <c r="G25" i="156"/>
  <c r="G26" i="156"/>
  <c r="G27" i="156"/>
  <c r="G28" i="156"/>
  <c r="G29" i="156"/>
  <c r="G30" i="156"/>
  <c r="G31" i="156"/>
  <c r="G32" i="156"/>
  <c r="G33" i="156"/>
  <c r="G34" i="156"/>
  <c r="G35" i="156"/>
  <c r="G39" i="156"/>
  <c r="G40" i="156"/>
  <c r="G41" i="156" s="1"/>
  <c r="D20" i="261"/>
  <c r="D21" i="261"/>
  <c r="D22" i="261"/>
  <c r="D23" i="261"/>
  <c r="D24" i="261"/>
  <c r="D25" i="261"/>
  <c r="D27" i="261"/>
  <c r="D28" i="261"/>
  <c r="D10" i="261"/>
  <c r="D13" i="261"/>
  <c r="D14" i="261"/>
  <c r="D15" i="261"/>
  <c r="D16" i="261"/>
  <c r="D17" i="261"/>
  <c r="D18" i="261"/>
  <c r="D19" i="261"/>
  <c r="D9" i="261"/>
  <c r="D28" i="158"/>
  <c r="D29" i="158"/>
  <c r="D30" i="158"/>
  <c r="D31" i="158"/>
  <c r="D32" i="158"/>
  <c r="D33" i="158"/>
  <c r="D34" i="158"/>
  <c r="D35" i="158"/>
  <c r="D36" i="158"/>
  <c r="D37" i="158"/>
  <c r="D38" i="158"/>
  <c r="D39" i="158"/>
  <c r="D21" i="158"/>
  <c r="D22" i="158"/>
  <c r="D23" i="158"/>
  <c r="D24" i="158"/>
  <c r="D25" i="158"/>
  <c r="D26" i="158"/>
  <c r="D27" i="158"/>
  <c r="D10" i="158"/>
  <c r="D11" i="158"/>
  <c r="D12" i="158"/>
  <c r="D13" i="158"/>
  <c r="D14" i="158"/>
  <c r="D15" i="158"/>
  <c r="D16" i="158"/>
  <c r="D17" i="158"/>
  <c r="D18" i="158"/>
  <c r="D19" i="158"/>
  <c r="D20" i="158"/>
  <c r="L21" i="284" l="1"/>
  <c r="J22" i="284"/>
  <c r="S22" i="284" s="1"/>
  <c r="L12" i="283"/>
  <c r="J13" i="283"/>
  <c r="O13" i="283" s="1"/>
  <c r="I10" i="169"/>
  <c r="I11" i="169"/>
  <c r="I12" i="169"/>
  <c r="I13" i="169"/>
  <c r="I14" i="169"/>
  <c r="I15" i="169"/>
  <c r="I16" i="169"/>
  <c r="I17" i="169"/>
  <c r="I18" i="169"/>
  <c r="I19" i="169"/>
  <c r="I20" i="169"/>
  <c r="I21" i="169"/>
  <c r="I22" i="169"/>
  <c r="I23" i="169"/>
  <c r="I24" i="169"/>
  <c r="I25" i="169"/>
  <c r="I26" i="169"/>
  <c r="I27" i="169"/>
  <c r="I28" i="169"/>
  <c r="I29" i="169"/>
  <c r="I30" i="169"/>
  <c r="I31" i="169"/>
  <c r="I32" i="169"/>
  <c r="I33" i="169"/>
  <c r="I34" i="169"/>
  <c r="I35" i="169"/>
  <c r="I39" i="169"/>
  <c r="I36" i="169"/>
  <c r="I37" i="169"/>
  <c r="G40" i="169"/>
  <c r="I38" i="169"/>
  <c r="I10" i="165"/>
  <c r="I11" i="165"/>
  <c r="I12" i="165"/>
  <c r="I13" i="165"/>
  <c r="I14" i="165"/>
  <c r="I15" i="165"/>
  <c r="I16" i="165"/>
  <c r="I17" i="165"/>
  <c r="I18" i="165"/>
  <c r="I19" i="165"/>
  <c r="I20" i="165"/>
  <c r="I21" i="165"/>
  <c r="I22" i="165"/>
  <c r="I23" i="165"/>
  <c r="I24" i="165"/>
  <c r="I25" i="165"/>
  <c r="I26" i="165"/>
  <c r="I27" i="165"/>
  <c r="I28" i="165"/>
  <c r="I29" i="165"/>
  <c r="I30" i="165"/>
  <c r="I31" i="165"/>
  <c r="I32" i="165"/>
  <c r="I33" i="165"/>
  <c r="I34" i="165"/>
  <c r="I35" i="165"/>
  <c r="I37" i="165"/>
  <c r="I36" i="165"/>
  <c r="I38" i="165"/>
  <c r="I11" i="156"/>
  <c r="I12" i="156"/>
  <c r="I13" i="156"/>
  <c r="I14" i="156"/>
  <c r="I15" i="156"/>
  <c r="I16" i="156"/>
  <c r="I17" i="156"/>
  <c r="I18" i="156"/>
  <c r="I19" i="156"/>
  <c r="I20" i="156"/>
  <c r="I21" i="156"/>
  <c r="I22" i="156"/>
  <c r="I23" i="156"/>
  <c r="I24" i="156"/>
  <c r="I25" i="156"/>
  <c r="I26" i="156"/>
  <c r="I27" i="156"/>
  <c r="I28" i="156"/>
  <c r="I29" i="156"/>
  <c r="I30" i="156"/>
  <c r="I31" i="156"/>
  <c r="I32" i="156"/>
  <c r="I33" i="156"/>
  <c r="I34" i="156"/>
  <c r="I35" i="156"/>
  <c r="I36" i="156"/>
  <c r="I37" i="156"/>
  <c r="I38" i="156"/>
  <c r="I39" i="156"/>
  <c r="I40" i="156"/>
  <c r="G41" i="260"/>
  <c r="I11" i="260"/>
  <c r="I12" i="260"/>
  <c r="I13" i="260"/>
  <c r="I14" i="260"/>
  <c r="I15" i="260"/>
  <c r="I16" i="260"/>
  <c r="I17" i="260"/>
  <c r="I18" i="260"/>
  <c r="I19" i="260"/>
  <c r="I20" i="260"/>
  <c r="I21" i="260"/>
  <c r="I22" i="260"/>
  <c r="I23" i="260"/>
  <c r="I24" i="260"/>
  <c r="I25" i="260"/>
  <c r="I26" i="260"/>
  <c r="I27" i="260"/>
  <c r="I28" i="260"/>
  <c r="I29" i="260"/>
  <c r="I30" i="260"/>
  <c r="I31" i="260"/>
  <c r="I32" i="260"/>
  <c r="I33" i="260"/>
  <c r="I34" i="260"/>
  <c r="I35" i="260"/>
  <c r="I36" i="260"/>
  <c r="I37" i="260"/>
  <c r="I38" i="260"/>
  <c r="I39" i="260"/>
  <c r="I40" i="260"/>
  <c r="H33" i="286"/>
  <c r="G34" i="286"/>
  <c r="M21" i="285"/>
  <c r="K22" i="285"/>
  <c r="L22" i="285"/>
  <c r="J23" i="285"/>
  <c r="S23" i="285" s="1"/>
  <c r="M21" i="284"/>
  <c r="K22" i="284"/>
  <c r="L22" i="284"/>
  <c r="M13" i="283"/>
  <c r="K14" i="283"/>
  <c r="D183" i="53"/>
  <c r="E40" i="282"/>
  <c r="D40" i="282"/>
  <c r="F39" i="282"/>
  <c r="G9" i="282"/>
  <c r="D8" i="282"/>
  <c r="F183" i="53" l="1"/>
  <c r="F22" i="341"/>
  <c r="J14" i="283"/>
  <c r="L14" i="283" s="1"/>
  <c r="J23" i="284"/>
  <c r="S23" i="284" s="1"/>
  <c r="L13" i="283"/>
  <c r="H9" i="282"/>
  <c r="L9" i="282"/>
  <c r="E41" i="282"/>
  <c r="G8" i="169"/>
  <c r="G41" i="169"/>
  <c r="G9" i="156"/>
  <c r="G42" i="156"/>
  <c r="G9" i="260"/>
  <c r="G42" i="260"/>
  <c r="H34" i="286"/>
  <c r="G35" i="286"/>
  <c r="J24" i="285"/>
  <c r="S24" i="285" s="1"/>
  <c r="L23" i="285"/>
  <c r="K23" i="285"/>
  <c r="M22" i="285"/>
  <c r="K23" i="284"/>
  <c r="M22" i="284"/>
  <c r="D41" i="282"/>
  <c r="K15" i="283"/>
  <c r="M14" i="283"/>
  <c r="G10" i="282"/>
  <c r="L10" i="282" s="1"/>
  <c r="H50" i="365" l="1"/>
  <c r="H183" i="53"/>
  <c r="J183" i="53" s="1"/>
  <c r="M183" i="53" s="1"/>
  <c r="H22" i="341"/>
  <c r="J50" i="365" s="1"/>
  <c r="M50" i="365" s="1"/>
  <c r="J15" i="283"/>
  <c r="O15" i="283" s="1"/>
  <c r="O14" i="283"/>
  <c r="L23" i="284"/>
  <c r="J24" i="284"/>
  <c r="S24" i="284" s="1"/>
  <c r="G41" i="282"/>
  <c r="H35" i="286"/>
  <c r="G36" i="286"/>
  <c r="M23" i="285"/>
  <c r="K24" i="285"/>
  <c r="L24" i="285"/>
  <c r="J25" i="285"/>
  <c r="S25" i="285" s="1"/>
  <c r="M23" i="284"/>
  <c r="K24" i="284"/>
  <c r="M15" i="283"/>
  <c r="K16" i="283"/>
  <c r="H10" i="282"/>
  <c r="G11" i="282"/>
  <c r="L11" i="282" s="1"/>
  <c r="L50" i="365" l="1"/>
  <c r="J22" i="341"/>
  <c r="M22" i="341" s="1"/>
  <c r="L15" i="283"/>
  <c r="J16" i="283"/>
  <c r="O16" i="283" s="1"/>
  <c r="L24" i="284"/>
  <c r="J25" i="284"/>
  <c r="S25" i="284" s="1"/>
  <c r="H36" i="286"/>
  <c r="G37" i="286"/>
  <c r="J26" i="285"/>
  <c r="S26" i="285" s="1"/>
  <c r="L25" i="285"/>
  <c r="K25" i="285"/>
  <c r="M24" i="285"/>
  <c r="K25" i="284"/>
  <c r="M24" i="284"/>
  <c r="K17" i="283"/>
  <c r="M16" i="283"/>
  <c r="H11" i="282"/>
  <c r="G12" i="282"/>
  <c r="L12" i="282" s="1"/>
  <c r="K126" i="354" l="1"/>
  <c r="N33" i="421" s="1"/>
  <c r="J17" i="283"/>
  <c r="O17" i="283" s="1"/>
  <c r="L16" i="283"/>
  <c r="L25" i="284"/>
  <c r="J26" i="284"/>
  <c r="S26" i="284" s="1"/>
  <c r="H37" i="286"/>
  <c r="G38" i="286"/>
  <c r="M25" i="285"/>
  <c r="K26" i="285"/>
  <c r="L26" i="285"/>
  <c r="J27" i="285"/>
  <c r="S27" i="285" s="1"/>
  <c r="M25" i="284"/>
  <c r="K26" i="284"/>
  <c r="M17" i="283"/>
  <c r="K18" i="283"/>
  <c r="H12" i="282"/>
  <c r="G13" i="282"/>
  <c r="L13" i="282" s="1"/>
  <c r="G33" i="421" l="1"/>
  <c r="P33" i="421" s="1"/>
  <c r="H33" i="421"/>
  <c r="J18" i="283"/>
  <c r="O18" i="283" s="1"/>
  <c r="L17" i="283"/>
  <c r="J27" i="284"/>
  <c r="S27" i="284" s="1"/>
  <c r="L26" i="284"/>
  <c r="H38" i="286"/>
  <c r="G39" i="286"/>
  <c r="J28" i="285"/>
  <c r="S28" i="285" s="1"/>
  <c r="L27" i="285"/>
  <c r="K27" i="285"/>
  <c r="M26" i="285"/>
  <c r="K27" i="284"/>
  <c r="M26" i="284"/>
  <c r="K19" i="283"/>
  <c r="M18" i="283"/>
  <c r="H13" i="282"/>
  <c r="G14" i="282"/>
  <c r="L14" i="282" s="1"/>
  <c r="L18" i="283" l="1"/>
  <c r="J19" i="283"/>
  <c r="O19" i="283" s="1"/>
  <c r="J28" i="284"/>
  <c r="S28" i="284" s="1"/>
  <c r="L27" i="284"/>
  <c r="H39" i="286"/>
  <c r="G40" i="286"/>
  <c r="M27" i="285"/>
  <c r="K28" i="285"/>
  <c r="L28" i="285"/>
  <c r="J29" i="285"/>
  <c r="S29" i="285" s="1"/>
  <c r="M27" i="284"/>
  <c r="K28" i="284"/>
  <c r="K29" i="284" s="1"/>
  <c r="M19" i="283"/>
  <c r="K20" i="283"/>
  <c r="H14" i="282"/>
  <c r="G15" i="282"/>
  <c r="L15" i="282" s="1"/>
  <c r="L19" i="283" l="1"/>
  <c r="J20" i="283"/>
  <c r="O20" i="283" s="1"/>
  <c r="L28" i="284"/>
  <c r="J29" i="284"/>
  <c r="S29" i="284" s="1"/>
  <c r="J30" i="285"/>
  <c r="S30" i="285" s="1"/>
  <c r="L29" i="285"/>
  <c r="K29" i="285"/>
  <c r="M28" i="285"/>
  <c r="M28" i="284"/>
  <c r="K21" i="283"/>
  <c r="M20" i="283"/>
  <c r="H15" i="282"/>
  <c r="G16" i="282"/>
  <c r="L16" i="282" s="1"/>
  <c r="L20" i="283" l="1"/>
  <c r="J21" i="283"/>
  <c r="O21" i="283" s="1"/>
  <c r="L29" i="284"/>
  <c r="J30" i="284"/>
  <c r="S30" i="284" s="1"/>
  <c r="M29" i="285"/>
  <c r="K30" i="285"/>
  <c r="L30" i="285"/>
  <c r="J31" i="285"/>
  <c r="S31" i="285" s="1"/>
  <c r="M29" i="284"/>
  <c r="K30" i="284"/>
  <c r="M21" i="283"/>
  <c r="K22" i="283"/>
  <c r="H16" i="282"/>
  <c r="G17" i="282"/>
  <c r="L17" i="282" s="1"/>
  <c r="L21" i="283" l="1"/>
  <c r="J22" i="283"/>
  <c r="O22" i="283" s="1"/>
  <c r="J31" i="284"/>
  <c r="S31" i="284" s="1"/>
  <c r="L30" i="284"/>
  <c r="J32" i="285"/>
  <c r="S32" i="285" s="1"/>
  <c r="L31" i="285"/>
  <c r="K31" i="285"/>
  <c r="M30" i="285"/>
  <c r="K31" i="284"/>
  <c r="M30" i="284"/>
  <c r="K23" i="283"/>
  <c r="M22" i="283"/>
  <c r="H17" i="282"/>
  <c r="G18" i="282"/>
  <c r="L18" i="282" s="1"/>
  <c r="J23" i="283" l="1"/>
  <c r="O23" i="283" s="1"/>
  <c r="L22" i="283"/>
  <c r="J32" i="284"/>
  <c r="S32" i="284" s="1"/>
  <c r="L31" i="284"/>
  <c r="M31" i="285"/>
  <c r="K32" i="285"/>
  <c r="L32" i="285"/>
  <c r="J33" i="285"/>
  <c r="S33" i="285" s="1"/>
  <c r="M31" i="284"/>
  <c r="K32" i="284"/>
  <c r="M23" i="283"/>
  <c r="K24" i="283"/>
  <c r="H18" i="282"/>
  <c r="G19" i="282"/>
  <c r="L19" i="282" s="1"/>
  <c r="J24" i="283" l="1"/>
  <c r="O24" i="283" s="1"/>
  <c r="L23" i="283"/>
  <c r="L32" i="284"/>
  <c r="J33" i="284"/>
  <c r="S33" i="284" s="1"/>
  <c r="J34" i="285"/>
  <c r="S34" i="285" s="1"/>
  <c r="L33" i="285"/>
  <c r="K33" i="285"/>
  <c r="M32" i="285"/>
  <c r="K33" i="284"/>
  <c r="M32" i="284"/>
  <c r="K25" i="283"/>
  <c r="M24" i="283"/>
  <c r="H19" i="282"/>
  <c r="G20" i="282"/>
  <c r="L20" i="282" s="1"/>
  <c r="L24" i="283" l="1"/>
  <c r="J25" i="283"/>
  <c r="O25" i="283" s="1"/>
  <c r="L33" i="284"/>
  <c r="J34" i="284"/>
  <c r="S34" i="284" s="1"/>
  <c r="M33" i="285"/>
  <c r="K34" i="285"/>
  <c r="L34" i="285"/>
  <c r="J35" i="285"/>
  <c r="S35" i="285" s="1"/>
  <c r="M33" i="284"/>
  <c r="K34" i="284"/>
  <c r="M25" i="283"/>
  <c r="K26" i="283"/>
  <c r="H20" i="282"/>
  <c r="G21" i="282"/>
  <c r="L21" i="282" s="1"/>
  <c r="D8" i="255"/>
  <c r="L25" i="283" l="1"/>
  <c r="J26" i="283"/>
  <c r="O26" i="283" s="1"/>
  <c r="J35" i="284"/>
  <c r="S35" i="284" s="1"/>
  <c r="L34" i="284"/>
  <c r="J36" i="285"/>
  <c r="S36" i="285" s="1"/>
  <c r="L35" i="285"/>
  <c r="K35" i="285"/>
  <c r="M34" i="285"/>
  <c r="K35" i="284"/>
  <c r="M34" i="284"/>
  <c r="K27" i="283"/>
  <c r="M26" i="283"/>
  <c r="H21" i="282"/>
  <c r="G22" i="282"/>
  <c r="L22" i="282" s="1"/>
  <c r="L26" i="283" l="1"/>
  <c r="J36" i="284"/>
  <c r="S36" i="284" s="1"/>
  <c r="J27" i="283"/>
  <c r="O27" i="283" s="1"/>
  <c r="L35" i="284"/>
  <c r="M35" i="285"/>
  <c r="K36" i="285"/>
  <c r="L36" i="285"/>
  <c r="J37" i="285"/>
  <c r="S37" i="285" s="1"/>
  <c r="M35" i="284"/>
  <c r="K36" i="284"/>
  <c r="M27" i="283"/>
  <c r="K28" i="283"/>
  <c r="H22" i="282"/>
  <c r="G23" i="282"/>
  <c r="L23" i="282" s="1"/>
  <c r="J37" i="284" l="1"/>
  <c r="S37" i="284" s="1"/>
  <c r="L36" i="284"/>
  <c r="J28" i="283"/>
  <c r="O28" i="283" s="1"/>
  <c r="L27" i="283"/>
  <c r="J38" i="285"/>
  <c r="S38" i="285" s="1"/>
  <c r="L37" i="285"/>
  <c r="K37" i="285"/>
  <c r="M36" i="285"/>
  <c r="K37" i="284"/>
  <c r="M36" i="284"/>
  <c r="K29" i="283"/>
  <c r="M28" i="283"/>
  <c r="H23" i="282"/>
  <c r="G24" i="282"/>
  <c r="L24" i="282" s="1"/>
  <c r="E248" i="53"/>
  <c r="E244" i="53"/>
  <c r="E243" i="53"/>
  <c r="E242" i="53"/>
  <c r="E245" i="53"/>
  <c r="E240" i="53"/>
  <c r="E247" i="53"/>
  <c r="E246" i="53"/>
  <c r="E241" i="53"/>
  <c r="E56" i="53"/>
  <c r="J38" i="284" l="1"/>
  <c r="S38" i="284" s="1"/>
  <c r="L28" i="283"/>
  <c r="L37" i="284"/>
  <c r="J29" i="283"/>
  <c r="O29" i="283" s="1"/>
  <c r="M37" i="285"/>
  <c r="K38" i="285"/>
  <c r="L38" i="285"/>
  <c r="J39" i="285"/>
  <c r="M37" i="284"/>
  <c r="K38" i="284"/>
  <c r="M29" i="283"/>
  <c r="K30" i="283"/>
  <c r="H24" i="282"/>
  <c r="G25" i="282"/>
  <c r="L25" i="282" s="1"/>
  <c r="L38" i="284" l="1"/>
  <c r="J39" i="284"/>
  <c r="S39" i="284" s="1"/>
  <c r="L29" i="283"/>
  <c r="J30" i="283"/>
  <c r="O30" i="283" s="1"/>
  <c r="J40" i="285"/>
  <c r="S39" i="285"/>
  <c r="L39" i="285"/>
  <c r="K39" i="285"/>
  <c r="K40" i="285" s="1"/>
  <c r="M38" i="285"/>
  <c r="K39" i="284"/>
  <c r="K40" i="284" s="1"/>
  <c r="M38" i="284"/>
  <c r="K31" i="283"/>
  <c r="M30" i="283"/>
  <c r="H25" i="282"/>
  <c r="G26" i="282"/>
  <c r="L26" i="282" s="1"/>
  <c r="L39" i="284" l="1"/>
  <c r="J40" i="284"/>
  <c r="L30" i="283"/>
  <c r="J31" i="283"/>
  <c r="O31" i="283" s="1"/>
  <c r="M39" i="285"/>
  <c r="M39" i="284"/>
  <c r="M31" i="283"/>
  <c r="K32" i="283"/>
  <c r="H26" i="282"/>
  <c r="G27" i="282"/>
  <c r="L27" i="282" s="1"/>
  <c r="G40" i="281"/>
  <c r="G41" i="281" s="1"/>
  <c r="I248" i="53" s="1"/>
  <c r="F40" i="281"/>
  <c r="F41" i="281" s="1"/>
  <c r="H248" i="53" s="1"/>
  <c r="E40" i="281"/>
  <c r="G248" i="53" s="1"/>
  <c r="D40" i="281"/>
  <c r="F248" i="53" s="1"/>
  <c r="I39" i="281"/>
  <c r="H39" i="281"/>
  <c r="I38" i="281"/>
  <c r="H38" i="281"/>
  <c r="I37" i="281"/>
  <c r="H37" i="281"/>
  <c r="I36" i="281"/>
  <c r="H36" i="281"/>
  <c r="I35" i="281"/>
  <c r="H35" i="281"/>
  <c r="I34" i="281"/>
  <c r="H34" i="281"/>
  <c r="I33" i="281"/>
  <c r="H33" i="281"/>
  <c r="I32" i="281"/>
  <c r="H32" i="281"/>
  <c r="I31" i="281"/>
  <c r="H31" i="281"/>
  <c r="I30" i="281"/>
  <c r="H30" i="281"/>
  <c r="I29" i="281"/>
  <c r="H29" i="281"/>
  <c r="I28" i="281"/>
  <c r="H28" i="281"/>
  <c r="I27" i="281"/>
  <c r="H27" i="281"/>
  <c r="I26" i="281"/>
  <c r="H26" i="281"/>
  <c r="I25" i="281"/>
  <c r="H25" i="281"/>
  <c r="I24" i="281"/>
  <c r="H24" i="281"/>
  <c r="I23" i="281"/>
  <c r="H23" i="281"/>
  <c r="I22" i="281"/>
  <c r="H22" i="281"/>
  <c r="I21" i="281"/>
  <c r="H21" i="281"/>
  <c r="I20" i="281"/>
  <c r="H20" i="281"/>
  <c r="I19" i="281"/>
  <c r="H19" i="281"/>
  <c r="I18" i="281"/>
  <c r="H18" i="281"/>
  <c r="I17" i="281"/>
  <c r="H17" i="281"/>
  <c r="I16" i="281"/>
  <c r="H16" i="281"/>
  <c r="I15" i="281"/>
  <c r="H15" i="281"/>
  <c r="I14" i="281"/>
  <c r="H14" i="281"/>
  <c r="I13" i="281"/>
  <c r="H13" i="281"/>
  <c r="I12" i="281"/>
  <c r="H12" i="281"/>
  <c r="I11" i="281"/>
  <c r="H11" i="281"/>
  <c r="I10" i="281"/>
  <c r="H10" i="281"/>
  <c r="K9" i="281"/>
  <c r="I9" i="281"/>
  <c r="H9" i="281"/>
  <c r="J8" i="281"/>
  <c r="E8" i="281"/>
  <c r="G40" i="280"/>
  <c r="F40" i="280"/>
  <c r="E40" i="280"/>
  <c r="G244" i="53" s="1"/>
  <c r="D40" i="280"/>
  <c r="F244" i="53" s="1"/>
  <c r="I39" i="280"/>
  <c r="H39" i="280"/>
  <c r="I38" i="280"/>
  <c r="H38" i="280"/>
  <c r="I37" i="280"/>
  <c r="H37" i="280"/>
  <c r="I36" i="280"/>
  <c r="H36" i="280"/>
  <c r="I35" i="280"/>
  <c r="H35" i="280"/>
  <c r="I34" i="280"/>
  <c r="H34" i="280"/>
  <c r="I33" i="280"/>
  <c r="H33" i="280"/>
  <c r="I32" i="280"/>
  <c r="H32" i="280"/>
  <c r="I31" i="280"/>
  <c r="H31" i="280"/>
  <c r="I30" i="280"/>
  <c r="H30" i="280"/>
  <c r="I29" i="280"/>
  <c r="H29" i="280"/>
  <c r="I28" i="280"/>
  <c r="H28" i="280"/>
  <c r="I27" i="280"/>
  <c r="H27" i="280"/>
  <c r="I26" i="280"/>
  <c r="H26" i="280"/>
  <c r="I25" i="280"/>
  <c r="H25" i="280"/>
  <c r="I24" i="280"/>
  <c r="H24" i="280"/>
  <c r="I23" i="280"/>
  <c r="H23" i="280"/>
  <c r="I22" i="280"/>
  <c r="H22" i="280"/>
  <c r="I21" i="280"/>
  <c r="H21" i="280"/>
  <c r="I20" i="280"/>
  <c r="H20" i="280"/>
  <c r="I19" i="280"/>
  <c r="H19" i="280"/>
  <c r="I18" i="280"/>
  <c r="H18" i="280"/>
  <c r="I17" i="280"/>
  <c r="H17" i="280"/>
  <c r="I16" i="280"/>
  <c r="H16" i="280"/>
  <c r="I15" i="280"/>
  <c r="H15" i="280"/>
  <c r="I14" i="280"/>
  <c r="H14" i="280"/>
  <c r="I13" i="280"/>
  <c r="H13" i="280"/>
  <c r="I12" i="280"/>
  <c r="H12" i="280"/>
  <c r="I11" i="280"/>
  <c r="H11" i="280"/>
  <c r="I10" i="280"/>
  <c r="H10" i="280"/>
  <c r="K9" i="280"/>
  <c r="I9" i="280"/>
  <c r="H9" i="280"/>
  <c r="E8" i="280"/>
  <c r="D8" i="280"/>
  <c r="G40" i="278"/>
  <c r="G41" i="278" s="1"/>
  <c r="I240" i="53" s="1"/>
  <c r="F40" i="278"/>
  <c r="F41" i="278" s="1"/>
  <c r="H240" i="53" s="1"/>
  <c r="E40" i="278"/>
  <c r="G240" i="53" s="1"/>
  <c r="D40" i="278"/>
  <c r="F240" i="53" s="1"/>
  <c r="I39" i="278"/>
  <c r="H39" i="278"/>
  <c r="I38" i="278"/>
  <c r="H38" i="278"/>
  <c r="I37" i="278"/>
  <c r="H37" i="278"/>
  <c r="I36" i="278"/>
  <c r="H36" i="278"/>
  <c r="I35" i="278"/>
  <c r="H35" i="278"/>
  <c r="I34" i="278"/>
  <c r="H34" i="278"/>
  <c r="I33" i="278"/>
  <c r="H33" i="278"/>
  <c r="I32" i="278"/>
  <c r="H32" i="278"/>
  <c r="I31" i="278"/>
  <c r="H31" i="278"/>
  <c r="I30" i="278"/>
  <c r="H30" i="278"/>
  <c r="I29" i="278"/>
  <c r="H29" i="278"/>
  <c r="I28" i="278"/>
  <c r="H28" i="278"/>
  <c r="I27" i="278"/>
  <c r="H27" i="278"/>
  <c r="I26" i="278"/>
  <c r="H26" i="278"/>
  <c r="I25" i="278"/>
  <c r="H25" i="278"/>
  <c r="I24" i="278"/>
  <c r="H24" i="278"/>
  <c r="I23" i="278"/>
  <c r="H23" i="278"/>
  <c r="I22" i="278"/>
  <c r="H22" i="278"/>
  <c r="I21" i="278"/>
  <c r="H21" i="278"/>
  <c r="I20" i="278"/>
  <c r="H20" i="278"/>
  <c r="I19" i="278"/>
  <c r="H19" i="278"/>
  <c r="I18" i="278"/>
  <c r="H18" i="278"/>
  <c r="I17" i="278"/>
  <c r="H17" i="278"/>
  <c r="I16" i="278"/>
  <c r="H16" i="278"/>
  <c r="I15" i="278"/>
  <c r="H15" i="278"/>
  <c r="I14" i="278"/>
  <c r="H14" i="278"/>
  <c r="I13" i="278"/>
  <c r="H13" i="278"/>
  <c r="I12" i="278"/>
  <c r="H12" i="278"/>
  <c r="I11" i="278"/>
  <c r="H11" i="278"/>
  <c r="I10" i="278"/>
  <c r="H10" i="278"/>
  <c r="K9" i="278"/>
  <c r="I9" i="278"/>
  <c r="H9" i="278"/>
  <c r="E8" i="278"/>
  <c r="D8" i="278" s="1"/>
  <c r="D41" i="278" s="1"/>
  <c r="G40" i="277"/>
  <c r="G41" i="277" s="1"/>
  <c r="I243" i="53" s="1"/>
  <c r="F40" i="277"/>
  <c r="F41" i="277" s="1"/>
  <c r="H243" i="53" s="1"/>
  <c r="E40" i="277"/>
  <c r="G243" i="53" s="1"/>
  <c r="D40" i="277"/>
  <c r="F243" i="53" s="1"/>
  <c r="I39" i="277"/>
  <c r="H39" i="277"/>
  <c r="I38" i="277"/>
  <c r="H38" i="277"/>
  <c r="I37" i="277"/>
  <c r="H37" i="277"/>
  <c r="I36" i="277"/>
  <c r="H36" i="277"/>
  <c r="I35" i="277"/>
  <c r="H35" i="277"/>
  <c r="I34" i="277"/>
  <c r="H34" i="277"/>
  <c r="I33" i="277"/>
  <c r="H33" i="277"/>
  <c r="I32" i="277"/>
  <c r="H32" i="277"/>
  <c r="I31" i="277"/>
  <c r="H31" i="277"/>
  <c r="I30" i="277"/>
  <c r="H30" i="277"/>
  <c r="I29" i="277"/>
  <c r="H29" i="277"/>
  <c r="I28" i="277"/>
  <c r="H28" i="277"/>
  <c r="I27" i="277"/>
  <c r="H27" i="277"/>
  <c r="I26" i="277"/>
  <c r="H26" i="277"/>
  <c r="I25" i="277"/>
  <c r="H25" i="277"/>
  <c r="I24" i="277"/>
  <c r="H24" i="277"/>
  <c r="I23" i="277"/>
  <c r="H23" i="277"/>
  <c r="I22" i="277"/>
  <c r="H22" i="277"/>
  <c r="I21" i="277"/>
  <c r="H21" i="277"/>
  <c r="I20" i="277"/>
  <c r="H20" i="277"/>
  <c r="I19" i="277"/>
  <c r="H19" i="277"/>
  <c r="I18" i="277"/>
  <c r="H18" i="277"/>
  <c r="I17" i="277"/>
  <c r="H17" i="277"/>
  <c r="I16" i="277"/>
  <c r="H16" i="277"/>
  <c r="I15" i="277"/>
  <c r="H15" i="277"/>
  <c r="I14" i="277"/>
  <c r="H14" i="277"/>
  <c r="I13" i="277"/>
  <c r="H13" i="277"/>
  <c r="I12" i="277"/>
  <c r="H12" i="277"/>
  <c r="I11" i="277"/>
  <c r="H11" i="277"/>
  <c r="I10" i="277"/>
  <c r="H10" i="277"/>
  <c r="K9" i="277"/>
  <c r="I9" i="277"/>
  <c r="H9" i="277"/>
  <c r="E8" i="277"/>
  <c r="D8" i="277"/>
  <c r="G40" i="276"/>
  <c r="G41" i="276" s="1"/>
  <c r="I242" i="53" s="1"/>
  <c r="F40" i="276"/>
  <c r="F41" i="276" s="1"/>
  <c r="H242" i="53" s="1"/>
  <c r="E40" i="276"/>
  <c r="G242" i="53" s="1"/>
  <c r="D40" i="276"/>
  <c r="F242" i="53" s="1"/>
  <c r="I39" i="276"/>
  <c r="H39" i="276"/>
  <c r="I38" i="276"/>
  <c r="H38" i="276"/>
  <c r="I37" i="276"/>
  <c r="H37" i="276"/>
  <c r="I36" i="276"/>
  <c r="H36" i="276"/>
  <c r="I35" i="276"/>
  <c r="H35" i="276"/>
  <c r="I34" i="276"/>
  <c r="H34" i="276"/>
  <c r="I33" i="276"/>
  <c r="H33" i="276"/>
  <c r="I32" i="276"/>
  <c r="H32" i="276"/>
  <c r="I31" i="276"/>
  <c r="H31" i="276"/>
  <c r="I30" i="276"/>
  <c r="H30" i="276"/>
  <c r="I29" i="276"/>
  <c r="H29" i="276"/>
  <c r="I28" i="276"/>
  <c r="H28" i="276"/>
  <c r="I27" i="276"/>
  <c r="H27" i="276"/>
  <c r="I26" i="276"/>
  <c r="H26" i="276"/>
  <c r="I25" i="276"/>
  <c r="H25" i="276"/>
  <c r="I24" i="276"/>
  <c r="H24" i="276"/>
  <c r="I23" i="276"/>
  <c r="H23" i="276"/>
  <c r="I22" i="276"/>
  <c r="H22" i="276"/>
  <c r="I21" i="276"/>
  <c r="H21" i="276"/>
  <c r="I20" i="276"/>
  <c r="H20" i="276"/>
  <c r="I19" i="276"/>
  <c r="H19" i="276"/>
  <c r="I18" i="276"/>
  <c r="H18" i="276"/>
  <c r="I17" i="276"/>
  <c r="H17" i="276"/>
  <c r="I16" i="276"/>
  <c r="H16" i="276"/>
  <c r="I15" i="276"/>
  <c r="H15" i="276"/>
  <c r="I14" i="276"/>
  <c r="H14" i="276"/>
  <c r="I13" i="276"/>
  <c r="H13" i="276"/>
  <c r="I12" i="276"/>
  <c r="H12" i="276"/>
  <c r="I11" i="276"/>
  <c r="H11" i="276"/>
  <c r="I10" i="276"/>
  <c r="H10" i="276"/>
  <c r="K9" i="276"/>
  <c r="I9" i="276"/>
  <c r="H9" i="276"/>
  <c r="J8" i="276"/>
  <c r="D8" i="276" s="1"/>
  <c r="E8" i="276"/>
  <c r="G40" i="275"/>
  <c r="G41" i="275" s="1"/>
  <c r="I245" i="53" s="1"/>
  <c r="F40" i="275"/>
  <c r="F41" i="275" s="1"/>
  <c r="H245" i="53" s="1"/>
  <c r="E40" i="275"/>
  <c r="G245" i="53" s="1"/>
  <c r="D40" i="275"/>
  <c r="F245" i="53" s="1"/>
  <c r="I39" i="275"/>
  <c r="H39" i="275"/>
  <c r="I38" i="275"/>
  <c r="H38" i="275"/>
  <c r="I37" i="275"/>
  <c r="H37" i="275"/>
  <c r="I36" i="275"/>
  <c r="H36" i="275"/>
  <c r="I35" i="275"/>
  <c r="H35" i="275"/>
  <c r="I34" i="275"/>
  <c r="H34" i="275"/>
  <c r="I33" i="275"/>
  <c r="H33" i="275"/>
  <c r="I32" i="275"/>
  <c r="H32" i="275"/>
  <c r="I31" i="275"/>
  <c r="H31" i="275"/>
  <c r="I30" i="275"/>
  <c r="H30" i="275"/>
  <c r="I29" i="275"/>
  <c r="H29" i="275"/>
  <c r="I28" i="275"/>
  <c r="H28" i="275"/>
  <c r="I27" i="275"/>
  <c r="H27" i="275"/>
  <c r="I26" i="275"/>
  <c r="H26" i="275"/>
  <c r="I25" i="275"/>
  <c r="H25" i="275"/>
  <c r="I24" i="275"/>
  <c r="H24" i="275"/>
  <c r="I23" i="275"/>
  <c r="H23" i="275"/>
  <c r="I22" i="275"/>
  <c r="H22" i="275"/>
  <c r="I21" i="275"/>
  <c r="H21" i="275"/>
  <c r="I20" i="275"/>
  <c r="H20" i="275"/>
  <c r="I19" i="275"/>
  <c r="H19" i="275"/>
  <c r="I18" i="275"/>
  <c r="H18" i="275"/>
  <c r="I17" i="275"/>
  <c r="H17" i="275"/>
  <c r="I16" i="275"/>
  <c r="H16" i="275"/>
  <c r="I15" i="275"/>
  <c r="H15" i="275"/>
  <c r="I14" i="275"/>
  <c r="H14" i="275"/>
  <c r="I13" i="275"/>
  <c r="H13" i="275"/>
  <c r="I12" i="275"/>
  <c r="H12" i="275"/>
  <c r="I11" i="275"/>
  <c r="H11" i="275"/>
  <c r="I10" i="275"/>
  <c r="H10" i="275"/>
  <c r="K9" i="275"/>
  <c r="I9" i="275"/>
  <c r="H9" i="275"/>
  <c r="J8" i="275"/>
  <c r="D8" i="275" s="1"/>
  <c r="D41" i="275" s="1"/>
  <c r="E8" i="275"/>
  <c r="G40" i="274"/>
  <c r="G41" i="274" s="1"/>
  <c r="I247" i="53" s="1"/>
  <c r="F40" i="274"/>
  <c r="F41" i="274" s="1"/>
  <c r="H247" i="53" s="1"/>
  <c r="E40" i="274"/>
  <c r="G247" i="53" s="1"/>
  <c r="D40" i="274"/>
  <c r="F247" i="53" s="1"/>
  <c r="I39" i="274"/>
  <c r="H39" i="274"/>
  <c r="I38" i="274"/>
  <c r="H38" i="274"/>
  <c r="I37" i="274"/>
  <c r="H37" i="274"/>
  <c r="I36" i="274"/>
  <c r="H36" i="274"/>
  <c r="I35" i="274"/>
  <c r="H35" i="274"/>
  <c r="I34" i="274"/>
  <c r="H34" i="274"/>
  <c r="I33" i="274"/>
  <c r="H33" i="274"/>
  <c r="I32" i="274"/>
  <c r="H32" i="274"/>
  <c r="I31" i="274"/>
  <c r="H31" i="274"/>
  <c r="I30" i="274"/>
  <c r="H30" i="274"/>
  <c r="I29" i="274"/>
  <c r="H29" i="274"/>
  <c r="I28" i="274"/>
  <c r="H28" i="274"/>
  <c r="I27" i="274"/>
  <c r="H27" i="274"/>
  <c r="I26" i="274"/>
  <c r="H26" i="274"/>
  <c r="I25" i="274"/>
  <c r="H25" i="274"/>
  <c r="I24" i="274"/>
  <c r="H24" i="274"/>
  <c r="I23" i="274"/>
  <c r="H23" i="274"/>
  <c r="I22" i="274"/>
  <c r="H22" i="274"/>
  <c r="I21" i="274"/>
  <c r="H21" i="274"/>
  <c r="I20" i="274"/>
  <c r="H20" i="274"/>
  <c r="I19" i="274"/>
  <c r="H19" i="274"/>
  <c r="I18" i="274"/>
  <c r="H18" i="274"/>
  <c r="I17" i="274"/>
  <c r="H17" i="274"/>
  <c r="I16" i="274"/>
  <c r="H16" i="274"/>
  <c r="I15" i="274"/>
  <c r="H15" i="274"/>
  <c r="I14" i="274"/>
  <c r="H14" i="274"/>
  <c r="I13" i="274"/>
  <c r="H13" i="274"/>
  <c r="I12" i="274"/>
  <c r="H12" i="274"/>
  <c r="I11" i="274"/>
  <c r="H11" i="274"/>
  <c r="I10" i="274"/>
  <c r="H10" i="274"/>
  <c r="K9" i="274"/>
  <c r="K10" i="274" s="1"/>
  <c r="I9" i="274"/>
  <c r="H9" i="274"/>
  <c r="J8" i="274"/>
  <c r="D8" i="274" s="1"/>
  <c r="D41" i="274" s="1"/>
  <c r="E8" i="274"/>
  <c r="G40" i="273"/>
  <c r="G41" i="273" s="1"/>
  <c r="I246" i="53" s="1"/>
  <c r="F40" i="273"/>
  <c r="F41" i="273" s="1"/>
  <c r="H246" i="53" s="1"/>
  <c r="E40" i="273"/>
  <c r="G246" i="53" s="1"/>
  <c r="D40" i="273"/>
  <c r="F246" i="53" s="1"/>
  <c r="I39" i="273"/>
  <c r="H39" i="273"/>
  <c r="I38" i="273"/>
  <c r="H38" i="273"/>
  <c r="I37" i="273"/>
  <c r="H37" i="273"/>
  <c r="I36" i="273"/>
  <c r="H36" i="273"/>
  <c r="I35" i="273"/>
  <c r="H35" i="273"/>
  <c r="I34" i="273"/>
  <c r="H34" i="273"/>
  <c r="I33" i="273"/>
  <c r="H33" i="273"/>
  <c r="I32" i="273"/>
  <c r="H32" i="273"/>
  <c r="I31" i="273"/>
  <c r="H31" i="273"/>
  <c r="I30" i="273"/>
  <c r="H30" i="273"/>
  <c r="I29" i="273"/>
  <c r="H29" i="273"/>
  <c r="I28" i="273"/>
  <c r="H28" i="273"/>
  <c r="I27" i="273"/>
  <c r="H27" i="273"/>
  <c r="I26" i="273"/>
  <c r="H26" i="273"/>
  <c r="I25" i="273"/>
  <c r="H25" i="273"/>
  <c r="I24" i="273"/>
  <c r="H24" i="273"/>
  <c r="I23" i="273"/>
  <c r="H23" i="273"/>
  <c r="I22" i="273"/>
  <c r="H22" i="273"/>
  <c r="I21" i="273"/>
  <c r="H21" i="273"/>
  <c r="I20" i="273"/>
  <c r="H20" i="273"/>
  <c r="I19" i="273"/>
  <c r="H19" i="273"/>
  <c r="I18" i="273"/>
  <c r="H18" i="273"/>
  <c r="I17" i="273"/>
  <c r="H17" i="273"/>
  <c r="I16" i="273"/>
  <c r="H16" i="273"/>
  <c r="I15" i="273"/>
  <c r="H15" i="273"/>
  <c r="I14" i="273"/>
  <c r="H14" i="273"/>
  <c r="I13" i="273"/>
  <c r="H13" i="273"/>
  <c r="I12" i="273"/>
  <c r="H12" i="273"/>
  <c r="I11" i="273"/>
  <c r="H11" i="273"/>
  <c r="I10" i="273"/>
  <c r="H10" i="273"/>
  <c r="K9" i="273"/>
  <c r="I9" i="273"/>
  <c r="H9" i="273"/>
  <c r="J8" i="273"/>
  <c r="D8" i="273" s="1"/>
  <c r="E8" i="273"/>
  <c r="G40" i="271"/>
  <c r="G41" i="271" s="1"/>
  <c r="I241" i="53" s="1"/>
  <c r="F40" i="271"/>
  <c r="F41" i="271" s="1"/>
  <c r="H241" i="53" s="1"/>
  <c r="E40" i="271"/>
  <c r="G241" i="53" s="1"/>
  <c r="D40" i="271"/>
  <c r="F241" i="53" s="1"/>
  <c r="I39" i="271"/>
  <c r="H39" i="271"/>
  <c r="I38" i="271"/>
  <c r="H38" i="271"/>
  <c r="I37" i="271"/>
  <c r="H37" i="271"/>
  <c r="I36" i="271"/>
  <c r="H36" i="271"/>
  <c r="I35" i="271"/>
  <c r="H35" i="271"/>
  <c r="I34" i="271"/>
  <c r="H34" i="271"/>
  <c r="I33" i="271"/>
  <c r="H33" i="271"/>
  <c r="I32" i="271"/>
  <c r="H32" i="271"/>
  <c r="I31" i="271"/>
  <c r="H31" i="271"/>
  <c r="I30" i="271"/>
  <c r="H30" i="271"/>
  <c r="I29" i="271"/>
  <c r="H29" i="271"/>
  <c r="I28" i="271"/>
  <c r="H28" i="271"/>
  <c r="I27" i="271"/>
  <c r="H27" i="271"/>
  <c r="I26" i="271"/>
  <c r="H26" i="271"/>
  <c r="I25" i="271"/>
  <c r="H25" i="271"/>
  <c r="I24" i="271"/>
  <c r="H24" i="271"/>
  <c r="I23" i="271"/>
  <c r="H23" i="271"/>
  <c r="I22" i="271"/>
  <c r="H22" i="271"/>
  <c r="I21" i="271"/>
  <c r="H21" i="271"/>
  <c r="I20" i="271"/>
  <c r="H20" i="271"/>
  <c r="I19" i="271"/>
  <c r="H19" i="271"/>
  <c r="I18" i="271"/>
  <c r="H18" i="271"/>
  <c r="I17" i="271"/>
  <c r="H17" i="271"/>
  <c r="I16" i="271"/>
  <c r="H16" i="271"/>
  <c r="I15" i="271"/>
  <c r="H15" i="271"/>
  <c r="I14" i="271"/>
  <c r="H14" i="271"/>
  <c r="I13" i="271"/>
  <c r="H13" i="271"/>
  <c r="I12" i="271"/>
  <c r="H12" i="271"/>
  <c r="I11" i="271"/>
  <c r="H11" i="271"/>
  <c r="I10" i="271"/>
  <c r="H10" i="271"/>
  <c r="K9" i="271"/>
  <c r="I9" i="271"/>
  <c r="H9" i="271"/>
  <c r="E8" i="271"/>
  <c r="D8" i="271" s="1"/>
  <c r="G40" i="270"/>
  <c r="G41" i="270" s="1"/>
  <c r="I56" i="53" s="1"/>
  <c r="F40" i="270"/>
  <c r="F41" i="270" s="1"/>
  <c r="H56" i="53" s="1"/>
  <c r="E40" i="270"/>
  <c r="G56" i="53" s="1"/>
  <c r="D40" i="270"/>
  <c r="F56" i="53" s="1"/>
  <c r="I39" i="270"/>
  <c r="H39" i="270"/>
  <c r="I38" i="270"/>
  <c r="H38" i="270"/>
  <c r="I37" i="270"/>
  <c r="H37" i="270"/>
  <c r="I36" i="270"/>
  <c r="H36" i="270"/>
  <c r="I35" i="270"/>
  <c r="H35" i="270"/>
  <c r="I34" i="270"/>
  <c r="H34" i="270"/>
  <c r="I33" i="270"/>
  <c r="H33" i="270"/>
  <c r="I32" i="270"/>
  <c r="H32" i="270"/>
  <c r="I31" i="270"/>
  <c r="H31" i="270"/>
  <c r="I30" i="270"/>
  <c r="H30" i="270"/>
  <c r="I29" i="270"/>
  <c r="H29" i="270"/>
  <c r="I28" i="270"/>
  <c r="H28" i="270"/>
  <c r="I27" i="270"/>
  <c r="H27" i="270"/>
  <c r="I26" i="270"/>
  <c r="H26" i="270"/>
  <c r="I25" i="270"/>
  <c r="H25" i="270"/>
  <c r="I24" i="270"/>
  <c r="H24" i="270"/>
  <c r="I23" i="270"/>
  <c r="H23" i="270"/>
  <c r="I22" i="270"/>
  <c r="H22" i="270"/>
  <c r="I21" i="270"/>
  <c r="H21" i="270"/>
  <c r="I20" i="270"/>
  <c r="H20" i="270"/>
  <c r="I19" i="270"/>
  <c r="H19" i="270"/>
  <c r="I18" i="270"/>
  <c r="H18" i="270"/>
  <c r="I17" i="270"/>
  <c r="H17" i="270"/>
  <c r="I16" i="270"/>
  <c r="H16" i="270"/>
  <c r="I15" i="270"/>
  <c r="H15" i="270"/>
  <c r="I14" i="270"/>
  <c r="H14" i="270"/>
  <c r="I13" i="270"/>
  <c r="H13" i="270"/>
  <c r="I12" i="270"/>
  <c r="H12" i="270"/>
  <c r="I11" i="270"/>
  <c r="H11" i="270"/>
  <c r="I10" i="270"/>
  <c r="H10" i="270"/>
  <c r="I9" i="270"/>
  <c r="H9" i="270"/>
  <c r="D8" i="270"/>
  <c r="E8" i="270"/>
  <c r="G40" i="269"/>
  <c r="F40" i="269"/>
  <c r="E40" i="269"/>
  <c r="D40" i="269"/>
  <c r="I39" i="269"/>
  <c r="H39" i="269"/>
  <c r="I38" i="269"/>
  <c r="H38" i="269"/>
  <c r="I37" i="269"/>
  <c r="H37" i="269"/>
  <c r="I36" i="269"/>
  <c r="H36" i="269"/>
  <c r="I35" i="269"/>
  <c r="H35" i="269"/>
  <c r="I34" i="269"/>
  <c r="H34" i="269"/>
  <c r="I33" i="269"/>
  <c r="H33" i="269"/>
  <c r="I32" i="269"/>
  <c r="H32" i="269"/>
  <c r="I31" i="269"/>
  <c r="H31" i="269"/>
  <c r="I30" i="269"/>
  <c r="H30" i="269"/>
  <c r="I29" i="269"/>
  <c r="H29" i="269"/>
  <c r="I28" i="269"/>
  <c r="H28" i="269"/>
  <c r="I27" i="269"/>
  <c r="H27" i="269"/>
  <c r="I26" i="269"/>
  <c r="H26" i="269"/>
  <c r="I25" i="269"/>
  <c r="H25" i="269"/>
  <c r="I24" i="269"/>
  <c r="H24" i="269"/>
  <c r="I23" i="269"/>
  <c r="H23" i="269"/>
  <c r="I22" i="269"/>
  <c r="H22" i="269"/>
  <c r="I21" i="269"/>
  <c r="H21" i="269"/>
  <c r="I20" i="269"/>
  <c r="H20" i="269"/>
  <c r="I19" i="269"/>
  <c r="H19" i="269"/>
  <c r="I18" i="269"/>
  <c r="H18" i="269"/>
  <c r="I17" i="269"/>
  <c r="H17" i="269"/>
  <c r="I16" i="269"/>
  <c r="H16" i="269"/>
  <c r="I15" i="269"/>
  <c r="H15" i="269"/>
  <c r="I14" i="269"/>
  <c r="H14" i="269"/>
  <c r="I13" i="269"/>
  <c r="H13" i="269"/>
  <c r="I12" i="269"/>
  <c r="H12" i="269"/>
  <c r="I11" i="269"/>
  <c r="H11" i="269"/>
  <c r="I10" i="269"/>
  <c r="H10" i="269"/>
  <c r="K9" i="269"/>
  <c r="I9" i="269"/>
  <c r="H9" i="269"/>
  <c r="E8" i="269"/>
  <c r="D8" i="269"/>
  <c r="L56" i="53" l="1"/>
  <c r="D41" i="280"/>
  <c r="G41" i="280"/>
  <c r="I244" i="53" s="1"/>
  <c r="K244" i="53" s="1"/>
  <c r="F34" i="351"/>
  <c r="F41" i="280"/>
  <c r="H244" i="53" s="1"/>
  <c r="E34" i="351"/>
  <c r="D41" i="277"/>
  <c r="J41" i="277" s="1"/>
  <c r="L31" i="283"/>
  <c r="J32" i="283"/>
  <c r="O32" i="283" s="1"/>
  <c r="M10" i="274"/>
  <c r="J41" i="274"/>
  <c r="E41" i="275"/>
  <c r="K41" i="275" s="1"/>
  <c r="E41" i="280"/>
  <c r="E41" i="281"/>
  <c r="E41" i="277"/>
  <c r="K41" i="277" s="1"/>
  <c r="K246" i="53"/>
  <c r="K56" i="53"/>
  <c r="E41" i="273"/>
  <c r="K41" i="273" s="1"/>
  <c r="M9" i="271"/>
  <c r="F41" i="269"/>
  <c r="G41" i="269"/>
  <c r="K41" i="281"/>
  <c r="M9" i="280"/>
  <c r="M9" i="269"/>
  <c r="D41" i="273"/>
  <c r="J41" i="273" s="1"/>
  <c r="M9" i="273"/>
  <c r="M9" i="277"/>
  <c r="M9" i="281"/>
  <c r="E41" i="274"/>
  <c r="K41" i="274" s="1"/>
  <c r="J41" i="275"/>
  <c r="K247" i="53"/>
  <c r="K241" i="53"/>
  <c r="K245" i="53"/>
  <c r="M9" i="270"/>
  <c r="M9" i="278"/>
  <c r="J9" i="273"/>
  <c r="D246" i="53"/>
  <c r="J246" i="53" s="1"/>
  <c r="J9" i="274"/>
  <c r="D247" i="53"/>
  <c r="J247" i="53" s="1"/>
  <c r="J9" i="275"/>
  <c r="D245" i="53"/>
  <c r="J245" i="53" s="1"/>
  <c r="M9" i="275"/>
  <c r="M9" i="276"/>
  <c r="J9" i="281"/>
  <c r="D248" i="53"/>
  <c r="J248" i="53" s="1"/>
  <c r="K248" i="53"/>
  <c r="D41" i="276"/>
  <c r="J41" i="276" s="1"/>
  <c r="E41" i="276"/>
  <c r="K41" i="276" s="1"/>
  <c r="E41" i="278"/>
  <c r="K41" i="278" s="1"/>
  <c r="E41" i="271"/>
  <c r="K41" i="271" s="1"/>
  <c r="E41" i="270"/>
  <c r="K41" i="270" s="1"/>
  <c r="E41" i="269"/>
  <c r="D41" i="270"/>
  <c r="J41" i="270" s="1"/>
  <c r="J41" i="278"/>
  <c r="D41" i="269"/>
  <c r="K33" i="283"/>
  <c r="M32" i="283"/>
  <c r="J9" i="280"/>
  <c r="D244" i="53"/>
  <c r="J9" i="277"/>
  <c r="D243" i="53"/>
  <c r="J243" i="53" s="1"/>
  <c r="J9" i="276"/>
  <c r="D242" i="53"/>
  <c r="J242" i="53" s="1"/>
  <c r="J9" i="278"/>
  <c r="D240" i="53"/>
  <c r="J240" i="53" s="1"/>
  <c r="J9" i="271"/>
  <c r="D241" i="53"/>
  <c r="J241" i="53" s="1"/>
  <c r="J9" i="270"/>
  <c r="D56" i="53"/>
  <c r="J56" i="53" s="1"/>
  <c r="M56" i="53" s="1"/>
  <c r="J10" i="269"/>
  <c r="S10" i="269" s="1"/>
  <c r="K243" i="53"/>
  <c r="K240" i="53"/>
  <c r="H27" i="282"/>
  <c r="G28" i="282"/>
  <c r="L28" i="282" s="1"/>
  <c r="K242" i="53"/>
  <c r="K10" i="281"/>
  <c r="K11" i="281" s="1"/>
  <c r="M11" i="281" s="1"/>
  <c r="K10" i="275"/>
  <c r="K11" i="275" s="1"/>
  <c r="K12" i="275" s="1"/>
  <c r="K10" i="271"/>
  <c r="K11" i="271" s="1"/>
  <c r="M11" i="271" s="1"/>
  <c r="D8" i="281"/>
  <c r="D41" i="281" s="1"/>
  <c r="J41" i="281" s="1"/>
  <c r="K10" i="280"/>
  <c r="K10" i="278"/>
  <c r="K10" i="277"/>
  <c r="K10" i="276"/>
  <c r="K11" i="274"/>
  <c r="M9" i="274"/>
  <c r="K10" i="273"/>
  <c r="D41" i="271"/>
  <c r="J41" i="271" s="1"/>
  <c r="K10" i="270"/>
  <c r="K10" i="269"/>
  <c r="L32" i="283" l="1"/>
  <c r="K41" i="269"/>
  <c r="J41" i="280"/>
  <c r="J41" i="269"/>
  <c r="K41" i="280"/>
  <c r="J244" i="53"/>
  <c r="H44" i="355"/>
  <c r="J33" i="283"/>
  <c r="O33" i="283" s="1"/>
  <c r="J10" i="270"/>
  <c r="S10" i="270" s="1"/>
  <c r="S9" i="270"/>
  <c r="L9" i="277"/>
  <c r="O9" i="277"/>
  <c r="J10" i="276"/>
  <c r="O10" i="276" s="1"/>
  <c r="O9" i="276"/>
  <c r="J10" i="280"/>
  <c r="O10" i="280" s="1"/>
  <c r="O9" i="280"/>
  <c r="J10" i="281"/>
  <c r="O10" i="281" s="1"/>
  <c r="O9" i="281"/>
  <c r="L9" i="275"/>
  <c r="O9" i="275"/>
  <c r="L9" i="273"/>
  <c r="O9" i="273"/>
  <c r="L9" i="278"/>
  <c r="O9" i="278"/>
  <c r="L9" i="274"/>
  <c r="O9" i="274"/>
  <c r="J10" i="271"/>
  <c r="O10" i="271" s="1"/>
  <c r="O9" i="271"/>
  <c r="J10" i="275"/>
  <c r="O10" i="275" s="1"/>
  <c r="L9" i="276"/>
  <c r="K12" i="271"/>
  <c r="M12" i="271" s="1"/>
  <c r="J10" i="273"/>
  <c r="L9" i="281"/>
  <c r="M10" i="275"/>
  <c r="M11" i="275"/>
  <c r="K12" i="281"/>
  <c r="K13" i="281" s="1"/>
  <c r="J10" i="274"/>
  <c r="M10" i="271"/>
  <c r="M10" i="281"/>
  <c r="L9" i="270"/>
  <c r="L9" i="269"/>
  <c r="J10" i="278"/>
  <c r="L9" i="271"/>
  <c r="J10" i="277"/>
  <c r="L9" i="280"/>
  <c r="M33" i="283"/>
  <c r="K34" i="283"/>
  <c r="H28" i="282"/>
  <c r="G29" i="282"/>
  <c r="L29" i="282" s="1"/>
  <c r="K11" i="280"/>
  <c r="M10" i="280"/>
  <c r="K11" i="278"/>
  <c r="M10" i="278"/>
  <c r="K11" i="277"/>
  <c r="M10" i="277"/>
  <c r="K11" i="276"/>
  <c r="M10" i="276"/>
  <c r="K13" i="275"/>
  <c r="M12" i="275"/>
  <c r="K12" i="274"/>
  <c r="M11" i="274"/>
  <c r="K11" i="273"/>
  <c r="M10" i="273"/>
  <c r="K11" i="270"/>
  <c r="M10" i="270"/>
  <c r="K11" i="269"/>
  <c r="M10" i="269"/>
  <c r="L10" i="269"/>
  <c r="J11" i="269"/>
  <c r="S11" i="269" s="1"/>
  <c r="L10" i="275" l="1"/>
  <c r="L10" i="280"/>
  <c r="J11" i="270"/>
  <c r="S11" i="270" s="1"/>
  <c r="L10" i="276"/>
  <c r="L10" i="281"/>
  <c r="J11" i="271"/>
  <c r="O11" i="271" s="1"/>
  <c r="L10" i="270"/>
  <c r="L10" i="271"/>
  <c r="J11" i="275"/>
  <c r="O11" i="275" s="1"/>
  <c r="J11" i="276"/>
  <c r="O11" i="276" s="1"/>
  <c r="J11" i="280"/>
  <c r="O11" i="280" s="1"/>
  <c r="J11" i="281"/>
  <c r="O11" i="281" s="1"/>
  <c r="L33" i="283"/>
  <c r="J34" i="283"/>
  <c r="O34" i="283" s="1"/>
  <c r="J11" i="278"/>
  <c r="O11" i="278" s="1"/>
  <c r="O10" i="278"/>
  <c r="J11" i="274"/>
  <c r="O11" i="274" s="1"/>
  <c r="O10" i="274"/>
  <c r="L10" i="277"/>
  <c r="O10" i="277"/>
  <c r="J11" i="273"/>
  <c r="O11" i="273" s="1"/>
  <c r="O10" i="273"/>
  <c r="K13" i="271"/>
  <c r="M13" i="271" s="1"/>
  <c r="L10" i="274"/>
  <c r="L10" i="273"/>
  <c r="M12" i="281"/>
  <c r="L10" i="278"/>
  <c r="J11" i="277"/>
  <c r="K35" i="283"/>
  <c r="M34" i="283"/>
  <c r="H29" i="282"/>
  <c r="G30" i="282"/>
  <c r="L30" i="282" s="1"/>
  <c r="M13" i="281"/>
  <c r="K14" i="281"/>
  <c r="M11" i="280"/>
  <c r="K12" i="280"/>
  <c r="J12" i="278"/>
  <c r="O12" i="278" s="1"/>
  <c r="M11" i="278"/>
  <c r="K12" i="278"/>
  <c r="M11" i="277"/>
  <c r="K12" i="277"/>
  <c r="M11" i="276"/>
  <c r="K12" i="276"/>
  <c r="M13" i="275"/>
  <c r="K14" i="275"/>
  <c r="M12" i="274"/>
  <c r="K13" i="274"/>
  <c r="M11" i="273"/>
  <c r="K12" i="273"/>
  <c r="M11" i="270"/>
  <c r="K12" i="270"/>
  <c r="J12" i="269"/>
  <c r="S12" i="269" s="1"/>
  <c r="L11" i="269"/>
  <c r="M11" i="269"/>
  <c r="K12" i="269"/>
  <c r="L11" i="270" l="1"/>
  <c r="J12" i="270"/>
  <c r="S12" i="270" s="1"/>
  <c r="J12" i="273"/>
  <c r="O12" i="273" s="1"/>
  <c r="J12" i="271"/>
  <c r="O12" i="271" s="1"/>
  <c r="L11" i="276"/>
  <c r="L11" i="281"/>
  <c r="J12" i="280"/>
  <c r="O12" i="280" s="1"/>
  <c r="L11" i="271"/>
  <c r="J12" i="276"/>
  <c r="O12" i="276" s="1"/>
  <c r="J12" i="281"/>
  <c r="O12" i="281" s="1"/>
  <c r="L11" i="280"/>
  <c r="L11" i="274"/>
  <c r="L11" i="275"/>
  <c r="J12" i="275"/>
  <c r="O12" i="275" s="1"/>
  <c r="J35" i="283"/>
  <c r="O35" i="283" s="1"/>
  <c r="L34" i="283"/>
  <c r="L11" i="273"/>
  <c r="J12" i="274"/>
  <c r="O12" i="274" s="1"/>
  <c r="L11" i="278"/>
  <c r="J12" i="277"/>
  <c r="O12" i="277" s="1"/>
  <c r="O11" i="277"/>
  <c r="K14" i="271"/>
  <c r="M14" i="271" s="1"/>
  <c r="L11" i="277"/>
  <c r="M35" i="283"/>
  <c r="K36" i="283"/>
  <c r="H30" i="282"/>
  <c r="G31" i="282"/>
  <c r="L31" i="282" s="1"/>
  <c r="K15" i="281"/>
  <c r="M14" i="281"/>
  <c r="L12" i="281"/>
  <c r="K13" i="280"/>
  <c r="M12" i="280"/>
  <c r="K13" i="278"/>
  <c r="M12" i="278"/>
  <c r="L12" i="278"/>
  <c r="J13" i="278"/>
  <c r="O13" i="278" s="1"/>
  <c r="K13" i="277"/>
  <c r="M12" i="277"/>
  <c r="K13" i="276"/>
  <c r="M12" i="276"/>
  <c r="J13" i="276"/>
  <c r="O13" i="276" s="1"/>
  <c r="K15" i="275"/>
  <c r="M14" i="275"/>
  <c r="K14" i="274"/>
  <c r="M13" i="274"/>
  <c r="K13" i="273"/>
  <c r="M12" i="273"/>
  <c r="L12" i="271"/>
  <c r="K13" i="270"/>
  <c r="M12" i="270"/>
  <c r="K13" i="269"/>
  <c r="M12" i="269"/>
  <c r="L12" i="269"/>
  <c r="J13" i="269"/>
  <c r="S13" i="269" s="1"/>
  <c r="J13" i="270" l="1"/>
  <c r="S13" i="270" s="1"/>
  <c r="L12" i="270"/>
  <c r="J13" i="273"/>
  <c r="O13" i="273" s="1"/>
  <c r="L12" i="273"/>
  <c r="J13" i="271"/>
  <c r="O13" i="271" s="1"/>
  <c r="J13" i="275"/>
  <c r="O13" i="275" s="1"/>
  <c r="L12" i="277"/>
  <c r="L12" i="274"/>
  <c r="L12" i="275"/>
  <c r="J13" i="277"/>
  <c r="O13" i="277" s="1"/>
  <c r="J13" i="281"/>
  <c r="O13" i="281" s="1"/>
  <c r="J13" i="280"/>
  <c r="O13" i="280" s="1"/>
  <c r="L12" i="280"/>
  <c r="L12" i="276"/>
  <c r="J13" i="274"/>
  <c r="O13" i="274" s="1"/>
  <c r="L35" i="283"/>
  <c r="J36" i="283"/>
  <c r="O36" i="283" s="1"/>
  <c r="K15" i="271"/>
  <c r="M15" i="271" s="1"/>
  <c r="K37" i="283"/>
  <c r="M36" i="283"/>
  <c r="H31" i="282"/>
  <c r="G32" i="282"/>
  <c r="J14" i="281"/>
  <c r="O14" i="281" s="1"/>
  <c r="M15" i="281"/>
  <c r="K16" i="281"/>
  <c r="M13" i="280"/>
  <c r="K14" i="280"/>
  <c r="J14" i="278"/>
  <c r="O14" i="278" s="1"/>
  <c r="L13" i="278"/>
  <c r="M13" i="278"/>
  <c r="K14" i="278"/>
  <c r="M13" i="277"/>
  <c r="K14" i="277"/>
  <c r="J14" i="276"/>
  <c r="O14" i="276" s="1"/>
  <c r="L13" i="276"/>
  <c r="M13" i="276"/>
  <c r="K14" i="276"/>
  <c r="J14" i="275"/>
  <c r="O14" i="275" s="1"/>
  <c r="M15" i="275"/>
  <c r="K16" i="275"/>
  <c r="M14" i="274"/>
  <c r="K15" i="274"/>
  <c r="J14" i="273"/>
  <c r="O14" i="273" s="1"/>
  <c r="M13" i="273"/>
  <c r="K14" i="273"/>
  <c r="M13" i="270"/>
  <c r="K14" i="270"/>
  <c r="J14" i="269"/>
  <c r="S14" i="269" s="1"/>
  <c r="L13" i="269"/>
  <c r="M13" i="269"/>
  <c r="K14" i="269"/>
  <c r="L13" i="270" l="1"/>
  <c r="J14" i="270"/>
  <c r="S14" i="270" s="1"/>
  <c r="J14" i="271"/>
  <c r="O14" i="271" s="1"/>
  <c r="L13" i="273"/>
  <c r="L13" i="271"/>
  <c r="L13" i="274"/>
  <c r="L13" i="281"/>
  <c r="L13" i="275"/>
  <c r="J14" i="277"/>
  <c r="O14" i="277" s="1"/>
  <c r="L13" i="277"/>
  <c r="L13" i="280"/>
  <c r="J14" i="280"/>
  <c r="O14" i="280" s="1"/>
  <c r="J14" i="274"/>
  <c r="O14" i="274" s="1"/>
  <c r="L36" i="283"/>
  <c r="J37" i="283"/>
  <c r="O37" i="283" s="1"/>
  <c r="G33" i="282"/>
  <c r="L33" i="282" s="1"/>
  <c r="L32" i="282"/>
  <c r="K16" i="271"/>
  <c r="M16" i="271" s="1"/>
  <c r="J38" i="283"/>
  <c r="O38" i="283" s="1"/>
  <c r="M37" i="283"/>
  <c r="K38" i="283"/>
  <c r="H32" i="282"/>
  <c r="K17" i="281"/>
  <c r="M16" i="281"/>
  <c r="L14" i="281"/>
  <c r="J15" i="281"/>
  <c r="O15" i="281" s="1"/>
  <c r="K15" i="280"/>
  <c r="M14" i="280"/>
  <c r="K15" i="278"/>
  <c r="M14" i="278"/>
  <c r="L14" i="278"/>
  <c r="J15" i="278"/>
  <c r="O15" i="278" s="1"/>
  <c r="K15" i="277"/>
  <c r="M14" i="277"/>
  <c r="L14" i="277"/>
  <c r="K15" i="276"/>
  <c r="M14" i="276"/>
  <c r="L14" i="276"/>
  <c r="J15" i="276"/>
  <c r="O15" i="276" s="1"/>
  <c r="K17" i="275"/>
  <c r="M16" i="275"/>
  <c r="L14" i="275"/>
  <c r="J15" i="275"/>
  <c r="O15" i="275" s="1"/>
  <c r="K16" i="274"/>
  <c r="M15" i="274"/>
  <c r="K15" i="273"/>
  <c r="M14" i="273"/>
  <c r="L14" i="273"/>
  <c r="J15" i="273"/>
  <c r="O15" i="273" s="1"/>
  <c r="K15" i="270"/>
  <c r="M14" i="270"/>
  <c r="L14" i="270"/>
  <c r="J15" i="270"/>
  <c r="S15" i="270" s="1"/>
  <c r="K15" i="269"/>
  <c r="M14" i="269"/>
  <c r="L14" i="269"/>
  <c r="J15" i="269"/>
  <c r="S15" i="269" s="1"/>
  <c r="E40" i="268"/>
  <c r="E41" i="268" s="1"/>
  <c r="D40" i="268"/>
  <c r="F39" i="268"/>
  <c r="B39" i="268"/>
  <c r="F38" i="268"/>
  <c r="B38" i="268"/>
  <c r="F37" i="268"/>
  <c r="B37" i="268"/>
  <c r="F36" i="268"/>
  <c r="B36" i="268"/>
  <c r="F35" i="268"/>
  <c r="B35" i="268"/>
  <c r="F34" i="268"/>
  <c r="B34" i="268"/>
  <c r="F33" i="268"/>
  <c r="B33" i="268"/>
  <c r="F32" i="268"/>
  <c r="B32" i="268"/>
  <c r="F31" i="268"/>
  <c r="B31" i="268"/>
  <c r="F30" i="268"/>
  <c r="B30" i="268"/>
  <c r="F29" i="268"/>
  <c r="B29" i="268"/>
  <c r="F28" i="268"/>
  <c r="B28" i="268"/>
  <c r="F27" i="268"/>
  <c r="B27" i="268"/>
  <c r="F26" i="268"/>
  <c r="B26" i="268"/>
  <c r="F25" i="268"/>
  <c r="B25" i="268"/>
  <c r="F24" i="268"/>
  <c r="B24" i="268"/>
  <c r="F23" i="268"/>
  <c r="B23" i="268"/>
  <c r="F22" i="268"/>
  <c r="B22" i="268"/>
  <c r="F21" i="268"/>
  <c r="B21" i="268"/>
  <c r="F20" i="268"/>
  <c r="B20" i="268"/>
  <c r="F19" i="268"/>
  <c r="B19" i="268"/>
  <c r="F18" i="268"/>
  <c r="B18" i="268"/>
  <c r="F17" i="268"/>
  <c r="B17" i="268"/>
  <c r="F16" i="268"/>
  <c r="B16" i="268"/>
  <c r="F15" i="268"/>
  <c r="B15" i="268"/>
  <c r="F14" i="268"/>
  <c r="B14" i="268"/>
  <c r="F13" i="268"/>
  <c r="B13" i="268"/>
  <c r="F12" i="268"/>
  <c r="B12" i="268"/>
  <c r="F11" i="268"/>
  <c r="B11" i="268"/>
  <c r="F10" i="268"/>
  <c r="B10" i="268"/>
  <c r="G9" i="268"/>
  <c r="G10" i="268" s="1"/>
  <c r="F9" i="268"/>
  <c r="B9" i="268"/>
  <c r="D8" i="268"/>
  <c r="I5" i="268"/>
  <c r="H5" i="268"/>
  <c r="G5" i="268"/>
  <c r="F5" i="268"/>
  <c r="E5" i="268"/>
  <c r="D5" i="268"/>
  <c r="C5" i="268"/>
  <c r="B5" i="268"/>
  <c r="I2" i="268"/>
  <c r="A2" i="268"/>
  <c r="A1" i="268"/>
  <c r="E41" i="267"/>
  <c r="F39" i="267"/>
  <c r="B39" i="267"/>
  <c r="F38" i="267"/>
  <c r="B38" i="267"/>
  <c r="F37" i="267"/>
  <c r="B37" i="267"/>
  <c r="F36" i="267"/>
  <c r="B36" i="267"/>
  <c r="F35" i="267"/>
  <c r="B35" i="267"/>
  <c r="F34" i="267"/>
  <c r="B34" i="267"/>
  <c r="F33" i="267"/>
  <c r="B33" i="267"/>
  <c r="F32" i="267"/>
  <c r="B32" i="267"/>
  <c r="F31" i="267"/>
  <c r="B31" i="267"/>
  <c r="F30" i="267"/>
  <c r="B30" i="267"/>
  <c r="F29" i="267"/>
  <c r="B29" i="267"/>
  <c r="F28" i="267"/>
  <c r="B28" i="267"/>
  <c r="F27" i="267"/>
  <c r="B27" i="267"/>
  <c r="F26" i="267"/>
  <c r="B26" i="267"/>
  <c r="F25" i="267"/>
  <c r="B25" i="267"/>
  <c r="F24" i="267"/>
  <c r="B24" i="267"/>
  <c r="F23" i="267"/>
  <c r="B23" i="267"/>
  <c r="F22" i="267"/>
  <c r="B22" i="267"/>
  <c r="F21" i="267"/>
  <c r="B21" i="267"/>
  <c r="F20" i="267"/>
  <c r="B20" i="267"/>
  <c r="F19" i="267"/>
  <c r="B19" i="267"/>
  <c r="F18" i="267"/>
  <c r="B18" i="267"/>
  <c r="F17" i="267"/>
  <c r="B17" i="267"/>
  <c r="F16" i="267"/>
  <c r="B16" i="267"/>
  <c r="F15" i="267"/>
  <c r="B15" i="267"/>
  <c r="F14" i="267"/>
  <c r="B14" i="267"/>
  <c r="F13" i="267"/>
  <c r="B13" i="267"/>
  <c r="F12" i="267"/>
  <c r="B12" i="267"/>
  <c r="F11" i="267"/>
  <c r="B11" i="267"/>
  <c r="F10" i="267"/>
  <c r="B10" i="267"/>
  <c r="G9" i="267"/>
  <c r="F9" i="267"/>
  <c r="B9" i="267"/>
  <c r="I5" i="267"/>
  <c r="H5" i="267"/>
  <c r="G5" i="267"/>
  <c r="F5" i="267"/>
  <c r="E5" i="267"/>
  <c r="D5" i="267"/>
  <c r="C5" i="267"/>
  <c r="B5" i="267"/>
  <c r="I2" i="267"/>
  <c r="A2" i="267"/>
  <c r="A1" i="267"/>
  <c r="J15" i="271" l="1"/>
  <c r="O15" i="271" s="1"/>
  <c r="L14" i="271"/>
  <c r="J15" i="274"/>
  <c r="O15" i="274" s="1"/>
  <c r="L14" i="274"/>
  <c r="J15" i="277"/>
  <c r="O15" i="277" s="1"/>
  <c r="J15" i="280"/>
  <c r="O15" i="280" s="1"/>
  <c r="L14" i="280"/>
  <c r="K17" i="271"/>
  <c r="K18" i="271" s="1"/>
  <c r="L37" i="283"/>
  <c r="H9" i="267"/>
  <c r="D41" i="268"/>
  <c r="G41" i="268" s="1"/>
  <c r="K39" i="283"/>
  <c r="K40" i="283" s="1"/>
  <c r="M38" i="283"/>
  <c r="L38" i="283"/>
  <c r="J39" i="283"/>
  <c r="H33" i="282"/>
  <c r="G34" i="282"/>
  <c r="L34" i="282" s="1"/>
  <c r="J16" i="281"/>
  <c r="O16" i="281" s="1"/>
  <c r="L15" i="281"/>
  <c r="M17" i="281"/>
  <c r="K18" i="281"/>
  <c r="J16" i="280"/>
  <c r="O16" i="280" s="1"/>
  <c r="M15" i="280"/>
  <c r="K16" i="280"/>
  <c r="J16" i="278"/>
  <c r="O16" i="278" s="1"/>
  <c r="L15" i="278"/>
  <c r="M15" i="278"/>
  <c r="K16" i="278"/>
  <c r="J16" i="277"/>
  <c r="O16" i="277" s="1"/>
  <c r="M15" i="277"/>
  <c r="K16" i="277"/>
  <c r="J16" i="276"/>
  <c r="O16" i="276" s="1"/>
  <c r="L15" i="276"/>
  <c r="M15" i="276"/>
  <c r="K16" i="276"/>
  <c r="J16" i="275"/>
  <c r="O16" i="275" s="1"/>
  <c r="L15" i="275"/>
  <c r="M17" i="275"/>
  <c r="K18" i="275"/>
  <c r="M16" i="274"/>
  <c r="K17" i="274"/>
  <c r="J16" i="273"/>
  <c r="O16" i="273" s="1"/>
  <c r="L15" i="273"/>
  <c r="M15" i="273"/>
  <c r="K16" i="273"/>
  <c r="J16" i="270"/>
  <c r="S16" i="270" s="1"/>
  <c r="L15" i="270"/>
  <c r="M15" i="270"/>
  <c r="K16" i="270"/>
  <c r="J16" i="269"/>
  <c r="S16" i="269" s="1"/>
  <c r="L15" i="269"/>
  <c r="M15" i="269"/>
  <c r="K16" i="269"/>
  <c r="D41" i="267"/>
  <c r="G41" i="267" s="1"/>
  <c r="G11" i="268"/>
  <c r="H10" i="268"/>
  <c r="H9" i="268"/>
  <c r="G10" i="267"/>
  <c r="J16" i="271" l="1"/>
  <c r="O16" i="271" s="1"/>
  <c r="L15" i="271"/>
  <c r="J16" i="274"/>
  <c r="O16" i="274" s="1"/>
  <c r="L15" i="274"/>
  <c r="L15" i="277"/>
  <c r="M17" i="271"/>
  <c r="L15" i="280"/>
  <c r="J40" i="283"/>
  <c r="O39" i="283"/>
  <c r="L39" i="283"/>
  <c r="M39" i="283"/>
  <c r="H34" i="282"/>
  <c r="G35" i="282"/>
  <c r="L35" i="282" s="1"/>
  <c r="K19" i="281"/>
  <c r="M18" i="281"/>
  <c r="L16" i="281"/>
  <c r="J17" i="281"/>
  <c r="O17" i="281" s="1"/>
  <c r="K17" i="280"/>
  <c r="M16" i="280"/>
  <c r="L16" i="280"/>
  <c r="J17" i="280"/>
  <c r="O17" i="280" s="1"/>
  <c r="K17" i="278"/>
  <c r="M16" i="278"/>
  <c r="L16" i="278"/>
  <c r="J17" i="278"/>
  <c r="O17" i="278" s="1"/>
  <c r="K17" i="277"/>
  <c r="M16" i="277"/>
  <c r="L16" i="277"/>
  <c r="J17" i="277"/>
  <c r="O17" i="277" s="1"/>
  <c r="K17" i="276"/>
  <c r="M16" i="276"/>
  <c r="L16" i="276"/>
  <c r="J17" i="276"/>
  <c r="O17" i="276" s="1"/>
  <c r="K19" i="275"/>
  <c r="M18" i="275"/>
  <c r="L16" i="275"/>
  <c r="J17" i="275"/>
  <c r="O17" i="275" s="1"/>
  <c r="K18" i="274"/>
  <c r="M17" i="274"/>
  <c r="K17" i="273"/>
  <c r="M16" i="273"/>
  <c r="L16" i="273"/>
  <c r="J17" i="273"/>
  <c r="O17" i="273" s="1"/>
  <c r="K19" i="271"/>
  <c r="M18" i="271"/>
  <c r="K17" i="270"/>
  <c r="M16" i="270"/>
  <c r="L16" i="270"/>
  <c r="J17" i="270"/>
  <c r="S17" i="270" s="1"/>
  <c r="K17" i="269"/>
  <c r="M16" i="269"/>
  <c r="L16" i="269"/>
  <c r="J17" i="269"/>
  <c r="S17" i="269" s="1"/>
  <c r="G12" i="268"/>
  <c r="H11" i="268"/>
  <c r="H10" i="267"/>
  <c r="G11" i="267"/>
  <c r="J17" i="271" l="1"/>
  <c r="O17" i="271" s="1"/>
  <c r="L16" i="274"/>
  <c r="L16" i="271"/>
  <c r="J17" i="274"/>
  <c r="O17" i="274" s="1"/>
  <c r="H35" i="282"/>
  <c r="G36" i="282"/>
  <c r="L36" i="282" s="1"/>
  <c r="J18" i="281"/>
  <c r="O18" i="281" s="1"/>
  <c r="L17" i="281"/>
  <c r="M19" i="281"/>
  <c r="K20" i="281"/>
  <c r="J18" i="280"/>
  <c r="O18" i="280" s="1"/>
  <c r="L17" i="280"/>
  <c r="M17" i="280"/>
  <c r="K18" i="280"/>
  <c r="J18" i="278"/>
  <c r="O18" i="278" s="1"/>
  <c r="L17" i="278"/>
  <c r="M17" i="278"/>
  <c r="K18" i="278"/>
  <c r="J18" i="277"/>
  <c r="O18" i="277" s="1"/>
  <c r="L17" i="277"/>
  <c r="M17" i="277"/>
  <c r="K18" i="277"/>
  <c r="J18" i="276"/>
  <c r="O18" i="276" s="1"/>
  <c r="L17" i="276"/>
  <c r="M17" i="276"/>
  <c r="K18" i="276"/>
  <c r="J18" i="275"/>
  <c r="O18" i="275" s="1"/>
  <c r="L17" i="275"/>
  <c r="M19" i="275"/>
  <c r="K20" i="275"/>
  <c r="M18" i="274"/>
  <c r="K19" i="274"/>
  <c r="J18" i="273"/>
  <c r="O18" i="273" s="1"/>
  <c r="L17" i="273"/>
  <c r="M17" i="273"/>
  <c r="K18" i="273"/>
  <c r="J18" i="271"/>
  <c r="O18" i="271" s="1"/>
  <c r="M19" i="271"/>
  <c r="K20" i="271"/>
  <c r="J18" i="270"/>
  <c r="S18" i="270" s="1"/>
  <c r="L17" i="270"/>
  <c r="M17" i="270"/>
  <c r="K18" i="270"/>
  <c r="J18" i="269"/>
  <c r="S18" i="269" s="1"/>
  <c r="L17" i="269"/>
  <c r="M17" i="269"/>
  <c r="K18" i="269"/>
  <c r="G13" i="268"/>
  <c r="H12" i="268"/>
  <c r="H11" i="267"/>
  <c r="G12" i="267"/>
  <c r="L17" i="271" l="1"/>
  <c r="J18" i="274"/>
  <c r="O18" i="274" s="1"/>
  <c r="L17" i="274"/>
  <c r="H36" i="282"/>
  <c r="G37" i="282"/>
  <c r="L37" i="282" s="1"/>
  <c r="K21" i="281"/>
  <c r="M20" i="281"/>
  <c r="L18" i="281"/>
  <c r="J19" i="281"/>
  <c r="O19" i="281" s="1"/>
  <c r="K19" i="280"/>
  <c r="M18" i="280"/>
  <c r="L18" i="280"/>
  <c r="J19" i="280"/>
  <c r="O19" i="280" s="1"/>
  <c r="K19" i="278"/>
  <c r="M18" i="278"/>
  <c r="L18" i="278"/>
  <c r="J19" i="278"/>
  <c r="O19" i="278" s="1"/>
  <c r="K19" i="277"/>
  <c r="M18" i="277"/>
  <c r="L18" i="277"/>
  <c r="J19" i="277"/>
  <c r="O19" i="277" s="1"/>
  <c r="K19" i="276"/>
  <c r="M18" i="276"/>
  <c r="L18" i="276"/>
  <c r="J19" i="276"/>
  <c r="O19" i="276" s="1"/>
  <c r="K21" i="275"/>
  <c r="M20" i="275"/>
  <c r="L18" i="275"/>
  <c r="J19" i="275"/>
  <c r="O19" i="275" s="1"/>
  <c r="J19" i="274"/>
  <c r="O19" i="274" s="1"/>
  <c r="K20" i="274"/>
  <c r="M19" i="274"/>
  <c r="K19" i="273"/>
  <c r="M18" i="273"/>
  <c r="L18" i="273"/>
  <c r="J19" i="273"/>
  <c r="O19" i="273" s="1"/>
  <c r="K21" i="271"/>
  <c r="M20" i="271"/>
  <c r="L18" i="271"/>
  <c r="J19" i="271"/>
  <c r="O19" i="271" s="1"/>
  <c r="K19" i="270"/>
  <c r="M18" i="270"/>
  <c r="L18" i="270"/>
  <c r="J19" i="270"/>
  <c r="S19" i="270" s="1"/>
  <c r="K19" i="269"/>
  <c r="M18" i="269"/>
  <c r="L18" i="269"/>
  <c r="J19" i="269"/>
  <c r="S19" i="269" s="1"/>
  <c r="G14" i="268"/>
  <c r="H13" i="268"/>
  <c r="H12" i="267"/>
  <c r="G13" i="267"/>
  <c r="L18" i="274" l="1"/>
  <c r="H37" i="282"/>
  <c r="G38" i="282"/>
  <c r="L38" i="282" s="1"/>
  <c r="J20" i="281"/>
  <c r="O20" i="281" s="1"/>
  <c r="L19" i="281"/>
  <c r="M21" i="281"/>
  <c r="K22" i="281"/>
  <c r="J20" i="280"/>
  <c r="O20" i="280" s="1"/>
  <c r="L19" i="280"/>
  <c r="M19" i="280"/>
  <c r="K20" i="280"/>
  <c r="J20" i="278"/>
  <c r="O20" i="278" s="1"/>
  <c r="L19" i="278"/>
  <c r="M19" i="278"/>
  <c r="K20" i="278"/>
  <c r="J20" i="277"/>
  <c r="O20" i="277" s="1"/>
  <c r="L19" i="277"/>
  <c r="M19" i="277"/>
  <c r="K20" i="277"/>
  <c r="J20" i="276"/>
  <c r="O20" i="276" s="1"/>
  <c r="L19" i="276"/>
  <c r="M19" i="276"/>
  <c r="K20" i="276"/>
  <c r="J20" i="275"/>
  <c r="O20" i="275" s="1"/>
  <c r="L19" i="275"/>
  <c r="M21" i="275"/>
  <c r="K22" i="275"/>
  <c r="M20" i="274"/>
  <c r="K21" i="274"/>
  <c r="L19" i="274"/>
  <c r="J20" i="274"/>
  <c r="O20" i="274" s="1"/>
  <c r="M19" i="273"/>
  <c r="K20" i="273"/>
  <c r="J20" i="273"/>
  <c r="O20" i="273" s="1"/>
  <c r="L19" i="273"/>
  <c r="J20" i="271"/>
  <c r="O20" i="271" s="1"/>
  <c r="L19" i="271"/>
  <c r="M21" i="271"/>
  <c r="K22" i="271"/>
  <c r="J20" i="270"/>
  <c r="S20" i="270" s="1"/>
  <c r="L19" i="270"/>
  <c r="M19" i="270"/>
  <c r="K20" i="270"/>
  <c r="J20" i="269"/>
  <c r="S20" i="269" s="1"/>
  <c r="L19" i="269"/>
  <c r="M19" i="269"/>
  <c r="K20" i="269"/>
  <c r="G15" i="268"/>
  <c r="H14" i="268"/>
  <c r="H13" i="267"/>
  <c r="G14" i="267"/>
  <c r="H38" i="282" l="1"/>
  <c r="G39" i="282"/>
  <c r="L39" i="282" s="1"/>
  <c r="K23" i="281"/>
  <c r="M22" i="281"/>
  <c r="L20" i="281"/>
  <c r="J21" i="281"/>
  <c r="O21" i="281" s="1"/>
  <c r="K21" i="280"/>
  <c r="M20" i="280"/>
  <c r="L20" i="280"/>
  <c r="J21" i="280"/>
  <c r="O21" i="280" s="1"/>
  <c r="K21" i="278"/>
  <c r="M20" i="278"/>
  <c r="L20" i="278"/>
  <c r="J21" i="278"/>
  <c r="O21" i="278" s="1"/>
  <c r="K21" i="277"/>
  <c r="M20" i="277"/>
  <c r="L20" i="277"/>
  <c r="J21" i="277"/>
  <c r="O21" i="277" s="1"/>
  <c r="K21" i="276"/>
  <c r="M20" i="276"/>
  <c r="L20" i="276"/>
  <c r="J21" i="276"/>
  <c r="O21" i="276" s="1"/>
  <c r="K23" i="275"/>
  <c r="M22" i="275"/>
  <c r="L20" i="275"/>
  <c r="J21" i="275"/>
  <c r="O21" i="275" s="1"/>
  <c r="J21" i="274"/>
  <c r="O21" i="274" s="1"/>
  <c r="L20" i="274"/>
  <c r="K22" i="274"/>
  <c r="M21" i="274"/>
  <c r="K21" i="273"/>
  <c r="M20" i="273"/>
  <c r="L20" i="273"/>
  <c r="J21" i="273"/>
  <c r="O21" i="273" s="1"/>
  <c r="K23" i="271"/>
  <c r="M22" i="271"/>
  <c r="L20" i="271"/>
  <c r="J21" i="271"/>
  <c r="O21" i="271" s="1"/>
  <c r="K21" i="270"/>
  <c r="M20" i="270"/>
  <c r="L20" i="270"/>
  <c r="J21" i="270"/>
  <c r="S21" i="270" s="1"/>
  <c r="K21" i="269"/>
  <c r="M20" i="269"/>
  <c r="L20" i="269"/>
  <c r="J21" i="269"/>
  <c r="S21" i="269" s="1"/>
  <c r="G16" i="268"/>
  <c r="H15" i="268"/>
  <c r="H14" i="267"/>
  <c r="G15" i="267"/>
  <c r="H39" i="282" l="1"/>
  <c r="G40" i="282"/>
  <c r="J22" i="281"/>
  <c r="O22" i="281" s="1"/>
  <c r="L21" i="281"/>
  <c r="M23" i="281"/>
  <c r="K24" i="281"/>
  <c r="J22" i="280"/>
  <c r="O22" i="280" s="1"/>
  <c r="L21" i="280"/>
  <c r="M21" i="280"/>
  <c r="K22" i="280"/>
  <c r="J22" i="278"/>
  <c r="O22" i="278" s="1"/>
  <c r="L21" i="278"/>
  <c r="M21" i="278"/>
  <c r="K22" i="278"/>
  <c r="J22" i="277"/>
  <c r="O22" i="277" s="1"/>
  <c r="L21" i="277"/>
  <c r="M21" i="277"/>
  <c r="K22" i="277"/>
  <c r="J22" i="276"/>
  <c r="O22" i="276" s="1"/>
  <c r="L21" i="276"/>
  <c r="M21" i="276"/>
  <c r="K22" i="276"/>
  <c r="J22" i="275"/>
  <c r="O22" i="275" s="1"/>
  <c r="L21" i="275"/>
  <c r="M23" i="275"/>
  <c r="K24" i="275"/>
  <c r="M22" i="274"/>
  <c r="K23" i="274"/>
  <c r="L21" i="274"/>
  <c r="J22" i="274"/>
  <c r="O22" i="274" s="1"/>
  <c r="J22" i="273"/>
  <c r="O22" i="273" s="1"/>
  <c r="L21" i="273"/>
  <c r="M21" i="273"/>
  <c r="K22" i="273"/>
  <c r="J22" i="271"/>
  <c r="O22" i="271" s="1"/>
  <c r="L21" i="271"/>
  <c r="M23" i="271"/>
  <c r="K24" i="271"/>
  <c r="J22" i="270"/>
  <c r="S22" i="270" s="1"/>
  <c r="L21" i="270"/>
  <c r="M21" i="270"/>
  <c r="K22" i="270"/>
  <c r="J22" i="269"/>
  <c r="S22" i="269" s="1"/>
  <c r="L21" i="269"/>
  <c r="M21" i="269"/>
  <c r="K22" i="269"/>
  <c r="G17" i="268"/>
  <c r="H16" i="268"/>
  <c r="H15" i="267"/>
  <c r="G16" i="267"/>
  <c r="K25" i="281" l="1"/>
  <c r="M24" i="281"/>
  <c r="L22" i="281"/>
  <c r="J23" i="281"/>
  <c r="O23" i="281" s="1"/>
  <c r="K23" i="280"/>
  <c r="M22" i="280"/>
  <c r="L22" i="280"/>
  <c r="J23" i="280"/>
  <c r="O23" i="280" s="1"/>
  <c r="K23" i="278"/>
  <c r="M22" i="278"/>
  <c r="L22" i="278"/>
  <c r="J23" i="278"/>
  <c r="O23" i="278" s="1"/>
  <c r="K23" i="277"/>
  <c r="M22" i="277"/>
  <c r="L22" i="277"/>
  <c r="J23" i="277"/>
  <c r="O23" i="277" s="1"/>
  <c r="K23" i="276"/>
  <c r="M22" i="276"/>
  <c r="L22" i="276"/>
  <c r="J23" i="276"/>
  <c r="O23" i="276" s="1"/>
  <c r="K25" i="275"/>
  <c r="M24" i="275"/>
  <c r="L22" i="275"/>
  <c r="J23" i="275"/>
  <c r="O23" i="275" s="1"/>
  <c r="J23" i="274"/>
  <c r="O23" i="274" s="1"/>
  <c r="L22" i="274"/>
  <c r="K24" i="274"/>
  <c r="M23" i="274"/>
  <c r="K23" i="273"/>
  <c r="M22" i="273"/>
  <c r="L22" i="273"/>
  <c r="J23" i="273"/>
  <c r="O23" i="273" s="1"/>
  <c r="K25" i="271"/>
  <c r="M24" i="271"/>
  <c r="L22" i="271"/>
  <c r="J23" i="271"/>
  <c r="O23" i="271" s="1"/>
  <c r="K23" i="270"/>
  <c r="M22" i="270"/>
  <c r="L22" i="270"/>
  <c r="J23" i="270"/>
  <c r="S23" i="270" s="1"/>
  <c r="K23" i="269"/>
  <c r="M22" i="269"/>
  <c r="L22" i="269"/>
  <c r="J23" i="269"/>
  <c r="S23" i="269" s="1"/>
  <c r="G18" i="268"/>
  <c r="H17" i="268"/>
  <c r="H16" i="267"/>
  <c r="G17" i="267"/>
  <c r="J24" i="281" l="1"/>
  <c r="O24" i="281" s="1"/>
  <c r="L23" i="281"/>
  <c r="M25" i="281"/>
  <c r="K26" i="281"/>
  <c r="J24" i="280"/>
  <c r="O24" i="280" s="1"/>
  <c r="L23" i="280"/>
  <c r="M23" i="280"/>
  <c r="K24" i="280"/>
  <c r="J24" i="278"/>
  <c r="O24" i="278" s="1"/>
  <c r="L23" i="278"/>
  <c r="M23" i="278"/>
  <c r="K24" i="278"/>
  <c r="J24" i="277"/>
  <c r="O24" i="277" s="1"/>
  <c r="L23" i="277"/>
  <c r="M23" i="277"/>
  <c r="K24" i="277"/>
  <c r="J24" i="276"/>
  <c r="O24" i="276" s="1"/>
  <c r="L23" i="276"/>
  <c r="M23" i="276"/>
  <c r="K24" i="276"/>
  <c r="J24" i="275"/>
  <c r="O24" i="275" s="1"/>
  <c r="L23" i="275"/>
  <c r="M25" i="275"/>
  <c r="K26" i="275"/>
  <c r="L23" i="274"/>
  <c r="J24" i="274"/>
  <c r="O24" i="274" s="1"/>
  <c r="M24" i="274"/>
  <c r="K25" i="274"/>
  <c r="J24" i="273"/>
  <c r="O24" i="273" s="1"/>
  <c r="L23" i="273"/>
  <c r="M23" i="273"/>
  <c r="K24" i="273"/>
  <c r="J24" i="271"/>
  <c r="O24" i="271" s="1"/>
  <c r="L23" i="271"/>
  <c r="M25" i="271"/>
  <c r="K26" i="271"/>
  <c r="J24" i="270"/>
  <c r="S24" i="270" s="1"/>
  <c r="L23" i="270"/>
  <c r="M23" i="270"/>
  <c r="K24" i="270"/>
  <c r="J24" i="269"/>
  <c r="S24" i="269" s="1"/>
  <c r="L23" i="269"/>
  <c r="M23" i="269"/>
  <c r="K24" i="269"/>
  <c r="G19" i="268"/>
  <c r="H18" i="268"/>
  <c r="H17" i="267"/>
  <c r="G18" i="267"/>
  <c r="K27" i="281" l="1"/>
  <c r="M26" i="281"/>
  <c r="L24" i="281"/>
  <c r="J25" i="281"/>
  <c r="O25" i="281" s="1"/>
  <c r="K25" i="280"/>
  <c r="M24" i="280"/>
  <c r="L24" i="280"/>
  <c r="J25" i="280"/>
  <c r="O25" i="280" s="1"/>
  <c r="K25" i="278"/>
  <c r="M24" i="278"/>
  <c r="L24" i="278"/>
  <c r="J25" i="278"/>
  <c r="O25" i="278" s="1"/>
  <c r="K25" i="277"/>
  <c r="M24" i="277"/>
  <c r="L24" i="277"/>
  <c r="J25" i="277"/>
  <c r="O25" i="277" s="1"/>
  <c r="K25" i="276"/>
  <c r="M24" i="276"/>
  <c r="L24" i="276"/>
  <c r="J25" i="276"/>
  <c r="O25" i="276" s="1"/>
  <c r="K27" i="275"/>
  <c r="M26" i="275"/>
  <c r="L24" i="275"/>
  <c r="J25" i="275"/>
  <c r="O25" i="275" s="1"/>
  <c r="K26" i="274"/>
  <c r="M25" i="274"/>
  <c r="J25" i="274"/>
  <c r="O25" i="274" s="1"/>
  <c r="L24" i="274"/>
  <c r="K25" i="273"/>
  <c r="M24" i="273"/>
  <c r="L24" i="273"/>
  <c r="J25" i="273"/>
  <c r="O25" i="273" s="1"/>
  <c r="K27" i="271"/>
  <c r="M26" i="271"/>
  <c r="L24" i="271"/>
  <c r="J25" i="271"/>
  <c r="O25" i="271" s="1"/>
  <c r="K25" i="270"/>
  <c r="M24" i="270"/>
  <c r="L24" i="270"/>
  <c r="J25" i="270"/>
  <c r="S25" i="270" s="1"/>
  <c r="K25" i="269"/>
  <c r="M24" i="269"/>
  <c r="L24" i="269"/>
  <c r="J25" i="269"/>
  <c r="S25" i="269" s="1"/>
  <c r="G20" i="268"/>
  <c r="H19" i="268"/>
  <c r="H18" i="267"/>
  <c r="G19" i="267"/>
  <c r="J26" i="281" l="1"/>
  <c r="O26" i="281" s="1"/>
  <c r="L25" i="281"/>
  <c r="M27" i="281"/>
  <c r="K28" i="281"/>
  <c r="J26" i="280"/>
  <c r="O26" i="280" s="1"/>
  <c r="L25" i="280"/>
  <c r="M25" i="280"/>
  <c r="K26" i="280"/>
  <c r="J26" i="278"/>
  <c r="O26" i="278" s="1"/>
  <c r="L25" i="278"/>
  <c r="M25" i="278"/>
  <c r="K26" i="278"/>
  <c r="J26" i="277"/>
  <c r="O26" i="277" s="1"/>
  <c r="L25" i="277"/>
  <c r="M25" i="277"/>
  <c r="K26" i="277"/>
  <c r="J26" i="276"/>
  <c r="O26" i="276" s="1"/>
  <c r="L25" i="276"/>
  <c r="M25" i="276"/>
  <c r="K26" i="276"/>
  <c r="J26" i="275"/>
  <c r="O26" i="275" s="1"/>
  <c r="L25" i="275"/>
  <c r="M27" i="275"/>
  <c r="K28" i="275"/>
  <c r="L25" i="274"/>
  <c r="J26" i="274"/>
  <c r="O26" i="274" s="1"/>
  <c r="M26" i="274"/>
  <c r="K27" i="274"/>
  <c r="J26" i="273"/>
  <c r="O26" i="273" s="1"/>
  <c r="L25" i="273"/>
  <c r="M25" i="273"/>
  <c r="K26" i="273"/>
  <c r="M27" i="271"/>
  <c r="K28" i="271"/>
  <c r="J26" i="271"/>
  <c r="O26" i="271" s="1"/>
  <c r="L25" i="271"/>
  <c r="J26" i="270"/>
  <c r="S26" i="270" s="1"/>
  <c r="L25" i="270"/>
  <c r="M25" i="270"/>
  <c r="K26" i="270"/>
  <c r="J26" i="269"/>
  <c r="S26" i="269" s="1"/>
  <c r="L25" i="269"/>
  <c r="M25" i="269"/>
  <c r="K26" i="269"/>
  <c r="G21" i="268"/>
  <c r="H20" i="268"/>
  <c r="H19" i="267"/>
  <c r="G20" i="267"/>
  <c r="K29" i="281" l="1"/>
  <c r="M28" i="281"/>
  <c r="L26" i="281"/>
  <c r="J27" i="281"/>
  <c r="O27" i="281" s="1"/>
  <c r="K27" i="280"/>
  <c r="M26" i="280"/>
  <c r="L26" i="280"/>
  <c r="J27" i="280"/>
  <c r="O27" i="280" s="1"/>
  <c r="K27" i="278"/>
  <c r="M26" i="278"/>
  <c r="L26" i="278"/>
  <c r="J27" i="278"/>
  <c r="O27" i="278" s="1"/>
  <c r="K27" i="277"/>
  <c r="M26" i="277"/>
  <c r="L26" i="277"/>
  <c r="J27" i="277"/>
  <c r="O27" i="277" s="1"/>
  <c r="K27" i="276"/>
  <c r="M26" i="276"/>
  <c r="L26" i="276"/>
  <c r="J27" i="276"/>
  <c r="O27" i="276" s="1"/>
  <c r="K29" i="275"/>
  <c r="M28" i="275"/>
  <c r="L26" i="275"/>
  <c r="J27" i="275"/>
  <c r="O27" i="275" s="1"/>
  <c r="K28" i="274"/>
  <c r="M27" i="274"/>
  <c r="J27" i="274"/>
  <c r="O27" i="274" s="1"/>
  <c r="L26" i="274"/>
  <c r="K27" i="273"/>
  <c r="M26" i="273"/>
  <c r="L26" i="273"/>
  <c r="J27" i="273"/>
  <c r="O27" i="273" s="1"/>
  <c r="L26" i="271"/>
  <c r="J27" i="271"/>
  <c r="O27" i="271" s="1"/>
  <c r="K29" i="271"/>
  <c r="M28" i="271"/>
  <c r="K27" i="270"/>
  <c r="M26" i="270"/>
  <c r="L26" i="270"/>
  <c r="J27" i="270"/>
  <c r="S27" i="270" s="1"/>
  <c r="K27" i="269"/>
  <c r="M26" i="269"/>
  <c r="L26" i="269"/>
  <c r="J27" i="269"/>
  <c r="S27" i="269" s="1"/>
  <c r="G22" i="268"/>
  <c r="H21" i="268"/>
  <c r="H20" i="267"/>
  <c r="G21" i="267"/>
  <c r="J28" i="281" l="1"/>
  <c r="O28" i="281" s="1"/>
  <c r="L27" i="281"/>
  <c r="M29" i="281"/>
  <c r="K30" i="281"/>
  <c r="J28" i="280"/>
  <c r="O28" i="280" s="1"/>
  <c r="L27" i="280"/>
  <c r="M27" i="280"/>
  <c r="K28" i="280"/>
  <c r="J28" i="278"/>
  <c r="O28" i="278" s="1"/>
  <c r="L27" i="278"/>
  <c r="M27" i="278"/>
  <c r="K28" i="278"/>
  <c r="J28" i="277"/>
  <c r="O28" i="277" s="1"/>
  <c r="L27" i="277"/>
  <c r="M27" i="277"/>
  <c r="K28" i="277"/>
  <c r="J28" i="276"/>
  <c r="O28" i="276" s="1"/>
  <c r="L27" i="276"/>
  <c r="M27" i="276"/>
  <c r="K28" i="276"/>
  <c r="J28" i="275"/>
  <c r="O28" i="275" s="1"/>
  <c r="L27" i="275"/>
  <c r="M29" i="275"/>
  <c r="K30" i="275"/>
  <c r="L27" i="274"/>
  <c r="J28" i="274"/>
  <c r="O28" i="274" s="1"/>
  <c r="M28" i="274"/>
  <c r="K29" i="274"/>
  <c r="J28" i="273"/>
  <c r="O28" i="273" s="1"/>
  <c r="L27" i="273"/>
  <c r="M27" i="273"/>
  <c r="K28" i="273"/>
  <c r="J28" i="271"/>
  <c r="O28" i="271" s="1"/>
  <c r="L27" i="271"/>
  <c r="M29" i="271"/>
  <c r="K30" i="271"/>
  <c r="J28" i="270"/>
  <c r="S28" i="270" s="1"/>
  <c r="L27" i="270"/>
  <c r="M27" i="270"/>
  <c r="K28" i="270"/>
  <c r="J28" i="269"/>
  <c r="S28" i="269" s="1"/>
  <c r="L27" i="269"/>
  <c r="M27" i="269"/>
  <c r="K28" i="269"/>
  <c r="G23" i="268"/>
  <c r="H22" i="268"/>
  <c r="H21" i="267"/>
  <c r="G22" i="267"/>
  <c r="K31" i="281" l="1"/>
  <c r="M30" i="281"/>
  <c r="L28" i="281"/>
  <c r="J29" i="281"/>
  <c r="O29" i="281" s="1"/>
  <c r="K29" i="280"/>
  <c r="M28" i="280"/>
  <c r="L28" i="280"/>
  <c r="J29" i="280"/>
  <c r="O29" i="280" s="1"/>
  <c r="K29" i="278"/>
  <c r="M28" i="278"/>
  <c r="L28" i="278"/>
  <c r="J29" i="278"/>
  <c r="O29" i="278" s="1"/>
  <c r="K29" i="277"/>
  <c r="M28" i="277"/>
  <c r="L28" i="277"/>
  <c r="J29" i="277"/>
  <c r="O29" i="277" s="1"/>
  <c r="K29" i="276"/>
  <c r="M28" i="276"/>
  <c r="L28" i="276"/>
  <c r="J29" i="276"/>
  <c r="O29" i="276" s="1"/>
  <c r="K31" i="275"/>
  <c r="M30" i="275"/>
  <c r="L28" i="275"/>
  <c r="J29" i="275"/>
  <c r="O29" i="275" s="1"/>
  <c r="K30" i="274"/>
  <c r="M29" i="274"/>
  <c r="J29" i="274"/>
  <c r="O29" i="274" s="1"/>
  <c r="L28" i="274"/>
  <c r="K29" i="273"/>
  <c r="M28" i="273"/>
  <c r="L28" i="273"/>
  <c r="J29" i="273"/>
  <c r="O29" i="273" s="1"/>
  <c r="K31" i="271"/>
  <c r="M30" i="271"/>
  <c r="L28" i="271"/>
  <c r="J29" i="271"/>
  <c r="O29" i="271" s="1"/>
  <c r="K29" i="270"/>
  <c r="M28" i="270"/>
  <c r="L28" i="270"/>
  <c r="J29" i="270"/>
  <c r="S29" i="270" s="1"/>
  <c r="L28" i="269"/>
  <c r="J29" i="269"/>
  <c r="S29" i="269" s="1"/>
  <c r="K29" i="269"/>
  <c r="M28" i="269"/>
  <c r="G24" i="268"/>
  <c r="H23" i="268"/>
  <c r="H22" i="267"/>
  <c r="G23" i="267"/>
  <c r="J30" i="281" l="1"/>
  <c r="O30" i="281" s="1"/>
  <c r="L29" i="281"/>
  <c r="M31" i="281"/>
  <c r="K32" i="281"/>
  <c r="J30" i="280"/>
  <c r="O30" i="280" s="1"/>
  <c r="L29" i="280"/>
  <c r="M29" i="280"/>
  <c r="K30" i="280"/>
  <c r="J30" i="278"/>
  <c r="O30" i="278" s="1"/>
  <c r="L29" i="278"/>
  <c r="M29" i="278"/>
  <c r="K30" i="278"/>
  <c r="J30" i="277"/>
  <c r="O30" i="277" s="1"/>
  <c r="L29" i="277"/>
  <c r="M29" i="277"/>
  <c r="K30" i="277"/>
  <c r="J30" i="276"/>
  <c r="O30" i="276" s="1"/>
  <c r="L29" i="276"/>
  <c r="M29" i="276"/>
  <c r="K30" i="276"/>
  <c r="J30" i="275"/>
  <c r="O30" i="275" s="1"/>
  <c r="L29" i="275"/>
  <c r="M31" i="275"/>
  <c r="K32" i="275"/>
  <c r="L29" i="274"/>
  <c r="J30" i="274"/>
  <c r="O30" i="274" s="1"/>
  <c r="M30" i="274"/>
  <c r="K31" i="274"/>
  <c r="J30" i="273"/>
  <c r="O30" i="273" s="1"/>
  <c r="L29" i="273"/>
  <c r="M29" i="273"/>
  <c r="K30" i="273"/>
  <c r="J30" i="271"/>
  <c r="O30" i="271" s="1"/>
  <c r="L29" i="271"/>
  <c r="M31" i="271"/>
  <c r="K32" i="271"/>
  <c r="J30" i="270"/>
  <c r="S30" i="270" s="1"/>
  <c r="L29" i="270"/>
  <c r="M29" i="270"/>
  <c r="K30" i="270"/>
  <c r="J30" i="269"/>
  <c r="S30" i="269" s="1"/>
  <c r="L29" i="269"/>
  <c r="M29" i="269"/>
  <c r="K30" i="269"/>
  <c r="G25" i="268"/>
  <c r="H24" i="268"/>
  <c r="H23" i="267"/>
  <c r="G24" i="267"/>
  <c r="K33" i="281" l="1"/>
  <c r="M32" i="281"/>
  <c r="L30" i="281"/>
  <c r="J31" i="281"/>
  <c r="O31" i="281" s="1"/>
  <c r="K31" i="280"/>
  <c r="M30" i="280"/>
  <c r="L30" i="280"/>
  <c r="J31" i="280"/>
  <c r="O31" i="280" s="1"/>
  <c r="K31" i="278"/>
  <c r="M30" i="278"/>
  <c r="L30" i="278"/>
  <c r="J31" i="278"/>
  <c r="O31" i="278" s="1"/>
  <c r="K31" i="277"/>
  <c r="M30" i="277"/>
  <c r="L30" i="277"/>
  <c r="J31" i="277"/>
  <c r="O31" i="277" s="1"/>
  <c r="K31" i="276"/>
  <c r="M30" i="276"/>
  <c r="L30" i="276"/>
  <c r="J31" i="276"/>
  <c r="O31" i="276" s="1"/>
  <c r="K33" i="275"/>
  <c r="M32" i="275"/>
  <c r="L30" i="275"/>
  <c r="J31" i="275"/>
  <c r="O31" i="275" s="1"/>
  <c r="K32" i="274"/>
  <c r="M31" i="274"/>
  <c r="J31" i="274"/>
  <c r="O31" i="274" s="1"/>
  <c r="L30" i="274"/>
  <c r="K31" i="273"/>
  <c r="M30" i="273"/>
  <c r="L30" i="273"/>
  <c r="J31" i="273"/>
  <c r="O31" i="273" s="1"/>
  <c r="K33" i="271"/>
  <c r="M32" i="271"/>
  <c r="L30" i="271"/>
  <c r="J31" i="271"/>
  <c r="O31" i="271" s="1"/>
  <c r="K31" i="270"/>
  <c r="M30" i="270"/>
  <c r="L30" i="270"/>
  <c r="J31" i="270"/>
  <c r="S31" i="270" s="1"/>
  <c r="K31" i="269"/>
  <c r="M30" i="269"/>
  <c r="L30" i="269"/>
  <c r="J31" i="269"/>
  <c r="S31" i="269" s="1"/>
  <c r="G26" i="268"/>
  <c r="H25" i="268"/>
  <c r="H24" i="267"/>
  <c r="G25" i="267"/>
  <c r="J32" i="281" l="1"/>
  <c r="O32" i="281" s="1"/>
  <c r="L31" i="281"/>
  <c r="M33" i="281"/>
  <c r="K34" i="281"/>
  <c r="J32" i="280"/>
  <c r="O32" i="280" s="1"/>
  <c r="L31" i="280"/>
  <c r="M31" i="280"/>
  <c r="K32" i="280"/>
  <c r="J32" i="278"/>
  <c r="O32" i="278" s="1"/>
  <c r="L31" i="278"/>
  <c r="M31" i="278"/>
  <c r="K32" i="278"/>
  <c r="J32" i="277"/>
  <c r="O32" i="277" s="1"/>
  <c r="L31" i="277"/>
  <c r="M31" i="277"/>
  <c r="K32" i="277"/>
  <c r="J32" i="276"/>
  <c r="O32" i="276" s="1"/>
  <c r="L31" i="276"/>
  <c r="M31" i="276"/>
  <c r="K32" i="276"/>
  <c r="J32" i="275"/>
  <c r="O32" i="275" s="1"/>
  <c r="L31" i="275"/>
  <c r="M33" i="275"/>
  <c r="K34" i="275"/>
  <c r="L31" i="274"/>
  <c r="J32" i="274"/>
  <c r="O32" i="274" s="1"/>
  <c r="M32" i="274"/>
  <c r="K33" i="274"/>
  <c r="J32" i="273"/>
  <c r="O32" i="273" s="1"/>
  <c r="L31" i="273"/>
  <c r="M31" i="273"/>
  <c r="K32" i="273"/>
  <c r="J32" i="271"/>
  <c r="O32" i="271" s="1"/>
  <c r="L31" i="271"/>
  <c r="M33" i="271"/>
  <c r="K34" i="271"/>
  <c r="J32" i="270"/>
  <c r="S32" i="270" s="1"/>
  <c r="L31" i="270"/>
  <c r="M31" i="270"/>
  <c r="K32" i="270"/>
  <c r="J32" i="269"/>
  <c r="S32" i="269" s="1"/>
  <c r="L31" i="269"/>
  <c r="M31" i="269"/>
  <c r="K32" i="269"/>
  <c r="G27" i="268"/>
  <c r="H26" i="268"/>
  <c r="H25" i="267"/>
  <c r="G26" i="267"/>
  <c r="K35" i="281" l="1"/>
  <c r="M34" i="281"/>
  <c r="L32" i="281"/>
  <c r="J33" i="281"/>
  <c r="O33" i="281" s="1"/>
  <c r="K33" i="280"/>
  <c r="M32" i="280"/>
  <c r="L32" i="280"/>
  <c r="J33" i="280"/>
  <c r="O33" i="280" s="1"/>
  <c r="K33" i="278"/>
  <c r="M32" i="278"/>
  <c r="L32" i="278"/>
  <c r="J33" i="278"/>
  <c r="O33" i="278" s="1"/>
  <c r="K33" i="277"/>
  <c r="M32" i="277"/>
  <c r="L32" i="277"/>
  <c r="J33" i="277"/>
  <c r="O33" i="277" s="1"/>
  <c r="K33" i="276"/>
  <c r="M32" i="276"/>
  <c r="L32" i="276"/>
  <c r="J33" i="276"/>
  <c r="O33" i="276" s="1"/>
  <c r="K35" i="275"/>
  <c r="M34" i="275"/>
  <c r="L32" i="275"/>
  <c r="J33" i="275"/>
  <c r="O33" i="275" s="1"/>
  <c r="K34" i="274"/>
  <c r="M33" i="274"/>
  <c r="J33" i="274"/>
  <c r="O33" i="274" s="1"/>
  <c r="L32" i="274"/>
  <c r="K33" i="273"/>
  <c r="M32" i="273"/>
  <c r="L32" i="273"/>
  <c r="J33" i="273"/>
  <c r="O33" i="273" s="1"/>
  <c r="K35" i="271"/>
  <c r="M34" i="271"/>
  <c r="L32" i="271"/>
  <c r="J33" i="271"/>
  <c r="O33" i="271" s="1"/>
  <c r="K33" i="270"/>
  <c r="M32" i="270"/>
  <c r="L32" i="270"/>
  <c r="J33" i="270"/>
  <c r="S33" i="270" s="1"/>
  <c r="K33" i="269"/>
  <c r="M32" i="269"/>
  <c r="L32" i="269"/>
  <c r="J33" i="269"/>
  <c r="S33" i="269" s="1"/>
  <c r="G28" i="268"/>
  <c r="H27" i="268"/>
  <c r="H26" i="267"/>
  <c r="G27" i="267"/>
  <c r="J34" i="281" l="1"/>
  <c r="O34" i="281" s="1"/>
  <c r="L33" i="281"/>
  <c r="M35" i="281"/>
  <c r="K36" i="281"/>
  <c r="J34" i="280"/>
  <c r="O34" i="280" s="1"/>
  <c r="L33" i="280"/>
  <c r="M33" i="280"/>
  <c r="K34" i="280"/>
  <c r="J34" i="278"/>
  <c r="O34" i="278" s="1"/>
  <c r="L33" i="278"/>
  <c r="M33" i="278"/>
  <c r="K34" i="278"/>
  <c r="J34" i="277"/>
  <c r="O34" i="277" s="1"/>
  <c r="L33" i="277"/>
  <c r="M33" i="277"/>
  <c r="K34" i="277"/>
  <c r="J34" i="276"/>
  <c r="O34" i="276" s="1"/>
  <c r="L33" i="276"/>
  <c r="M33" i="276"/>
  <c r="K34" i="276"/>
  <c r="J34" i="275"/>
  <c r="O34" i="275" s="1"/>
  <c r="L33" i="275"/>
  <c r="M35" i="275"/>
  <c r="K36" i="275"/>
  <c r="L33" i="274"/>
  <c r="J34" i="274"/>
  <c r="O34" i="274" s="1"/>
  <c r="M34" i="274"/>
  <c r="K35" i="274"/>
  <c r="J34" i="273"/>
  <c r="O34" i="273" s="1"/>
  <c r="L33" i="273"/>
  <c r="M33" i="273"/>
  <c r="K34" i="273"/>
  <c r="J34" i="271"/>
  <c r="O34" i="271" s="1"/>
  <c r="L33" i="271"/>
  <c r="M35" i="271"/>
  <c r="K36" i="271"/>
  <c r="J34" i="270"/>
  <c r="S34" i="270" s="1"/>
  <c r="L33" i="270"/>
  <c r="M33" i="270"/>
  <c r="K34" i="270"/>
  <c r="J34" i="269"/>
  <c r="S34" i="269" s="1"/>
  <c r="L33" i="269"/>
  <c r="M33" i="269"/>
  <c r="K34" i="269"/>
  <c r="G29" i="268"/>
  <c r="H28" i="268"/>
  <c r="H27" i="267"/>
  <c r="G28" i="267"/>
  <c r="K37" i="281" l="1"/>
  <c r="M36" i="281"/>
  <c r="L34" i="281"/>
  <c r="J35" i="281"/>
  <c r="O35" i="281" s="1"/>
  <c r="K35" i="280"/>
  <c r="M34" i="280"/>
  <c r="L34" i="280"/>
  <c r="J35" i="280"/>
  <c r="O35" i="280" s="1"/>
  <c r="K35" i="278"/>
  <c r="M34" i="278"/>
  <c r="L34" i="278"/>
  <c r="J35" i="278"/>
  <c r="O35" i="278" s="1"/>
  <c r="K35" i="277"/>
  <c r="M34" i="277"/>
  <c r="L34" i="277"/>
  <c r="J35" i="277"/>
  <c r="O35" i="277" s="1"/>
  <c r="K35" i="276"/>
  <c r="M34" i="276"/>
  <c r="L34" i="276"/>
  <c r="J35" i="276"/>
  <c r="O35" i="276" s="1"/>
  <c r="K37" i="275"/>
  <c r="M36" i="275"/>
  <c r="L34" i="275"/>
  <c r="J35" i="275"/>
  <c r="O35" i="275" s="1"/>
  <c r="K36" i="274"/>
  <c r="M35" i="274"/>
  <c r="J35" i="274"/>
  <c r="O35" i="274" s="1"/>
  <c r="L34" i="274"/>
  <c r="K35" i="273"/>
  <c r="M34" i="273"/>
  <c r="L34" i="273"/>
  <c r="J35" i="273"/>
  <c r="O35" i="273" s="1"/>
  <c r="K37" i="271"/>
  <c r="M36" i="271"/>
  <c r="L34" i="271"/>
  <c r="J35" i="271"/>
  <c r="O35" i="271" s="1"/>
  <c r="K35" i="270"/>
  <c r="M34" i="270"/>
  <c r="L34" i="270"/>
  <c r="J35" i="270"/>
  <c r="S35" i="270" s="1"/>
  <c r="K35" i="269"/>
  <c r="M34" i="269"/>
  <c r="L34" i="269"/>
  <c r="J35" i="269"/>
  <c r="S35" i="269" s="1"/>
  <c r="G30" i="268"/>
  <c r="H29" i="268"/>
  <c r="H28" i="267"/>
  <c r="G29" i="267"/>
  <c r="J36" i="281" l="1"/>
  <c r="O36" i="281" s="1"/>
  <c r="L35" i="281"/>
  <c r="M37" i="281"/>
  <c r="K38" i="281"/>
  <c r="J36" i="280"/>
  <c r="O36" i="280" s="1"/>
  <c r="L35" i="280"/>
  <c r="M35" i="280"/>
  <c r="K36" i="280"/>
  <c r="J36" i="278"/>
  <c r="O36" i="278" s="1"/>
  <c r="L35" i="278"/>
  <c r="M35" i="278"/>
  <c r="K36" i="278"/>
  <c r="J36" i="277"/>
  <c r="O36" i="277" s="1"/>
  <c r="L35" i="277"/>
  <c r="M35" i="277"/>
  <c r="K36" i="277"/>
  <c r="J36" i="276"/>
  <c r="O36" i="276" s="1"/>
  <c r="L35" i="276"/>
  <c r="M35" i="276"/>
  <c r="K36" i="276"/>
  <c r="J36" i="275"/>
  <c r="O36" i="275" s="1"/>
  <c r="L35" i="275"/>
  <c r="M37" i="275"/>
  <c r="K38" i="275"/>
  <c r="L35" i="274"/>
  <c r="J36" i="274"/>
  <c r="O36" i="274" s="1"/>
  <c r="M36" i="274"/>
  <c r="K37" i="274"/>
  <c r="J36" i="273"/>
  <c r="O36" i="273" s="1"/>
  <c r="L35" i="273"/>
  <c r="M35" i="273"/>
  <c r="K36" i="273"/>
  <c r="J36" i="271"/>
  <c r="O36" i="271" s="1"/>
  <c r="L35" i="271"/>
  <c r="M37" i="271"/>
  <c r="K38" i="271"/>
  <c r="J36" i="270"/>
  <c r="S36" i="270" s="1"/>
  <c r="L35" i="270"/>
  <c r="M35" i="270"/>
  <c r="K36" i="270"/>
  <c r="J36" i="269"/>
  <c r="S36" i="269" s="1"/>
  <c r="L35" i="269"/>
  <c r="M35" i="269"/>
  <c r="K36" i="269"/>
  <c r="G31" i="268"/>
  <c r="H30" i="268"/>
  <c r="H29" i="267"/>
  <c r="G30" i="267"/>
  <c r="K39" i="281" l="1"/>
  <c r="M38" i="281"/>
  <c r="L36" i="281"/>
  <c r="J37" i="281"/>
  <c r="O37" i="281" s="1"/>
  <c r="K37" i="280"/>
  <c r="M36" i="280"/>
  <c r="L36" i="280"/>
  <c r="J37" i="280"/>
  <c r="O37" i="280" s="1"/>
  <c r="K37" i="278"/>
  <c r="M36" i="278"/>
  <c r="L36" i="278"/>
  <c r="J37" i="278"/>
  <c r="O37" i="278" s="1"/>
  <c r="K37" i="277"/>
  <c r="M36" i="277"/>
  <c r="L36" i="277"/>
  <c r="J37" i="277"/>
  <c r="O37" i="277" s="1"/>
  <c r="K37" i="276"/>
  <c r="M36" i="276"/>
  <c r="L36" i="276"/>
  <c r="J37" i="276"/>
  <c r="O37" i="276" s="1"/>
  <c r="K39" i="275"/>
  <c r="M38" i="275"/>
  <c r="L36" i="275"/>
  <c r="J37" i="275"/>
  <c r="O37" i="275" s="1"/>
  <c r="K38" i="274"/>
  <c r="M37" i="274"/>
  <c r="J37" i="274"/>
  <c r="O37" i="274" s="1"/>
  <c r="L36" i="274"/>
  <c r="K37" i="273"/>
  <c r="M36" i="273"/>
  <c r="L36" i="273"/>
  <c r="J37" i="273"/>
  <c r="O37" i="273" s="1"/>
  <c r="K39" i="271"/>
  <c r="M38" i="271"/>
  <c r="L36" i="271"/>
  <c r="J37" i="271"/>
  <c r="O37" i="271" s="1"/>
  <c r="K37" i="270"/>
  <c r="M36" i="270"/>
  <c r="L36" i="270"/>
  <c r="J37" i="270"/>
  <c r="S37" i="270" s="1"/>
  <c r="K37" i="269"/>
  <c r="M36" i="269"/>
  <c r="L36" i="269"/>
  <c r="J37" i="269"/>
  <c r="S37" i="269" s="1"/>
  <c r="G32" i="268"/>
  <c r="H31" i="268"/>
  <c r="H30" i="267"/>
  <c r="G31" i="267"/>
  <c r="J38" i="281" l="1"/>
  <c r="O38" i="281" s="1"/>
  <c r="L37" i="281"/>
  <c r="K40" i="281"/>
  <c r="M39" i="281"/>
  <c r="J38" i="280"/>
  <c r="O38" i="280" s="1"/>
  <c r="L37" i="280"/>
  <c r="M37" i="280"/>
  <c r="K38" i="280"/>
  <c r="J38" i="278"/>
  <c r="O38" i="278" s="1"/>
  <c r="L37" i="278"/>
  <c r="M37" i="278"/>
  <c r="K38" i="278"/>
  <c r="J38" i="277"/>
  <c r="O38" i="277" s="1"/>
  <c r="L37" i="277"/>
  <c r="M37" i="277"/>
  <c r="K38" i="277"/>
  <c r="J38" i="276"/>
  <c r="O38" i="276" s="1"/>
  <c r="L37" i="276"/>
  <c r="M37" i="276"/>
  <c r="K38" i="276"/>
  <c r="J38" i="275"/>
  <c r="O38" i="275" s="1"/>
  <c r="L37" i="275"/>
  <c r="K40" i="275"/>
  <c r="M39" i="275"/>
  <c r="L37" i="274"/>
  <c r="J38" i="274"/>
  <c r="O38" i="274" s="1"/>
  <c r="M38" i="274"/>
  <c r="K39" i="274"/>
  <c r="J38" i="273"/>
  <c r="O38" i="273" s="1"/>
  <c r="L37" i="273"/>
  <c r="M37" i="273"/>
  <c r="K38" i="273"/>
  <c r="J38" i="271"/>
  <c r="O38" i="271" s="1"/>
  <c r="L37" i="271"/>
  <c r="K40" i="271"/>
  <c r="M39" i="271"/>
  <c r="J38" i="270"/>
  <c r="S38" i="270" s="1"/>
  <c r="L37" i="270"/>
  <c r="M37" i="270"/>
  <c r="K38" i="270"/>
  <c r="J38" i="269"/>
  <c r="S38" i="269" s="1"/>
  <c r="L37" i="269"/>
  <c r="M37" i="269"/>
  <c r="K38" i="269"/>
  <c r="G33" i="268"/>
  <c r="H32" i="268"/>
  <c r="H31" i="267"/>
  <c r="G32" i="267"/>
  <c r="L38" i="281" l="1"/>
  <c r="J39" i="281"/>
  <c r="O39" i="281" s="1"/>
  <c r="K39" i="280"/>
  <c r="M38" i="280"/>
  <c r="L38" i="280"/>
  <c r="J39" i="280"/>
  <c r="O39" i="280" s="1"/>
  <c r="K39" i="278"/>
  <c r="M38" i="278"/>
  <c r="L38" i="278"/>
  <c r="J39" i="278"/>
  <c r="O39" i="278" s="1"/>
  <c r="K39" i="277"/>
  <c r="M38" i="277"/>
  <c r="L38" i="277"/>
  <c r="J39" i="277"/>
  <c r="O39" i="277" s="1"/>
  <c r="K39" i="276"/>
  <c r="M38" i="276"/>
  <c r="L38" i="276"/>
  <c r="J39" i="276"/>
  <c r="O39" i="276" s="1"/>
  <c r="L38" i="275"/>
  <c r="J39" i="275"/>
  <c r="O39" i="275" s="1"/>
  <c r="K40" i="274"/>
  <c r="M39" i="274"/>
  <c r="J39" i="274"/>
  <c r="O39" i="274" s="1"/>
  <c r="L38" i="274"/>
  <c r="K39" i="273"/>
  <c r="M38" i="273"/>
  <c r="L38" i="273"/>
  <c r="J39" i="273"/>
  <c r="O39" i="273" s="1"/>
  <c r="L38" i="271"/>
  <c r="J39" i="271"/>
  <c r="O39" i="271" s="1"/>
  <c r="K39" i="270"/>
  <c r="M38" i="270"/>
  <c r="L38" i="270"/>
  <c r="J39" i="270"/>
  <c r="S39" i="270" s="1"/>
  <c r="K39" i="269"/>
  <c r="M38" i="269"/>
  <c r="L38" i="269"/>
  <c r="J39" i="269"/>
  <c r="S39" i="269" s="1"/>
  <c r="G34" i="268"/>
  <c r="H33" i="268"/>
  <c r="H32" i="267"/>
  <c r="G33" i="267"/>
  <c r="J40" i="281" l="1"/>
  <c r="L39" i="281"/>
  <c r="J40" i="280"/>
  <c r="L39" i="280"/>
  <c r="K40" i="280"/>
  <c r="M39" i="280"/>
  <c r="J40" i="278"/>
  <c r="L39" i="278"/>
  <c r="K40" i="278"/>
  <c r="M39" i="278"/>
  <c r="J40" i="277"/>
  <c r="L39" i="277"/>
  <c r="K40" i="277"/>
  <c r="M39" i="277"/>
  <c r="J40" i="276"/>
  <c r="L39" i="276"/>
  <c r="K40" i="276"/>
  <c r="M39" i="276"/>
  <c r="J40" i="275"/>
  <c r="L39" i="275"/>
  <c r="J40" i="274"/>
  <c r="L39" i="274"/>
  <c r="J40" i="273"/>
  <c r="L39" i="273"/>
  <c r="K40" i="273"/>
  <c r="M39" i="273"/>
  <c r="J40" i="271"/>
  <c r="L39" i="271"/>
  <c r="J40" i="270"/>
  <c r="L39" i="270"/>
  <c r="K40" i="270"/>
  <c r="M39" i="270"/>
  <c r="J40" i="269"/>
  <c r="L39" i="269"/>
  <c r="K40" i="269"/>
  <c r="M39" i="269"/>
  <c r="G35" i="268"/>
  <c r="H34" i="268"/>
  <c r="H33" i="267"/>
  <c r="G34" i="267"/>
  <c r="G36" i="268" l="1"/>
  <c r="H35" i="268"/>
  <c r="H34" i="267"/>
  <c r="G35" i="267"/>
  <c r="G37" i="268" l="1"/>
  <c r="H36" i="268"/>
  <c r="H35" i="267"/>
  <c r="G36" i="267"/>
  <c r="G38" i="268" l="1"/>
  <c r="H37" i="268"/>
  <c r="H36" i="267"/>
  <c r="G37" i="267"/>
  <c r="G39" i="268" l="1"/>
  <c r="H38" i="268"/>
  <c r="H37" i="267"/>
  <c r="G38" i="267"/>
  <c r="G40" i="268" l="1"/>
  <c r="H39" i="268"/>
  <c r="H38" i="267"/>
  <c r="G39" i="267"/>
  <c r="H39" i="267" l="1"/>
  <c r="G40" i="267"/>
  <c r="J9" i="191" l="1"/>
  <c r="J8" i="165"/>
  <c r="I20" i="159" l="1"/>
  <c r="I22" i="159"/>
  <c r="I24" i="159"/>
  <c r="I26" i="159"/>
  <c r="I28" i="159"/>
  <c r="I30" i="159"/>
  <c r="I32" i="159"/>
  <c r="I34" i="159"/>
  <c r="I19" i="159"/>
  <c r="I21" i="159"/>
  <c r="I23" i="159"/>
  <c r="I25" i="159"/>
  <c r="I27" i="159"/>
  <c r="I29" i="159"/>
  <c r="I31" i="159"/>
  <c r="I33" i="159"/>
  <c r="G40" i="165"/>
  <c r="I39" i="165"/>
  <c r="E55" i="53"/>
  <c r="D55" i="53"/>
  <c r="E26" i="354" l="1"/>
  <c r="K26" i="354" s="1"/>
  <c r="G8" i="165"/>
  <c r="G41" i="165"/>
  <c r="G40" i="266"/>
  <c r="G8" i="266" s="1"/>
  <c r="I39" i="266" s="1"/>
  <c r="F40" i="266"/>
  <c r="F8" i="266" s="1"/>
  <c r="E8" i="266"/>
  <c r="D8" i="266"/>
  <c r="E36" i="355" l="1"/>
  <c r="I19" i="266"/>
  <c r="I11" i="266"/>
  <c r="I16" i="266"/>
  <c r="I12" i="266"/>
  <c r="I23" i="266"/>
  <c r="I15" i="266"/>
  <c r="I27" i="266"/>
  <c r="I9" i="266"/>
  <c r="I13" i="266"/>
  <c r="I17" i="266"/>
  <c r="I21" i="266"/>
  <c r="I25" i="266"/>
  <c r="I32" i="266"/>
  <c r="I20" i="266"/>
  <c r="I24" i="266"/>
  <c r="I28" i="266"/>
  <c r="I10" i="266"/>
  <c r="I14" i="266"/>
  <c r="I18" i="266"/>
  <c r="I22" i="266"/>
  <c r="I26" i="266"/>
  <c r="I38" i="266"/>
  <c r="I30" i="266"/>
  <c r="I34" i="266"/>
  <c r="I36" i="266"/>
  <c r="I29" i="266"/>
  <c r="I31" i="266"/>
  <c r="I33" i="266"/>
  <c r="I35" i="266"/>
  <c r="I37" i="266"/>
  <c r="F41" i="266"/>
  <c r="H55" i="53" s="1"/>
  <c r="G41" i="266"/>
  <c r="I55" i="53" s="1"/>
  <c r="F36" i="355" l="1"/>
  <c r="H26" i="354"/>
  <c r="L55" i="53"/>
  <c r="K20" i="257"/>
  <c r="G36" i="355" l="1"/>
  <c r="H36" i="355"/>
  <c r="E40" i="265"/>
  <c r="E41" i="265" s="1"/>
  <c r="D40" i="265"/>
  <c r="F39" i="265"/>
  <c r="B39" i="265"/>
  <c r="F38" i="265"/>
  <c r="B38" i="265"/>
  <c r="F37" i="265"/>
  <c r="B37" i="265"/>
  <c r="F36" i="265"/>
  <c r="B36" i="265"/>
  <c r="F35" i="265"/>
  <c r="B35" i="265"/>
  <c r="F34" i="265"/>
  <c r="B34" i="265"/>
  <c r="F33" i="265"/>
  <c r="B33" i="265"/>
  <c r="F32" i="265"/>
  <c r="B32" i="265"/>
  <c r="F31" i="265"/>
  <c r="B31" i="265"/>
  <c r="F30" i="265"/>
  <c r="B30" i="265"/>
  <c r="F29" i="265"/>
  <c r="B29" i="265"/>
  <c r="F28" i="265"/>
  <c r="B28" i="265"/>
  <c r="F27" i="265"/>
  <c r="B27" i="265"/>
  <c r="F26" i="265"/>
  <c r="B26" i="265"/>
  <c r="F25" i="265"/>
  <c r="B25" i="265"/>
  <c r="F24" i="265"/>
  <c r="B24" i="265"/>
  <c r="F23" i="265"/>
  <c r="B23" i="265"/>
  <c r="F22" i="265"/>
  <c r="B22" i="265"/>
  <c r="F21" i="265"/>
  <c r="B21" i="265"/>
  <c r="F20" i="265"/>
  <c r="B20" i="265"/>
  <c r="F19" i="265"/>
  <c r="B19" i="265"/>
  <c r="F18" i="265"/>
  <c r="B18" i="265"/>
  <c r="F17" i="265"/>
  <c r="B17" i="265"/>
  <c r="F16" i="265"/>
  <c r="B16" i="265"/>
  <c r="F15" i="265"/>
  <c r="B15" i="265"/>
  <c r="F14" i="265"/>
  <c r="B14" i="265"/>
  <c r="F13" i="265"/>
  <c r="B13" i="265"/>
  <c r="F12" i="265"/>
  <c r="B12" i="265"/>
  <c r="F11" i="265"/>
  <c r="B11" i="265"/>
  <c r="F10" i="265"/>
  <c r="B10" i="265"/>
  <c r="G9" i="265"/>
  <c r="H9" i="265" s="1"/>
  <c r="F9" i="265"/>
  <c r="B9" i="265"/>
  <c r="D8" i="265"/>
  <c r="I5" i="265"/>
  <c r="H5" i="265"/>
  <c r="G5" i="265"/>
  <c r="F5" i="265"/>
  <c r="E5" i="265"/>
  <c r="D5" i="265"/>
  <c r="C5" i="265"/>
  <c r="B5" i="265"/>
  <c r="I2" i="265"/>
  <c r="A2" i="265"/>
  <c r="A1" i="265"/>
  <c r="D41" i="265" l="1"/>
  <c r="G41" i="265" s="1"/>
  <c r="G10" i="265"/>
  <c r="H10" i="265" l="1"/>
  <c r="G11" i="265"/>
  <c r="H11" i="265" l="1"/>
  <c r="G12" i="265"/>
  <c r="H12" i="265" l="1"/>
  <c r="G13" i="265"/>
  <c r="H13" i="265" l="1"/>
  <c r="G14" i="265"/>
  <c r="H14" i="265" l="1"/>
  <c r="G15" i="265"/>
  <c r="H15" i="265" l="1"/>
  <c r="G16" i="265"/>
  <c r="H16" i="265" l="1"/>
  <c r="G17" i="265"/>
  <c r="H17" i="265" l="1"/>
  <c r="G18" i="265"/>
  <c r="H18" i="265" l="1"/>
  <c r="G19" i="265"/>
  <c r="H19" i="265" l="1"/>
  <c r="G20" i="265"/>
  <c r="H20" i="265" l="1"/>
  <c r="G21" i="265"/>
  <c r="H21" i="265" l="1"/>
  <c r="G22" i="265"/>
  <c r="H22" i="265" l="1"/>
  <c r="G23" i="265"/>
  <c r="H23" i="265" l="1"/>
  <c r="G24" i="265"/>
  <c r="H24" i="265" l="1"/>
  <c r="G25" i="265"/>
  <c r="H25" i="265" l="1"/>
  <c r="G26" i="265"/>
  <c r="H26" i="265" l="1"/>
  <c r="G27" i="265"/>
  <c r="D108" i="53"/>
  <c r="E8" i="264"/>
  <c r="D40" i="264"/>
  <c r="D41" i="264" s="1"/>
  <c r="E121" i="354" l="1"/>
  <c r="F46" i="365"/>
  <c r="AB10" i="264"/>
  <c r="AB9" i="264"/>
  <c r="E41" i="264"/>
  <c r="H108" i="53" s="1"/>
  <c r="F108" i="53"/>
  <c r="H27" i="265"/>
  <c r="G28" i="265"/>
  <c r="G121" i="354" l="1"/>
  <c r="H46" i="365"/>
  <c r="I121" i="354"/>
  <c r="L121" i="354" s="1"/>
  <c r="J46" i="365"/>
  <c r="M46" i="365" s="1"/>
  <c r="AB11" i="264"/>
  <c r="J108" i="53"/>
  <c r="M108" i="53" s="1"/>
  <c r="G41" i="264"/>
  <c r="H28" i="265"/>
  <c r="G29" i="265"/>
  <c r="K121" i="354" l="1"/>
  <c r="L46" i="365"/>
  <c r="AB12" i="264"/>
  <c r="H29" i="265"/>
  <c r="G30" i="265"/>
  <c r="G28" i="421" l="1"/>
  <c r="P28" i="421" s="1"/>
  <c r="AB13" i="264"/>
  <c r="H30" i="265"/>
  <c r="G31" i="265"/>
  <c r="E8" i="183"/>
  <c r="AB14" i="264" l="1"/>
  <c r="H31" i="265"/>
  <c r="G32" i="265"/>
  <c r="J8" i="261"/>
  <c r="AB15" i="264" l="1"/>
  <c r="H32" i="265"/>
  <c r="G33" i="265"/>
  <c r="AB16" i="264" l="1"/>
  <c r="H33" i="265"/>
  <c r="G34" i="265"/>
  <c r="AB17" i="264" l="1"/>
  <c r="H34" i="265"/>
  <c r="G35" i="265"/>
  <c r="AB18" i="264" l="1"/>
  <c r="H35" i="265"/>
  <c r="G36" i="265"/>
  <c r="B10" i="236"/>
  <c r="B11" i="236"/>
  <c r="B12" i="236"/>
  <c r="B13" i="236"/>
  <c r="B14" i="236"/>
  <c r="B15" i="236"/>
  <c r="B16" i="236"/>
  <c r="B17" i="236"/>
  <c r="B18" i="236"/>
  <c r="B19" i="236"/>
  <c r="B20" i="236"/>
  <c r="B21" i="236"/>
  <c r="B22" i="236"/>
  <c r="B23" i="236"/>
  <c r="B24" i="236"/>
  <c r="B25" i="236"/>
  <c r="B26" i="236"/>
  <c r="B27" i="236"/>
  <c r="B28" i="236"/>
  <c r="B29" i="236"/>
  <c r="B30" i="236"/>
  <c r="B31" i="236"/>
  <c r="B32" i="236"/>
  <c r="B33" i="236"/>
  <c r="B34" i="236"/>
  <c r="B35" i="236"/>
  <c r="B36" i="236"/>
  <c r="B37" i="236"/>
  <c r="B38" i="236"/>
  <c r="B39" i="236"/>
  <c r="E11" i="254"/>
  <c r="E12" i="254"/>
  <c r="E13" i="254"/>
  <c r="E14" i="254"/>
  <c r="E15" i="254"/>
  <c r="E16" i="254"/>
  <c r="E17" i="254"/>
  <c r="E18" i="254"/>
  <c r="AB19" i="264" l="1"/>
  <c r="H36" i="265"/>
  <c r="G37" i="265"/>
  <c r="D40" i="255"/>
  <c r="D41" i="255" s="1"/>
  <c r="F40" i="255"/>
  <c r="J8" i="159"/>
  <c r="J8" i="160"/>
  <c r="J8" i="170"/>
  <c r="J8" i="169"/>
  <c r="G22" i="166"/>
  <c r="G23" i="166"/>
  <c r="G24" i="166"/>
  <c r="G25" i="166"/>
  <c r="G26" i="166"/>
  <c r="G27" i="166"/>
  <c r="G28" i="166"/>
  <c r="G29" i="166"/>
  <c r="G30" i="166"/>
  <c r="G31" i="166"/>
  <c r="G32" i="166"/>
  <c r="G33" i="166"/>
  <c r="G34" i="166"/>
  <c r="G35" i="166"/>
  <c r="G36" i="166"/>
  <c r="G37" i="166"/>
  <c r="G38" i="166"/>
  <c r="G39" i="166"/>
  <c r="G40" i="166"/>
  <c r="G11" i="166"/>
  <c r="G12" i="166"/>
  <c r="G13" i="166"/>
  <c r="G14" i="166"/>
  <c r="G15" i="166"/>
  <c r="G16" i="166"/>
  <c r="G17" i="166"/>
  <c r="G18" i="166"/>
  <c r="G19" i="166"/>
  <c r="G20" i="166"/>
  <c r="G21" i="166"/>
  <c r="J9" i="166"/>
  <c r="J8" i="164"/>
  <c r="J9" i="260"/>
  <c r="J9" i="149"/>
  <c r="S9" i="149" s="1"/>
  <c r="J9" i="156"/>
  <c r="F69" i="351" l="1"/>
  <c r="AB20" i="264"/>
  <c r="I9" i="183"/>
  <c r="L9" i="149"/>
  <c r="J10" i="149"/>
  <c r="D22" i="53"/>
  <c r="F41" i="255"/>
  <c r="I41" i="255" s="1"/>
  <c r="F8" i="255"/>
  <c r="H37" i="265"/>
  <c r="G38" i="265"/>
  <c r="AB21" i="264" l="1"/>
  <c r="L10" i="149"/>
  <c r="S10" i="149"/>
  <c r="H38" i="265"/>
  <c r="G39" i="265"/>
  <c r="D15" i="169"/>
  <c r="D16" i="169"/>
  <c r="D17" i="169"/>
  <c r="D18" i="169"/>
  <c r="D19" i="169"/>
  <c r="D20" i="169"/>
  <c r="AB22" i="264" l="1"/>
  <c r="H39" i="265"/>
  <c r="G40" i="265"/>
  <c r="AB23" i="264" l="1"/>
  <c r="AB24" i="264" l="1"/>
  <c r="E19" i="254"/>
  <c r="AB25" i="264" l="1"/>
  <c r="AB26" i="264" l="1"/>
  <c r="D29" i="261"/>
  <c r="D30" i="261"/>
  <c r="D31" i="261"/>
  <c r="D32" i="261"/>
  <c r="D33" i="261"/>
  <c r="D34" i="261"/>
  <c r="D38" i="261"/>
  <c r="D39" i="261"/>
  <c r="AB27" i="264" l="1"/>
  <c r="D40" i="261"/>
  <c r="AB28" i="264" l="1"/>
  <c r="AB29" i="264" l="1"/>
  <c r="AB30" i="264" l="1"/>
  <c r="J9" i="178"/>
  <c r="S9" i="178" s="1"/>
  <c r="AB31" i="264" l="1"/>
  <c r="J8" i="158"/>
  <c r="AB32" i="264" l="1"/>
  <c r="L9" i="263"/>
  <c r="L10" i="263"/>
  <c r="B105" i="53"/>
  <c r="B98" i="53"/>
  <c r="B96" i="53"/>
  <c r="B30" i="53"/>
  <c r="B106" i="53"/>
  <c r="B99" i="53"/>
  <c r="B97" i="53"/>
  <c r="B8" i="53"/>
  <c r="K2" i="174"/>
  <c r="A2" i="174"/>
  <c r="A1" i="174"/>
  <c r="K2" i="191"/>
  <c r="A2" i="191"/>
  <c r="A1" i="191"/>
  <c r="M6" i="186"/>
  <c r="M6" i="166"/>
  <c r="M6" i="260"/>
  <c r="M6" i="234"/>
  <c r="M6" i="156"/>
  <c r="M6" i="153"/>
  <c r="I2" i="258"/>
  <c r="A2" i="258"/>
  <c r="A1" i="258"/>
  <c r="I2" i="244"/>
  <c r="A2" i="244"/>
  <c r="A1" i="244"/>
  <c r="I2" i="236"/>
  <c r="A2" i="236"/>
  <c r="A1" i="236"/>
  <c r="I2" i="257"/>
  <c r="A2" i="257"/>
  <c r="A1" i="257"/>
  <c r="I2" i="203"/>
  <c r="A2" i="203"/>
  <c r="A1" i="203"/>
  <c r="I2" i="207"/>
  <c r="A2" i="207"/>
  <c r="A1" i="207"/>
  <c r="K2" i="186"/>
  <c r="A2" i="186"/>
  <c r="A1" i="186"/>
  <c r="K2" i="166"/>
  <c r="A2" i="166"/>
  <c r="A1" i="166"/>
  <c r="K2" i="260"/>
  <c r="A2" i="260"/>
  <c r="A1" i="260"/>
  <c r="K2" i="234"/>
  <c r="A2" i="234"/>
  <c r="A1" i="234"/>
  <c r="K2" i="156"/>
  <c r="A2" i="156"/>
  <c r="A1" i="156"/>
  <c r="K2" i="153"/>
  <c r="A2" i="153"/>
  <c r="A1" i="153"/>
  <c r="AB33" i="264" l="1"/>
  <c r="AB34" i="264" l="1"/>
  <c r="AB35" i="264" l="1"/>
  <c r="AB36" i="264" l="1"/>
  <c r="J8" i="218"/>
  <c r="J8" i="180"/>
  <c r="J8" i="162"/>
  <c r="J8" i="157"/>
  <c r="J9" i="155"/>
  <c r="P9" i="155" s="1"/>
  <c r="J9" i="153"/>
  <c r="AB37" i="264" l="1"/>
  <c r="L9" i="155"/>
  <c r="J10" i="155"/>
  <c r="E8" i="53"/>
  <c r="D8" i="53"/>
  <c r="I8" i="53"/>
  <c r="H8" i="53"/>
  <c r="G8" i="53"/>
  <c r="F8" i="53"/>
  <c r="E41" i="263"/>
  <c r="K41" i="263" s="1"/>
  <c r="D8" i="263"/>
  <c r="G25" i="354" l="1"/>
  <c r="H13" i="365"/>
  <c r="E25" i="354"/>
  <c r="F13" i="365"/>
  <c r="I25" i="354"/>
  <c r="J13" i="365"/>
  <c r="H25" i="354"/>
  <c r="I13" i="365"/>
  <c r="L8" i="53"/>
  <c r="AB38" i="264"/>
  <c r="L10" i="155"/>
  <c r="P10" i="155"/>
  <c r="D41" i="263"/>
  <c r="J41" i="263" s="1"/>
  <c r="J8" i="53"/>
  <c r="K8" i="53"/>
  <c r="K11" i="263"/>
  <c r="J11" i="263"/>
  <c r="S11" i="263" s="1"/>
  <c r="F16" i="318" l="1"/>
  <c r="E16" i="318"/>
  <c r="L13" i="365"/>
  <c r="K25" i="354"/>
  <c r="M8" i="53"/>
  <c r="AB39" i="264"/>
  <c r="J12" i="263"/>
  <c r="S12" i="263" s="1"/>
  <c r="L11" i="263"/>
  <c r="K12" i="263"/>
  <c r="M11" i="263"/>
  <c r="E35" i="355" l="1"/>
  <c r="H34" i="355"/>
  <c r="G40" i="264"/>
  <c r="K13" i="263"/>
  <c r="K14" i="263" s="1"/>
  <c r="M12" i="263"/>
  <c r="J13" i="263"/>
  <c r="S13" i="263" s="1"/>
  <c r="L12" i="263"/>
  <c r="H35" i="355" l="1"/>
  <c r="J14" i="263"/>
  <c r="L13" i="263"/>
  <c r="M13" i="263"/>
  <c r="L14" i="263" l="1"/>
  <c r="S14" i="263"/>
  <c r="K15" i="263"/>
  <c r="M14" i="263"/>
  <c r="J15" i="263"/>
  <c r="S15" i="263" s="1"/>
  <c r="E30" i="53"/>
  <c r="D30" i="53"/>
  <c r="E73" i="354" l="1"/>
  <c r="J16" i="263"/>
  <c r="S16" i="263" s="1"/>
  <c r="L15" i="263"/>
  <c r="K16" i="263"/>
  <c r="M15" i="263"/>
  <c r="K17" i="263" l="1"/>
  <c r="M16" i="263"/>
  <c r="J17" i="263"/>
  <c r="S17" i="263" s="1"/>
  <c r="L16" i="263"/>
  <c r="J18" i="263" l="1"/>
  <c r="S18" i="263" s="1"/>
  <c r="L17" i="263"/>
  <c r="K18" i="263"/>
  <c r="M17" i="263"/>
  <c r="K19" i="263" l="1"/>
  <c r="M18" i="263"/>
  <c r="J19" i="263"/>
  <c r="S19" i="263" s="1"/>
  <c r="L18" i="263"/>
  <c r="J20" i="263" l="1"/>
  <c r="S20" i="263" s="1"/>
  <c r="L19" i="263"/>
  <c r="K20" i="263"/>
  <c r="M19" i="263"/>
  <c r="K21" i="263" l="1"/>
  <c r="M20" i="263"/>
  <c r="J21" i="263"/>
  <c r="S21" i="263" s="1"/>
  <c r="L20" i="263"/>
  <c r="C11" i="260"/>
  <c r="J22" i="263" l="1"/>
  <c r="S22" i="263" s="1"/>
  <c r="L21" i="263"/>
  <c r="K22" i="263"/>
  <c r="M21" i="263"/>
  <c r="K23" i="263" l="1"/>
  <c r="M22" i="263"/>
  <c r="J23" i="263"/>
  <c r="S23" i="263" s="1"/>
  <c r="L22" i="263"/>
  <c r="J9" i="218"/>
  <c r="O9" i="218" s="1"/>
  <c r="J24" i="263" l="1"/>
  <c r="S24" i="263" s="1"/>
  <c r="L23" i="263"/>
  <c r="K24" i="263"/>
  <c r="M23" i="263"/>
  <c r="K25" i="263" l="1"/>
  <c r="M24" i="263"/>
  <c r="J25" i="263"/>
  <c r="S25" i="263" s="1"/>
  <c r="L24" i="263"/>
  <c r="F5" i="207"/>
  <c r="G5" i="207"/>
  <c r="J26" i="263" l="1"/>
  <c r="S26" i="263" s="1"/>
  <c r="L25" i="263"/>
  <c r="K26" i="263"/>
  <c r="M25" i="263"/>
  <c r="K27" i="263" l="1"/>
  <c r="M26" i="263"/>
  <c r="J27" i="263"/>
  <c r="S27" i="263" s="1"/>
  <c r="L26" i="263"/>
  <c r="J28" i="263" l="1"/>
  <c r="S28" i="263" s="1"/>
  <c r="L27" i="263"/>
  <c r="K28" i="263"/>
  <c r="M27" i="263"/>
  <c r="K29" i="263" l="1"/>
  <c r="M28" i="263"/>
  <c r="J29" i="263"/>
  <c r="S29" i="263" s="1"/>
  <c r="L28" i="263"/>
  <c r="I30" i="53"/>
  <c r="H30" i="53"/>
  <c r="G30" i="53"/>
  <c r="K9" i="261"/>
  <c r="K10" i="261" s="1"/>
  <c r="E8" i="261"/>
  <c r="E41" i="261" s="1"/>
  <c r="K41" i="261" s="1"/>
  <c r="D8" i="261"/>
  <c r="D41" i="261" s="1"/>
  <c r="J41" i="261" s="1"/>
  <c r="G73" i="354" l="1"/>
  <c r="I73" i="354"/>
  <c r="L30" i="53"/>
  <c r="H73" i="354"/>
  <c r="K30" i="53"/>
  <c r="J30" i="263"/>
  <c r="S30" i="263" s="1"/>
  <c r="L29" i="263"/>
  <c r="K30" i="263"/>
  <c r="M29" i="263"/>
  <c r="F30" i="53"/>
  <c r="J30" i="53" s="1"/>
  <c r="J9" i="261"/>
  <c r="K11" i="261"/>
  <c r="M10" i="261"/>
  <c r="M9" i="261"/>
  <c r="E5" i="203"/>
  <c r="K73" i="354" l="1"/>
  <c r="M30" i="53"/>
  <c r="J10" i="261"/>
  <c r="J11" i="261" s="1"/>
  <c r="O9" i="261"/>
  <c r="K31" i="263"/>
  <c r="M30" i="263"/>
  <c r="J31" i="263"/>
  <c r="S31" i="263" s="1"/>
  <c r="L30" i="263"/>
  <c r="L9" i="261"/>
  <c r="K12" i="261"/>
  <c r="M11" i="261"/>
  <c r="E82" i="355" l="1"/>
  <c r="G91" i="355"/>
  <c r="J12" i="261"/>
  <c r="O12" i="261" s="1"/>
  <c r="O11" i="261"/>
  <c r="L10" i="261"/>
  <c r="O10" i="261"/>
  <c r="L11" i="261"/>
  <c r="J32" i="263"/>
  <c r="L31" i="263"/>
  <c r="K32" i="263"/>
  <c r="M31" i="263"/>
  <c r="K13" i="261"/>
  <c r="M12" i="261"/>
  <c r="H82" i="355" l="1"/>
  <c r="H91" i="355"/>
  <c r="L12" i="261"/>
  <c r="J13" i="261"/>
  <c r="O13" i="261" s="1"/>
  <c r="J33" i="263"/>
  <c r="S33" i="263" s="1"/>
  <c r="S32" i="263"/>
  <c r="K33" i="263"/>
  <c r="M32" i="263"/>
  <c r="L32" i="263"/>
  <c r="K14" i="261"/>
  <c r="M13" i="261"/>
  <c r="L13" i="261" l="1"/>
  <c r="J14" i="261"/>
  <c r="O14" i="261" s="1"/>
  <c r="J34" i="263"/>
  <c r="S34" i="263" s="1"/>
  <c r="L33" i="263"/>
  <c r="K34" i="263"/>
  <c r="M33" i="263"/>
  <c r="K15" i="261"/>
  <c r="M14" i="261"/>
  <c r="L14" i="261" l="1"/>
  <c r="J15" i="261"/>
  <c r="O15" i="261" s="1"/>
  <c r="K35" i="263"/>
  <c r="M34" i="263"/>
  <c r="J35" i="263"/>
  <c r="S35" i="263" s="1"/>
  <c r="L34" i="263"/>
  <c r="K16" i="261"/>
  <c r="M15" i="261"/>
  <c r="J16" i="261" l="1"/>
  <c r="O16" i="261" s="1"/>
  <c r="L15" i="261"/>
  <c r="J36" i="263"/>
  <c r="S36" i="263" s="1"/>
  <c r="L35" i="263"/>
  <c r="K36" i="263"/>
  <c r="M35" i="263"/>
  <c r="K17" i="261"/>
  <c r="M16" i="261"/>
  <c r="D17" i="260"/>
  <c r="D18" i="260"/>
  <c r="D19" i="260"/>
  <c r="D20" i="260"/>
  <c r="D21" i="260"/>
  <c r="D22" i="260"/>
  <c r="D23" i="260"/>
  <c r="D24" i="260"/>
  <c r="D25" i="260"/>
  <c r="D26" i="260"/>
  <c r="D27" i="260"/>
  <c r="D28" i="260"/>
  <c r="D29" i="260"/>
  <c r="D30" i="260"/>
  <c r="D31" i="260"/>
  <c r="D32" i="260"/>
  <c r="D33" i="260"/>
  <c r="D34" i="260"/>
  <c r="D35" i="260"/>
  <c r="D39" i="260"/>
  <c r="D40" i="260"/>
  <c r="D10" i="260"/>
  <c r="D11" i="260"/>
  <c r="D12" i="260"/>
  <c r="D13" i="260"/>
  <c r="D14" i="260"/>
  <c r="D15" i="260"/>
  <c r="D16" i="260"/>
  <c r="J17" i="261" l="1"/>
  <c r="O17" i="261" s="1"/>
  <c r="L16" i="261"/>
  <c r="D41" i="260"/>
  <c r="K37" i="263"/>
  <c r="M36" i="263"/>
  <c r="J37" i="263"/>
  <c r="S37" i="263" s="1"/>
  <c r="L36" i="263"/>
  <c r="K18" i="261"/>
  <c r="M17" i="261"/>
  <c r="L17" i="261" l="1"/>
  <c r="J18" i="261"/>
  <c r="O18" i="261" s="1"/>
  <c r="J38" i="263"/>
  <c r="S38" i="263" s="1"/>
  <c r="L37" i="263"/>
  <c r="K38" i="263"/>
  <c r="M37" i="263"/>
  <c r="K19" i="261"/>
  <c r="M18" i="261"/>
  <c r="L18" i="261" l="1"/>
  <c r="J19" i="261"/>
  <c r="O19" i="261" s="1"/>
  <c r="K39" i="263"/>
  <c r="K40" i="263" s="1"/>
  <c r="M38" i="263"/>
  <c r="J39" i="263"/>
  <c r="L38" i="263"/>
  <c r="K20" i="261"/>
  <c r="M19" i="261"/>
  <c r="L19" i="261" l="1"/>
  <c r="J20" i="261"/>
  <c r="O20" i="261" s="1"/>
  <c r="J40" i="263"/>
  <c r="S39" i="263"/>
  <c r="L39" i="263"/>
  <c r="M39" i="263"/>
  <c r="K21" i="261"/>
  <c r="M20" i="261"/>
  <c r="B40" i="260"/>
  <c r="B39" i="260"/>
  <c r="B38" i="260"/>
  <c r="B37" i="260"/>
  <c r="B36" i="260"/>
  <c r="B35" i="260"/>
  <c r="B34" i="260"/>
  <c r="B33" i="260"/>
  <c r="B32" i="260"/>
  <c r="B31" i="260"/>
  <c r="B30" i="260"/>
  <c r="B29" i="260"/>
  <c r="B28" i="260"/>
  <c r="B27" i="260"/>
  <c r="B26" i="260"/>
  <c r="B25" i="260"/>
  <c r="B24" i="260"/>
  <c r="B23" i="260"/>
  <c r="B22" i="260"/>
  <c r="B21" i="260"/>
  <c r="B20" i="260"/>
  <c r="B19" i="260"/>
  <c r="B18" i="260"/>
  <c r="B17" i="260"/>
  <c r="B16" i="260"/>
  <c r="B15" i="260"/>
  <c r="B14" i="260"/>
  <c r="B13" i="260"/>
  <c r="B12" i="260"/>
  <c r="B11" i="260"/>
  <c r="B10" i="260"/>
  <c r="E9" i="260"/>
  <c r="E42" i="260" s="1"/>
  <c r="K42" i="260" s="1"/>
  <c r="D9" i="260"/>
  <c r="D42" i="260" s="1"/>
  <c r="J42" i="260" s="1"/>
  <c r="I5" i="260"/>
  <c r="H5" i="260"/>
  <c r="G5" i="260"/>
  <c r="F5" i="260"/>
  <c r="D5" i="260"/>
  <c r="C5" i="260"/>
  <c r="B5" i="260"/>
  <c r="L20" i="261" l="1"/>
  <c r="J21" i="261"/>
  <c r="O21" i="261" s="1"/>
  <c r="K22" i="261"/>
  <c r="M21" i="261"/>
  <c r="L21" i="261" l="1"/>
  <c r="J22" i="261"/>
  <c r="O22" i="261" s="1"/>
  <c r="K23" i="261"/>
  <c r="M22" i="261"/>
  <c r="L22" i="261" l="1"/>
  <c r="J23" i="261"/>
  <c r="O23" i="261" s="1"/>
  <c r="K24" i="261"/>
  <c r="M23" i="261"/>
  <c r="L23" i="261" l="1"/>
  <c r="J24" i="261"/>
  <c r="O24" i="261" s="1"/>
  <c r="K25" i="261"/>
  <c r="M24" i="261"/>
  <c r="L24" i="261" l="1"/>
  <c r="J25" i="261"/>
  <c r="O25" i="261" s="1"/>
  <c r="K26" i="261"/>
  <c r="M25" i="261"/>
  <c r="L25" i="261" l="1"/>
  <c r="J26" i="261"/>
  <c r="O26" i="261" s="1"/>
  <c r="K27" i="261"/>
  <c r="M26" i="261"/>
  <c r="L26" i="261" l="1"/>
  <c r="J27" i="261"/>
  <c r="O27" i="261" s="1"/>
  <c r="K28" i="261"/>
  <c r="M27" i="261"/>
  <c r="L27" i="261" l="1"/>
  <c r="J28" i="261"/>
  <c r="O28" i="261" s="1"/>
  <c r="K29" i="261"/>
  <c r="M28" i="261"/>
  <c r="L28" i="261" l="1"/>
  <c r="J29" i="261"/>
  <c r="O29" i="261" s="1"/>
  <c r="K30" i="261"/>
  <c r="K31" i="261" s="1"/>
  <c r="K32" i="261" s="1"/>
  <c r="M29" i="261"/>
  <c r="L29" i="261" l="1"/>
  <c r="J30" i="261"/>
  <c r="J31" i="261" s="1"/>
  <c r="M30" i="261"/>
  <c r="L30" i="261" l="1"/>
  <c r="O30" i="261"/>
  <c r="J32" i="261"/>
  <c r="O31" i="261"/>
  <c r="L31" i="261"/>
  <c r="M31" i="261"/>
  <c r="J33" i="261" l="1"/>
  <c r="O32" i="261"/>
  <c r="K33" i="261"/>
  <c r="M32" i="261"/>
  <c r="L32" i="261"/>
  <c r="J34" i="261" l="1"/>
  <c r="O34" i="261" s="1"/>
  <c r="O33" i="261"/>
  <c r="L33" i="261"/>
  <c r="K34" i="261"/>
  <c r="M33" i="261"/>
  <c r="K35" i="261" l="1"/>
  <c r="M34" i="261"/>
  <c r="J35" i="261"/>
  <c r="O35" i="261" s="1"/>
  <c r="L34" i="261"/>
  <c r="J36" i="261" l="1"/>
  <c r="O36" i="261" s="1"/>
  <c r="L35" i="261"/>
  <c r="K36" i="261"/>
  <c r="M35" i="261"/>
  <c r="K37" i="261" l="1"/>
  <c r="M36" i="261"/>
  <c r="J37" i="261"/>
  <c r="O37" i="261" s="1"/>
  <c r="L36" i="261"/>
  <c r="J38" i="261" l="1"/>
  <c r="O38" i="261" s="1"/>
  <c r="L37" i="261"/>
  <c r="K38" i="261"/>
  <c r="M37" i="261"/>
  <c r="K39" i="261" l="1"/>
  <c r="K40" i="261" s="1"/>
  <c r="M38" i="261"/>
  <c r="J39" i="261"/>
  <c r="L38" i="261"/>
  <c r="J40" i="261" l="1"/>
  <c r="O39" i="261"/>
  <c r="L39" i="261"/>
  <c r="M39" i="261"/>
  <c r="E10" i="160" l="1"/>
  <c r="E11" i="160"/>
  <c r="E12" i="160"/>
  <c r="E13" i="160"/>
  <c r="E14" i="160"/>
  <c r="E16" i="160"/>
  <c r="E17" i="160"/>
  <c r="E18" i="160"/>
  <c r="E19" i="160"/>
  <c r="E20" i="160"/>
  <c r="E21" i="160"/>
  <c r="E22" i="160"/>
  <c r="E23" i="160"/>
  <c r="E24" i="160"/>
  <c r="E26" i="160"/>
  <c r="E27" i="160"/>
  <c r="E28" i="160"/>
  <c r="E29" i="160"/>
  <c r="E32" i="160"/>
  <c r="E33" i="160"/>
  <c r="E34" i="160"/>
  <c r="E35" i="160"/>
  <c r="E36" i="160"/>
  <c r="E38" i="160"/>
  <c r="E39" i="160"/>
  <c r="E9" i="160"/>
  <c r="E40" i="160" l="1"/>
  <c r="D253" i="53" l="1"/>
  <c r="D8" i="157"/>
  <c r="E41" i="157"/>
  <c r="K41" i="157" s="1"/>
  <c r="E8" i="259"/>
  <c r="D8" i="259"/>
  <c r="G40" i="259"/>
  <c r="F40" i="259"/>
  <c r="F41" i="259" s="1"/>
  <c r="E40" i="259"/>
  <c r="G253" i="53" s="1"/>
  <c r="D40" i="259"/>
  <c r="F253" i="53" s="1"/>
  <c r="I39" i="259"/>
  <c r="H39" i="259"/>
  <c r="I38" i="259"/>
  <c r="H38" i="259"/>
  <c r="I37" i="259"/>
  <c r="H37" i="259"/>
  <c r="I36" i="259"/>
  <c r="H36" i="259"/>
  <c r="I35" i="259"/>
  <c r="H35" i="259"/>
  <c r="I34" i="259"/>
  <c r="H34" i="259"/>
  <c r="I33" i="259"/>
  <c r="H33" i="259"/>
  <c r="I32" i="259"/>
  <c r="H32" i="259"/>
  <c r="I31" i="259"/>
  <c r="H31" i="259"/>
  <c r="I30" i="259"/>
  <c r="H30" i="259"/>
  <c r="I29" i="259"/>
  <c r="H29" i="259"/>
  <c r="I28" i="259"/>
  <c r="H28" i="259"/>
  <c r="I27" i="259"/>
  <c r="H27" i="259"/>
  <c r="I26" i="259"/>
  <c r="H26" i="259"/>
  <c r="I25" i="259"/>
  <c r="H25" i="259"/>
  <c r="I24" i="259"/>
  <c r="H24" i="259"/>
  <c r="I23" i="259"/>
  <c r="H23" i="259"/>
  <c r="I22" i="259"/>
  <c r="H22" i="259"/>
  <c r="I21" i="259"/>
  <c r="H21" i="259"/>
  <c r="I20" i="259"/>
  <c r="H20" i="259"/>
  <c r="I19" i="259"/>
  <c r="H19" i="259"/>
  <c r="I18" i="259"/>
  <c r="H18" i="259"/>
  <c r="I17" i="259"/>
  <c r="H17" i="259"/>
  <c r="I16" i="259"/>
  <c r="H16" i="259"/>
  <c r="I15" i="259"/>
  <c r="H15" i="259"/>
  <c r="I14" i="259"/>
  <c r="H14" i="259"/>
  <c r="I13" i="259"/>
  <c r="H13" i="259"/>
  <c r="I12" i="259"/>
  <c r="H12" i="259"/>
  <c r="I11" i="259"/>
  <c r="H11" i="259"/>
  <c r="I10" i="259"/>
  <c r="H10" i="259"/>
  <c r="K9" i="259"/>
  <c r="E253" i="53" s="1"/>
  <c r="I9" i="259"/>
  <c r="H9" i="259"/>
  <c r="J9" i="259"/>
  <c r="J10" i="259" l="1"/>
  <c r="O10" i="259" s="1"/>
  <c r="O9" i="259"/>
  <c r="I253" i="53"/>
  <c r="K253" i="53" s="1"/>
  <c r="G41" i="259"/>
  <c r="M9" i="259"/>
  <c r="D41" i="259"/>
  <c r="J41" i="259" s="1"/>
  <c r="E41" i="259"/>
  <c r="H253" i="53"/>
  <c r="J253" i="53" s="1"/>
  <c r="L10" i="259"/>
  <c r="K10" i="259"/>
  <c r="K11" i="259" s="1"/>
  <c r="M11" i="259" s="1"/>
  <c r="L9" i="259"/>
  <c r="D28" i="169"/>
  <c r="D34" i="169"/>
  <c r="D38" i="169"/>
  <c r="D39" i="169"/>
  <c r="G19" i="53"/>
  <c r="B185" i="53"/>
  <c r="B20" i="53"/>
  <c r="B94" i="53"/>
  <c r="B93" i="53"/>
  <c r="B77" i="53"/>
  <c r="A3" i="207"/>
  <c r="A3" i="222"/>
  <c r="I2" i="222"/>
  <c r="A2" i="222"/>
  <c r="A1" i="222"/>
  <c r="J11" i="259" l="1"/>
  <c r="O11" i="259" s="1"/>
  <c r="G17" i="354"/>
  <c r="H12" i="365"/>
  <c r="K41" i="259"/>
  <c r="M10" i="259"/>
  <c r="K12" i="259"/>
  <c r="K13" i="259" s="1"/>
  <c r="J12" i="259"/>
  <c r="O12" i="259" s="1"/>
  <c r="L11" i="259" l="1"/>
  <c r="M12" i="259"/>
  <c r="K14" i="259"/>
  <c r="M13" i="259"/>
  <c r="J13" i="259"/>
  <c r="O13" i="259" s="1"/>
  <c r="L12" i="259"/>
  <c r="J14" i="259" l="1"/>
  <c r="O14" i="259" s="1"/>
  <c r="L13" i="259"/>
  <c r="M14" i="259"/>
  <c r="K15" i="259"/>
  <c r="M15" i="259" l="1"/>
  <c r="K16" i="259"/>
  <c r="L14" i="259"/>
  <c r="J15" i="259"/>
  <c r="O15" i="259" s="1"/>
  <c r="J16" i="259" l="1"/>
  <c r="O16" i="259" s="1"/>
  <c r="L15" i="259"/>
  <c r="K17" i="259"/>
  <c r="M16" i="259"/>
  <c r="K18" i="259" l="1"/>
  <c r="M17" i="259"/>
  <c r="J17" i="259"/>
  <c r="O17" i="259" s="1"/>
  <c r="L16" i="259"/>
  <c r="J18" i="259" l="1"/>
  <c r="O18" i="259" s="1"/>
  <c r="L17" i="259"/>
  <c r="M18" i="259"/>
  <c r="K19" i="259"/>
  <c r="M19" i="259" l="1"/>
  <c r="K20" i="259"/>
  <c r="L18" i="259"/>
  <c r="J19" i="259"/>
  <c r="O19" i="259" s="1"/>
  <c r="D9" i="206"/>
  <c r="K9" i="206"/>
  <c r="K10" i="206" s="1"/>
  <c r="D41" i="206"/>
  <c r="D42" i="206" s="1"/>
  <c r="E41" i="206"/>
  <c r="K11" i="206" l="1"/>
  <c r="M10" i="206"/>
  <c r="E42" i="206"/>
  <c r="J20" i="259"/>
  <c r="O20" i="259" s="1"/>
  <c r="L19" i="259"/>
  <c r="K21" i="259"/>
  <c r="M20" i="259"/>
  <c r="E9" i="206"/>
  <c r="F256" i="53"/>
  <c r="E256" i="53"/>
  <c r="D256" i="53"/>
  <c r="E40" i="258"/>
  <c r="E41" i="258" s="1"/>
  <c r="D40" i="258"/>
  <c r="F39" i="258"/>
  <c r="B39" i="258"/>
  <c r="F38" i="258"/>
  <c r="B38" i="258"/>
  <c r="F37" i="258"/>
  <c r="B37" i="258"/>
  <c r="F36" i="258"/>
  <c r="B36" i="258"/>
  <c r="F35" i="258"/>
  <c r="B35" i="258"/>
  <c r="F34" i="258"/>
  <c r="B34" i="258"/>
  <c r="F33" i="258"/>
  <c r="B33" i="258"/>
  <c r="F32" i="258"/>
  <c r="B32" i="258"/>
  <c r="F31" i="258"/>
  <c r="B31" i="258"/>
  <c r="F30" i="258"/>
  <c r="B30" i="258"/>
  <c r="F29" i="258"/>
  <c r="B29" i="258"/>
  <c r="F28" i="258"/>
  <c r="B28" i="258"/>
  <c r="F27" i="258"/>
  <c r="B27" i="258"/>
  <c r="F26" i="258"/>
  <c r="B26" i="258"/>
  <c r="F25" i="258"/>
  <c r="B25" i="258"/>
  <c r="F24" i="258"/>
  <c r="B24" i="258"/>
  <c r="F23" i="258"/>
  <c r="B23" i="258"/>
  <c r="F22" i="258"/>
  <c r="B22" i="258"/>
  <c r="F21" i="258"/>
  <c r="B21" i="258"/>
  <c r="F20" i="258"/>
  <c r="B20" i="258"/>
  <c r="F19" i="258"/>
  <c r="B19" i="258"/>
  <c r="F18" i="258"/>
  <c r="B18" i="258"/>
  <c r="F17" i="258"/>
  <c r="B17" i="258"/>
  <c r="F16" i="258"/>
  <c r="B16" i="258"/>
  <c r="F15" i="258"/>
  <c r="B15" i="258"/>
  <c r="F14" i="258"/>
  <c r="B14" i="258"/>
  <c r="F13" i="258"/>
  <c r="B13" i="258"/>
  <c r="F12" i="258"/>
  <c r="B12" i="258"/>
  <c r="F11" i="258"/>
  <c r="B11" i="258"/>
  <c r="F10" i="258"/>
  <c r="B10" i="258"/>
  <c r="G9" i="258"/>
  <c r="G10" i="258" s="1"/>
  <c r="F9" i="258"/>
  <c r="B9" i="258"/>
  <c r="D8" i="258"/>
  <c r="I5" i="258"/>
  <c r="H5" i="258"/>
  <c r="G5" i="258"/>
  <c r="F5" i="258"/>
  <c r="E5" i="258"/>
  <c r="D5" i="258"/>
  <c r="C5" i="258"/>
  <c r="B5" i="258"/>
  <c r="K12" i="206" l="1"/>
  <c r="M11" i="206"/>
  <c r="D41" i="258"/>
  <c r="G41" i="258" s="1"/>
  <c r="H9" i="258"/>
  <c r="K22" i="259"/>
  <c r="M21" i="259"/>
  <c r="J21" i="259"/>
  <c r="O21" i="259" s="1"/>
  <c r="L20" i="259"/>
  <c r="H10" i="258"/>
  <c r="G11" i="258"/>
  <c r="K13" i="206" l="1"/>
  <c r="M12" i="206"/>
  <c r="J22" i="259"/>
  <c r="O22" i="259" s="1"/>
  <c r="L21" i="259"/>
  <c r="K23" i="259"/>
  <c r="M22" i="259"/>
  <c r="H11" i="258"/>
  <c r="G12" i="258"/>
  <c r="K14" i="206" l="1"/>
  <c r="M13" i="206"/>
  <c r="M23" i="259"/>
  <c r="K24" i="259"/>
  <c r="L22" i="259"/>
  <c r="J23" i="259"/>
  <c r="O23" i="259" s="1"/>
  <c r="H12" i="258"/>
  <c r="G13" i="258"/>
  <c r="K15" i="206" l="1"/>
  <c r="M14" i="206"/>
  <c r="J24" i="259"/>
  <c r="O24" i="259" s="1"/>
  <c r="L23" i="259"/>
  <c r="K25" i="259"/>
  <c r="M24" i="259"/>
  <c r="H13" i="258"/>
  <c r="G14" i="258"/>
  <c r="E40" i="257"/>
  <c r="E41" i="257" s="1"/>
  <c r="F39" i="257"/>
  <c r="B39" i="257"/>
  <c r="F38" i="257"/>
  <c r="B38" i="257"/>
  <c r="F37" i="257"/>
  <c r="B37" i="257"/>
  <c r="F36" i="257"/>
  <c r="B36" i="257"/>
  <c r="F35" i="257"/>
  <c r="B35" i="257"/>
  <c r="F34" i="257"/>
  <c r="B34" i="257"/>
  <c r="F33" i="257"/>
  <c r="B33" i="257"/>
  <c r="F32" i="257"/>
  <c r="B32" i="257"/>
  <c r="F31" i="257"/>
  <c r="B31" i="257"/>
  <c r="F30" i="257"/>
  <c r="B30" i="257"/>
  <c r="F29" i="257"/>
  <c r="B29" i="257"/>
  <c r="F28" i="257"/>
  <c r="B28" i="257"/>
  <c r="F27" i="257"/>
  <c r="B27" i="257"/>
  <c r="F26" i="257"/>
  <c r="B26" i="257"/>
  <c r="F25" i="257"/>
  <c r="B25" i="257"/>
  <c r="F24" i="257"/>
  <c r="B24" i="257"/>
  <c r="F23" i="257"/>
  <c r="B23" i="257"/>
  <c r="F22" i="257"/>
  <c r="B22" i="257"/>
  <c r="F21" i="257"/>
  <c r="B21" i="257"/>
  <c r="F20" i="257"/>
  <c r="B20" i="257"/>
  <c r="F19" i="257"/>
  <c r="D40" i="257"/>
  <c r="B19" i="257"/>
  <c r="F18" i="257"/>
  <c r="B18" i="257"/>
  <c r="F17" i="257"/>
  <c r="B17" i="257"/>
  <c r="F16" i="257"/>
  <c r="B16" i="257"/>
  <c r="F15" i="257"/>
  <c r="B15" i="257"/>
  <c r="F14" i="257"/>
  <c r="B14" i="257"/>
  <c r="F13" i="257"/>
  <c r="B13" i="257"/>
  <c r="F12" i="257"/>
  <c r="B12" i="257"/>
  <c r="F11" i="257"/>
  <c r="B11" i="257"/>
  <c r="F10" i="257"/>
  <c r="B10" i="257"/>
  <c r="G9" i="257"/>
  <c r="F9" i="257"/>
  <c r="B9" i="257"/>
  <c r="D8" i="257"/>
  <c r="I5" i="257"/>
  <c r="H5" i="257"/>
  <c r="G5" i="257"/>
  <c r="F5" i="257"/>
  <c r="E5" i="257"/>
  <c r="D5" i="257"/>
  <c r="C5" i="257"/>
  <c r="B5" i="257"/>
  <c r="K16" i="206" l="1"/>
  <c r="M15" i="206"/>
  <c r="K26" i="259"/>
  <c r="M25" i="259"/>
  <c r="J25" i="259"/>
  <c r="O25" i="259" s="1"/>
  <c r="L24" i="259"/>
  <c r="H9" i="257"/>
  <c r="H14" i="258"/>
  <c r="G15" i="258"/>
  <c r="D41" i="257"/>
  <c r="G41" i="257" s="1"/>
  <c r="G10" i="257"/>
  <c r="K17" i="206" l="1"/>
  <c r="M16" i="206"/>
  <c r="J26" i="259"/>
  <c r="O26" i="259" s="1"/>
  <c r="L25" i="259"/>
  <c r="K27" i="259"/>
  <c r="M26" i="259"/>
  <c r="H15" i="258"/>
  <c r="G16" i="258"/>
  <c r="H10" i="257"/>
  <c r="G11" i="257"/>
  <c r="M17" i="206" l="1"/>
  <c r="K18" i="206"/>
  <c r="M27" i="259"/>
  <c r="K28" i="259"/>
  <c r="L26" i="259"/>
  <c r="J27" i="259"/>
  <c r="O27" i="259" s="1"/>
  <c r="G17" i="258"/>
  <c r="H16" i="258"/>
  <c r="H11" i="257"/>
  <c r="G12" i="257"/>
  <c r="D40" i="149"/>
  <c r="K19" i="206" l="1"/>
  <c r="M18" i="206"/>
  <c r="J28" i="259"/>
  <c r="O28" i="259" s="1"/>
  <c r="L27" i="259"/>
  <c r="K29" i="259"/>
  <c r="M28" i="259"/>
  <c r="G18" i="258"/>
  <c r="H17" i="258"/>
  <c r="H12" i="257"/>
  <c r="G13" i="257"/>
  <c r="M19" i="206" l="1"/>
  <c r="K20" i="206"/>
  <c r="K30" i="259"/>
  <c r="M29" i="259"/>
  <c r="J29" i="259"/>
  <c r="O29" i="259" s="1"/>
  <c r="L28" i="259"/>
  <c r="H18" i="258"/>
  <c r="G19" i="258"/>
  <c r="H13" i="257"/>
  <c r="G14" i="257"/>
  <c r="M20" i="206" l="1"/>
  <c r="K21" i="206"/>
  <c r="J30" i="259"/>
  <c r="O30" i="259" s="1"/>
  <c r="L29" i="259"/>
  <c r="K31" i="259"/>
  <c r="M30" i="259"/>
  <c r="H19" i="258"/>
  <c r="G20" i="258"/>
  <c r="H14" i="257"/>
  <c r="G15" i="257"/>
  <c r="K22" i="206" l="1"/>
  <c r="M21" i="206"/>
  <c r="M31" i="259"/>
  <c r="K32" i="259"/>
  <c r="L30" i="259"/>
  <c r="J31" i="259"/>
  <c r="O31" i="259" s="1"/>
  <c r="G21" i="258"/>
  <c r="H20" i="258"/>
  <c r="H15" i="257"/>
  <c r="G16" i="257"/>
  <c r="E9" i="191"/>
  <c r="D9" i="191"/>
  <c r="K23" i="206" l="1"/>
  <c r="M22" i="206"/>
  <c r="J32" i="259"/>
  <c r="O32" i="259" s="1"/>
  <c r="L31" i="259"/>
  <c r="K33" i="259"/>
  <c r="M32" i="259"/>
  <c r="H21" i="258"/>
  <c r="G22" i="258"/>
  <c r="H16" i="257"/>
  <c r="G17" i="257"/>
  <c r="K24" i="206" l="1"/>
  <c r="M23" i="206"/>
  <c r="K34" i="259"/>
  <c r="M33" i="259"/>
  <c r="J33" i="259"/>
  <c r="O33" i="259" s="1"/>
  <c r="L32" i="259"/>
  <c r="H22" i="258"/>
  <c r="G23" i="258"/>
  <c r="H17" i="257"/>
  <c r="G18" i="257"/>
  <c r="M24" i="206" l="1"/>
  <c r="K25" i="206"/>
  <c r="J34" i="259"/>
  <c r="O34" i="259" s="1"/>
  <c r="L33" i="259"/>
  <c r="K35" i="259"/>
  <c r="M34" i="259"/>
  <c r="H23" i="258"/>
  <c r="G24" i="258"/>
  <c r="G19" i="257"/>
  <c r="H18" i="257"/>
  <c r="K26" i="206" l="1"/>
  <c r="M25" i="206"/>
  <c r="M35" i="259"/>
  <c r="K36" i="259"/>
  <c r="L34" i="259"/>
  <c r="J35" i="259"/>
  <c r="O35" i="259" s="1"/>
  <c r="G25" i="258"/>
  <c r="H24" i="258"/>
  <c r="G20" i="257"/>
  <c r="H19" i="257"/>
  <c r="K27" i="206" l="1"/>
  <c r="M26" i="206"/>
  <c r="J36" i="259"/>
  <c r="O36" i="259" s="1"/>
  <c r="L35" i="259"/>
  <c r="K37" i="259"/>
  <c r="M36" i="259"/>
  <c r="G26" i="258"/>
  <c r="H25" i="258"/>
  <c r="G21" i="257"/>
  <c r="H20" i="257"/>
  <c r="K28" i="206" l="1"/>
  <c r="M27" i="206"/>
  <c r="K38" i="259"/>
  <c r="M37" i="259"/>
  <c r="J37" i="259"/>
  <c r="O37" i="259" s="1"/>
  <c r="L36" i="259"/>
  <c r="G27" i="258"/>
  <c r="H26" i="258"/>
  <c r="G22" i="257"/>
  <c r="H21" i="257"/>
  <c r="K29" i="206" l="1"/>
  <c r="M28" i="206"/>
  <c r="J38" i="259"/>
  <c r="O38" i="259" s="1"/>
  <c r="L37" i="259"/>
  <c r="K39" i="259"/>
  <c r="M38" i="259"/>
  <c r="H27" i="258"/>
  <c r="G28" i="258"/>
  <c r="H22" i="257"/>
  <c r="G23" i="257"/>
  <c r="K30" i="206" l="1"/>
  <c r="M29" i="206"/>
  <c r="M39" i="259"/>
  <c r="K40" i="259"/>
  <c r="L38" i="259"/>
  <c r="J39" i="259"/>
  <c r="O39" i="259" s="1"/>
  <c r="G29" i="258"/>
  <c r="H28" i="258"/>
  <c r="H23" i="257"/>
  <c r="G24" i="257"/>
  <c r="E5" i="153"/>
  <c r="C11" i="166"/>
  <c r="C12" i="166"/>
  <c r="G10" i="166"/>
  <c r="D10" i="170"/>
  <c r="D11" i="170"/>
  <c r="D12" i="170"/>
  <c r="D13" i="170"/>
  <c r="D14" i="170"/>
  <c r="D15" i="170"/>
  <c r="D16" i="170"/>
  <c r="D17" i="170"/>
  <c r="D18" i="170"/>
  <c r="D19" i="170"/>
  <c r="D20" i="170"/>
  <c r="D21" i="170"/>
  <c r="D22" i="170"/>
  <c r="D23" i="170"/>
  <c r="D25" i="170"/>
  <c r="D26" i="170"/>
  <c r="D27" i="170"/>
  <c r="D28" i="170"/>
  <c r="D29" i="170"/>
  <c r="D30" i="170"/>
  <c r="D31" i="170"/>
  <c r="D32" i="170"/>
  <c r="D33" i="170"/>
  <c r="D34" i="170"/>
  <c r="D38" i="170"/>
  <c r="D39" i="170"/>
  <c r="D9" i="170"/>
  <c r="D9" i="169"/>
  <c r="D10" i="169"/>
  <c r="D11" i="169"/>
  <c r="D12" i="169"/>
  <c r="D13" i="169"/>
  <c r="D14" i="169"/>
  <c r="D21" i="169"/>
  <c r="D22" i="169"/>
  <c r="D23" i="169"/>
  <c r="D24" i="169"/>
  <c r="D25" i="169"/>
  <c r="D26" i="169"/>
  <c r="D27" i="169"/>
  <c r="B39" i="203"/>
  <c r="I23" i="232"/>
  <c r="M23" i="232" s="1"/>
  <c r="K40" i="232"/>
  <c r="G40" i="232"/>
  <c r="G41" i="232" s="1"/>
  <c r="E40" i="232"/>
  <c r="G256" i="53" s="1"/>
  <c r="I39" i="232"/>
  <c r="M39" i="232" s="1"/>
  <c r="F39" i="232"/>
  <c r="I38" i="232"/>
  <c r="M38" i="232" s="1"/>
  <c r="F38" i="232"/>
  <c r="I37" i="232"/>
  <c r="M37" i="232" s="1"/>
  <c r="F37" i="232"/>
  <c r="I36" i="232"/>
  <c r="M36" i="232" s="1"/>
  <c r="F36" i="232"/>
  <c r="I35" i="232"/>
  <c r="M35" i="232" s="1"/>
  <c r="F35" i="232"/>
  <c r="I34" i="232"/>
  <c r="M34" i="232" s="1"/>
  <c r="F34" i="232"/>
  <c r="I33" i="232"/>
  <c r="M33" i="232" s="1"/>
  <c r="F33" i="232"/>
  <c r="I32" i="232"/>
  <c r="M32" i="232" s="1"/>
  <c r="F32" i="232"/>
  <c r="I31" i="232"/>
  <c r="M31" i="232" s="1"/>
  <c r="F31" i="232"/>
  <c r="I30" i="232"/>
  <c r="M30" i="232" s="1"/>
  <c r="F30" i="232"/>
  <c r="I29" i="232"/>
  <c r="M29" i="232" s="1"/>
  <c r="F29" i="232"/>
  <c r="I28" i="232"/>
  <c r="M28" i="232" s="1"/>
  <c r="F28" i="232"/>
  <c r="I27" i="232"/>
  <c r="M27" i="232" s="1"/>
  <c r="F27" i="232"/>
  <c r="I26" i="232"/>
  <c r="M26" i="232" s="1"/>
  <c r="F26" i="232"/>
  <c r="I25" i="232"/>
  <c r="M25" i="232" s="1"/>
  <c r="F25" i="232"/>
  <c r="I24" i="232"/>
  <c r="M24" i="232" s="1"/>
  <c r="F24" i="232"/>
  <c r="F23" i="232"/>
  <c r="I22" i="232"/>
  <c r="M22" i="232" s="1"/>
  <c r="F22" i="232"/>
  <c r="I21" i="232"/>
  <c r="M21" i="232" s="1"/>
  <c r="F21" i="232"/>
  <c r="I20" i="232"/>
  <c r="M20" i="232" s="1"/>
  <c r="F20" i="232"/>
  <c r="I19" i="232"/>
  <c r="M19" i="232" s="1"/>
  <c r="F19" i="232"/>
  <c r="I18" i="232"/>
  <c r="M18" i="232" s="1"/>
  <c r="F18" i="232"/>
  <c r="I17" i="232"/>
  <c r="M17" i="232" s="1"/>
  <c r="F17" i="232"/>
  <c r="I16" i="232"/>
  <c r="M16" i="232" s="1"/>
  <c r="F16" i="232"/>
  <c r="I15" i="232"/>
  <c r="M15" i="232" s="1"/>
  <c r="F15" i="232"/>
  <c r="I14" i="232"/>
  <c r="M14" i="232" s="1"/>
  <c r="F14" i="232"/>
  <c r="I13" i="232"/>
  <c r="M13" i="232" s="1"/>
  <c r="F13" i="232"/>
  <c r="I12" i="232"/>
  <c r="M12" i="232" s="1"/>
  <c r="F12" i="232"/>
  <c r="I11" i="232"/>
  <c r="M11" i="232" s="1"/>
  <c r="F11" i="232"/>
  <c r="I10" i="232"/>
  <c r="M10" i="232" s="1"/>
  <c r="F10" i="232"/>
  <c r="I9" i="232"/>
  <c r="M9" i="232" s="1"/>
  <c r="F9" i="232"/>
  <c r="E8" i="232"/>
  <c r="D8" i="232"/>
  <c r="D41" i="232" s="1"/>
  <c r="F41" i="166"/>
  <c r="F42" i="166" s="1"/>
  <c r="E239" i="53"/>
  <c r="D239" i="53"/>
  <c r="H24" i="207"/>
  <c r="I23" i="187"/>
  <c r="I24" i="186"/>
  <c r="I23" i="235"/>
  <c r="M23" i="235" s="1"/>
  <c r="C4" i="202"/>
  <c r="D4" i="202"/>
  <c r="E4" i="202"/>
  <c r="F4" i="202"/>
  <c r="G4" i="202"/>
  <c r="H4" i="202"/>
  <c r="I4" i="202"/>
  <c r="C4" i="200"/>
  <c r="D4" i="200"/>
  <c r="E4" i="200"/>
  <c r="F4" i="200"/>
  <c r="G4" i="200"/>
  <c r="H4" i="200"/>
  <c r="I4" i="200"/>
  <c r="C4" i="199"/>
  <c r="D4" i="199"/>
  <c r="E4" i="199"/>
  <c r="F4" i="199"/>
  <c r="G4" i="199"/>
  <c r="H4" i="199"/>
  <c r="I4" i="199"/>
  <c r="C4" i="198"/>
  <c r="D4" i="198"/>
  <c r="E4" i="198"/>
  <c r="F4" i="198"/>
  <c r="G4" i="198"/>
  <c r="H4" i="198"/>
  <c r="I4" i="198"/>
  <c r="C4" i="197"/>
  <c r="D4" i="197"/>
  <c r="E4" i="197"/>
  <c r="F4" i="197"/>
  <c r="G4" i="197"/>
  <c r="H4" i="197"/>
  <c r="I4" i="197"/>
  <c r="C4" i="196"/>
  <c r="D4" i="196"/>
  <c r="E4" i="196"/>
  <c r="F4" i="196"/>
  <c r="G4" i="196"/>
  <c r="H4" i="196"/>
  <c r="I4" i="196"/>
  <c r="C5" i="191"/>
  <c r="D5" i="191"/>
  <c r="E5" i="191"/>
  <c r="F5" i="191"/>
  <c r="G5" i="191"/>
  <c r="H5" i="191"/>
  <c r="I5" i="191"/>
  <c r="C5" i="174"/>
  <c r="D5" i="174"/>
  <c r="E5" i="174"/>
  <c r="F5" i="174"/>
  <c r="G5" i="174"/>
  <c r="H5" i="174"/>
  <c r="I5" i="174"/>
  <c r="C5" i="244"/>
  <c r="D5" i="244"/>
  <c r="E5" i="244"/>
  <c r="F5" i="244"/>
  <c r="G5" i="244"/>
  <c r="H5" i="244"/>
  <c r="I5" i="244"/>
  <c r="C5" i="207"/>
  <c r="D5" i="207"/>
  <c r="E5" i="207"/>
  <c r="H5" i="207"/>
  <c r="I5" i="207"/>
  <c r="C5" i="222"/>
  <c r="D5" i="222"/>
  <c r="E5" i="222"/>
  <c r="F5" i="222"/>
  <c r="G5" i="222"/>
  <c r="H5" i="222"/>
  <c r="I5" i="222"/>
  <c r="D8" i="244"/>
  <c r="E40" i="251"/>
  <c r="E40" i="256"/>
  <c r="E40" i="255"/>
  <c r="C10" i="235"/>
  <c r="C11" i="235"/>
  <c r="C12" i="235"/>
  <c r="C13" i="235"/>
  <c r="C14" i="235"/>
  <c r="C15" i="235"/>
  <c r="C16" i="235"/>
  <c r="C17" i="235"/>
  <c r="C18" i="235"/>
  <c r="C19" i="235"/>
  <c r="C20" i="235"/>
  <c r="C21" i="235"/>
  <c r="C9" i="235"/>
  <c r="P39" i="235"/>
  <c r="P38" i="235"/>
  <c r="P37" i="235"/>
  <c r="P36" i="235"/>
  <c r="P35" i="235"/>
  <c r="P34" i="235"/>
  <c r="P33" i="235"/>
  <c r="P32" i="235"/>
  <c r="P31" i="235"/>
  <c r="P30" i="235"/>
  <c r="P29" i="235"/>
  <c r="P28" i="235"/>
  <c r="P27" i="235"/>
  <c r="P26" i="235"/>
  <c r="P25" i="235"/>
  <c r="P24" i="235"/>
  <c r="P23" i="235"/>
  <c r="P22" i="235"/>
  <c r="P21" i="235"/>
  <c r="P20" i="235"/>
  <c r="P19" i="235"/>
  <c r="P18" i="235"/>
  <c r="P17" i="235"/>
  <c r="P16" i="235"/>
  <c r="P15" i="235"/>
  <c r="P14" i="235"/>
  <c r="P13" i="235"/>
  <c r="P12" i="235"/>
  <c r="P11" i="235"/>
  <c r="P10" i="235"/>
  <c r="P9" i="235"/>
  <c r="F10" i="235"/>
  <c r="F11" i="235"/>
  <c r="F12" i="235"/>
  <c r="F13" i="235"/>
  <c r="F14" i="235"/>
  <c r="F15" i="235"/>
  <c r="F16" i="235"/>
  <c r="F17" i="235"/>
  <c r="F18" i="235"/>
  <c r="F19" i="235"/>
  <c r="F20" i="235"/>
  <c r="F21" i="235"/>
  <c r="F22" i="235"/>
  <c r="F23" i="235"/>
  <c r="F24" i="235"/>
  <c r="F25" i="235"/>
  <c r="F26" i="235"/>
  <c r="F27" i="235"/>
  <c r="F28" i="235"/>
  <c r="F29" i="235"/>
  <c r="F30" i="235"/>
  <c r="F31" i="235"/>
  <c r="F32" i="235"/>
  <c r="F33" i="235"/>
  <c r="F34" i="235"/>
  <c r="F35" i="235"/>
  <c r="F36" i="235"/>
  <c r="F37" i="235"/>
  <c r="F38" i="235"/>
  <c r="F39" i="235"/>
  <c r="F9" i="235"/>
  <c r="D98" i="53"/>
  <c r="D97" i="53"/>
  <c r="D99" i="53"/>
  <c r="D102" i="53"/>
  <c r="D105" i="53"/>
  <c r="D106" i="53"/>
  <c r="G9" i="254"/>
  <c r="G10" i="254"/>
  <c r="G11" i="254"/>
  <c r="G12" i="254"/>
  <c r="G13" i="254"/>
  <c r="G14" i="254"/>
  <c r="G15" i="254"/>
  <c r="G16" i="254"/>
  <c r="G17" i="254"/>
  <c r="G18" i="254"/>
  <c r="G19" i="254"/>
  <c r="G20" i="254"/>
  <c r="G21" i="254"/>
  <c r="G9" i="250"/>
  <c r="G10" i="250"/>
  <c r="G11" i="250"/>
  <c r="G12" i="250"/>
  <c r="G13" i="250"/>
  <c r="G14" i="250"/>
  <c r="G15" i="250"/>
  <c r="G16" i="250"/>
  <c r="G17" i="250"/>
  <c r="G18" i="250"/>
  <c r="G19" i="250"/>
  <c r="G20" i="250"/>
  <c r="G21" i="250"/>
  <c r="G23" i="250"/>
  <c r="G24" i="250"/>
  <c r="G25" i="250"/>
  <c r="G26" i="250"/>
  <c r="G27" i="250"/>
  <c r="G28" i="250"/>
  <c r="G29" i="250"/>
  <c r="G30" i="250"/>
  <c r="G31" i="250"/>
  <c r="G32" i="250"/>
  <c r="G33" i="250"/>
  <c r="G34" i="250"/>
  <c r="G35" i="250"/>
  <c r="G36" i="250"/>
  <c r="G37" i="250"/>
  <c r="G38" i="250"/>
  <c r="G39" i="250"/>
  <c r="G22" i="250"/>
  <c r="E9" i="250"/>
  <c r="E11" i="250"/>
  <c r="E12" i="250"/>
  <c r="E13" i="250"/>
  <c r="E14" i="250"/>
  <c r="E15" i="250"/>
  <c r="E16" i="250"/>
  <c r="E17" i="250"/>
  <c r="E18" i="250"/>
  <c r="E19" i="250"/>
  <c r="E20" i="250"/>
  <c r="E21" i="250"/>
  <c r="E22" i="250"/>
  <c r="E23" i="250"/>
  <c r="E24" i="250"/>
  <c r="E25" i="250"/>
  <c r="E26" i="250"/>
  <c r="E27" i="250"/>
  <c r="E28" i="250"/>
  <c r="E29" i="250"/>
  <c r="E30" i="250"/>
  <c r="E31" i="250"/>
  <c r="E32" i="250"/>
  <c r="E33" i="250"/>
  <c r="E34" i="250"/>
  <c r="E35" i="250"/>
  <c r="E36" i="250"/>
  <c r="E37" i="250"/>
  <c r="E38" i="250"/>
  <c r="E39" i="250"/>
  <c r="E9" i="254"/>
  <c r="E10" i="254"/>
  <c r="E20" i="254"/>
  <c r="E21" i="254"/>
  <c r="E22" i="254"/>
  <c r="E23" i="254"/>
  <c r="E24" i="254"/>
  <c r="E25" i="254"/>
  <c r="E26" i="254"/>
  <c r="E27" i="254"/>
  <c r="E28" i="254"/>
  <c r="E29" i="254"/>
  <c r="E30" i="254"/>
  <c r="E31" i="254"/>
  <c r="E32" i="254"/>
  <c r="E33" i="254"/>
  <c r="E34" i="254"/>
  <c r="E35" i="254"/>
  <c r="E36" i="254"/>
  <c r="E37" i="254"/>
  <c r="E38" i="254"/>
  <c r="E39" i="254"/>
  <c r="G29" i="254"/>
  <c r="G30" i="254"/>
  <c r="G31" i="254"/>
  <c r="G32" i="254"/>
  <c r="G33" i="254"/>
  <c r="G34" i="254"/>
  <c r="G35" i="254"/>
  <c r="G36" i="254"/>
  <c r="G37" i="254"/>
  <c r="G38" i="254"/>
  <c r="G39" i="254"/>
  <c r="G23" i="254"/>
  <c r="G24" i="254"/>
  <c r="G25" i="254"/>
  <c r="G26" i="254"/>
  <c r="G27" i="254"/>
  <c r="G28" i="254"/>
  <c r="G22" i="254"/>
  <c r="J8" i="254"/>
  <c r="E106" i="53" s="1"/>
  <c r="J8" i="250"/>
  <c r="E105" i="53" s="1"/>
  <c r="J8" i="253"/>
  <c r="E102" i="53" s="1"/>
  <c r="J8" i="251"/>
  <c r="E8" i="251" s="1"/>
  <c r="J8" i="256"/>
  <c r="E8" i="256" s="1"/>
  <c r="D40" i="253"/>
  <c r="F98" i="53"/>
  <c r="F40" i="256"/>
  <c r="D40" i="256"/>
  <c r="D8" i="256"/>
  <c r="H98" i="53"/>
  <c r="F40" i="254"/>
  <c r="F66" i="351" s="1"/>
  <c r="D40" i="254"/>
  <c r="F106" i="53" s="1"/>
  <c r="I9" i="254"/>
  <c r="K9" i="254" s="1"/>
  <c r="D8" i="254"/>
  <c r="F40" i="253"/>
  <c r="P10" i="253"/>
  <c r="D8" i="253"/>
  <c r="F40" i="252"/>
  <c r="D40" i="252"/>
  <c r="F96" i="53" s="1"/>
  <c r="F40" i="251"/>
  <c r="D8" i="251"/>
  <c r="F40" i="250"/>
  <c r="D40" i="250"/>
  <c r="F105" i="53" s="1"/>
  <c r="I9" i="250"/>
  <c r="K9" i="250" s="1"/>
  <c r="D8" i="250"/>
  <c r="C4" i="228"/>
  <c r="D4" i="228"/>
  <c r="E4" i="228"/>
  <c r="F4" i="228"/>
  <c r="G4" i="228"/>
  <c r="H4" i="228"/>
  <c r="I4" i="228"/>
  <c r="E40" i="249"/>
  <c r="H19" i="341" s="1"/>
  <c r="D40" i="249"/>
  <c r="D8" i="249"/>
  <c r="D8" i="246"/>
  <c r="D127" i="53" s="1"/>
  <c r="D40" i="246"/>
  <c r="G9" i="220"/>
  <c r="G10" i="220" s="1"/>
  <c r="D40" i="247"/>
  <c r="H9" i="247"/>
  <c r="D8" i="247"/>
  <c r="E40" i="246"/>
  <c r="G9" i="246"/>
  <c r="E40" i="245"/>
  <c r="D40" i="245"/>
  <c r="H9" i="245"/>
  <c r="G9" i="244"/>
  <c r="G10" i="244" s="1"/>
  <c r="F10" i="244"/>
  <c r="F11" i="244"/>
  <c r="F12" i="244"/>
  <c r="F13" i="244"/>
  <c r="F14" i="244"/>
  <c r="F15" i="244"/>
  <c r="F16" i="244"/>
  <c r="F17" i="244"/>
  <c r="F18" i="244"/>
  <c r="F19" i="244"/>
  <c r="F20" i="244"/>
  <c r="F21" i="244"/>
  <c r="F22" i="244"/>
  <c r="F23" i="244"/>
  <c r="F24" i="244"/>
  <c r="F25" i="244"/>
  <c r="F26" i="244"/>
  <c r="F27" i="244"/>
  <c r="F28" i="244"/>
  <c r="F29" i="244"/>
  <c r="F30" i="244"/>
  <c r="F31" i="244"/>
  <c r="F32" i="244"/>
  <c r="F33" i="244"/>
  <c r="F34" i="244"/>
  <c r="F35" i="244"/>
  <c r="F36" i="244"/>
  <c r="F37" i="244"/>
  <c r="F38" i="244"/>
  <c r="F39" i="244"/>
  <c r="F9" i="244"/>
  <c r="E40" i="244"/>
  <c r="E41" i="244" s="1"/>
  <c r="D40" i="244"/>
  <c r="B39" i="244"/>
  <c r="B38" i="244"/>
  <c r="B37" i="244"/>
  <c r="B36" i="244"/>
  <c r="B35" i="244"/>
  <c r="B34" i="244"/>
  <c r="B33" i="244"/>
  <c r="B32" i="244"/>
  <c r="B31" i="244"/>
  <c r="B30" i="244"/>
  <c r="B29" i="244"/>
  <c r="B28" i="244"/>
  <c r="B27" i="244"/>
  <c r="B26" i="244"/>
  <c r="B25" i="244"/>
  <c r="B24" i="244"/>
  <c r="B23" i="244"/>
  <c r="B22" i="244"/>
  <c r="B21" i="244"/>
  <c r="B20" i="244"/>
  <c r="B19" i="244"/>
  <c r="B18" i="244"/>
  <c r="B17" i="244"/>
  <c r="B16" i="244"/>
  <c r="B15" i="244"/>
  <c r="B14" i="244"/>
  <c r="B13" i="244"/>
  <c r="B12" i="244"/>
  <c r="B11" i="244"/>
  <c r="B10" i="244"/>
  <c r="B9" i="244"/>
  <c r="B5" i="244"/>
  <c r="E40" i="242"/>
  <c r="D40" i="242"/>
  <c r="F112" i="53" s="1"/>
  <c r="D8" i="242"/>
  <c r="C5" i="236"/>
  <c r="D5" i="236"/>
  <c r="E5" i="236"/>
  <c r="F5" i="236"/>
  <c r="G5" i="236"/>
  <c r="H5" i="236"/>
  <c r="I5" i="236"/>
  <c r="C5" i="203"/>
  <c r="D5" i="203"/>
  <c r="F5" i="203"/>
  <c r="G5" i="203"/>
  <c r="H5" i="203"/>
  <c r="I5" i="203"/>
  <c r="E40" i="240"/>
  <c r="E41" i="240" s="1"/>
  <c r="D40" i="240"/>
  <c r="F111" i="53" s="1"/>
  <c r="G202" i="354" s="1"/>
  <c r="G9" i="240"/>
  <c r="G9" i="236"/>
  <c r="G10" i="236" s="1"/>
  <c r="G11" i="236" s="1"/>
  <c r="F10" i="236"/>
  <c r="F11" i="236"/>
  <c r="F12" i="236"/>
  <c r="F13" i="236"/>
  <c r="F14" i="236"/>
  <c r="F15" i="236"/>
  <c r="F16" i="236"/>
  <c r="F17" i="236"/>
  <c r="F18" i="236"/>
  <c r="F19" i="236"/>
  <c r="F20" i="236"/>
  <c r="F21" i="236"/>
  <c r="F22" i="236"/>
  <c r="F23" i="236"/>
  <c r="F24" i="236"/>
  <c r="F25" i="236"/>
  <c r="F26" i="236"/>
  <c r="F27" i="236"/>
  <c r="F28" i="236"/>
  <c r="F29" i="236"/>
  <c r="F30" i="236"/>
  <c r="F31" i="236"/>
  <c r="F32" i="236"/>
  <c r="F33" i="236"/>
  <c r="F34" i="236"/>
  <c r="F35" i="236"/>
  <c r="F36" i="236"/>
  <c r="F37" i="236"/>
  <c r="F38" i="236"/>
  <c r="F39" i="236"/>
  <c r="F9" i="236"/>
  <c r="D8" i="236"/>
  <c r="D40" i="236"/>
  <c r="D46" i="236" s="1"/>
  <c r="E40" i="236"/>
  <c r="E41" i="236" s="1"/>
  <c r="G9" i="203"/>
  <c r="G10" i="203" s="1"/>
  <c r="F10" i="203"/>
  <c r="F11" i="203"/>
  <c r="F12" i="203"/>
  <c r="F13" i="203"/>
  <c r="F14" i="203"/>
  <c r="F15" i="203"/>
  <c r="F16" i="203"/>
  <c r="F17" i="203"/>
  <c r="F18" i="203"/>
  <c r="F19" i="203"/>
  <c r="F20" i="203"/>
  <c r="F21" i="203"/>
  <c r="F22" i="203"/>
  <c r="F23" i="203"/>
  <c r="F24" i="203"/>
  <c r="F25" i="203"/>
  <c r="F26" i="203"/>
  <c r="F27" i="203"/>
  <c r="F28" i="203"/>
  <c r="F29" i="203"/>
  <c r="F30" i="203"/>
  <c r="F31" i="203"/>
  <c r="F32" i="203"/>
  <c r="F33" i="203"/>
  <c r="F34" i="203"/>
  <c r="F35" i="203"/>
  <c r="F36" i="203"/>
  <c r="F37" i="203"/>
  <c r="F38" i="203"/>
  <c r="F39" i="203"/>
  <c r="F9" i="203"/>
  <c r="B9" i="236"/>
  <c r="B5" i="236"/>
  <c r="G10" i="245"/>
  <c r="D15" i="162"/>
  <c r="I9" i="198"/>
  <c r="D8" i="212"/>
  <c r="D8" i="172"/>
  <c r="E8" i="172"/>
  <c r="D13" i="156"/>
  <c r="D14" i="156"/>
  <c r="D15" i="156"/>
  <c r="D16" i="156"/>
  <c r="D17" i="156"/>
  <c r="D18" i="156"/>
  <c r="D19" i="156"/>
  <c r="D20" i="156"/>
  <c r="D21" i="156"/>
  <c r="D22" i="156"/>
  <c r="D23" i="156"/>
  <c r="D24" i="156"/>
  <c r="D25" i="156"/>
  <c r="D26" i="156"/>
  <c r="D27" i="156"/>
  <c r="D28" i="156"/>
  <c r="D29" i="156"/>
  <c r="D30" i="156"/>
  <c r="D31" i="156"/>
  <c r="D32" i="156"/>
  <c r="D33" i="156"/>
  <c r="D34" i="156"/>
  <c r="D35" i="156"/>
  <c r="D39" i="156"/>
  <c r="D40" i="156"/>
  <c r="D10" i="156"/>
  <c r="D10" i="162"/>
  <c r="D11" i="162"/>
  <c r="D12" i="162"/>
  <c r="D13" i="162"/>
  <c r="D14" i="162"/>
  <c r="D16" i="162"/>
  <c r="D17" i="162"/>
  <c r="D18" i="162"/>
  <c r="D19" i="162"/>
  <c r="D20" i="162"/>
  <c r="D21" i="162"/>
  <c r="D22" i="162"/>
  <c r="D23" i="162"/>
  <c r="D24" i="162"/>
  <c r="D25" i="162"/>
  <c r="D26" i="162"/>
  <c r="D27" i="162"/>
  <c r="D28" i="162"/>
  <c r="D29" i="162"/>
  <c r="D30" i="162"/>
  <c r="D31" i="162"/>
  <c r="D32" i="162"/>
  <c r="D33" i="162"/>
  <c r="D34" i="162"/>
  <c r="D35" i="162"/>
  <c r="D36" i="162"/>
  <c r="D37" i="162"/>
  <c r="D38" i="162"/>
  <c r="D39" i="162"/>
  <c r="D9" i="162"/>
  <c r="J9" i="162" s="1"/>
  <c r="O9" i="162" s="1"/>
  <c r="J9" i="164"/>
  <c r="S9" i="164" s="1"/>
  <c r="D9" i="158"/>
  <c r="D40" i="158" s="1"/>
  <c r="D40" i="153"/>
  <c r="D39" i="153"/>
  <c r="D35" i="153"/>
  <c r="D34" i="153"/>
  <c r="D33" i="153"/>
  <c r="D32" i="153"/>
  <c r="D31" i="153"/>
  <c r="D30" i="153"/>
  <c r="D29" i="153"/>
  <c r="D28" i="153"/>
  <c r="D27" i="153"/>
  <c r="D26" i="153"/>
  <c r="D25" i="153"/>
  <c r="D24" i="153"/>
  <c r="D23" i="153"/>
  <c r="D22" i="153"/>
  <c r="D21" i="153"/>
  <c r="D20" i="153"/>
  <c r="D19" i="153"/>
  <c r="D18" i="153"/>
  <c r="D17" i="153"/>
  <c r="D16" i="153"/>
  <c r="D15" i="153"/>
  <c r="D14" i="153"/>
  <c r="D13" i="153"/>
  <c r="D12" i="153"/>
  <c r="D11" i="153"/>
  <c r="D10" i="153"/>
  <c r="G11" i="168"/>
  <c r="G12" i="168"/>
  <c r="K41" i="231"/>
  <c r="B5" i="203"/>
  <c r="G10" i="168"/>
  <c r="G13" i="168"/>
  <c r="G14" i="168"/>
  <c r="G15" i="168"/>
  <c r="G16" i="168"/>
  <c r="G17" i="168"/>
  <c r="G18" i="168"/>
  <c r="G19" i="168"/>
  <c r="G20" i="168"/>
  <c r="G21" i="168"/>
  <c r="G22" i="168"/>
  <c r="G23" i="168"/>
  <c r="G24" i="168"/>
  <c r="G25" i="168"/>
  <c r="G26" i="168"/>
  <c r="G27" i="168"/>
  <c r="G28" i="168"/>
  <c r="G29" i="168"/>
  <c r="G30" i="168"/>
  <c r="G31" i="168"/>
  <c r="G32" i="168"/>
  <c r="G33" i="168"/>
  <c r="G34" i="168"/>
  <c r="G35" i="168"/>
  <c r="G36" i="168"/>
  <c r="G37" i="168"/>
  <c r="G38" i="168"/>
  <c r="G39" i="168"/>
  <c r="G9" i="168"/>
  <c r="D8" i="203"/>
  <c r="D8" i="169"/>
  <c r="E8" i="169"/>
  <c r="E41" i="169" s="1"/>
  <c r="K41" i="169" s="1"/>
  <c r="F40" i="168"/>
  <c r="F181" i="53"/>
  <c r="D8" i="213"/>
  <c r="D9" i="208"/>
  <c r="E9" i="207"/>
  <c r="D9" i="207"/>
  <c r="D8" i="211"/>
  <c r="D41" i="211" s="1"/>
  <c r="D8" i="221"/>
  <c r="G9" i="221" s="1"/>
  <c r="L9" i="221" s="1"/>
  <c r="D8" i="220"/>
  <c r="G18" i="200"/>
  <c r="E18" i="200"/>
  <c r="G17" i="200"/>
  <c r="E17" i="200"/>
  <c r="G16" i="200"/>
  <c r="E16" i="200"/>
  <c r="G15" i="200"/>
  <c r="E15" i="200"/>
  <c r="G14" i="200"/>
  <c r="E14" i="200"/>
  <c r="G13" i="200"/>
  <c r="E13" i="200"/>
  <c r="G12" i="200"/>
  <c r="E12" i="200"/>
  <c r="G11" i="200"/>
  <c r="E11" i="200"/>
  <c r="G10" i="200"/>
  <c r="E10" i="200"/>
  <c r="G9" i="200"/>
  <c r="D8" i="200"/>
  <c r="G17" i="198"/>
  <c r="E17" i="198"/>
  <c r="G16" i="198"/>
  <c r="E16" i="198"/>
  <c r="G15" i="198"/>
  <c r="E15" i="198"/>
  <c r="G14" i="198"/>
  <c r="E14" i="198"/>
  <c r="G13" i="198"/>
  <c r="E13" i="198"/>
  <c r="G12" i="198"/>
  <c r="E12" i="198"/>
  <c r="G11" i="198"/>
  <c r="E11" i="198"/>
  <c r="G10" i="198"/>
  <c r="E10" i="198"/>
  <c r="G9" i="198"/>
  <c r="E9" i="198"/>
  <c r="D8" i="198"/>
  <c r="G18" i="197"/>
  <c r="E18" i="197"/>
  <c r="G17" i="197"/>
  <c r="E17" i="197"/>
  <c r="G16" i="197"/>
  <c r="E16" i="197"/>
  <c r="G15" i="197"/>
  <c r="E15" i="197"/>
  <c r="G14" i="197"/>
  <c r="E14" i="197"/>
  <c r="G13" i="197"/>
  <c r="E13" i="197"/>
  <c r="G12" i="197"/>
  <c r="E12" i="197"/>
  <c r="G11" i="197"/>
  <c r="E11" i="197"/>
  <c r="G10" i="197"/>
  <c r="E10" i="197"/>
  <c r="G9" i="197"/>
  <c r="E9" i="197"/>
  <c r="D8" i="197"/>
  <c r="E18" i="196"/>
  <c r="E17" i="196"/>
  <c r="E16" i="196"/>
  <c r="E15" i="196"/>
  <c r="E14" i="196"/>
  <c r="E13" i="196"/>
  <c r="E12" i="196"/>
  <c r="E11" i="196"/>
  <c r="E10" i="196"/>
  <c r="E9" i="196"/>
  <c r="D8" i="196"/>
  <c r="D8" i="183"/>
  <c r="E8" i="173"/>
  <c r="E41" i="173" s="1"/>
  <c r="K41" i="173" s="1"/>
  <c r="D8" i="173"/>
  <c r="D41" i="173" s="1"/>
  <c r="J41" i="173" s="1"/>
  <c r="E8" i="160"/>
  <c r="E41" i="160" s="1"/>
  <c r="D8" i="160"/>
  <c r="D41" i="160" s="1"/>
  <c r="J41" i="160" s="1"/>
  <c r="E8" i="168"/>
  <c r="E9" i="166"/>
  <c r="E8" i="165"/>
  <c r="E41" i="165" s="1"/>
  <c r="K41" i="165" s="1"/>
  <c r="E8" i="164"/>
  <c r="E41" i="164" s="1"/>
  <c r="K41" i="164" s="1"/>
  <c r="D8" i="164"/>
  <c r="E8" i="162"/>
  <c r="E41" i="162" s="1"/>
  <c r="K41" i="162" s="1"/>
  <c r="D8" i="162"/>
  <c r="E8" i="158"/>
  <c r="E41" i="158" s="1"/>
  <c r="K41" i="158" s="1"/>
  <c r="D8" i="158"/>
  <c r="E8" i="235"/>
  <c r="E41" i="149"/>
  <c r="K41" i="149" s="1"/>
  <c r="E9" i="156"/>
  <c r="E42" i="156" s="1"/>
  <c r="K42" i="156" s="1"/>
  <c r="E8" i="155"/>
  <c r="E41" i="155" s="1"/>
  <c r="K41" i="155" s="1"/>
  <c r="D8" i="155"/>
  <c r="E9" i="153"/>
  <c r="E42" i="153" s="1"/>
  <c r="K42" i="153" s="1"/>
  <c r="D9" i="153"/>
  <c r="K9" i="208"/>
  <c r="K10" i="208" s="1"/>
  <c r="E19" i="200"/>
  <c r="E20" i="200"/>
  <c r="E21" i="200"/>
  <c r="E22" i="200"/>
  <c r="E23" i="200"/>
  <c r="E24" i="200"/>
  <c r="E25" i="200"/>
  <c r="E26" i="200"/>
  <c r="E27" i="200"/>
  <c r="E28" i="200"/>
  <c r="E29" i="200"/>
  <c r="E30" i="200"/>
  <c r="E31" i="200"/>
  <c r="E32" i="200"/>
  <c r="E33" i="200"/>
  <c r="E34" i="200"/>
  <c r="E35" i="200"/>
  <c r="E36" i="200"/>
  <c r="E37" i="200"/>
  <c r="E38" i="200"/>
  <c r="E39" i="200"/>
  <c r="D8" i="170"/>
  <c r="D8" i="168"/>
  <c r="D9" i="166"/>
  <c r="D8" i="165"/>
  <c r="D41" i="165" s="1"/>
  <c r="J41" i="165" s="1"/>
  <c r="D8" i="235"/>
  <c r="D8" i="149"/>
  <c r="D41" i="149" s="1"/>
  <c r="J41" i="149" s="1"/>
  <c r="E9" i="234"/>
  <c r="E42" i="234" s="1"/>
  <c r="K42" i="234" s="1"/>
  <c r="J9" i="234"/>
  <c r="D9" i="156"/>
  <c r="B5" i="191"/>
  <c r="C4" i="233"/>
  <c r="D4" i="233"/>
  <c r="E4" i="233"/>
  <c r="F4" i="233"/>
  <c r="G4" i="233"/>
  <c r="H4" i="233"/>
  <c r="I4" i="233"/>
  <c r="B4" i="233"/>
  <c r="C4" i="177"/>
  <c r="D4" i="177"/>
  <c r="E4" i="177"/>
  <c r="F4" i="177"/>
  <c r="G4" i="177"/>
  <c r="H4" i="177"/>
  <c r="I4" i="177"/>
  <c r="B4" i="177"/>
  <c r="B5" i="174"/>
  <c r="B5" i="207"/>
  <c r="C4" i="229"/>
  <c r="D4" i="229"/>
  <c r="E4" i="229"/>
  <c r="F4" i="229"/>
  <c r="G4" i="229"/>
  <c r="H4" i="229"/>
  <c r="I4" i="229"/>
  <c r="B4" i="229"/>
  <c r="B4" i="228"/>
  <c r="B5" i="222"/>
  <c r="B4" i="202"/>
  <c r="B4" i="200"/>
  <c r="B4" i="199"/>
  <c r="B4" i="198"/>
  <c r="B4" i="197"/>
  <c r="B4" i="196"/>
  <c r="C5" i="186"/>
  <c r="D5" i="186"/>
  <c r="E5" i="186"/>
  <c r="F5" i="186"/>
  <c r="G5" i="186"/>
  <c r="H5" i="186"/>
  <c r="I5" i="186"/>
  <c r="B5" i="186"/>
  <c r="D41" i="208"/>
  <c r="F224" i="53" s="1"/>
  <c r="C4" i="168"/>
  <c r="D4" i="168"/>
  <c r="E4" i="168"/>
  <c r="F4" i="168"/>
  <c r="G4" i="168"/>
  <c r="H4" i="168"/>
  <c r="I4" i="168"/>
  <c r="B4" i="168"/>
  <c r="C5" i="166"/>
  <c r="D5" i="166"/>
  <c r="E5" i="166"/>
  <c r="F5" i="166"/>
  <c r="G5" i="166"/>
  <c r="H5" i="166"/>
  <c r="I5" i="166"/>
  <c r="B5" i="166"/>
  <c r="C4" i="235"/>
  <c r="D4" i="235"/>
  <c r="E4" i="235"/>
  <c r="F4" i="235"/>
  <c r="G4" i="235"/>
  <c r="H4" i="235"/>
  <c r="I4" i="235"/>
  <c r="B4" i="235"/>
  <c r="C5" i="234"/>
  <c r="D5" i="234"/>
  <c r="E5" i="234"/>
  <c r="F5" i="234"/>
  <c r="G5" i="234"/>
  <c r="H5" i="234"/>
  <c r="I5" i="234"/>
  <c r="B5" i="234"/>
  <c r="C5" i="156"/>
  <c r="D5" i="156"/>
  <c r="E5" i="156"/>
  <c r="F5" i="156"/>
  <c r="G5" i="156"/>
  <c r="H5" i="156"/>
  <c r="I5" i="156"/>
  <c r="B5" i="156"/>
  <c r="C5" i="153"/>
  <c r="D5" i="153"/>
  <c r="F5" i="153"/>
  <c r="G5" i="153"/>
  <c r="H5" i="153"/>
  <c r="I5" i="153"/>
  <c r="B5" i="153"/>
  <c r="B11" i="191"/>
  <c r="B12" i="191"/>
  <c r="B13" i="191"/>
  <c r="B14" i="191"/>
  <c r="B15" i="191"/>
  <c r="B16" i="191"/>
  <c r="B17" i="191"/>
  <c r="B18" i="191"/>
  <c r="B19" i="191"/>
  <c r="B20" i="191"/>
  <c r="B21" i="191"/>
  <c r="B22" i="191"/>
  <c r="B23" i="191"/>
  <c r="B24" i="191"/>
  <c r="B25" i="191"/>
  <c r="B26" i="191"/>
  <c r="B27" i="191"/>
  <c r="B28" i="191"/>
  <c r="B29" i="191"/>
  <c r="B30" i="191"/>
  <c r="B31" i="191"/>
  <c r="B32" i="191"/>
  <c r="B33" i="191"/>
  <c r="B34" i="191"/>
  <c r="B35" i="191"/>
  <c r="B36" i="191"/>
  <c r="B37" i="191"/>
  <c r="B38" i="191"/>
  <c r="B39" i="191"/>
  <c r="B40" i="191"/>
  <c r="B10" i="191"/>
  <c r="B10" i="233"/>
  <c r="B11" i="233"/>
  <c r="B12" i="233"/>
  <c r="B13" i="233"/>
  <c r="B14" i="233"/>
  <c r="B15" i="233"/>
  <c r="B16" i="233"/>
  <c r="B17" i="233"/>
  <c r="B18" i="233"/>
  <c r="B19" i="233"/>
  <c r="B20" i="233"/>
  <c r="B21" i="233"/>
  <c r="B22" i="233"/>
  <c r="B23" i="233"/>
  <c r="B24" i="233"/>
  <c r="B25" i="233"/>
  <c r="B26" i="233"/>
  <c r="B27" i="233"/>
  <c r="B28" i="233"/>
  <c r="B29" i="233"/>
  <c r="B30" i="233"/>
  <c r="B31" i="233"/>
  <c r="B32" i="233"/>
  <c r="B33" i="233"/>
  <c r="B34" i="233"/>
  <c r="B35" i="233"/>
  <c r="B36" i="233"/>
  <c r="B37" i="233"/>
  <c r="B38" i="233"/>
  <c r="B39" i="233"/>
  <c r="B9" i="233"/>
  <c r="B10" i="177"/>
  <c r="B11" i="177"/>
  <c r="B12" i="177"/>
  <c r="B13" i="177"/>
  <c r="B14" i="177"/>
  <c r="B15" i="177"/>
  <c r="B16" i="177"/>
  <c r="B17" i="177"/>
  <c r="B18" i="177"/>
  <c r="B19" i="177"/>
  <c r="B20" i="177"/>
  <c r="B21" i="177"/>
  <c r="B22" i="177"/>
  <c r="B23" i="177"/>
  <c r="B24" i="177"/>
  <c r="B25" i="177"/>
  <c r="B26" i="177"/>
  <c r="B27" i="177"/>
  <c r="B28" i="177"/>
  <c r="B29" i="177"/>
  <c r="B30" i="177"/>
  <c r="B31" i="177"/>
  <c r="B32" i="177"/>
  <c r="B33" i="177"/>
  <c r="B34" i="177"/>
  <c r="B35" i="177"/>
  <c r="B36" i="177"/>
  <c r="B37" i="177"/>
  <c r="B38" i="177"/>
  <c r="B39" i="177"/>
  <c r="B9" i="177"/>
  <c r="B24" i="174"/>
  <c r="B25" i="174"/>
  <c r="B26" i="174"/>
  <c r="B27" i="174"/>
  <c r="B28" i="174"/>
  <c r="B29" i="174"/>
  <c r="B30" i="174"/>
  <c r="B31" i="174"/>
  <c r="B32" i="174"/>
  <c r="B33" i="174"/>
  <c r="B34" i="174"/>
  <c r="B35" i="174"/>
  <c r="B36" i="174"/>
  <c r="B37" i="174"/>
  <c r="B38" i="174"/>
  <c r="B39" i="174"/>
  <c r="B40" i="174"/>
  <c r="B11" i="174"/>
  <c r="B12" i="174"/>
  <c r="B13" i="174"/>
  <c r="B14" i="174"/>
  <c r="B15" i="174"/>
  <c r="B16" i="174"/>
  <c r="B17" i="174"/>
  <c r="B18" i="174"/>
  <c r="B19" i="174"/>
  <c r="B20" i="174"/>
  <c r="B21" i="174"/>
  <c r="B22" i="174"/>
  <c r="B23" i="174"/>
  <c r="B10" i="174"/>
  <c r="B11" i="207"/>
  <c r="B12" i="207"/>
  <c r="B13" i="207"/>
  <c r="B14" i="207"/>
  <c r="B15" i="207"/>
  <c r="B16" i="207"/>
  <c r="B17" i="207"/>
  <c r="B18" i="207"/>
  <c r="B19" i="207"/>
  <c r="B20" i="207"/>
  <c r="B21" i="207"/>
  <c r="B22" i="207"/>
  <c r="B23" i="207"/>
  <c r="B24" i="207"/>
  <c r="B25" i="207"/>
  <c r="B26" i="207"/>
  <c r="B27" i="207"/>
  <c r="B28" i="207"/>
  <c r="B29" i="207"/>
  <c r="B30" i="207"/>
  <c r="B31" i="207"/>
  <c r="B32" i="207"/>
  <c r="B33" i="207"/>
  <c r="B34" i="207"/>
  <c r="B35" i="207"/>
  <c r="B36" i="207"/>
  <c r="B37" i="207"/>
  <c r="B38" i="207"/>
  <c r="B39" i="207"/>
  <c r="B40" i="207"/>
  <c r="B10" i="207"/>
  <c r="B9" i="229"/>
  <c r="B10" i="229"/>
  <c r="B11" i="229"/>
  <c r="B12" i="229"/>
  <c r="B13" i="229"/>
  <c r="B14" i="229"/>
  <c r="B15" i="229"/>
  <c r="B16" i="229"/>
  <c r="B17" i="229"/>
  <c r="B18" i="229"/>
  <c r="B19" i="229"/>
  <c r="B20" i="229"/>
  <c r="B21" i="229"/>
  <c r="B22" i="229"/>
  <c r="B23" i="229"/>
  <c r="B24" i="229"/>
  <c r="B25" i="229"/>
  <c r="B26" i="229"/>
  <c r="B27" i="229"/>
  <c r="B28" i="229"/>
  <c r="B29" i="229"/>
  <c r="B30" i="229"/>
  <c r="B31" i="229"/>
  <c r="B32" i="229"/>
  <c r="B33" i="229"/>
  <c r="B34" i="229"/>
  <c r="B35" i="229"/>
  <c r="B36" i="229"/>
  <c r="B37" i="229"/>
  <c r="B38" i="229"/>
  <c r="B8" i="229"/>
  <c r="B9" i="228"/>
  <c r="B10" i="228"/>
  <c r="B11" i="228"/>
  <c r="B12" i="228"/>
  <c r="B13" i="228"/>
  <c r="B14" i="228"/>
  <c r="B15" i="228"/>
  <c r="B16" i="228"/>
  <c r="B17" i="228"/>
  <c r="B18" i="228"/>
  <c r="B19" i="228"/>
  <c r="B20" i="228"/>
  <c r="B21" i="228"/>
  <c r="B22" i="228"/>
  <c r="B23" i="228"/>
  <c r="B24" i="228"/>
  <c r="B25" i="228"/>
  <c r="B26" i="228"/>
  <c r="B27" i="228"/>
  <c r="B28" i="228"/>
  <c r="B29" i="228"/>
  <c r="B30" i="228"/>
  <c r="B31" i="228"/>
  <c r="B32" i="228"/>
  <c r="B33" i="228"/>
  <c r="B34" i="228"/>
  <c r="B35" i="228"/>
  <c r="B36" i="228"/>
  <c r="B37" i="228"/>
  <c r="B38" i="228"/>
  <c r="B8" i="228"/>
  <c r="B10" i="222"/>
  <c r="B11" i="222"/>
  <c r="B12" i="222"/>
  <c r="B13" i="222"/>
  <c r="B14" i="222"/>
  <c r="B15" i="222"/>
  <c r="B16" i="222"/>
  <c r="B17" i="222"/>
  <c r="B18" i="222"/>
  <c r="B19" i="222"/>
  <c r="B20" i="222"/>
  <c r="B21" i="222"/>
  <c r="B22" i="222"/>
  <c r="B23" i="222"/>
  <c r="B24" i="222"/>
  <c r="B25" i="222"/>
  <c r="B26" i="222"/>
  <c r="B27" i="222"/>
  <c r="B28" i="222"/>
  <c r="B29" i="222"/>
  <c r="B30" i="222"/>
  <c r="B31" i="222"/>
  <c r="B32" i="222"/>
  <c r="B33" i="222"/>
  <c r="B34" i="222"/>
  <c r="B35" i="222"/>
  <c r="B36" i="222"/>
  <c r="B37" i="222"/>
  <c r="B38" i="222"/>
  <c r="B39" i="222"/>
  <c r="B9" i="222"/>
  <c r="B10" i="203"/>
  <c r="B11" i="203"/>
  <c r="B12" i="203"/>
  <c r="B13" i="203"/>
  <c r="B14" i="203"/>
  <c r="B15" i="203"/>
  <c r="B16" i="203"/>
  <c r="B17" i="203"/>
  <c r="B18" i="203"/>
  <c r="B19" i="203"/>
  <c r="B20" i="203"/>
  <c r="B21" i="203"/>
  <c r="B22" i="203"/>
  <c r="B23" i="203"/>
  <c r="B24" i="203"/>
  <c r="B25" i="203"/>
  <c r="B26" i="203"/>
  <c r="B27" i="203"/>
  <c r="B28" i="203"/>
  <c r="B29" i="203"/>
  <c r="B30" i="203"/>
  <c r="B31" i="203"/>
  <c r="B32" i="203"/>
  <c r="B33" i="203"/>
  <c r="B34" i="203"/>
  <c r="B35" i="203"/>
  <c r="B36" i="203"/>
  <c r="B37" i="203"/>
  <c r="B38" i="203"/>
  <c r="B9" i="203"/>
  <c r="B10" i="202"/>
  <c r="B11" i="202"/>
  <c r="B12" i="202"/>
  <c r="B13" i="202"/>
  <c r="B14" i="202"/>
  <c r="B15" i="202"/>
  <c r="B16" i="202"/>
  <c r="B17" i="202"/>
  <c r="B18" i="202"/>
  <c r="B19" i="202"/>
  <c r="B20" i="202"/>
  <c r="B21" i="202"/>
  <c r="B22" i="202"/>
  <c r="B23" i="202"/>
  <c r="B24" i="202"/>
  <c r="B25" i="202"/>
  <c r="B26" i="202"/>
  <c r="B27" i="202"/>
  <c r="B28" i="202"/>
  <c r="B29" i="202"/>
  <c r="B30" i="202"/>
  <c r="B31" i="202"/>
  <c r="B32" i="202"/>
  <c r="B33" i="202"/>
  <c r="B34" i="202"/>
  <c r="B35" i="202"/>
  <c r="B36" i="202"/>
  <c r="B37" i="202"/>
  <c r="B38" i="202"/>
  <c r="B39" i="202"/>
  <c r="B9" i="202"/>
  <c r="B10" i="200"/>
  <c r="B11" i="200"/>
  <c r="B12" i="200"/>
  <c r="B13" i="200"/>
  <c r="B14" i="200"/>
  <c r="B15" i="200"/>
  <c r="B16" i="200"/>
  <c r="B17" i="200"/>
  <c r="B18" i="200"/>
  <c r="B19" i="200"/>
  <c r="B20" i="200"/>
  <c r="B21" i="200"/>
  <c r="B22" i="200"/>
  <c r="B23" i="200"/>
  <c r="B24" i="200"/>
  <c r="B25" i="200"/>
  <c r="B26" i="200"/>
  <c r="B27" i="200"/>
  <c r="B28" i="200"/>
  <c r="B29" i="200"/>
  <c r="B30" i="200"/>
  <c r="B31" i="200"/>
  <c r="B32" i="200"/>
  <c r="B33" i="200"/>
  <c r="B34" i="200"/>
  <c r="B35" i="200"/>
  <c r="B36" i="200"/>
  <c r="B37" i="200"/>
  <c r="B38" i="200"/>
  <c r="B39" i="200"/>
  <c r="B9" i="200"/>
  <c r="B10" i="199"/>
  <c r="B11" i="199"/>
  <c r="B12" i="199"/>
  <c r="B13" i="199"/>
  <c r="B14" i="199"/>
  <c r="B15" i="199"/>
  <c r="B16" i="199"/>
  <c r="B17" i="199"/>
  <c r="B18" i="199"/>
  <c r="B19" i="199"/>
  <c r="B20" i="199"/>
  <c r="B21" i="199"/>
  <c r="B22" i="199"/>
  <c r="B23" i="199"/>
  <c r="B24" i="199"/>
  <c r="B25" i="199"/>
  <c r="B26" i="199"/>
  <c r="B27" i="199"/>
  <c r="B28" i="199"/>
  <c r="B29" i="199"/>
  <c r="B30" i="199"/>
  <c r="B31" i="199"/>
  <c r="B32" i="199"/>
  <c r="B33" i="199"/>
  <c r="B34" i="199"/>
  <c r="B35" i="199"/>
  <c r="B36" i="199"/>
  <c r="B37" i="199"/>
  <c r="B38" i="199"/>
  <c r="B39" i="199"/>
  <c r="B9" i="199"/>
  <c r="B10" i="198"/>
  <c r="B11" i="198"/>
  <c r="B12" i="198"/>
  <c r="B13" i="198"/>
  <c r="B14" i="198"/>
  <c r="B15" i="198"/>
  <c r="B16" i="198"/>
  <c r="B17" i="198"/>
  <c r="B18" i="198"/>
  <c r="B19" i="198"/>
  <c r="B20" i="198"/>
  <c r="B21" i="198"/>
  <c r="B22" i="198"/>
  <c r="B23" i="198"/>
  <c r="B24" i="198"/>
  <c r="B25" i="198"/>
  <c r="B26" i="198"/>
  <c r="B27" i="198"/>
  <c r="B28" i="198"/>
  <c r="B29" i="198"/>
  <c r="B30" i="198"/>
  <c r="B31" i="198"/>
  <c r="B32" i="198"/>
  <c r="B33" i="198"/>
  <c r="B34" i="198"/>
  <c r="B35" i="198"/>
  <c r="B36" i="198"/>
  <c r="B37" i="198"/>
  <c r="B38" i="198"/>
  <c r="B39" i="198"/>
  <c r="B9" i="198"/>
  <c r="B36" i="197"/>
  <c r="B37" i="197"/>
  <c r="B38" i="197"/>
  <c r="B39" i="197"/>
  <c r="B10" i="197"/>
  <c r="B11" i="197"/>
  <c r="B12" i="197"/>
  <c r="B13" i="197"/>
  <c r="B14" i="197"/>
  <c r="B15" i="197"/>
  <c r="B16" i="197"/>
  <c r="B17" i="197"/>
  <c r="B18" i="197"/>
  <c r="B19" i="197"/>
  <c r="B20" i="197"/>
  <c r="B21" i="197"/>
  <c r="B22" i="197"/>
  <c r="B23" i="197"/>
  <c r="B24" i="197"/>
  <c r="B25" i="197"/>
  <c r="B26" i="197"/>
  <c r="B27" i="197"/>
  <c r="B28" i="197"/>
  <c r="B29" i="197"/>
  <c r="B30" i="197"/>
  <c r="B31" i="197"/>
  <c r="B32" i="197"/>
  <c r="B33" i="197"/>
  <c r="B34" i="197"/>
  <c r="B35" i="197"/>
  <c r="B9" i="197"/>
  <c r="B10" i="196"/>
  <c r="B11" i="196"/>
  <c r="B12" i="196"/>
  <c r="B13" i="196"/>
  <c r="B14" i="196"/>
  <c r="B15" i="196"/>
  <c r="B16" i="196"/>
  <c r="B17" i="196"/>
  <c r="B18" i="196"/>
  <c r="B19" i="196"/>
  <c r="B20" i="196"/>
  <c r="B21" i="196"/>
  <c r="B22" i="196"/>
  <c r="B23" i="196"/>
  <c r="B24" i="196"/>
  <c r="B25" i="196"/>
  <c r="B26" i="196"/>
  <c r="B27" i="196"/>
  <c r="B28" i="196"/>
  <c r="B29" i="196"/>
  <c r="B30" i="196"/>
  <c r="B31" i="196"/>
  <c r="B32" i="196"/>
  <c r="B33" i="196"/>
  <c r="B34" i="196"/>
  <c r="B35" i="196"/>
  <c r="B36" i="196"/>
  <c r="B37" i="196"/>
  <c r="B38" i="196"/>
  <c r="B39" i="196"/>
  <c r="B9" i="196"/>
  <c r="B11" i="186"/>
  <c r="B12" i="186"/>
  <c r="B13" i="186"/>
  <c r="B14" i="186"/>
  <c r="B15" i="186"/>
  <c r="B16" i="186"/>
  <c r="B17" i="186"/>
  <c r="B18" i="186"/>
  <c r="B19" i="186"/>
  <c r="B20" i="186"/>
  <c r="B21" i="186"/>
  <c r="B22" i="186"/>
  <c r="B23" i="186"/>
  <c r="B24" i="186"/>
  <c r="B25" i="186"/>
  <c r="B26" i="186"/>
  <c r="B27" i="186"/>
  <c r="B28" i="186"/>
  <c r="B29" i="186"/>
  <c r="B30" i="186"/>
  <c r="B31" i="186"/>
  <c r="B32" i="186"/>
  <c r="B33" i="186"/>
  <c r="B34" i="186"/>
  <c r="B35" i="186"/>
  <c r="B36" i="186"/>
  <c r="B37" i="186"/>
  <c r="B38" i="186"/>
  <c r="B39" i="186"/>
  <c r="B40" i="186"/>
  <c r="B10" i="186"/>
  <c r="B10" i="168"/>
  <c r="B11" i="168"/>
  <c r="B12" i="168"/>
  <c r="B13" i="168"/>
  <c r="B14" i="168"/>
  <c r="B15" i="168"/>
  <c r="B16" i="168"/>
  <c r="B17" i="168"/>
  <c r="B18" i="168"/>
  <c r="B19" i="168"/>
  <c r="B20" i="168"/>
  <c r="B21" i="168"/>
  <c r="B22" i="168"/>
  <c r="B23" i="168"/>
  <c r="B24" i="168"/>
  <c r="B25" i="168"/>
  <c r="B26" i="168"/>
  <c r="B27" i="168"/>
  <c r="B28" i="168"/>
  <c r="B29" i="168"/>
  <c r="B30" i="168"/>
  <c r="B31" i="168"/>
  <c r="B32" i="168"/>
  <c r="B33" i="168"/>
  <c r="B34" i="168"/>
  <c r="B35" i="168"/>
  <c r="B36" i="168"/>
  <c r="B37" i="168"/>
  <c r="B38" i="168"/>
  <c r="B39" i="168"/>
  <c r="B9" i="168"/>
  <c r="B11" i="166"/>
  <c r="B12" i="166"/>
  <c r="B13" i="166"/>
  <c r="B14" i="166"/>
  <c r="B15" i="166"/>
  <c r="B16" i="166"/>
  <c r="B17" i="166"/>
  <c r="B18" i="166"/>
  <c r="B19" i="166"/>
  <c r="B20" i="166"/>
  <c r="B21" i="166"/>
  <c r="B22" i="166"/>
  <c r="B23" i="166"/>
  <c r="B24" i="166"/>
  <c r="B25" i="166"/>
  <c r="B26" i="166"/>
  <c r="B27" i="166"/>
  <c r="B28" i="166"/>
  <c r="B29" i="166"/>
  <c r="B30" i="166"/>
  <c r="B31" i="166"/>
  <c r="B32" i="166"/>
  <c r="B33" i="166"/>
  <c r="B34" i="166"/>
  <c r="B35" i="166"/>
  <c r="B36" i="166"/>
  <c r="B37" i="166"/>
  <c r="B38" i="166"/>
  <c r="B39" i="166"/>
  <c r="B40" i="166"/>
  <c r="B10" i="166"/>
  <c r="B10" i="235"/>
  <c r="B11" i="235"/>
  <c r="B12" i="235"/>
  <c r="B13" i="235"/>
  <c r="B14" i="235"/>
  <c r="B15" i="235"/>
  <c r="B16" i="235"/>
  <c r="B17" i="235"/>
  <c r="B18" i="235"/>
  <c r="B19" i="235"/>
  <c r="B20" i="235"/>
  <c r="B21" i="235"/>
  <c r="B22" i="235"/>
  <c r="B23" i="235"/>
  <c r="B24" i="235"/>
  <c r="B25" i="235"/>
  <c r="B26" i="235"/>
  <c r="B27" i="235"/>
  <c r="B28" i="235"/>
  <c r="B29" i="235"/>
  <c r="B30" i="235"/>
  <c r="B31" i="235"/>
  <c r="B32" i="235"/>
  <c r="B33" i="235"/>
  <c r="B34" i="235"/>
  <c r="B35" i="235"/>
  <c r="B36" i="235"/>
  <c r="B37" i="235"/>
  <c r="B38" i="235"/>
  <c r="B39" i="235"/>
  <c r="B9" i="235"/>
  <c r="B11" i="234"/>
  <c r="B12" i="234"/>
  <c r="B13" i="234"/>
  <c r="B14" i="234"/>
  <c r="B15" i="234"/>
  <c r="B16" i="234"/>
  <c r="B17" i="234"/>
  <c r="B18" i="234"/>
  <c r="B19" i="234"/>
  <c r="B20" i="234"/>
  <c r="B21" i="234"/>
  <c r="B22" i="234"/>
  <c r="B23" i="234"/>
  <c r="B24" i="234"/>
  <c r="B25" i="234"/>
  <c r="B26" i="234"/>
  <c r="B27" i="234"/>
  <c r="B28" i="234"/>
  <c r="B29" i="234"/>
  <c r="B30" i="234"/>
  <c r="B31" i="234"/>
  <c r="B32" i="234"/>
  <c r="B33" i="234"/>
  <c r="B34" i="234"/>
  <c r="B35" i="234"/>
  <c r="B36" i="234"/>
  <c r="B37" i="234"/>
  <c r="B38" i="234"/>
  <c r="B39" i="234"/>
  <c r="B40" i="234"/>
  <c r="B10" i="234"/>
  <c r="B11" i="156"/>
  <c r="B12" i="156"/>
  <c r="B13" i="156"/>
  <c r="B14" i="156"/>
  <c r="B15" i="156"/>
  <c r="B16" i="156"/>
  <c r="B17" i="156"/>
  <c r="B18" i="156"/>
  <c r="B19" i="156"/>
  <c r="B20" i="156"/>
  <c r="B21" i="156"/>
  <c r="B22" i="156"/>
  <c r="B23" i="156"/>
  <c r="B24" i="156"/>
  <c r="B25" i="156"/>
  <c r="B26" i="156"/>
  <c r="B27" i="156"/>
  <c r="B28" i="156"/>
  <c r="B29" i="156"/>
  <c r="B30" i="156"/>
  <c r="B31" i="156"/>
  <c r="B32" i="156"/>
  <c r="B33" i="156"/>
  <c r="B34" i="156"/>
  <c r="B35" i="156"/>
  <c r="B36" i="156"/>
  <c r="B37" i="156"/>
  <c r="B38" i="156"/>
  <c r="B39" i="156"/>
  <c r="B40" i="156"/>
  <c r="B10" i="156"/>
  <c r="B11" i="153"/>
  <c r="B12" i="153"/>
  <c r="B13" i="153"/>
  <c r="B14" i="153"/>
  <c r="B15" i="153"/>
  <c r="B16" i="153"/>
  <c r="B17" i="153"/>
  <c r="B18" i="153"/>
  <c r="B19" i="153"/>
  <c r="B20" i="153"/>
  <c r="B21" i="153"/>
  <c r="B22" i="153"/>
  <c r="B23" i="153"/>
  <c r="B24" i="153"/>
  <c r="B25" i="153"/>
  <c r="B26" i="153"/>
  <c r="B27" i="153"/>
  <c r="B28" i="153"/>
  <c r="B29" i="153"/>
  <c r="B30" i="153"/>
  <c r="B31" i="153"/>
  <c r="B32" i="153"/>
  <c r="B33" i="153"/>
  <c r="B34" i="153"/>
  <c r="B35" i="153"/>
  <c r="B36" i="153"/>
  <c r="B37" i="153"/>
  <c r="B38" i="153"/>
  <c r="B39" i="153"/>
  <c r="B40" i="153"/>
  <c r="B10" i="153"/>
  <c r="D224" i="53"/>
  <c r="D223" i="53"/>
  <c r="H40" i="166"/>
  <c r="E249" i="53"/>
  <c r="B249" i="53"/>
  <c r="E40" i="235"/>
  <c r="K40" i="235"/>
  <c r="D41" i="235"/>
  <c r="D147" i="53"/>
  <c r="D235" i="53"/>
  <c r="D234" i="53"/>
  <c r="D233" i="53"/>
  <c r="D231" i="53"/>
  <c r="D232" i="53"/>
  <c r="D226" i="53"/>
  <c r="E40" i="204"/>
  <c r="E8" i="204" s="1"/>
  <c r="I21" i="53"/>
  <c r="H21" i="53"/>
  <c r="G21" i="53"/>
  <c r="G35" i="53"/>
  <c r="G47" i="53"/>
  <c r="G48" i="53"/>
  <c r="G34" i="53"/>
  <c r="G37" i="53"/>
  <c r="F37" i="53"/>
  <c r="E41" i="166"/>
  <c r="D41" i="166"/>
  <c r="E40" i="168"/>
  <c r="D40" i="168"/>
  <c r="E8" i="163"/>
  <c r="E41" i="163" s="1"/>
  <c r="K41" i="163" s="1"/>
  <c r="D8" i="163"/>
  <c r="D41" i="163" s="1"/>
  <c r="J41" i="163" s="1"/>
  <c r="F68" i="53"/>
  <c r="E8" i="159"/>
  <c r="D8" i="159"/>
  <c r="D41" i="159" s="1"/>
  <c r="F74" i="53"/>
  <c r="F77" i="53"/>
  <c r="G40" i="172"/>
  <c r="G41" i="172" s="1"/>
  <c r="F40" i="172"/>
  <c r="F41" i="172" s="1"/>
  <c r="E40" i="172"/>
  <c r="G249" i="53" s="1"/>
  <c r="D40" i="172"/>
  <c r="F249" i="53" s="1"/>
  <c r="E9" i="174"/>
  <c r="D9" i="174"/>
  <c r="G41" i="174"/>
  <c r="F41" i="174"/>
  <c r="E41" i="174"/>
  <c r="D41" i="174"/>
  <c r="D42" i="174" s="1"/>
  <c r="E8" i="177"/>
  <c r="D8" i="177"/>
  <c r="G40" i="177"/>
  <c r="G41" i="177" s="1"/>
  <c r="F40" i="177"/>
  <c r="F41" i="177" s="1"/>
  <c r="E40" i="177"/>
  <c r="D40" i="177"/>
  <c r="E8" i="178"/>
  <c r="E41" i="178" s="1"/>
  <c r="D8" i="178"/>
  <c r="D41" i="178" s="1"/>
  <c r="J41" i="178" s="1"/>
  <c r="E8" i="180"/>
  <c r="D8" i="180"/>
  <c r="G40" i="180"/>
  <c r="G41" i="180" s="1"/>
  <c r="F40" i="180"/>
  <c r="E40" i="180"/>
  <c r="G250" i="53" s="1"/>
  <c r="D40" i="180"/>
  <c r="E8" i="181"/>
  <c r="D8" i="181"/>
  <c r="G40" i="181"/>
  <c r="G41" i="181" s="1"/>
  <c r="F40" i="181"/>
  <c r="F41" i="181" s="1"/>
  <c r="E40" i="181"/>
  <c r="G254" i="53" s="1"/>
  <c r="D40" i="181"/>
  <c r="F254" i="53" s="1"/>
  <c r="E8" i="182"/>
  <c r="D8" i="182"/>
  <c r="G40" i="182"/>
  <c r="G41" i="182" s="1"/>
  <c r="F40" i="182"/>
  <c r="F41" i="182" s="1"/>
  <c r="E40" i="182"/>
  <c r="G255" i="53" s="1"/>
  <c r="D40" i="182"/>
  <c r="F255" i="53" s="1"/>
  <c r="E8" i="218"/>
  <c r="G40" i="218"/>
  <c r="G41" i="218" s="1"/>
  <c r="F40" i="218"/>
  <c r="F41" i="218" s="1"/>
  <c r="E40" i="218"/>
  <c r="G251" i="53" s="1"/>
  <c r="D40" i="218"/>
  <c r="F251" i="53" s="1"/>
  <c r="E40" i="183"/>
  <c r="G93" i="53" s="1"/>
  <c r="E8" i="184"/>
  <c r="D8" i="184" s="1"/>
  <c r="F40" i="184"/>
  <c r="E40" i="184"/>
  <c r="G94" i="53" s="1"/>
  <c r="D40" i="184"/>
  <c r="F94" i="53" s="1"/>
  <c r="E9" i="186"/>
  <c r="D9" i="186"/>
  <c r="G41" i="186"/>
  <c r="F41" i="186"/>
  <c r="F42" i="186" s="1"/>
  <c r="E41" i="186"/>
  <c r="D41" i="186"/>
  <c r="D8" i="187"/>
  <c r="E8" i="187" s="1"/>
  <c r="E19" i="196"/>
  <c r="E20" i="196"/>
  <c r="E21" i="196"/>
  <c r="E22" i="196"/>
  <c r="E23" i="196"/>
  <c r="E24" i="196"/>
  <c r="E25" i="196"/>
  <c r="E26" i="196"/>
  <c r="E27" i="196"/>
  <c r="E28" i="196"/>
  <c r="E29" i="196"/>
  <c r="E30" i="196"/>
  <c r="E31" i="196"/>
  <c r="E32" i="196"/>
  <c r="E33" i="196"/>
  <c r="E34" i="196"/>
  <c r="E35" i="196"/>
  <c r="E36" i="196"/>
  <c r="E37" i="196"/>
  <c r="E38" i="196"/>
  <c r="E39" i="196"/>
  <c r="G40" i="202"/>
  <c r="G41" i="202" s="1"/>
  <c r="F40" i="202"/>
  <c r="F41" i="202" s="1"/>
  <c r="E40" i="202"/>
  <c r="D40" i="202"/>
  <c r="F40" i="200"/>
  <c r="F41" i="200" s="1"/>
  <c r="D40" i="200"/>
  <c r="F40" i="199"/>
  <c r="F41" i="199" s="1"/>
  <c r="D40" i="199"/>
  <c r="F40" i="197"/>
  <c r="F41" i="197" s="1"/>
  <c r="D40" i="197"/>
  <c r="G19" i="197"/>
  <c r="G20" i="197"/>
  <c r="G21" i="197"/>
  <c r="G22" i="197"/>
  <c r="G23" i="197"/>
  <c r="G24" i="197"/>
  <c r="G25" i="197"/>
  <c r="G26" i="197"/>
  <c r="G27" i="197"/>
  <c r="G28" i="197"/>
  <c r="G29" i="197"/>
  <c r="G30" i="197"/>
  <c r="G31" i="197"/>
  <c r="G32" i="197"/>
  <c r="G33" i="197"/>
  <c r="G34" i="197"/>
  <c r="G35" i="197"/>
  <c r="G36" i="197"/>
  <c r="G37" i="197"/>
  <c r="G38" i="197"/>
  <c r="G39" i="197"/>
  <c r="E19" i="197"/>
  <c r="E20" i="197"/>
  <c r="E21" i="197"/>
  <c r="E22" i="197"/>
  <c r="E23" i="197"/>
  <c r="E24" i="197"/>
  <c r="E25" i="197"/>
  <c r="E26" i="197"/>
  <c r="E27" i="197"/>
  <c r="E28" i="197"/>
  <c r="E29" i="197"/>
  <c r="E30" i="197"/>
  <c r="E31" i="197"/>
  <c r="E32" i="197"/>
  <c r="E33" i="197"/>
  <c r="E34" i="197"/>
  <c r="E35" i="197"/>
  <c r="E36" i="197"/>
  <c r="E37" i="197"/>
  <c r="E38" i="197"/>
  <c r="E39" i="197"/>
  <c r="G18" i="198"/>
  <c r="G19" i="198"/>
  <c r="G20" i="198"/>
  <c r="G21" i="198"/>
  <c r="G22" i="198"/>
  <c r="G23" i="198"/>
  <c r="G24" i="198"/>
  <c r="G25" i="198"/>
  <c r="G26" i="198"/>
  <c r="G27" i="198"/>
  <c r="G28" i="198"/>
  <c r="G29" i="198"/>
  <c r="G30" i="198"/>
  <c r="G31" i="198"/>
  <c r="G32" i="198"/>
  <c r="G33" i="198"/>
  <c r="G34" i="198"/>
  <c r="G35" i="198"/>
  <c r="G36" i="198"/>
  <c r="G37" i="198"/>
  <c r="G38" i="198"/>
  <c r="G39" i="198"/>
  <c r="E18" i="198"/>
  <c r="E19" i="198"/>
  <c r="E20" i="198"/>
  <c r="E21" i="198"/>
  <c r="E22" i="198"/>
  <c r="E23" i="198"/>
  <c r="E24" i="198"/>
  <c r="E25" i="198"/>
  <c r="E26" i="198"/>
  <c r="E27" i="198"/>
  <c r="E28" i="198"/>
  <c r="E29" i="198"/>
  <c r="E30" i="198"/>
  <c r="E31" i="198"/>
  <c r="E32" i="198"/>
  <c r="E33" i="198"/>
  <c r="E34" i="198"/>
  <c r="E35" i="198"/>
  <c r="E36" i="198"/>
  <c r="E37" i="198"/>
  <c r="E38" i="198"/>
  <c r="E39" i="198"/>
  <c r="F40" i="198"/>
  <c r="F41" i="198" s="1"/>
  <c r="D40" i="198"/>
  <c r="H9" i="199"/>
  <c r="G10" i="199"/>
  <c r="G11" i="199"/>
  <c r="G12" i="199"/>
  <c r="G13" i="199"/>
  <c r="G14" i="199"/>
  <c r="G15" i="199"/>
  <c r="G16" i="199"/>
  <c r="G17" i="199"/>
  <c r="G18" i="199"/>
  <c r="G19" i="199"/>
  <c r="G20" i="199"/>
  <c r="G21" i="199"/>
  <c r="G22" i="199"/>
  <c r="G23" i="199"/>
  <c r="G24" i="199"/>
  <c r="G25" i="199"/>
  <c r="G26" i="199"/>
  <c r="G27" i="199"/>
  <c r="G28" i="199"/>
  <c r="G29" i="199"/>
  <c r="G30" i="199"/>
  <c r="G31" i="199"/>
  <c r="G32" i="199"/>
  <c r="G33" i="199"/>
  <c r="G34" i="199"/>
  <c r="G35" i="199"/>
  <c r="G36" i="199"/>
  <c r="G37" i="199"/>
  <c r="G38" i="199"/>
  <c r="G39" i="199"/>
  <c r="G9" i="199"/>
  <c r="E10" i="199"/>
  <c r="E11" i="199"/>
  <c r="E12" i="199"/>
  <c r="E13" i="199"/>
  <c r="E14" i="199"/>
  <c r="E15" i="199"/>
  <c r="E16" i="199"/>
  <c r="E17" i="199"/>
  <c r="E18" i="199"/>
  <c r="E19" i="199"/>
  <c r="E20" i="199"/>
  <c r="E21" i="199"/>
  <c r="E22" i="199"/>
  <c r="E23" i="199"/>
  <c r="E24" i="199"/>
  <c r="E25" i="199"/>
  <c r="E26" i="199"/>
  <c r="E27" i="199"/>
  <c r="E28" i="199"/>
  <c r="E29" i="199"/>
  <c r="E30" i="199"/>
  <c r="E31" i="199"/>
  <c r="E32" i="199"/>
  <c r="E33" i="199"/>
  <c r="E34" i="199"/>
  <c r="E35" i="199"/>
  <c r="E36" i="199"/>
  <c r="E37" i="199"/>
  <c r="E38" i="199"/>
  <c r="E39" i="199"/>
  <c r="E9" i="199"/>
  <c r="J8" i="199"/>
  <c r="E8" i="199" s="1"/>
  <c r="D8" i="199"/>
  <c r="G19" i="200"/>
  <c r="G20" i="200"/>
  <c r="G21" i="200"/>
  <c r="G22" i="200"/>
  <c r="G23" i="200"/>
  <c r="G24" i="200"/>
  <c r="G25" i="200"/>
  <c r="G26" i="200"/>
  <c r="G27" i="200"/>
  <c r="G28" i="200"/>
  <c r="G29" i="200"/>
  <c r="G30" i="200"/>
  <c r="G31" i="200"/>
  <c r="G32" i="200"/>
  <c r="G33" i="200"/>
  <c r="G34" i="200"/>
  <c r="G35" i="200"/>
  <c r="G36" i="200"/>
  <c r="G37" i="200"/>
  <c r="G38" i="200"/>
  <c r="G39" i="200"/>
  <c r="D8" i="202"/>
  <c r="J8" i="202"/>
  <c r="E8" i="202" s="1"/>
  <c r="D8" i="214"/>
  <c r="D8" i="215"/>
  <c r="G9" i="215"/>
  <c r="D8" i="216"/>
  <c r="D8" i="222"/>
  <c r="D8" i="223"/>
  <c r="D8" i="226"/>
  <c r="E8" i="226"/>
  <c r="D7" i="229"/>
  <c r="D7" i="228"/>
  <c r="G8" i="228"/>
  <c r="H8" i="228" s="1"/>
  <c r="E8" i="225"/>
  <c r="D8" i="225"/>
  <c r="D40" i="188"/>
  <c r="F236" i="53" s="1"/>
  <c r="E40" i="188"/>
  <c r="G236" i="53" s="1"/>
  <c r="E8" i="188"/>
  <c r="D8" i="188"/>
  <c r="J10" i="188"/>
  <c r="O10" i="188" s="1"/>
  <c r="G9" i="223"/>
  <c r="G9" i="222"/>
  <c r="G10" i="222" s="1"/>
  <c r="D123" i="53"/>
  <c r="G9" i="216"/>
  <c r="G9" i="214"/>
  <c r="G10" i="214" s="1"/>
  <c r="D40" i="214"/>
  <c r="F233" i="53" s="1"/>
  <c r="K10" i="234"/>
  <c r="K11" i="234" s="1"/>
  <c r="G40" i="196"/>
  <c r="G41" i="196" s="1"/>
  <c r="E236" i="53"/>
  <c r="D236" i="53"/>
  <c r="E252" i="53"/>
  <c r="D252" i="53"/>
  <c r="E251" i="53"/>
  <c r="D251" i="53"/>
  <c r="E255" i="53"/>
  <c r="D255" i="53"/>
  <c r="E254" i="53"/>
  <c r="D254" i="53"/>
  <c r="E250" i="53"/>
  <c r="D250" i="53"/>
  <c r="G40" i="233"/>
  <c r="G41" i="233" s="1"/>
  <c r="F40" i="233"/>
  <c r="F41" i="233" s="1"/>
  <c r="E40" i="233"/>
  <c r="E41" i="233" s="1"/>
  <c r="D40" i="233"/>
  <c r="D41" i="233" s="1"/>
  <c r="I39" i="233"/>
  <c r="H39" i="233"/>
  <c r="I38" i="233"/>
  <c r="H38" i="233"/>
  <c r="I37" i="233"/>
  <c r="H37" i="233"/>
  <c r="I36" i="233"/>
  <c r="H36" i="233"/>
  <c r="I35" i="233"/>
  <c r="H35" i="233"/>
  <c r="I34" i="233"/>
  <c r="H34" i="233"/>
  <c r="I33" i="233"/>
  <c r="H33" i="233"/>
  <c r="I32" i="233"/>
  <c r="H32" i="233"/>
  <c r="I31" i="233"/>
  <c r="H31" i="233"/>
  <c r="I30" i="233"/>
  <c r="H30" i="233"/>
  <c r="I29" i="233"/>
  <c r="H29" i="233"/>
  <c r="I28" i="233"/>
  <c r="H28" i="233"/>
  <c r="I27" i="233"/>
  <c r="H27" i="233"/>
  <c r="I26" i="233"/>
  <c r="H26" i="233"/>
  <c r="I25" i="233"/>
  <c r="H25" i="233"/>
  <c r="I24" i="233"/>
  <c r="H24" i="233"/>
  <c r="I23" i="233"/>
  <c r="H23" i="233"/>
  <c r="I22" i="233"/>
  <c r="H22" i="233"/>
  <c r="I21" i="233"/>
  <c r="H21" i="233"/>
  <c r="I20" i="233"/>
  <c r="H20" i="233"/>
  <c r="I19" i="233"/>
  <c r="H19" i="233"/>
  <c r="I18" i="233"/>
  <c r="H18" i="233"/>
  <c r="I17" i="233"/>
  <c r="H17" i="233"/>
  <c r="I16" i="233"/>
  <c r="H16" i="233"/>
  <c r="I15" i="233"/>
  <c r="H15" i="233"/>
  <c r="I14" i="233"/>
  <c r="H14" i="233"/>
  <c r="I13" i="233"/>
  <c r="H13" i="233"/>
  <c r="I12" i="233"/>
  <c r="H12" i="233"/>
  <c r="I11" i="233"/>
  <c r="H11" i="233"/>
  <c r="I10" i="233"/>
  <c r="H10" i="233"/>
  <c r="K9" i="233"/>
  <c r="K10" i="233" s="1"/>
  <c r="J9" i="233"/>
  <c r="J10" i="233" s="1"/>
  <c r="I9" i="233"/>
  <c r="H9" i="233"/>
  <c r="E40" i="203"/>
  <c r="D40" i="204"/>
  <c r="D40" i="203"/>
  <c r="E93" i="53"/>
  <c r="D93" i="53"/>
  <c r="E77" i="53"/>
  <c r="D77" i="53"/>
  <c r="E74" i="53"/>
  <c r="D74" i="53"/>
  <c r="B74" i="53"/>
  <c r="E20" i="53"/>
  <c r="D20" i="53"/>
  <c r="E68" i="53"/>
  <c r="D68" i="53"/>
  <c r="B68" i="53"/>
  <c r="E39" i="53"/>
  <c r="D39" i="53"/>
  <c r="B39" i="53"/>
  <c r="E34" i="53"/>
  <c r="D34" i="53"/>
  <c r="B34" i="53"/>
  <c r="E48" i="53"/>
  <c r="D48" i="53"/>
  <c r="E47" i="53"/>
  <c r="D47" i="53"/>
  <c r="E38" i="53"/>
  <c r="D38" i="53"/>
  <c r="B38" i="53"/>
  <c r="E37" i="53"/>
  <c r="D37" i="53"/>
  <c r="B37" i="53"/>
  <c r="D19" i="53"/>
  <c r="E40" i="221"/>
  <c r="H16" i="341" s="1"/>
  <c r="D40" i="221"/>
  <c r="D35" i="53"/>
  <c r="E35" i="53"/>
  <c r="D21" i="53"/>
  <c r="E22" i="53"/>
  <c r="B19" i="53"/>
  <c r="B35" i="53"/>
  <c r="E39" i="229"/>
  <c r="D39" i="229"/>
  <c r="F38" i="229"/>
  <c r="F37" i="229"/>
  <c r="F36" i="229"/>
  <c r="F35" i="229"/>
  <c r="F34" i="229"/>
  <c r="F33" i="229"/>
  <c r="F32" i="229"/>
  <c r="F31" i="229"/>
  <c r="F30" i="229"/>
  <c r="F29" i="229"/>
  <c r="F28" i="229"/>
  <c r="F27" i="229"/>
  <c r="F26" i="229"/>
  <c r="F25" i="229"/>
  <c r="F24" i="229"/>
  <c r="F23" i="229"/>
  <c r="F22" i="229"/>
  <c r="F21" i="229"/>
  <c r="F20" i="229"/>
  <c r="F19" i="229"/>
  <c r="F18" i="229"/>
  <c r="F17" i="229"/>
  <c r="F16" i="229"/>
  <c r="F15" i="229"/>
  <c r="F14" i="229"/>
  <c r="F13" i="229"/>
  <c r="F12" i="229"/>
  <c r="F11" i="229"/>
  <c r="F10" i="229"/>
  <c r="F9" i="229"/>
  <c r="G8" i="229"/>
  <c r="H8" i="229" s="1"/>
  <c r="F8" i="229"/>
  <c r="E39" i="228"/>
  <c r="E40" i="228" s="1"/>
  <c r="D39" i="228"/>
  <c r="F38" i="228"/>
  <c r="F37" i="228"/>
  <c r="F36" i="228"/>
  <c r="F35" i="228"/>
  <c r="F34" i="228"/>
  <c r="F33" i="228"/>
  <c r="F32" i="228"/>
  <c r="F31" i="228"/>
  <c r="F30" i="228"/>
  <c r="F29" i="228"/>
  <c r="F28" i="228"/>
  <c r="F27" i="228"/>
  <c r="F26" i="228"/>
  <c r="F25" i="228"/>
  <c r="F24" i="228"/>
  <c r="F23" i="228"/>
  <c r="F22" i="228"/>
  <c r="F21" i="228"/>
  <c r="F20" i="228"/>
  <c r="F19" i="228"/>
  <c r="F18" i="228"/>
  <c r="F17" i="228"/>
  <c r="F16" i="228"/>
  <c r="F15" i="228"/>
  <c r="F14" i="228"/>
  <c r="F13" i="228"/>
  <c r="F12" i="228"/>
  <c r="F11" i="228"/>
  <c r="F10" i="228"/>
  <c r="F9" i="228"/>
  <c r="F8" i="228"/>
  <c r="G40" i="226"/>
  <c r="F40" i="226"/>
  <c r="F41" i="226" s="1"/>
  <c r="E40" i="226"/>
  <c r="D40" i="226"/>
  <c r="F252" i="53" s="1"/>
  <c r="I39" i="226"/>
  <c r="H39" i="226"/>
  <c r="I38" i="226"/>
  <c r="H38" i="226"/>
  <c r="I37" i="226"/>
  <c r="H37" i="226"/>
  <c r="I36" i="226"/>
  <c r="H36" i="226"/>
  <c r="I35" i="226"/>
  <c r="H35" i="226"/>
  <c r="I34" i="226"/>
  <c r="H34" i="226"/>
  <c r="I33" i="226"/>
  <c r="H33" i="226"/>
  <c r="I32" i="226"/>
  <c r="H32" i="226"/>
  <c r="I31" i="226"/>
  <c r="H31" i="226"/>
  <c r="I30" i="226"/>
  <c r="H30" i="226"/>
  <c r="I29" i="226"/>
  <c r="H29" i="226"/>
  <c r="I28" i="226"/>
  <c r="H28" i="226"/>
  <c r="I27" i="226"/>
  <c r="H27" i="226"/>
  <c r="I26" i="226"/>
  <c r="H26" i="226"/>
  <c r="I25" i="226"/>
  <c r="H25" i="226"/>
  <c r="I24" i="226"/>
  <c r="H24" i="226"/>
  <c r="I23" i="226"/>
  <c r="H23" i="226"/>
  <c r="I22" i="226"/>
  <c r="H22" i="226"/>
  <c r="I21" i="226"/>
  <c r="H21" i="226"/>
  <c r="I20" i="226"/>
  <c r="H20" i="226"/>
  <c r="I19" i="226"/>
  <c r="H19" i="226"/>
  <c r="I18" i="226"/>
  <c r="H18" i="226"/>
  <c r="I17" i="226"/>
  <c r="H17" i="226"/>
  <c r="I16" i="226"/>
  <c r="H16" i="226"/>
  <c r="I15" i="226"/>
  <c r="H15" i="226"/>
  <c r="I14" i="226"/>
  <c r="H14" i="226"/>
  <c r="I13" i="226"/>
  <c r="H13" i="226"/>
  <c r="I12" i="226"/>
  <c r="H12" i="226"/>
  <c r="I11" i="226"/>
  <c r="H11" i="226"/>
  <c r="I10" i="226"/>
  <c r="H10" i="226"/>
  <c r="K9" i="226"/>
  <c r="J9" i="226"/>
  <c r="O9" i="226" s="1"/>
  <c r="I9" i="226"/>
  <c r="H9" i="226"/>
  <c r="G40" i="225"/>
  <c r="I237" i="53" s="1"/>
  <c r="F40" i="225"/>
  <c r="E40" i="225"/>
  <c r="G237" i="53" s="1"/>
  <c r="D40" i="225"/>
  <c r="F237" i="53" s="1"/>
  <c r="I39" i="225"/>
  <c r="H39" i="225"/>
  <c r="I38" i="225"/>
  <c r="H38" i="225"/>
  <c r="I37" i="225"/>
  <c r="H37" i="225"/>
  <c r="I36" i="225"/>
  <c r="H36" i="225"/>
  <c r="I35" i="225"/>
  <c r="H35" i="225"/>
  <c r="I34" i="225"/>
  <c r="H34" i="225"/>
  <c r="I33" i="225"/>
  <c r="H33" i="225"/>
  <c r="I32" i="225"/>
  <c r="H32" i="225"/>
  <c r="I31" i="225"/>
  <c r="H31" i="225"/>
  <c r="I30" i="225"/>
  <c r="H30" i="225"/>
  <c r="I29" i="225"/>
  <c r="H29" i="225"/>
  <c r="I28" i="225"/>
  <c r="H28" i="225"/>
  <c r="I27" i="225"/>
  <c r="H27" i="225"/>
  <c r="I26" i="225"/>
  <c r="H26" i="225"/>
  <c r="I25" i="225"/>
  <c r="H25" i="225"/>
  <c r="I24" i="225"/>
  <c r="H24" i="225"/>
  <c r="I23" i="225"/>
  <c r="H23" i="225"/>
  <c r="I22" i="225"/>
  <c r="H22" i="225"/>
  <c r="I21" i="225"/>
  <c r="H21" i="225"/>
  <c r="I20" i="225"/>
  <c r="H20" i="225"/>
  <c r="I19" i="225"/>
  <c r="H19" i="225"/>
  <c r="I18" i="225"/>
  <c r="H18" i="225"/>
  <c r="I17" i="225"/>
  <c r="H17" i="225"/>
  <c r="I16" i="225"/>
  <c r="H16" i="225"/>
  <c r="I15" i="225"/>
  <c r="H15" i="225"/>
  <c r="I14" i="225"/>
  <c r="H14" i="225"/>
  <c r="I13" i="225"/>
  <c r="H13" i="225"/>
  <c r="I12" i="225"/>
  <c r="H12" i="225"/>
  <c r="I11" i="225"/>
  <c r="H11" i="225"/>
  <c r="I10" i="225"/>
  <c r="H10" i="225"/>
  <c r="K9" i="225"/>
  <c r="J9" i="225"/>
  <c r="O9" i="225" s="1"/>
  <c r="I9" i="225"/>
  <c r="H9" i="225"/>
  <c r="E40" i="223"/>
  <c r="D40" i="223"/>
  <c r="E40" i="222"/>
  <c r="D40" i="222"/>
  <c r="F39" i="222"/>
  <c r="F38" i="222"/>
  <c r="F37" i="222"/>
  <c r="F36" i="222"/>
  <c r="F35" i="222"/>
  <c r="F34" i="222"/>
  <c r="F33" i="222"/>
  <c r="F32" i="222"/>
  <c r="F31" i="222"/>
  <c r="F30" i="222"/>
  <c r="F29" i="222"/>
  <c r="F28" i="222"/>
  <c r="F27" i="222"/>
  <c r="F26" i="222"/>
  <c r="F25" i="222"/>
  <c r="F24" i="222"/>
  <c r="F23" i="222"/>
  <c r="F22" i="222"/>
  <c r="F21" i="222"/>
  <c r="F20" i="222"/>
  <c r="F19" i="222"/>
  <c r="F18" i="222"/>
  <c r="F17" i="222"/>
  <c r="F16" i="222"/>
  <c r="F15" i="222"/>
  <c r="F14" i="222"/>
  <c r="F13" i="222"/>
  <c r="F12" i="222"/>
  <c r="F11" i="222"/>
  <c r="F10" i="222"/>
  <c r="F9" i="222"/>
  <c r="F39" i="221"/>
  <c r="I39" i="218"/>
  <c r="H39" i="218"/>
  <c r="I38" i="218"/>
  <c r="H38" i="218"/>
  <c r="I37" i="218"/>
  <c r="H37" i="218"/>
  <c r="I36" i="218"/>
  <c r="H36" i="218"/>
  <c r="I35" i="218"/>
  <c r="H35" i="218"/>
  <c r="I34" i="218"/>
  <c r="H34" i="218"/>
  <c r="I33" i="218"/>
  <c r="H33" i="218"/>
  <c r="I32" i="218"/>
  <c r="H32" i="218"/>
  <c r="I31" i="218"/>
  <c r="H31" i="218"/>
  <c r="I30" i="218"/>
  <c r="H30" i="218"/>
  <c r="I29" i="218"/>
  <c r="H29" i="218"/>
  <c r="I28" i="218"/>
  <c r="H28" i="218"/>
  <c r="I27" i="218"/>
  <c r="H27" i="218"/>
  <c r="I26" i="218"/>
  <c r="H26" i="218"/>
  <c r="I25" i="218"/>
  <c r="H25" i="218"/>
  <c r="I24" i="218"/>
  <c r="H24" i="218"/>
  <c r="I23" i="218"/>
  <c r="H23" i="218"/>
  <c r="I22" i="218"/>
  <c r="H22" i="218"/>
  <c r="I21" i="218"/>
  <c r="H21" i="218"/>
  <c r="I20" i="218"/>
  <c r="H20" i="218"/>
  <c r="I19" i="218"/>
  <c r="H19" i="218"/>
  <c r="I18" i="218"/>
  <c r="H18" i="218"/>
  <c r="I17" i="218"/>
  <c r="H17" i="218"/>
  <c r="I16" i="218"/>
  <c r="H16" i="218"/>
  <c r="I15" i="218"/>
  <c r="H15" i="218"/>
  <c r="I14" i="218"/>
  <c r="H14" i="218"/>
  <c r="I13" i="218"/>
  <c r="H13" i="218"/>
  <c r="I12" i="218"/>
  <c r="H12" i="218"/>
  <c r="I11" i="218"/>
  <c r="H11" i="218"/>
  <c r="I10" i="218"/>
  <c r="H10" i="218"/>
  <c r="K9" i="218"/>
  <c r="K10" i="218" s="1"/>
  <c r="I9" i="218"/>
  <c r="H9" i="218"/>
  <c r="L9" i="218" s="1"/>
  <c r="E40" i="216"/>
  <c r="D40" i="216"/>
  <c r="F235" i="53" s="1"/>
  <c r="G114" i="354" s="1"/>
  <c r="F39" i="216"/>
  <c r="F38" i="216"/>
  <c r="F37" i="216"/>
  <c r="F36" i="216"/>
  <c r="F35" i="216"/>
  <c r="F34" i="216"/>
  <c r="F33" i="216"/>
  <c r="F32" i="216"/>
  <c r="F31" i="216"/>
  <c r="F30" i="216"/>
  <c r="F29" i="216"/>
  <c r="F28" i="216"/>
  <c r="F27" i="216"/>
  <c r="F26" i="216"/>
  <c r="F25" i="216"/>
  <c r="F24" i="216"/>
  <c r="F23" i="216"/>
  <c r="F22" i="216"/>
  <c r="F21" i="216"/>
  <c r="F20" i="216"/>
  <c r="F19" i="216"/>
  <c r="F18" i="216"/>
  <c r="F17" i="216"/>
  <c r="F16" i="216"/>
  <c r="F15" i="216"/>
  <c r="F14" i="216"/>
  <c r="F13" i="216"/>
  <c r="F12" i="216"/>
  <c r="F11" i="216"/>
  <c r="F10" i="216"/>
  <c r="F9" i="216"/>
  <c r="E40" i="215"/>
  <c r="D40" i="215"/>
  <c r="D41" i="215" s="1"/>
  <c r="F39" i="215"/>
  <c r="F38" i="215"/>
  <c r="F37" i="215"/>
  <c r="F36" i="215"/>
  <c r="F35" i="215"/>
  <c r="F34" i="215"/>
  <c r="F33" i="215"/>
  <c r="F32" i="215"/>
  <c r="F31" i="215"/>
  <c r="F30" i="215"/>
  <c r="F29" i="215"/>
  <c r="F28" i="215"/>
  <c r="F27" i="215"/>
  <c r="F26" i="215"/>
  <c r="F25" i="215"/>
  <c r="F24" i="215"/>
  <c r="F23" i="215"/>
  <c r="F22" i="215"/>
  <c r="F21" i="215"/>
  <c r="F20" i="215"/>
  <c r="F19" i="215"/>
  <c r="F18" i="215"/>
  <c r="F17" i="215"/>
  <c r="F16" i="215"/>
  <c r="F15" i="215"/>
  <c r="F14" i="215"/>
  <c r="F13" i="215"/>
  <c r="F12" i="215"/>
  <c r="F11" i="215"/>
  <c r="F10" i="215"/>
  <c r="F9" i="215"/>
  <c r="E40" i="214"/>
  <c r="F19" i="214"/>
  <c r="F18" i="214"/>
  <c r="F17" i="214"/>
  <c r="F16" i="214"/>
  <c r="F15" i="214"/>
  <c r="F14" i="214"/>
  <c r="F13" i="214"/>
  <c r="F12" i="214"/>
  <c r="F11" i="214"/>
  <c r="F10" i="214"/>
  <c r="F9" i="214"/>
  <c r="F38" i="213"/>
  <c r="E40" i="213"/>
  <c r="D40" i="213"/>
  <c r="F231" i="53" s="1"/>
  <c r="F39" i="213"/>
  <c r="F37" i="213"/>
  <c r="F36" i="213"/>
  <c r="F35" i="213"/>
  <c r="F33" i="213"/>
  <c r="F32" i="213"/>
  <c r="F31" i="213"/>
  <c r="F29" i="213"/>
  <c r="F28" i="213"/>
  <c r="F27" i="213"/>
  <c r="F25" i="213"/>
  <c r="F24" i="213"/>
  <c r="F23" i="213"/>
  <c r="F21" i="213"/>
  <c r="F20" i="213"/>
  <c r="F19" i="213"/>
  <c r="F18" i="213"/>
  <c r="F17" i="213"/>
  <c r="F16" i="213"/>
  <c r="F15" i="213"/>
  <c r="F14" i="213"/>
  <c r="F13" i="213"/>
  <c r="F12" i="213"/>
  <c r="F11" i="213"/>
  <c r="F10" i="213"/>
  <c r="F9" i="213"/>
  <c r="F232" i="53"/>
  <c r="E40" i="212"/>
  <c r="E41" i="208"/>
  <c r="H14" i="207"/>
  <c r="H10" i="207"/>
  <c r="H11" i="207"/>
  <c r="E41" i="207"/>
  <c r="H12" i="207"/>
  <c r="G41" i="207"/>
  <c r="G42" i="207" s="1"/>
  <c r="H13" i="207"/>
  <c r="H15" i="207"/>
  <c r="H17" i="207"/>
  <c r="H19" i="207"/>
  <c r="H21" i="207"/>
  <c r="H29" i="207"/>
  <c r="H37" i="207"/>
  <c r="D41" i="207"/>
  <c r="J10" i="207"/>
  <c r="J11" i="207" s="1"/>
  <c r="H39" i="202"/>
  <c r="H38" i="202"/>
  <c r="H37" i="202"/>
  <c r="H36" i="202"/>
  <c r="H35" i="202"/>
  <c r="H34" i="202"/>
  <c r="H33" i="202"/>
  <c r="H32" i="202"/>
  <c r="H31" i="202"/>
  <c r="H30" i="202"/>
  <c r="H29" i="202"/>
  <c r="H28" i="202"/>
  <c r="H27" i="202"/>
  <c r="H26" i="202"/>
  <c r="H25" i="202"/>
  <c r="H24" i="202"/>
  <c r="H23" i="202"/>
  <c r="H22" i="202"/>
  <c r="H21" i="202"/>
  <c r="H20" i="202"/>
  <c r="H19" i="202"/>
  <c r="H18" i="202"/>
  <c r="H17" i="202"/>
  <c r="H16" i="202"/>
  <c r="H15" i="202"/>
  <c r="H14" i="202"/>
  <c r="H13" i="202"/>
  <c r="H12" i="202"/>
  <c r="H11" i="202"/>
  <c r="H10" i="202"/>
  <c r="I9" i="202"/>
  <c r="J9" i="202" s="1"/>
  <c r="H9" i="202"/>
  <c r="J10" i="218"/>
  <c r="E40" i="229"/>
  <c r="E41" i="222"/>
  <c r="F223" i="53"/>
  <c r="H23" i="207"/>
  <c r="F41" i="207"/>
  <c r="F42" i="207" s="1"/>
  <c r="H33" i="207"/>
  <c r="H25" i="207"/>
  <c r="H20" i="207"/>
  <c r="H18" i="207"/>
  <c r="H16" i="207"/>
  <c r="G22" i="53"/>
  <c r="F25" i="214"/>
  <c r="F37" i="214"/>
  <c r="F22" i="214"/>
  <c r="F26" i="214"/>
  <c r="F30" i="214"/>
  <c r="F34" i="214"/>
  <c r="F38" i="214"/>
  <c r="F33" i="214"/>
  <c r="F20" i="214"/>
  <c r="F24" i="214"/>
  <c r="F28" i="214"/>
  <c r="F32" i="214"/>
  <c r="F36" i="214"/>
  <c r="F21" i="214"/>
  <c r="F29" i="214"/>
  <c r="F23" i="214"/>
  <c r="F27" i="214"/>
  <c r="F31" i="214"/>
  <c r="F35" i="214"/>
  <c r="F39" i="214"/>
  <c r="F22" i="213"/>
  <c r="F26" i="213"/>
  <c r="F30" i="213"/>
  <c r="F34" i="213"/>
  <c r="H38" i="207"/>
  <c r="H34" i="207"/>
  <c r="H30" i="207"/>
  <c r="H26" i="207"/>
  <c r="H22" i="207"/>
  <c r="H40" i="207"/>
  <c r="H36" i="207"/>
  <c r="H32" i="207"/>
  <c r="H28" i="207"/>
  <c r="H39" i="207"/>
  <c r="H35" i="207"/>
  <c r="H31" i="207"/>
  <c r="H27" i="207"/>
  <c r="K10" i="207"/>
  <c r="K11" i="207" s="1"/>
  <c r="I10" i="207"/>
  <c r="I11" i="207"/>
  <c r="I12" i="207"/>
  <c r="I13" i="207"/>
  <c r="I14" i="207"/>
  <c r="I15" i="207"/>
  <c r="I16" i="207"/>
  <c r="I17" i="207"/>
  <c r="I18" i="207"/>
  <c r="I19" i="207"/>
  <c r="I20" i="207"/>
  <c r="I21" i="207"/>
  <c r="I22" i="207"/>
  <c r="I23" i="207"/>
  <c r="I24" i="207"/>
  <c r="I25" i="207"/>
  <c r="I26" i="207"/>
  <c r="I27" i="207"/>
  <c r="I28" i="207"/>
  <c r="I29" i="207"/>
  <c r="I30" i="207"/>
  <c r="I31" i="207"/>
  <c r="I32" i="207"/>
  <c r="I33" i="207"/>
  <c r="I34" i="207"/>
  <c r="I35" i="207"/>
  <c r="I36" i="207"/>
  <c r="I37" i="207"/>
  <c r="I38" i="207"/>
  <c r="I39" i="207"/>
  <c r="I40" i="207"/>
  <c r="J8" i="200"/>
  <c r="E8" i="200" s="1"/>
  <c r="H39" i="200"/>
  <c r="H38" i="200"/>
  <c r="H37" i="200"/>
  <c r="H36" i="200"/>
  <c r="H35" i="200"/>
  <c r="H34" i="200"/>
  <c r="H33" i="200"/>
  <c r="H32" i="200"/>
  <c r="H31" i="200"/>
  <c r="H30" i="200"/>
  <c r="H29" i="200"/>
  <c r="H28" i="200"/>
  <c r="H27" i="200"/>
  <c r="H26" i="200"/>
  <c r="H25" i="200"/>
  <c r="H24" i="200"/>
  <c r="H23" i="200"/>
  <c r="H22" i="200"/>
  <c r="H21" i="200"/>
  <c r="H20" i="200"/>
  <c r="H19" i="200"/>
  <c r="H18" i="200"/>
  <c r="H17" i="200"/>
  <c r="H16" i="200"/>
  <c r="H15" i="200"/>
  <c r="H14" i="200"/>
  <c r="H13" i="200"/>
  <c r="H12" i="200"/>
  <c r="H11" i="200"/>
  <c r="H10" i="200"/>
  <c r="I9" i="200"/>
  <c r="I10" i="200" s="1"/>
  <c r="H9" i="200"/>
  <c r="H39" i="199"/>
  <c r="H38" i="199"/>
  <c r="H37" i="199"/>
  <c r="H36" i="199"/>
  <c r="H35" i="199"/>
  <c r="H34" i="199"/>
  <c r="H33" i="199"/>
  <c r="H32" i="199"/>
  <c r="H31" i="199"/>
  <c r="H30" i="199"/>
  <c r="H29" i="199"/>
  <c r="H28" i="199"/>
  <c r="H27" i="199"/>
  <c r="H26" i="199"/>
  <c r="H25" i="199"/>
  <c r="H24" i="199"/>
  <c r="H23" i="199"/>
  <c r="H22" i="199"/>
  <c r="H21" i="199"/>
  <c r="H20" i="199"/>
  <c r="H19" i="199"/>
  <c r="H18" i="199"/>
  <c r="H17" i="199"/>
  <c r="H16" i="199"/>
  <c r="H15" i="199"/>
  <c r="H14" i="199"/>
  <c r="H13" i="199"/>
  <c r="H12" i="199"/>
  <c r="H11" i="199"/>
  <c r="H10" i="199"/>
  <c r="I9" i="199"/>
  <c r="H39" i="198"/>
  <c r="H38" i="198"/>
  <c r="H37" i="198"/>
  <c r="H36" i="198"/>
  <c r="H35" i="198"/>
  <c r="H34" i="198"/>
  <c r="H33" i="198"/>
  <c r="H32" i="198"/>
  <c r="H31" i="198"/>
  <c r="H30" i="198"/>
  <c r="H29" i="198"/>
  <c r="H28" i="198"/>
  <c r="H27" i="198"/>
  <c r="H26" i="198"/>
  <c r="H25" i="198"/>
  <c r="H24" i="198"/>
  <c r="H23" i="198"/>
  <c r="H22" i="198"/>
  <c r="H21" i="198"/>
  <c r="H20" i="198"/>
  <c r="H19" i="198"/>
  <c r="H18" i="198"/>
  <c r="H17" i="198"/>
  <c r="H16" i="198"/>
  <c r="H15" i="198"/>
  <c r="H14" i="198"/>
  <c r="H13" i="198"/>
  <c r="H12" i="198"/>
  <c r="H11" i="198"/>
  <c r="H10" i="198"/>
  <c r="H9" i="198"/>
  <c r="K9" i="198" s="1"/>
  <c r="J8" i="198"/>
  <c r="E8" i="198" s="1"/>
  <c r="H39" i="197"/>
  <c r="H38" i="197"/>
  <c r="H37" i="197"/>
  <c r="H36" i="197"/>
  <c r="H35" i="197"/>
  <c r="H34" i="197"/>
  <c r="H33" i="197"/>
  <c r="H32" i="197"/>
  <c r="H31" i="197"/>
  <c r="H30" i="197"/>
  <c r="H29" i="197"/>
  <c r="H28" i="197"/>
  <c r="H27" i="197"/>
  <c r="H26" i="197"/>
  <c r="H25" i="197"/>
  <c r="H24" i="197"/>
  <c r="H23" i="197"/>
  <c r="H22" i="197"/>
  <c r="H21" i="197"/>
  <c r="H20" i="197"/>
  <c r="H19" i="197"/>
  <c r="H18" i="197"/>
  <c r="H17" i="197"/>
  <c r="H16" i="197"/>
  <c r="H15" i="197"/>
  <c r="H14" i="197"/>
  <c r="H13" i="197"/>
  <c r="H12" i="197"/>
  <c r="H11" i="197"/>
  <c r="H10" i="197"/>
  <c r="I9" i="197"/>
  <c r="J9" i="197" s="1"/>
  <c r="H9" i="197"/>
  <c r="J8" i="197"/>
  <c r="E8" i="197" s="1"/>
  <c r="J9" i="200"/>
  <c r="I10" i="198"/>
  <c r="I11" i="198" s="1"/>
  <c r="J9" i="198"/>
  <c r="J8" i="196"/>
  <c r="E8" i="196" s="1"/>
  <c r="F40" i="196"/>
  <c r="D40" i="196"/>
  <c r="D41" i="196" s="1"/>
  <c r="H39" i="196"/>
  <c r="H38" i="196"/>
  <c r="H37" i="196"/>
  <c r="H36" i="196"/>
  <c r="H35" i="196"/>
  <c r="H34" i="196"/>
  <c r="H33" i="196"/>
  <c r="H32" i="196"/>
  <c r="H31" i="196"/>
  <c r="H30" i="196"/>
  <c r="H29" i="196"/>
  <c r="H28" i="196"/>
  <c r="H27" i="196"/>
  <c r="H26" i="196"/>
  <c r="H25" i="196"/>
  <c r="H24" i="196"/>
  <c r="H23" i="196"/>
  <c r="H22" i="196"/>
  <c r="H21" i="196"/>
  <c r="H20" i="196"/>
  <c r="H19" i="196"/>
  <c r="H18" i="196"/>
  <c r="H17" i="196"/>
  <c r="H16" i="196"/>
  <c r="H15" i="196"/>
  <c r="H14" i="196"/>
  <c r="H13" i="196"/>
  <c r="H12" i="196"/>
  <c r="H11" i="196"/>
  <c r="H10" i="196"/>
  <c r="I9" i="196"/>
  <c r="J9" i="196" s="1"/>
  <c r="H9" i="196"/>
  <c r="G41" i="191"/>
  <c r="F41" i="191"/>
  <c r="F42" i="191" s="1"/>
  <c r="E41" i="191"/>
  <c r="E42" i="191" s="1"/>
  <c r="D41" i="191"/>
  <c r="I40" i="191"/>
  <c r="H40" i="191"/>
  <c r="I39" i="191"/>
  <c r="H39" i="191"/>
  <c r="I38" i="191"/>
  <c r="H38" i="191"/>
  <c r="I37" i="191"/>
  <c r="H37" i="191"/>
  <c r="I36" i="191"/>
  <c r="H36" i="191"/>
  <c r="I35" i="191"/>
  <c r="H35" i="191"/>
  <c r="I34" i="191"/>
  <c r="H34" i="191"/>
  <c r="I33" i="191"/>
  <c r="H33" i="191"/>
  <c r="I32" i="191"/>
  <c r="H32" i="191"/>
  <c r="I31" i="191"/>
  <c r="H31" i="191"/>
  <c r="I30" i="191"/>
  <c r="H30" i="191"/>
  <c r="I29" i="191"/>
  <c r="H29" i="191"/>
  <c r="I28" i="191"/>
  <c r="H28" i="191"/>
  <c r="I27" i="191"/>
  <c r="H27" i="191"/>
  <c r="I26" i="191"/>
  <c r="H26" i="191"/>
  <c r="I25" i="191"/>
  <c r="H25" i="191"/>
  <c r="I24" i="191"/>
  <c r="H24" i="191"/>
  <c r="I23" i="191"/>
  <c r="H23" i="191"/>
  <c r="I22" i="191"/>
  <c r="H22" i="191"/>
  <c r="I21" i="191"/>
  <c r="H21" i="191"/>
  <c r="I20" i="191"/>
  <c r="H20" i="191"/>
  <c r="I19" i="191"/>
  <c r="H19" i="191"/>
  <c r="I18" i="191"/>
  <c r="H18" i="191"/>
  <c r="I17" i="191"/>
  <c r="H17" i="191"/>
  <c r="I16" i="191"/>
  <c r="H16" i="191"/>
  <c r="I15" i="191"/>
  <c r="H15" i="191"/>
  <c r="I14" i="191"/>
  <c r="H14" i="191"/>
  <c r="I13" i="191"/>
  <c r="H13" i="191"/>
  <c r="I12" i="191"/>
  <c r="H12" i="191"/>
  <c r="I11" i="191"/>
  <c r="H11" i="191"/>
  <c r="K10" i="191"/>
  <c r="K11" i="191" s="1"/>
  <c r="K12" i="191" s="1"/>
  <c r="K13" i="191" s="1"/>
  <c r="K14" i="191" s="1"/>
  <c r="K15" i="191" s="1"/>
  <c r="K16" i="191" s="1"/>
  <c r="K17" i="191" s="1"/>
  <c r="K18" i="191" s="1"/>
  <c r="K19" i="191" s="1"/>
  <c r="K20" i="191" s="1"/>
  <c r="K21" i="191" s="1"/>
  <c r="K22" i="191" s="1"/>
  <c r="K23" i="191" s="1"/>
  <c r="K24" i="191" s="1"/>
  <c r="J10" i="191"/>
  <c r="I10" i="191"/>
  <c r="H10" i="191"/>
  <c r="G40" i="190"/>
  <c r="G41" i="190" s="1"/>
  <c r="F40" i="190"/>
  <c r="F41" i="190" s="1"/>
  <c r="E40" i="190"/>
  <c r="E41" i="190" s="1"/>
  <c r="D40" i="190"/>
  <c r="D41" i="190" s="1"/>
  <c r="I39" i="190"/>
  <c r="H39" i="190"/>
  <c r="I38" i="190"/>
  <c r="H38" i="190"/>
  <c r="I37" i="190"/>
  <c r="H37" i="190"/>
  <c r="I36" i="190"/>
  <c r="H36" i="190"/>
  <c r="I35" i="190"/>
  <c r="H35" i="190"/>
  <c r="I34" i="190"/>
  <c r="H34" i="190"/>
  <c r="I33" i="190"/>
  <c r="H33" i="190"/>
  <c r="I32" i="190"/>
  <c r="H32" i="190"/>
  <c r="I31" i="190"/>
  <c r="H31" i="190"/>
  <c r="I30" i="190"/>
  <c r="H30" i="190"/>
  <c r="I29" i="190"/>
  <c r="H29" i="190"/>
  <c r="I28" i="190"/>
  <c r="H28" i="190"/>
  <c r="I27" i="190"/>
  <c r="H27" i="190"/>
  <c r="I26" i="190"/>
  <c r="H26" i="190"/>
  <c r="I25" i="190"/>
  <c r="H25" i="190"/>
  <c r="I24" i="190"/>
  <c r="H24" i="190"/>
  <c r="I23" i="190"/>
  <c r="H23" i="190"/>
  <c r="I22" i="190"/>
  <c r="H22" i="190"/>
  <c r="I21" i="190"/>
  <c r="H21" i="190"/>
  <c r="I20" i="190"/>
  <c r="H20" i="190"/>
  <c r="I19" i="190"/>
  <c r="H19" i="190"/>
  <c r="I18" i="190"/>
  <c r="H18" i="190"/>
  <c r="I17" i="190"/>
  <c r="H17" i="190"/>
  <c r="I16" i="190"/>
  <c r="H16" i="190"/>
  <c r="I15" i="190"/>
  <c r="H15" i="190"/>
  <c r="I14" i="190"/>
  <c r="H14" i="190"/>
  <c r="I13" i="190"/>
  <c r="H13" i="190"/>
  <c r="I12" i="190"/>
  <c r="H12" i="190"/>
  <c r="I11" i="190"/>
  <c r="H11" i="190"/>
  <c r="I10" i="190"/>
  <c r="H10" i="190"/>
  <c r="K9" i="190"/>
  <c r="K10" i="190" s="1"/>
  <c r="K11" i="190" s="1"/>
  <c r="J9" i="190"/>
  <c r="I9" i="190"/>
  <c r="H9" i="190"/>
  <c r="G40" i="188"/>
  <c r="G41" i="188" s="1"/>
  <c r="F40" i="188"/>
  <c r="F41" i="188" s="1"/>
  <c r="I39" i="188"/>
  <c r="H39" i="188"/>
  <c r="I38" i="188"/>
  <c r="H38" i="188"/>
  <c r="I37" i="188"/>
  <c r="H37" i="188"/>
  <c r="I36" i="188"/>
  <c r="H36" i="188"/>
  <c r="I35" i="188"/>
  <c r="H35" i="188"/>
  <c r="I34" i="188"/>
  <c r="H34" i="188"/>
  <c r="I33" i="188"/>
  <c r="H33" i="188"/>
  <c r="I32" i="188"/>
  <c r="H32" i="188"/>
  <c r="I31" i="188"/>
  <c r="H31" i="188"/>
  <c r="I30" i="188"/>
  <c r="H30" i="188"/>
  <c r="I29" i="188"/>
  <c r="H29" i="188"/>
  <c r="I28" i="188"/>
  <c r="H28" i="188"/>
  <c r="I27" i="188"/>
  <c r="H27" i="188"/>
  <c r="I26" i="188"/>
  <c r="H26" i="188"/>
  <c r="I25" i="188"/>
  <c r="H25" i="188"/>
  <c r="I24" i="188"/>
  <c r="H24" i="188"/>
  <c r="I23" i="188"/>
  <c r="H23" i="188"/>
  <c r="I22" i="188"/>
  <c r="H22" i="188"/>
  <c r="I21" i="188"/>
  <c r="H21" i="188"/>
  <c r="I20" i="188"/>
  <c r="H20" i="188"/>
  <c r="I19" i="188"/>
  <c r="H19" i="188"/>
  <c r="I18" i="188"/>
  <c r="H18" i="188"/>
  <c r="I17" i="188"/>
  <c r="H17" i="188"/>
  <c r="I16" i="188"/>
  <c r="H16" i="188"/>
  <c r="I15" i="188"/>
  <c r="H15" i="188"/>
  <c r="I14" i="188"/>
  <c r="H14" i="188"/>
  <c r="I13" i="188"/>
  <c r="H13" i="188"/>
  <c r="I12" i="188"/>
  <c r="H12" i="188"/>
  <c r="I11" i="188"/>
  <c r="H11" i="188"/>
  <c r="I10" i="188"/>
  <c r="H10" i="188"/>
  <c r="K9" i="188"/>
  <c r="K10" i="188" s="1"/>
  <c r="I9" i="188"/>
  <c r="H9" i="188"/>
  <c r="G40" i="187"/>
  <c r="G41" i="187" s="1"/>
  <c r="F40" i="187"/>
  <c r="F41" i="187" s="1"/>
  <c r="E40" i="187"/>
  <c r="D40" i="187"/>
  <c r="I39" i="187"/>
  <c r="H39" i="187"/>
  <c r="I38" i="187"/>
  <c r="H38" i="187"/>
  <c r="I37" i="187"/>
  <c r="H37" i="187"/>
  <c r="I36" i="187"/>
  <c r="H36" i="187"/>
  <c r="I35" i="187"/>
  <c r="H35" i="187"/>
  <c r="I34" i="187"/>
  <c r="H34" i="187"/>
  <c r="I33" i="187"/>
  <c r="H33" i="187"/>
  <c r="I32" i="187"/>
  <c r="H32" i="187"/>
  <c r="I31" i="187"/>
  <c r="H31" i="187"/>
  <c r="I30" i="187"/>
  <c r="H30" i="187"/>
  <c r="I29" i="187"/>
  <c r="H29" i="187"/>
  <c r="I28" i="187"/>
  <c r="H28" i="187"/>
  <c r="I27" i="187"/>
  <c r="H27" i="187"/>
  <c r="I26" i="187"/>
  <c r="H26" i="187"/>
  <c r="I25" i="187"/>
  <c r="H25" i="187"/>
  <c r="I24" i="187"/>
  <c r="H24" i="187"/>
  <c r="H23" i="187"/>
  <c r="I22" i="187"/>
  <c r="H22" i="187"/>
  <c r="I21" i="187"/>
  <c r="H21" i="187"/>
  <c r="I20" i="187"/>
  <c r="H20" i="187"/>
  <c r="I19" i="187"/>
  <c r="H19" i="187"/>
  <c r="I18" i="187"/>
  <c r="H18" i="187"/>
  <c r="I17" i="187"/>
  <c r="H17" i="187"/>
  <c r="I16" i="187"/>
  <c r="H16" i="187"/>
  <c r="I15" i="187"/>
  <c r="H15" i="187"/>
  <c r="I14" i="187"/>
  <c r="H14" i="187"/>
  <c r="I13" i="187"/>
  <c r="H13" i="187"/>
  <c r="I12" i="187"/>
  <c r="H12" i="187"/>
  <c r="I11" i="187"/>
  <c r="H11" i="187"/>
  <c r="I10" i="187"/>
  <c r="H10" i="187"/>
  <c r="K9" i="187"/>
  <c r="J9" i="187"/>
  <c r="I40" i="186"/>
  <c r="H40" i="186"/>
  <c r="I39" i="186"/>
  <c r="H39" i="186"/>
  <c r="I38" i="186"/>
  <c r="H38" i="186"/>
  <c r="I37" i="186"/>
  <c r="H37" i="186"/>
  <c r="I36" i="186"/>
  <c r="H36" i="186"/>
  <c r="I35" i="186"/>
  <c r="H35" i="186"/>
  <c r="I34" i="186"/>
  <c r="H34" i="186"/>
  <c r="I33" i="186"/>
  <c r="H33" i="186"/>
  <c r="I32" i="186"/>
  <c r="H32" i="186"/>
  <c r="I31" i="186"/>
  <c r="H31" i="186"/>
  <c r="I30" i="186"/>
  <c r="H30" i="186"/>
  <c r="I29" i="186"/>
  <c r="H29" i="186"/>
  <c r="I28" i="186"/>
  <c r="H28" i="186"/>
  <c r="I27" i="186"/>
  <c r="H27" i="186"/>
  <c r="I26" i="186"/>
  <c r="H26" i="186"/>
  <c r="I25" i="186"/>
  <c r="H25" i="186"/>
  <c r="H24" i="186"/>
  <c r="I23" i="186"/>
  <c r="H23" i="186"/>
  <c r="I22" i="186"/>
  <c r="H22" i="186"/>
  <c r="I21" i="186"/>
  <c r="H21" i="186"/>
  <c r="I20" i="186"/>
  <c r="H20" i="186"/>
  <c r="I19" i="186"/>
  <c r="H19" i="186"/>
  <c r="I18" i="186"/>
  <c r="H18" i="186"/>
  <c r="I17" i="186"/>
  <c r="H17" i="186"/>
  <c r="I16" i="186"/>
  <c r="H16" i="186"/>
  <c r="I15" i="186"/>
  <c r="H15" i="186"/>
  <c r="I14" i="186"/>
  <c r="H14" i="186"/>
  <c r="I13" i="186"/>
  <c r="H13" i="186"/>
  <c r="I12" i="186"/>
  <c r="H12" i="186"/>
  <c r="I11" i="186"/>
  <c r="H11" i="186"/>
  <c r="K10" i="186"/>
  <c r="K11" i="186" s="1"/>
  <c r="J10" i="186"/>
  <c r="I10" i="186"/>
  <c r="H10" i="186"/>
  <c r="I39" i="182"/>
  <c r="H39" i="182"/>
  <c r="I38" i="182"/>
  <c r="H38" i="182"/>
  <c r="I37" i="182"/>
  <c r="H37" i="182"/>
  <c r="I36" i="182"/>
  <c r="H36" i="182"/>
  <c r="I35" i="182"/>
  <c r="H35" i="182"/>
  <c r="I34" i="182"/>
  <c r="H34" i="182"/>
  <c r="I33" i="182"/>
  <c r="H33" i="182"/>
  <c r="I32" i="182"/>
  <c r="H32" i="182"/>
  <c r="I31" i="182"/>
  <c r="H31" i="182"/>
  <c r="I30" i="182"/>
  <c r="H30" i="182"/>
  <c r="I29" i="182"/>
  <c r="H29" i="182"/>
  <c r="I28" i="182"/>
  <c r="H28" i="182"/>
  <c r="I27" i="182"/>
  <c r="H27" i="182"/>
  <c r="I26" i="182"/>
  <c r="H26" i="182"/>
  <c r="I25" i="182"/>
  <c r="H25" i="182"/>
  <c r="I24" i="182"/>
  <c r="H24" i="182"/>
  <c r="I23" i="182"/>
  <c r="H23" i="182"/>
  <c r="I22" i="182"/>
  <c r="H22" i="182"/>
  <c r="I21" i="182"/>
  <c r="H21" i="182"/>
  <c r="I20" i="182"/>
  <c r="H20" i="182"/>
  <c r="I19" i="182"/>
  <c r="H19" i="182"/>
  <c r="I18" i="182"/>
  <c r="H18" i="182"/>
  <c r="I17" i="182"/>
  <c r="H17" i="182"/>
  <c r="I16" i="182"/>
  <c r="H16" i="182"/>
  <c r="I15" i="182"/>
  <c r="H15" i="182"/>
  <c r="I14" i="182"/>
  <c r="H14" i="182"/>
  <c r="I13" i="182"/>
  <c r="H13" i="182"/>
  <c r="I12" i="182"/>
  <c r="H12" i="182"/>
  <c r="I11" i="182"/>
  <c r="H11" i="182"/>
  <c r="I10" i="182"/>
  <c r="H10" i="182"/>
  <c r="K9" i="182"/>
  <c r="J9" i="182"/>
  <c r="I9" i="182"/>
  <c r="H9" i="182"/>
  <c r="I39" i="181"/>
  <c r="H39" i="181"/>
  <c r="I38" i="181"/>
  <c r="H38" i="181"/>
  <c r="I37" i="181"/>
  <c r="H37" i="181"/>
  <c r="I36" i="181"/>
  <c r="H36" i="181"/>
  <c r="I35" i="181"/>
  <c r="H35" i="181"/>
  <c r="I34" i="181"/>
  <c r="H34" i="181"/>
  <c r="I33" i="181"/>
  <c r="H33" i="181"/>
  <c r="I32" i="181"/>
  <c r="H32" i="181"/>
  <c r="I31" i="181"/>
  <c r="H31" i="181"/>
  <c r="I30" i="181"/>
  <c r="H30" i="181"/>
  <c r="I29" i="181"/>
  <c r="H29" i="181"/>
  <c r="I28" i="181"/>
  <c r="H28" i="181"/>
  <c r="I27" i="181"/>
  <c r="H27" i="181"/>
  <c r="I26" i="181"/>
  <c r="H26" i="181"/>
  <c r="I25" i="181"/>
  <c r="H25" i="181"/>
  <c r="I24" i="181"/>
  <c r="H24" i="181"/>
  <c r="I23" i="181"/>
  <c r="H23" i="181"/>
  <c r="I22" i="181"/>
  <c r="H22" i="181"/>
  <c r="I21" i="181"/>
  <c r="H21" i="181"/>
  <c r="I20" i="181"/>
  <c r="H20" i="181"/>
  <c r="I19" i="181"/>
  <c r="H19" i="181"/>
  <c r="I18" i="181"/>
  <c r="H18" i="181"/>
  <c r="I17" i="181"/>
  <c r="H17" i="181"/>
  <c r="I16" i="181"/>
  <c r="H16" i="181"/>
  <c r="I15" i="181"/>
  <c r="H15" i="181"/>
  <c r="I14" i="181"/>
  <c r="H14" i="181"/>
  <c r="I13" i="181"/>
  <c r="H13" i="181"/>
  <c r="I12" i="181"/>
  <c r="H12" i="181"/>
  <c r="I11" i="181"/>
  <c r="H11" i="181"/>
  <c r="I10" i="181"/>
  <c r="H10" i="181"/>
  <c r="K9" i="181"/>
  <c r="J9" i="181"/>
  <c r="O9" i="181" s="1"/>
  <c r="I9" i="181"/>
  <c r="H9" i="181"/>
  <c r="I39" i="180"/>
  <c r="H39" i="180"/>
  <c r="I38" i="180"/>
  <c r="H38" i="180"/>
  <c r="I37" i="180"/>
  <c r="H37" i="180"/>
  <c r="I36" i="180"/>
  <c r="H36" i="180"/>
  <c r="I35" i="180"/>
  <c r="H35" i="180"/>
  <c r="I34" i="180"/>
  <c r="H34" i="180"/>
  <c r="I33" i="180"/>
  <c r="H33" i="180"/>
  <c r="I32" i="180"/>
  <c r="H32" i="180"/>
  <c r="I31" i="180"/>
  <c r="H31" i="180"/>
  <c r="I30" i="180"/>
  <c r="H30" i="180"/>
  <c r="I29" i="180"/>
  <c r="H29" i="180"/>
  <c r="I28" i="180"/>
  <c r="H28" i="180"/>
  <c r="I27" i="180"/>
  <c r="H27" i="180"/>
  <c r="I26" i="180"/>
  <c r="H26" i="180"/>
  <c r="I25" i="180"/>
  <c r="H25" i="180"/>
  <c r="I24" i="180"/>
  <c r="H24" i="180"/>
  <c r="I23" i="180"/>
  <c r="H23" i="180"/>
  <c r="I22" i="180"/>
  <c r="H22" i="180"/>
  <c r="I21" i="180"/>
  <c r="H21" i="180"/>
  <c r="I20" i="180"/>
  <c r="H20" i="180"/>
  <c r="I19" i="180"/>
  <c r="H19" i="180"/>
  <c r="I18" i="180"/>
  <c r="H18" i="180"/>
  <c r="I17" i="180"/>
  <c r="H17" i="180"/>
  <c r="I16" i="180"/>
  <c r="H16" i="180"/>
  <c r="I15" i="180"/>
  <c r="H15" i="180"/>
  <c r="I14" i="180"/>
  <c r="H14" i="180"/>
  <c r="I13" i="180"/>
  <c r="H13" i="180"/>
  <c r="I12" i="180"/>
  <c r="H12" i="180"/>
  <c r="I11" i="180"/>
  <c r="H11" i="180"/>
  <c r="I10" i="180"/>
  <c r="H10" i="180"/>
  <c r="K9" i="180"/>
  <c r="K10" i="180" s="1"/>
  <c r="K11" i="180" s="1"/>
  <c r="J9" i="180"/>
  <c r="I9" i="180"/>
  <c r="H9" i="180"/>
  <c r="K9" i="178"/>
  <c r="I39" i="177"/>
  <c r="H39" i="177"/>
  <c r="I38" i="177"/>
  <c r="H38" i="177"/>
  <c r="I37" i="177"/>
  <c r="H37" i="177"/>
  <c r="I36" i="177"/>
  <c r="H36" i="177"/>
  <c r="I35" i="177"/>
  <c r="H35" i="177"/>
  <c r="I34" i="177"/>
  <c r="H34" i="177"/>
  <c r="I33" i="177"/>
  <c r="H33" i="177"/>
  <c r="I32" i="177"/>
  <c r="H32" i="177"/>
  <c r="I31" i="177"/>
  <c r="H31" i="177"/>
  <c r="I30" i="177"/>
  <c r="H30" i="177"/>
  <c r="I29" i="177"/>
  <c r="H29" i="177"/>
  <c r="I28" i="177"/>
  <c r="H28" i="177"/>
  <c r="I27" i="177"/>
  <c r="H27" i="177"/>
  <c r="I26" i="177"/>
  <c r="H26" i="177"/>
  <c r="I25" i="177"/>
  <c r="H25" i="177"/>
  <c r="I24" i="177"/>
  <c r="H24" i="177"/>
  <c r="I23" i="177"/>
  <c r="H23" i="177"/>
  <c r="I22" i="177"/>
  <c r="H22" i="177"/>
  <c r="I21" i="177"/>
  <c r="H21" i="177"/>
  <c r="I20" i="177"/>
  <c r="H20" i="177"/>
  <c r="I19" i="177"/>
  <c r="H19" i="177"/>
  <c r="I18" i="177"/>
  <c r="H18" i="177"/>
  <c r="I17" i="177"/>
  <c r="H17" i="177"/>
  <c r="I16" i="177"/>
  <c r="H16" i="177"/>
  <c r="I15" i="177"/>
  <c r="H15" i="177"/>
  <c r="I14" i="177"/>
  <c r="H14" i="177"/>
  <c r="I13" i="177"/>
  <c r="H13" i="177"/>
  <c r="I12" i="177"/>
  <c r="H12" i="177"/>
  <c r="I11" i="177"/>
  <c r="H11" i="177"/>
  <c r="I10" i="177"/>
  <c r="H10" i="177"/>
  <c r="K9" i="177"/>
  <c r="K10" i="177" s="1"/>
  <c r="J9" i="177"/>
  <c r="J10" i="177" s="1"/>
  <c r="I9" i="177"/>
  <c r="H9" i="177"/>
  <c r="I40" i="174"/>
  <c r="H40" i="174"/>
  <c r="I39" i="174"/>
  <c r="H39" i="174"/>
  <c r="I38" i="174"/>
  <c r="H38" i="174"/>
  <c r="I37" i="174"/>
  <c r="H37" i="174"/>
  <c r="I36" i="174"/>
  <c r="H36" i="174"/>
  <c r="I35" i="174"/>
  <c r="H35" i="174"/>
  <c r="I34" i="174"/>
  <c r="H34" i="174"/>
  <c r="I33" i="174"/>
  <c r="H33" i="174"/>
  <c r="I32" i="174"/>
  <c r="H32" i="174"/>
  <c r="I31" i="174"/>
  <c r="H31" i="174"/>
  <c r="I30" i="174"/>
  <c r="H30" i="174"/>
  <c r="I29" i="174"/>
  <c r="H29" i="174"/>
  <c r="I28" i="174"/>
  <c r="H28" i="174"/>
  <c r="I27" i="174"/>
  <c r="H27" i="174"/>
  <c r="I26" i="174"/>
  <c r="H26" i="174"/>
  <c r="I25" i="174"/>
  <c r="H25" i="174"/>
  <c r="I24" i="174"/>
  <c r="H24" i="174"/>
  <c r="I23" i="174"/>
  <c r="H23" i="174"/>
  <c r="I22" i="174"/>
  <c r="H22" i="174"/>
  <c r="I21" i="174"/>
  <c r="H21" i="174"/>
  <c r="I20" i="174"/>
  <c r="H20" i="174"/>
  <c r="I19" i="174"/>
  <c r="H19" i="174"/>
  <c r="I18" i="174"/>
  <c r="H18" i="174"/>
  <c r="I17" i="174"/>
  <c r="H17" i="174"/>
  <c r="I16" i="174"/>
  <c r="H16" i="174"/>
  <c r="I15" i="174"/>
  <c r="H15" i="174"/>
  <c r="I14" i="174"/>
  <c r="H14" i="174"/>
  <c r="I13" i="174"/>
  <c r="H13" i="174"/>
  <c r="I12" i="174"/>
  <c r="H12" i="174"/>
  <c r="I11" i="174"/>
  <c r="H11" i="174"/>
  <c r="K10" i="174"/>
  <c r="J10" i="174"/>
  <c r="J11" i="174" s="1"/>
  <c r="I10" i="174"/>
  <c r="H10" i="174"/>
  <c r="K9" i="173"/>
  <c r="K10" i="173" s="1"/>
  <c r="J9" i="173"/>
  <c r="I39" i="172"/>
  <c r="H39" i="172"/>
  <c r="I38" i="172"/>
  <c r="H38" i="172"/>
  <c r="I37" i="172"/>
  <c r="H37" i="172"/>
  <c r="I36" i="172"/>
  <c r="H36" i="172"/>
  <c r="I35" i="172"/>
  <c r="H35" i="172"/>
  <c r="I34" i="172"/>
  <c r="H34" i="172"/>
  <c r="I33" i="172"/>
  <c r="H33" i="172"/>
  <c r="I32" i="172"/>
  <c r="H32" i="172"/>
  <c r="I31" i="172"/>
  <c r="H31" i="172"/>
  <c r="I30" i="172"/>
  <c r="H30" i="172"/>
  <c r="I29" i="172"/>
  <c r="H29" i="172"/>
  <c r="I28" i="172"/>
  <c r="H28" i="172"/>
  <c r="I27" i="172"/>
  <c r="H27" i="172"/>
  <c r="I26" i="172"/>
  <c r="H26" i="172"/>
  <c r="I25" i="172"/>
  <c r="H25" i="172"/>
  <c r="I24" i="172"/>
  <c r="H24" i="172"/>
  <c r="I23" i="172"/>
  <c r="H23" i="172"/>
  <c r="I22" i="172"/>
  <c r="H22" i="172"/>
  <c r="I21" i="172"/>
  <c r="H21" i="172"/>
  <c r="I20" i="172"/>
  <c r="H20" i="172"/>
  <c r="I19" i="172"/>
  <c r="H19" i="172"/>
  <c r="I18" i="172"/>
  <c r="H18" i="172"/>
  <c r="I17" i="172"/>
  <c r="H17" i="172"/>
  <c r="I16" i="172"/>
  <c r="H16" i="172"/>
  <c r="I15" i="172"/>
  <c r="H15" i="172"/>
  <c r="I14" i="172"/>
  <c r="H14" i="172"/>
  <c r="I13" i="172"/>
  <c r="H13" i="172"/>
  <c r="I12" i="172"/>
  <c r="H12" i="172"/>
  <c r="I11" i="172"/>
  <c r="H11" i="172"/>
  <c r="I10" i="172"/>
  <c r="H10" i="172"/>
  <c r="K9" i="172"/>
  <c r="K10" i="172" s="1"/>
  <c r="K11" i="172" s="1"/>
  <c r="I9" i="172"/>
  <c r="H9" i="172"/>
  <c r="K9" i="170"/>
  <c r="K10" i="170" s="1"/>
  <c r="H13" i="168"/>
  <c r="H9" i="168"/>
  <c r="H15" i="166"/>
  <c r="H14" i="166"/>
  <c r="H13" i="166"/>
  <c r="H12" i="166"/>
  <c r="H11" i="166"/>
  <c r="H10" i="166"/>
  <c r="K9" i="164"/>
  <c r="K10" i="164" s="1"/>
  <c r="K9" i="163"/>
  <c r="K10" i="163" s="1"/>
  <c r="K11" i="163" s="1"/>
  <c r="J9" i="163"/>
  <c r="K9" i="162"/>
  <c r="J11" i="186"/>
  <c r="G77" i="53"/>
  <c r="G68" i="53"/>
  <c r="F41" i="196"/>
  <c r="H11" i="168"/>
  <c r="I10" i="196"/>
  <c r="H14" i="168"/>
  <c r="H36" i="168"/>
  <c r="H10" i="168"/>
  <c r="H12" i="168"/>
  <c r="H33" i="168"/>
  <c r="H25" i="168"/>
  <c r="H37" i="168"/>
  <c r="H29" i="168"/>
  <c r="H38" i="168"/>
  <c r="H24" i="168"/>
  <c r="H32" i="168"/>
  <c r="J9" i="168"/>
  <c r="J10" i="168" s="1"/>
  <c r="J11" i="168" s="1"/>
  <c r="H22" i="168"/>
  <c r="H23" i="168"/>
  <c r="H27" i="168"/>
  <c r="H31" i="168"/>
  <c r="H35" i="168"/>
  <c r="H39" i="168"/>
  <c r="H28" i="168"/>
  <c r="H15" i="168"/>
  <c r="H16" i="168"/>
  <c r="H17" i="168"/>
  <c r="H18" i="168"/>
  <c r="H19" i="168"/>
  <c r="H20" i="168"/>
  <c r="H21" i="168"/>
  <c r="H26" i="168"/>
  <c r="H30" i="168"/>
  <c r="H34" i="168"/>
  <c r="H39" i="166"/>
  <c r="H30" i="166"/>
  <c r="H37" i="166"/>
  <c r="H38" i="166"/>
  <c r="H34" i="166"/>
  <c r="H26" i="166"/>
  <c r="H29" i="166"/>
  <c r="H33" i="166"/>
  <c r="J10" i="166"/>
  <c r="J11" i="166" s="1"/>
  <c r="H23" i="166"/>
  <c r="H24" i="166"/>
  <c r="H28" i="166"/>
  <c r="H32" i="166"/>
  <c r="H36" i="166"/>
  <c r="H25" i="166"/>
  <c r="H16" i="166"/>
  <c r="H17" i="166"/>
  <c r="H18" i="166"/>
  <c r="H19" i="166"/>
  <c r="H20" i="166"/>
  <c r="H21" i="166"/>
  <c r="H22" i="166"/>
  <c r="H27" i="166"/>
  <c r="H31" i="166"/>
  <c r="H35" i="166"/>
  <c r="J9" i="165"/>
  <c r="J9" i="160"/>
  <c r="S9" i="160" s="1"/>
  <c r="J9" i="159"/>
  <c r="K10" i="156"/>
  <c r="K10" i="153"/>
  <c r="K11" i="153" s="1"/>
  <c r="J11" i="149"/>
  <c r="F19" i="53"/>
  <c r="E19" i="53"/>
  <c r="F20" i="53"/>
  <c r="I10" i="168"/>
  <c r="K10" i="166"/>
  <c r="I10" i="166"/>
  <c r="K9" i="158"/>
  <c r="K10" i="158" s="1"/>
  <c r="J40" i="183"/>
  <c r="H31" i="235"/>
  <c r="H15" i="235"/>
  <c r="H36" i="235"/>
  <c r="H20" i="235"/>
  <c r="J9" i="235"/>
  <c r="I39" i="235"/>
  <c r="M39" i="235" s="1"/>
  <c r="G40" i="235"/>
  <c r="G41" i="235" s="1"/>
  <c r="I9" i="235"/>
  <c r="M9" i="235" s="1"/>
  <c r="I10" i="235"/>
  <c r="M10" i="235" s="1"/>
  <c r="I11" i="235"/>
  <c r="M11" i="235" s="1"/>
  <c r="I12" i="235"/>
  <c r="M12" i="235" s="1"/>
  <c r="I13" i="235"/>
  <c r="M13" i="235" s="1"/>
  <c r="I14" i="235"/>
  <c r="M14" i="235" s="1"/>
  <c r="I15" i="235"/>
  <c r="M15" i="235" s="1"/>
  <c r="I16" i="235"/>
  <c r="M16" i="235" s="1"/>
  <c r="I17" i="235"/>
  <c r="M17" i="235" s="1"/>
  <c r="I18" i="235"/>
  <c r="M18" i="235" s="1"/>
  <c r="I19" i="235"/>
  <c r="M19" i="235" s="1"/>
  <c r="I20" i="235"/>
  <c r="M20" i="235" s="1"/>
  <c r="I21" i="235"/>
  <c r="M21" i="235" s="1"/>
  <c r="I22" i="235"/>
  <c r="M22" i="235" s="1"/>
  <c r="I24" i="235"/>
  <c r="M24" i="235" s="1"/>
  <c r="I25" i="235"/>
  <c r="M25" i="235" s="1"/>
  <c r="I26" i="235"/>
  <c r="M26" i="235" s="1"/>
  <c r="I27" i="235"/>
  <c r="M27" i="235" s="1"/>
  <c r="I28" i="235"/>
  <c r="M28" i="235" s="1"/>
  <c r="I29" i="235"/>
  <c r="M29" i="235" s="1"/>
  <c r="I30" i="235"/>
  <c r="M30" i="235" s="1"/>
  <c r="I31" i="235"/>
  <c r="M31" i="235" s="1"/>
  <c r="I32" i="235"/>
  <c r="M32" i="235" s="1"/>
  <c r="I33" i="235"/>
  <c r="M33" i="235" s="1"/>
  <c r="I34" i="235"/>
  <c r="M34" i="235" s="1"/>
  <c r="I35" i="235"/>
  <c r="M35" i="235" s="1"/>
  <c r="I36" i="235"/>
  <c r="M36" i="235" s="1"/>
  <c r="I37" i="235"/>
  <c r="M37" i="235" s="1"/>
  <c r="I38" i="235"/>
  <c r="M38" i="235" s="1"/>
  <c r="K11" i="208" l="1"/>
  <c r="M10" i="208"/>
  <c r="M30" i="206"/>
  <c r="K31" i="206"/>
  <c r="H39" i="235"/>
  <c r="H12" i="235"/>
  <c r="H28" i="235"/>
  <c r="H9" i="235"/>
  <c r="H23" i="235"/>
  <c r="K9" i="199"/>
  <c r="I24" i="168"/>
  <c r="E41" i="213"/>
  <c r="I109" i="354"/>
  <c r="L109" i="354" s="1"/>
  <c r="F67" i="351"/>
  <c r="I96" i="354"/>
  <c r="L96" i="354" s="1"/>
  <c r="E18" i="354"/>
  <c r="G115" i="354"/>
  <c r="I82" i="354"/>
  <c r="K82" i="354" s="1"/>
  <c r="E119" i="354"/>
  <c r="G125" i="354"/>
  <c r="G118" i="354"/>
  <c r="G96" i="354"/>
  <c r="G95" i="354"/>
  <c r="E96" i="354"/>
  <c r="I113" i="354"/>
  <c r="L113" i="354" s="1"/>
  <c r="H49" i="365"/>
  <c r="G109" i="354"/>
  <c r="E112" i="354"/>
  <c r="E115" i="354"/>
  <c r="H41" i="365"/>
  <c r="E95" i="354"/>
  <c r="H37" i="235"/>
  <c r="E109" i="354"/>
  <c r="E94" i="354"/>
  <c r="F30" i="365"/>
  <c r="E106" i="354"/>
  <c r="F39" i="365"/>
  <c r="E114" i="354"/>
  <c r="F42" i="365"/>
  <c r="G106" i="354"/>
  <c r="H39" i="365"/>
  <c r="E120" i="354"/>
  <c r="F45" i="365"/>
  <c r="I127" i="354"/>
  <c r="L127" i="354" s="1"/>
  <c r="J51" i="365"/>
  <c r="M51" i="365" s="1"/>
  <c r="M63" i="365" s="1"/>
  <c r="E108" i="354"/>
  <c r="F41" i="365"/>
  <c r="E124" i="354"/>
  <c r="F49" i="365"/>
  <c r="E100" i="354"/>
  <c r="F34" i="365"/>
  <c r="I98" i="354"/>
  <c r="L98" i="354" s="1"/>
  <c r="J32" i="365"/>
  <c r="G98" i="354"/>
  <c r="H32" i="365"/>
  <c r="E98" i="354"/>
  <c r="F32" i="365"/>
  <c r="E99" i="354"/>
  <c r="F33" i="365"/>
  <c r="G97" i="354"/>
  <c r="H31" i="365"/>
  <c r="E117" i="354"/>
  <c r="F44" i="365"/>
  <c r="E71" i="354"/>
  <c r="F20" i="365"/>
  <c r="E70" i="354"/>
  <c r="F19" i="365"/>
  <c r="G72" i="354"/>
  <c r="H21" i="365"/>
  <c r="E72" i="354"/>
  <c r="F21" i="365"/>
  <c r="G11" i="354"/>
  <c r="H9" i="365"/>
  <c r="E11" i="354"/>
  <c r="F9" i="365"/>
  <c r="E10" i="354"/>
  <c r="F8" i="365"/>
  <c r="E17" i="354"/>
  <c r="F12" i="365"/>
  <c r="H82" i="354"/>
  <c r="I25" i="365"/>
  <c r="G224" i="53"/>
  <c r="G108" i="354"/>
  <c r="G223" i="53"/>
  <c r="G124" i="354"/>
  <c r="F84" i="351"/>
  <c r="F76" i="351"/>
  <c r="F75" i="351"/>
  <c r="F71" i="351"/>
  <c r="F65" i="351"/>
  <c r="F70" i="351"/>
  <c r="F8" i="252"/>
  <c r="F68" i="351"/>
  <c r="F41" i="184"/>
  <c r="F77" i="351"/>
  <c r="F147" i="53"/>
  <c r="F44" i="341"/>
  <c r="K41" i="235"/>
  <c r="H14" i="235"/>
  <c r="H22" i="235"/>
  <c r="H30" i="235"/>
  <c r="H38" i="235"/>
  <c r="H13" i="235"/>
  <c r="H21" i="235"/>
  <c r="H29" i="235"/>
  <c r="I25" i="168"/>
  <c r="K9" i="168"/>
  <c r="K10" i="168" s="1"/>
  <c r="M10" i="168" s="1"/>
  <c r="J9" i="199"/>
  <c r="G9" i="229"/>
  <c r="H9" i="229" s="1"/>
  <c r="D40" i="229"/>
  <c r="E41" i="202"/>
  <c r="J41" i="202" s="1"/>
  <c r="D41" i="197"/>
  <c r="I41" i="197" s="1"/>
  <c r="D41" i="200"/>
  <c r="I41" i="200" s="1"/>
  <c r="F185" i="53"/>
  <c r="F19" i="341"/>
  <c r="J19" i="341" s="1"/>
  <c r="M19" i="341" s="1"/>
  <c r="H147" i="53"/>
  <c r="H44" i="341"/>
  <c r="E41" i="246"/>
  <c r="H29" i="341"/>
  <c r="F127" i="53"/>
  <c r="F29" i="341"/>
  <c r="D29" i="341"/>
  <c r="F123" i="53"/>
  <c r="F16" i="341"/>
  <c r="D181" i="53"/>
  <c r="D13" i="341"/>
  <c r="F188" i="53"/>
  <c r="J188" i="53" s="1"/>
  <c r="M188" i="53" s="1"/>
  <c r="F10" i="341"/>
  <c r="D40" i="228"/>
  <c r="G40" i="228" s="1"/>
  <c r="L21" i="53"/>
  <c r="J10" i="190"/>
  <c r="O10" i="190" s="1"/>
  <c r="O9" i="190"/>
  <c r="G10" i="216"/>
  <c r="H10" i="216" s="1"/>
  <c r="L9" i="216"/>
  <c r="I10" i="197"/>
  <c r="I11" i="197" s="1"/>
  <c r="K11" i="197" s="1"/>
  <c r="J10" i="187"/>
  <c r="O9" i="187"/>
  <c r="J11" i="218"/>
  <c r="O11" i="218" s="1"/>
  <c r="O10" i="218"/>
  <c r="D41" i="198"/>
  <c r="K10" i="196"/>
  <c r="J10" i="173"/>
  <c r="S10" i="173" s="1"/>
  <c r="S9" i="173"/>
  <c r="I254" i="53"/>
  <c r="K254" i="53" s="1"/>
  <c r="J10" i="163"/>
  <c r="L10" i="163" s="1"/>
  <c r="S9" i="163"/>
  <c r="J10" i="180"/>
  <c r="O10" i="180" s="1"/>
  <c r="O9" i="180"/>
  <c r="J10" i="182"/>
  <c r="O10" i="182" s="1"/>
  <c r="O9" i="182"/>
  <c r="I10" i="202"/>
  <c r="J10" i="202" s="1"/>
  <c r="L10" i="213"/>
  <c r="L9" i="213"/>
  <c r="D41" i="202"/>
  <c r="I41" i="202" s="1"/>
  <c r="K9" i="242"/>
  <c r="H10" i="245"/>
  <c r="K10" i="245"/>
  <c r="L9" i="212"/>
  <c r="L10" i="211"/>
  <c r="L9" i="211"/>
  <c r="G10" i="223"/>
  <c r="L10" i="223" s="1"/>
  <c r="L9" i="223"/>
  <c r="G10" i="246"/>
  <c r="M10" i="246" s="1"/>
  <c r="M9" i="246"/>
  <c r="P10" i="251"/>
  <c r="P9" i="251"/>
  <c r="P10" i="255"/>
  <c r="P9" i="255"/>
  <c r="P10" i="256"/>
  <c r="P9" i="256"/>
  <c r="J10" i="160"/>
  <c r="S10" i="160" s="1"/>
  <c r="J10" i="165"/>
  <c r="S10" i="165" s="1"/>
  <c r="S9" i="165"/>
  <c r="J10" i="159"/>
  <c r="S10" i="159" s="1"/>
  <c r="S9" i="159"/>
  <c r="J12" i="149"/>
  <c r="S11" i="149"/>
  <c r="G10" i="240"/>
  <c r="D41" i="204"/>
  <c r="F114" i="53"/>
  <c r="E41" i="245"/>
  <c r="E8" i="245"/>
  <c r="L11" i="168"/>
  <c r="K237" i="53"/>
  <c r="L9" i="177"/>
  <c r="L9" i="235"/>
  <c r="F41" i="225"/>
  <c r="H237" i="53"/>
  <c r="J237" i="53" s="1"/>
  <c r="H252" i="53"/>
  <c r="J252" i="53" s="1"/>
  <c r="L23" i="53"/>
  <c r="M23" i="53" s="1"/>
  <c r="L10" i="53"/>
  <c r="M10" i="53" s="1"/>
  <c r="L19" i="53"/>
  <c r="L11" i="53"/>
  <c r="M11" i="53" s="1"/>
  <c r="E41" i="212"/>
  <c r="H232" i="53"/>
  <c r="J10" i="196"/>
  <c r="K11" i="198"/>
  <c r="D41" i="177"/>
  <c r="J41" i="177" s="1"/>
  <c r="G40" i="200"/>
  <c r="G41" i="200" s="1"/>
  <c r="I11" i="196"/>
  <c r="K11" i="196" s="1"/>
  <c r="K9" i="196"/>
  <c r="E41" i="249"/>
  <c r="H185" i="53"/>
  <c r="D41" i="223"/>
  <c r="I255" i="53"/>
  <c r="K255" i="53" s="1"/>
  <c r="I252" i="53"/>
  <c r="G41" i="226"/>
  <c r="H250" i="53"/>
  <c r="F41" i="180"/>
  <c r="H112" i="53"/>
  <c r="E41" i="242"/>
  <c r="E9" i="208"/>
  <c r="E42" i="208" s="1"/>
  <c r="E41" i="223"/>
  <c r="F226" i="53"/>
  <c r="G41" i="225"/>
  <c r="H234" i="53"/>
  <c r="E41" i="215"/>
  <c r="G41" i="215" s="1"/>
  <c r="H233" i="53"/>
  <c r="E41" i="214"/>
  <c r="H235" i="53"/>
  <c r="E41" i="216"/>
  <c r="H113" i="53"/>
  <c r="E41" i="204"/>
  <c r="H123" i="53"/>
  <c r="E41" i="221"/>
  <c r="J19" i="53"/>
  <c r="L98" i="53"/>
  <c r="M67" i="53"/>
  <c r="M66" i="53"/>
  <c r="M65" i="53"/>
  <c r="M25" i="53"/>
  <c r="J125" i="53"/>
  <c r="M125" i="53" s="1"/>
  <c r="E223" i="53"/>
  <c r="E224" i="53"/>
  <c r="J98" i="53"/>
  <c r="H35" i="235"/>
  <c r="I41" i="196"/>
  <c r="J41" i="196" s="1"/>
  <c r="I10" i="184"/>
  <c r="E41" i="235"/>
  <c r="E40" i="197"/>
  <c r="E41" i="197" s="1"/>
  <c r="I15" i="168"/>
  <c r="E8" i="246"/>
  <c r="E97" i="53"/>
  <c r="E40" i="198"/>
  <c r="E41" i="198" s="1"/>
  <c r="F8" i="183"/>
  <c r="E8" i="249"/>
  <c r="H181" i="53"/>
  <c r="I251" i="53"/>
  <c r="K251" i="53" s="1"/>
  <c r="H30" i="232"/>
  <c r="I9" i="184"/>
  <c r="I36" i="184"/>
  <c r="I32" i="184"/>
  <c r="I28" i="184"/>
  <c r="I24" i="184"/>
  <c r="I20" i="184"/>
  <c r="I16" i="184"/>
  <c r="I12" i="184"/>
  <c r="M10" i="177"/>
  <c r="K11" i="177"/>
  <c r="I11" i="200"/>
  <c r="K11" i="200" s="1"/>
  <c r="J10" i="200"/>
  <c r="K10" i="200"/>
  <c r="F40" i="235"/>
  <c r="F41" i="235" s="1"/>
  <c r="J41" i="235" s="1"/>
  <c r="H16" i="235"/>
  <c r="H24" i="235"/>
  <c r="H32" i="235"/>
  <c r="H17" i="235"/>
  <c r="H25" i="235"/>
  <c r="H33" i="235"/>
  <c r="I19" i="168"/>
  <c r="L10" i="168"/>
  <c r="I22" i="168"/>
  <c r="I32" i="168"/>
  <c r="I239" i="53"/>
  <c r="K10" i="198"/>
  <c r="H9" i="214"/>
  <c r="J41" i="233"/>
  <c r="I39" i="184"/>
  <c r="I35" i="184"/>
  <c r="I31" i="184"/>
  <c r="I27" i="184"/>
  <c r="I23" i="184"/>
  <c r="I19" i="184"/>
  <c r="I15" i="184"/>
  <c r="I11" i="184"/>
  <c r="D41" i="158"/>
  <c r="J41" i="158" s="1"/>
  <c r="D41" i="244"/>
  <c r="E40" i="196"/>
  <c r="E41" i="196" s="1"/>
  <c r="H10" i="235"/>
  <c r="H18" i="235"/>
  <c r="H26" i="235"/>
  <c r="H34" i="235"/>
  <c r="H11" i="235"/>
  <c r="H19" i="235"/>
  <c r="H27" i="235"/>
  <c r="I20" i="168"/>
  <c r="I28" i="168"/>
  <c r="I31" i="168"/>
  <c r="L9" i="168"/>
  <c r="G42" i="191"/>
  <c r="K42" i="191" s="1"/>
  <c r="M9" i="177"/>
  <c r="J10" i="198"/>
  <c r="I10" i="199"/>
  <c r="K10" i="199" s="1"/>
  <c r="K9" i="200"/>
  <c r="G40" i="199"/>
  <c r="G41" i="199" s="1"/>
  <c r="D41" i="199"/>
  <c r="I41" i="199" s="1"/>
  <c r="I38" i="184"/>
  <c r="I34" i="184"/>
  <c r="I30" i="184"/>
  <c r="I26" i="184"/>
  <c r="I22" i="184"/>
  <c r="I18" i="184"/>
  <c r="I14" i="184"/>
  <c r="E40" i="200"/>
  <c r="E41" i="200" s="1"/>
  <c r="J9" i="254"/>
  <c r="H17" i="232"/>
  <c r="I29" i="168"/>
  <c r="D42" i="191"/>
  <c r="J42" i="191" s="1"/>
  <c r="D41" i="187"/>
  <c r="E40" i="199"/>
  <c r="E41" i="199" s="1"/>
  <c r="G40" i="197"/>
  <c r="G41" i="197" s="1"/>
  <c r="I37" i="184"/>
  <c r="I33" i="184"/>
  <c r="I29" i="184"/>
  <c r="I25" i="184"/>
  <c r="I21" i="184"/>
  <c r="I17" i="184"/>
  <c r="I13" i="184"/>
  <c r="G40" i="168"/>
  <c r="G41" i="168" s="1"/>
  <c r="J9" i="231"/>
  <c r="J10" i="153"/>
  <c r="J11" i="153" s="1"/>
  <c r="J12" i="153" s="1"/>
  <c r="D41" i="153"/>
  <c r="D42" i="153" s="1"/>
  <c r="J42" i="153" s="1"/>
  <c r="I35" i="159"/>
  <c r="I36" i="159"/>
  <c r="I37" i="159"/>
  <c r="H231" i="53"/>
  <c r="D40" i="155"/>
  <c r="D41" i="155" s="1"/>
  <c r="J41" i="155" s="1"/>
  <c r="D40" i="170"/>
  <c r="D41" i="170" s="1"/>
  <c r="J41" i="170" s="1"/>
  <c r="D40" i="164"/>
  <c r="D41" i="164" s="1"/>
  <c r="J41" i="164" s="1"/>
  <c r="I10" i="254"/>
  <c r="J10" i="254" s="1"/>
  <c r="E41" i="251"/>
  <c r="D40" i="169"/>
  <c r="D41" i="169" s="1"/>
  <c r="J41" i="169" s="1"/>
  <c r="G40" i="159"/>
  <c r="I39" i="159"/>
  <c r="I38" i="159"/>
  <c r="F8" i="250"/>
  <c r="F41" i="250"/>
  <c r="H105" i="53" s="1"/>
  <c r="L105" i="53" s="1"/>
  <c r="I10" i="160"/>
  <c r="I11" i="160"/>
  <c r="I12" i="160"/>
  <c r="I13" i="160"/>
  <c r="I14" i="160"/>
  <c r="I15" i="160"/>
  <c r="I16" i="160"/>
  <c r="I17" i="160"/>
  <c r="I18" i="160"/>
  <c r="I19" i="160"/>
  <c r="I20" i="160"/>
  <c r="I21" i="160"/>
  <c r="I22" i="160"/>
  <c r="I9" i="160"/>
  <c r="I23" i="160"/>
  <c r="I25" i="160"/>
  <c r="I27" i="160"/>
  <c r="I29" i="160"/>
  <c r="I31" i="160"/>
  <c r="I33" i="160"/>
  <c r="I35" i="160"/>
  <c r="I37" i="160"/>
  <c r="I39" i="160"/>
  <c r="I36" i="160"/>
  <c r="G40" i="160"/>
  <c r="I24" i="160"/>
  <c r="I26" i="160"/>
  <c r="I28" i="160"/>
  <c r="I30" i="160"/>
  <c r="I32" i="160"/>
  <c r="I34" i="160"/>
  <c r="I38" i="160"/>
  <c r="K10" i="183"/>
  <c r="K11" i="183" s="1"/>
  <c r="K12" i="183" s="1"/>
  <c r="K13" i="183" s="1"/>
  <c r="K14" i="183" s="1"/>
  <c r="K15" i="183" s="1"/>
  <c r="K16" i="183" s="1"/>
  <c r="K17" i="183" s="1"/>
  <c r="K18" i="183" s="1"/>
  <c r="K19" i="183" s="1"/>
  <c r="K20" i="183" s="1"/>
  <c r="K21" i="183" s="1"/>
  <c r="K22" i="183" s="1"/>
  <c r="K23" i="183" s="1"/>
  <c r="K24" i="183" s="1"/>
  <c r="K25" i="183" s="1"/>
  <c r="K26" i="183" s="1"/>
  <c r="K27" i="183" s="1"/>
  <c r="K28" i="183" s="1"/>
  <c r="K29" i="183" s="1"/>
  <c r="K30" i="183" s="1"/>
  <c r="K31" i="183" s="1"/>
  <c r="K32" i="183" s="1"/>
  <c r="K33" i="183" s="1"/>
  <c r="K34" i="183" s="1"/>
  <c r="K35" i="183" s="1"/>
  <c r="K36" i="183" s="1"/>
  <c r="K37" i="183" s="1"/>
  <c r="K38" i="183" s="1"/>
  <c r="K39" i="183" s="1"/>
  <c r="I10" i="183"/>
  <c r="I12" i="183"/>
  <c r="I14" i="183"/>
  <c r="I16" i="183"/>
  <c r="I18" i="183"/>
  <c r="I20" i="183"/>
  <c r="I21" i="183"/>
  <c r="I25" i="183"/>
  <c r="I29" i="183"/>
  <c r="I33" i="183"/>
  <c r="I37" i="183"/>
  <c r="I22" i="183"/>
  <c r="I26" i="183"/>
  <c r="I30" i="183"/>
  <c r="I34" i="183"/>
  <c r="I38" i="183"/>
  <c r="I11" i="183"/>
  <c r="I13" i="183"/>
  <c r="I15" i="183"/>
  <c r="I17" i="183"/>
  <c r="I19" i="183"/>
  <c r="I23" i="183"/>
  <c r="I27" i="183"/>
  <c r="I31" i="183"/>
  <c r="I35" i="183"/>
  <c r="I39" i="183"/>
  <c r="I24" i="183"/>
  <c r="I28" i="183"/>
  <c r="I32" i="183"/>
  <c r="I36" i="183"/>
  <c r="F8" i="254"/>
  <c r="F41" i="254"/>
  <c r="H106" i="53" s="1"/>
  <c r="E8" i="254"/>
  <c r="D41" i="254"/>
  <c r="E8" i="250"/>
  <c r="D41" i="250"/>
  <c r="D40" i="157"/>
  <c r="D41" i="157" s="1"/>
  <c r="J41" i="157" s="1"/>
  <c r="D41" i="156"/>
  <c r="D42" i="156" s="1"/>
  <c r="J42" i="156" s="1"/>
  <c r="F102" i="53"/>
  <c r="D41" i="253"/>
  <c r="F8" i="253"/>
  <c r="F41" i="253"/>
  <c r="H102" i="53" s="1"/>
  <c r="F8" i="251"/>
  <c r="F41" i="251"/>
  <c r="H99" i="53" s="1"/>
  <c r="F99" i="53"/>
  <c r="D41" i="251"/>
  <c r="F8" i="256"/>
  <c r="F41" i="256"/>
  <c r="H97" i="53" s="1"/>
  <c r="G97" i="53"/>
  <c r="E41" i="256"/>
  <c r="F97" i="53"/>
  <c r="D41" i="256"/>
  <c r="F41" i="252"/>
  <c r="H96" i="53" s="1"/>
  <c r="K10" i="162"/>
  <c r="K11" i="162" s="1"/>
  <c r="M9" i="162"/>
  <c r="D40" i="162"/>
  <c r="D41" i="162" s="1"/>
  <c r="J41" i="162" s="1"/>
  <c r="H22" i="53"/>
  <c r="L10" i="177"/>
  <c r="J11" i="177"/>
  <c r="I17" i="168"/>
  <c r="I33" i="168"/>
  <c r="I9" i="168"/>
  <c r="M9" i="168" s="1"/>
  <c r="I27" i="168"/>
  <c r="M10" i="174"/>
  <c r="K9" i="197"/>
  <c r="G9" i="228"/>
  <c r="H9" i="228" s="1"/>
  <c r="D42" i="207"/>
  <c r="J42" i="207" s="1"/>
  <c r="E41" i="168"/>
  <c r="F41" i="168"/>
  <c r="J11" i="198"/>
  <c r="I18" i="168"/>
  <c r="I37" i="168"/>
  <c r="I36" i="168"/>
  <c r="I12" i="168"/>
  <c r="I21" i="168"/>
  <c r="I26" i="168"/>
  <c r="I30" i="168"/>
  <c r="I35" i="168"/>
  <c r="I11" i="168"/>
  <c r="I14" i="168"/>
  <c r="H255" i="53"/>
  <c r="J255" i="53" s="1"/>
  <c r="G40" i="229"/>
  <c r="G40" i="198"/>
  <c r="G41" i="198" s="1"/>
  <c r="J10" i="235"/>
  <c r="O10" i="235" s="1"/>
  <c r="I16" i="168"/>
  <c r="I34" i="168"/>
  <c r="I38" i="168"/>
  <c r="I39" i="168"/>
  <c r="I13" i="168"/>
  <c r="I23" i="168"/>
  <c r="M9" i="163"/>
  <c r="I12" i="198"/>
  <c r="E41" i="177"/>
  <c r="K41" i="177" s="1"/>
  <c r="D41" i="168"/>
  <c r="H9" i="203"/>
  <c r="H9" i="244"/>
  <c r="E41" i="232"/>
  <c r="H37" i="53"/>
  <c r="E98" i="53"/>
  <c r="E8" i="255"/>
  <c r="E41" i="255" s="1"/>
  <c r="D41" i="216"/>
  <c r="E8" i="253"/>
  <c r="G40" i="255"/>
  <c r="F234" i="53"/>
  <c r="E40" i="252"/>
  <c r="G96" i="53" s="1"/>
  <c r="D41" i="188"/>
  <c r="J41" i="188" s="1"/>
  <c r="H10" i="232"/>
  <c r="J9" i="232"/>
  <c r="O9" i="232" s="1"/>
  <c r="H254" i="53"/>
  <c r="J254" i="53" s="1"/>
  <c r="L9" i="181"/>
  <c r="M11" i="180"/>
  <c r="K12" i="180"/>
  <c r="M12" i="180" s="1"/>
  <c r="E41" i="180"/>
  <c r="K41" i="180" s="1"/>
  <c r="H9" i="223"/>
  <c r="I10" i="250"/>
  <c r="I11" i="250" s="1"/>
  <c r="I12" i="250" s="1"/>
  <c r="G40" i="251"/>
  <c r="L9" i="187"/>
  <c r="E41" i="184"/>
  <c r="O9" i="235"/>
  <c r="J12" i="168"/>
  <c r="L9" i="173"/>
  <c r="M9" i="190"/>
  <c r="M9" i="180"/>
  <c r="M9" i="165"/>
  <c r="L10" i="233"/>
  <c r="J11" i="233"/>
  <c r="M10" i="233"/>
  <c r="K11" i="233"/>
  <c r="K41" i="233"/>
  <c r="I41" i="198"/>
  <c r="D41" i="225"/>
  <c r="L9" i="233"/>
  <c r="E41" i="172"/>
  <c r="K41" i="172" s="1"/>
  <c r="I11" i="199"/>
  <c r="K9" i="202"/>
  <c r="E41" i="187"/>
  <c r="K41" i="187" s="1"/>
  <c r="E42" i="174"/>
  <c r="M9" i="233"/>
  <c r="J9" i="250"/>
  <c r="E40" i="254"/>
  <c r="G106" i="53" s="1"/>
  <c r="G40" i="254"/>
  <c r="D41" i="222"/>
  <c r="G41" i="222" s="1"/>
  <c r="D41" i="181"/>
  <c r="J41" i="181" s="1"/>
  <c r="I249" i="53"/>
  <c r="K249" i="53" s="1"/>
  <c r="H9" i="236"/>
  <c r="G40" i="250"/>
  <c r="H9" i="232"/>
  <c r="J11" i="200"/>
  <c r="D41" i="184"/>
  <c r="E41" i="218"/>
  <c r="K41" i="218" s="1"/>
  <c r="E41" i="181"/>
  <c r="K41" i="181" s="1"/>
  <c r="J10" i="164"/>
  <c r="D41" i="242"/>
  <c r="H9" i="246"/>
  <c r="D41" i="236"/>
  <c r="G41" i="236" s="1"/>
  <c r="E99" i="53"/>
  <c r="D41" i="213"/>
  <c r="L9" i="178"/>
  <c r="G42" i="186"/>
  <c r="E40" i="250"/>
  <c r="G105" i="53" s="1"/>
  <c r="D41" i="180"/>
  <c r="J10" i="181"/>
  <c r="M10" i="172"/>
  <c r="M9" i="172"/>
  <c r="H10" i="222"/>
  <c r="G11" i="222"/>
  <c r="H9" i="222"/>
  <c r="H77" i="53"/>
  <c r="H74" i="53"/>
  <c r="I34" i="53"/>
  <c r="E40" i="253"/>
  <c r="I39" i="53"/>
  <c r="E41" i="203"/>
  <c r="H127" i="53"/>
  <c r="G98" i="53"/>
  <c r="G11" i="245"/>
  <c r="H38" i="232"/>
  <c r="H9" i="216"/>
  <c r="H9" i="215"/>
  <c r="D41" i="212"/>
  <c r="E42" i="207"/>
  <c r="K42" i="207" s="1"/>
  <c r="L10" i="207"/>
  <c r="L9" i="160"/>
  <c r="I14" i="166"/>
  <c r="I23" i="166"/>
  <c r="M9" i="164"/>
  <c r="G40" i="253"/>
  <c r="E41" i="183"/>
  <c r="L10" i="174"/>
  <c r="G42" i="174"/>
  <c r="F42" i="174"/>
  <c r="J42" i="174" s="1"/>
  <c r="L39" i="259"/>
  <c r="J40" i="259"/>
  <c r="J9" i="172"/>
  <c r="J10" i="178"/>
  <c r="I250" i="53"/>
  <c r="K250" i="53" s="1"/>
  <c r="F250" i="53"/>
  <c r="L10" i="218"/>
  <c r="D8" i="218"/>
  <c r="D41" i="218" s="1"/>
  <c r="J41" i="218" s="1"/>
  <c r="D41" i="182"/>
  <c r="J41" i="182" s="1"/>
  <c r="E41" i="182"/>
  <c r="K41" i="182" s="1"/>
  <c r="H239" i="53"/>
  <c r="M10" i="190"/>
  <c r="K41" i="190"/>
  <c r="L9" i="190"/>
  <c r="J41" i="190"/>
  <c r="H21" i="232"/>
  <c r="H28" i="232"/>
  <c r="H29" i="232"/>
  <c r="H13" i="232"/>
  <c r="H37" i="232"/>
  <c r="H26" i="232"/>
  <c r="D41" i="226"/>
  <c r="J41" i="226" s="1"/>
  <c r="L9" i="226"/>
  <c r="E41" i="226"/>
  <c r="G252" i="53"/>
  <c r="J10" i="226"/>
  <c r="O10" i="226" s="1"/>
  <c r="M10" i="188"/>
  <c r="K11" i="188"/>
  <c r="I236" i="53"/>
  <c r="M9" i="188"/>
  <c r="H236" i="53"/>
  <c r="J236" i="53" s="1"/>
  <c r="E41" i="188"/>
  <c r="K41" i="188" s="1"/>
  <c r="J10" i="225"/>
  <c r="L9" i="225"/>
  <c r="K10" i="225"/>
  <c r="M10" i="225" s="1"/>
  <c r="M9" i="225"/>
  <c r="E41" i="225"/>
  <c r="G10" i="215"/>
  <c r="H10" i="214"/>
  <c r="G11" i="214"/>
  <c r="G12" i="214" s="1"/>
  <c r="G13" i="214" s="1"/>
  <c r="H9" i="213"/>
  <c r="H114" i="53"/>
  <c r="D41" i="240"/>
  <c r="G41" i="240" s="1"/>
  <c r="H111" i="53"/>
  <c r="I202" i="354" s="1"/>
  <c r="H11" i="236"/>
  <c r="G12" i="236"/>
  <c r="H10" i="236"/>
  <c r="M10" i="207"/>
  <c r="D41" i="249"/>
  <c r="G10" i="221"/>
  <c r="L10" i="221" s="1"/>
  <c r="H9" i="221"/>
  <c r="D41" i="220"/>
  <c r="H9" i="220"/>
  <c r="G10" i="247"/>
  <c r="I11" i="254"/>
  <c r="G99" i="53"/>
  <c r="L10" i="187"/>
  <c r="M10" i="186"/>
  <c r="D42" i="186"/>
  <c r="J42" i="186" s="1"/>
  <c r="L10" i="186"/>
  <c r="E42" i="186"/>
  <c r="G40" i="184"/>
  <c r="G41" i="184" s="1"/>
  <c r="D40" i="183"/>
  <c r="D41" i="183" s="1"/>
  <c r="H20" i="53"/>
  <c r="E41" i="159"/>
  <c r="K9" i="159"/>
  <c r="K10" i="159" s="1"/>
  <c r="M9" i="173"/>
  <c r="I27" i="166"/>
  <c r="H47" i="53"/>
  <c r="I68" i="53"/>
  <c r="L9" i="163"/>
  <c r="M9" i="170"/>
  <c r="I33" i="166"/>
  <c r="L10" i="166"/>
  <c r="M10" i="166"/>
  <c r="E42" i="166"/>
  <c r="J10" i="162"/>
  <c r="I48" i="53"/>
  <c r="K48" i="53" s="1"/>
  <c r="K11" i="149"/>
  <c r="K12" i="149" s="1"/>
  <c r="K13" i="149" s="1"/>
  <c r="K14" i="149" s="1"/>
  <c r="K15" i="149" s="1"/>
  <c r="K16" i="149" s="1"/>
  <c r="K17" i="149" s="1"/>
  <c r="K18" i="149" s="1"/>
  <c r="K19" i="149" s="1"/>
  <c r="K20" i="149" s="1"/>
  <c r="K21" i="149" s="1"/>
  <c r="K22" i="149" s="1"/>
  <c r="K23" i="149" s="1"/>
  <c r="K24" i="149" s="1"/>
  <c r="K25" i="149" s="1"/>
  <c r="K26" i="149" s="1"/>
  <c r="K27" i="149" s="1"/>
  <c r="K28" i="149" s="1"/>
  <c r="K29" i="149" s="1"/>
  <c r="K30" i="149" s="1"/>
  <c r="K31" i="149" s="1"/>
  <c r="K32" i="149" s="1"/>
  <c r="K33" i="149" s="1"/>
  <c r="K34" i="149" s="1"/>
  <c r="K35" i="149" s="1"/>
  <c r="K36" i="149" s="1"/>
  <c r="K37" i="149" s="1"/>
  <c r="K38" i="149" s="1"/>
  <c r="K39" i="149" s="1"/>
  <c r="K40" i="149" s="1"/>
  <c r="M11" i="155"/>
  <c r="M9" i="157"/>
  <c r="I35" i="53"/>
  <c r="M10" i="156"/>
  <c r="J10" i="156"/>
  <c r="J11" i="156" s="1"/>
  <c r="J12" i="156" s="1"/>
  <c r="K11" i="156"/>
  <c r="K12" i="156" s="1"/>
  <c r="K21" i="53"/>
  <c r="M10" i="153"/>
  <c r="K10" i="231"/>
  <c r="M10" i="231" s="1"/>
  <c r="J9" i="170"/>
  <c r="S9" i="170" s="1"/>
  <c r="G38" i="53"/>
  <c r="I24" i="166"/>
  <c r="I19" i="166"/>
  <c r="I11" i="166"/>
  <c r="I40" i="166"/>
  <c r="I26" i="166"/>
  <c r="D42" i="166"/>
  <c r="J42" i="166" s="1"/>
  <c r="I16" i="166"/>
  <c r="I17" i="166"/>
  <c r="I38" i="166"/>
  <c r="I37" i="166"/>
  <c r="I12" i="166"/>
  <c r="I30" i="166"/>
  <c r="I28" i="166"/>
  <c r="I18" i="166"/>
  <c r="I20" i="166"/>
  <c r="I21" i="166"/>
  <c r="I25" i="166"/>
  <c r="I35" i="166"/>
  <c r="I13" i="166"/>
  <c r="I34" i="166"/>
  <c r="I32" i="166"/>
  <c r="I22" i="166"/>
  <c r="I31" i="166"/>
  <c r="I29" i="166"/>
  <c r="I39" i="166"/>
  <c r="I15" i="166"/>
  <c r="K11" i="166"/>
  <c r="K12" i="166" s="1"/>
  <c r="I36" i="166"/>
  <c r="L9" i="164"/>
  <c r="H48" i="53"/>
  <c r="L9" i="162"/>
  <c r="I22" i="53"/>
  <c r="K22" i="53" s="1"/>
  <c r="L10" i="153"/>
  <c r="K12" i="234"/>
  <c r="M11" i="234"/>
  <c r="D9" i="234"/>
  <c r="D42" i="234" s="1"/>
  <c r="J42" i="234" s="1"/>
  <c r="J10" i="234"/>
  <c r="M10" i="234"/>
  <c r="L35" i="53"/>
  <c r="J9" i="157"/>
  <c r="S9" i="157" s="1"/>
  <c r="L9" i="165"/>
  <c r="K10" i="165"/>
  <c r="K11" i="165" s="1"/>
  <c r="K9" i="184"/>
  <c r="K10" i="184" s="1"/>
  <c r="H94" i="53"/>
  <c r="I107" i="354" s="1"/>
  <c r="L107" i="354" s="1"/>
  <c r="M11" i="186"/>
  <c r="K12" i="186"/>
  <c r="L11" i="186"/>
  <c r="J12" i="186"/>
  <c r="M9" i="187"/>
  <c r="K10" i="187"/>
  <c r="I47" i="53"/>
  <c r="K47" i="53" s="1"/>
  <c r="J9" i="158"/>
  <c r="O9" i="158" s="1"/>
  <c r="G20" i="53"/>
  <c r="I77" i="53"/>
  <c r="K77" i="53" s="1"/>
  <c r="K9" i="160"/>
  <c r="G74" i="53"/>
  <c r="K12" i="163"/>
  <c r="M11" i="163"/>
  <c r="H68" i="53"/>
  <c r="M10" i="163"/>
  <c r="M10" i="218"/>
  <c r="K11" i="218"/>
  <c r="J12" i="218"/>
  <c r="O12" i="218" s="1"/>
  <c r="L11" i="218"/>
  <c r="H251" i="53"/>
  <c r="J251" i="53" s="1"/>
  <c r="M9" i="218"/>
  <c r="M9" i="181"/>
  <c r="K10" i="181"/>
  <c r="L10" i="188"/>
  <c r="J11" i="188"/>
  <c r="O11" i="188" s="1"/>
  <c r="L9" i="188"/>
  <c r="K10" i="226"/>
  <c r="M9" i="226"/>
  <c r="H24" i="232"/>
  <c r="H14" i="232"/>
  <c r="H18" i="232"/>
  <c r="H23" i="232"/>
  <c r="H31" i="232"/>
  <c r="H39" i="232"/>
  <c r="K41" i="232"/>
  <c r="I256" i="53"/>
  <c r="H36" i="232"/>
  <c r="H11" i="232"/>
  <c r="H15" i="232"/>
  <c r="H19" i="232"/>
  <c r="H25" i="232"/>
  <c r="H33" i="232"/>
  <c r="F40" i="232"/>
  <c r="F41" i="232" s="1"/>
  <c r="H22" i="232"/>
  <c r="H32" i="232"/>
  <c r="H12" i="232"/>
  <c r="H16" i="232"/>
  <c r="H20" i="232"/>
  <c r="H27" i="232"/>
  <c r="H35" i="232"/>
  <c r="H34" i="232"/>
  <c r="K12" i="190"/>
  <c r="M11" i="190"/>
  <c r="F239" i="53"/>
  <c r="G239" i="53"/>
  <c r="K13" i="180"/>
  <c r="M10" i="180"/>
  <c r="L9" i="180"/>
  <c r="M9" i="178"/>
  <c r="K10" i="178"/>
  <c r="H249" i="53"/>
  <c r="K12" i="172"/>
  <c r="M11" i="172"/>
  <c r="D41" i="172"/>
  <c r="L11" i="174"/>
  <c r="J12" i="174"/>
  <c r="K11" i="174"/>
  <c r="G40" i="252"/>
  <c r="G30" i="258"/>
  <c r="H29" i="258"/>
  <c r="G40" i="183"/>
  <c r="G41" i="183" s="1"/>
  <c r="H93" i="53"/>
  <c r="H34" i="53"/>
  <c r="D41" i="214"/>
  <c r="G25" i="257"/>
  <c r="H24" i="257"/>
  <c r="D41" i="246"/>
  <c r="F113" i="53"/>
  <c r="D41" i="203"/>
  <c r="M9" i="158"/>
  <c r="M10" i="191"/>
  <c r="K25" i="191"/>
  <c r="M24" i="191"/>
  <c r="M22" i="191"/>
  <c r="M20" i="191"/>
  <c r="M18" i="191"/>
  <c r="M16" i="191"/>
  <c r="M14" i="191"/>
  <c r="M12" i="191"/>
  <c r="M23" i="191"/>
  <c r="M21" i="191"/>
  <c r="M19" i="191"/>
  <c r="M17" i="191"/>
  <c r="M15" i="191"/>
  <c r="M13" i="191"/>
  <c r="M11" i="191"/>
  <c r="J11" i="191"/>
  <c r="L10" i="191"/>
  <c r="M9" i="182"/>
  <c r="K10" i="182"/>
  <c r="L9" i="182"/>
  <c r="H10" i="213"/>
  <c r="H9" i="212"/>
  <c r="D42" i="208"/>
  <c r="U11" i="208"/>
  <c r="M11" i="207"/>
  <c r="K12" i="207"/>
  <c r="L11" i="207"/>
  <c r="J12" i="207"/>
  <c r="H9" i="249"/>
  <c r="G11" i="246"/>
  <c r="M11" i="246" s="1"/>
  <c r="D41" i="247"/>
  <c r="G41" i="247" s="1"/>
  <c r="D41" i="245"/>
  <c r="G41" i="245" s="1"/>
  <c r="P11" i="253"/>
  <c r="M10" i="173"/>
  <c r="K11" i="173"/>
  <c r="L10" i="173"/>
  <c r="J11" i="173"/>
  <c r="S11" i="173" s="1"/>
  <c r="J11" i="160"/>
  <c r="S11" i="160" s="1"/>
  <c r="J41" i="159"/>
  <c r="L9" i="159"/>
  <c r="G39" i="53"/>
  <c r="M10" i="170"/>
  <c r="K11" i="170"/>
  <c r="G41" i="166"/>
  <c r="L11" i="166"/>
  <c r="J12" i="166"/>
  <c r="K11" i="164"/>
  <c r="M10" i="164"/>
  <c r="K11" i="158"/>
  <c r="M10" i="158"/>
  <c r="L10" i="165"/>
  <c r="M10" i="157"/>
  <c r="M11" i="153"/>
  <c r="K12" i="153"/>
  <c r="G11" i="220"/>
  <c r="H10" i="220"/>
  <c r="D41" i="221"/>
  <c r="G11" i="244"/>
  <c r="H10" i="244"/>
  <c r="G41" i="244"/>
  <c r="G40" i="256"/>
  <c r="G11" i="203"/>
  <c r="G12" i="203" s="1"/>
  <c r="H10" i="203"/>
  <c r="K202" i="354" l="1"/>
  <c r="L202" i="354"/>
  <c r="J41" i="199"/>
  <c r="M31" i="206"/>
  <c r="K32" i="206"/>
  <c r="K12" i="208"/>
  <c r="M11" i="208"/>
  <c r="J11" i="190"/>
  <c r="O11" i="190" s="1"/>
  <c r="K10" i="197"/>
  <c r="K10" i="202"/>
  <c r="G10" i="228"/>
  <c r="J11" i="180"/>
  <c r="O11" i="180" s="1"/>
  <c r="K41" i="225"/>
  <c r="I12" i="200"/>
  <c r="J10" i="197"/>
  <c r="K11" i="168"/>
  <c r="I12" i="197"/>
  <c r="K12" i="197" s="1"/>
  <c r="J123" i="53"/>
  <c r="M123" i="53" s="1"/>
  <c r="K107" i="354"/>
  <c r="E90" i="355"/>
  <c r="G41" i="246"/>
  <c r="L48" i="53"/>
  <c r="L47" i="53"/>
  <c r="L68" i="53"/>
  <c r="L77" i="53"/>
  <c r="L22" i="53"/>
  <c r="K113" i="354"/>
  <c r="G41" i="213"/>
  <c r="J147" i="53"/>
  <c r="M147" i="53" s="1"/>
  <c r="H98" i="355"/>
  <c r="K96" i="354"/>
  <c r="G18" i="354"/>
  <c r="J40" i="365"/>
  <c r="L40" i="365" s="1"/>
  <c r="J21" i="365"/>
  <c r="L21" i="365" s="1"/>
  <c r="I112" i="354"/>
  <c r="L112" i="354" s="1"/>
  <c r="J33" i="365"/>
  <c r="J30" i="365"/>
  <c r="J34" i="365"/>
  <c r="J42" i="365"/>
  <c r="L42" i="365" s="1"/>
  <c r="I119" i="354"/>
  <c r="L119" i="354" s="1"/>
  <c r="J232" i="53"/>
  <c r="H51" i="365"/>
  <c r="L51" i="365" s="1"/>
  <c r="F52" i="365"/>
  <c r="I125" i="354"/>
  <c r="L125" i="354" s="1"/>
  <c r="G119" i="354"/>
  <c r="J31" i="365"/>
  <c r="I118" i="354"/>
  <c r="L118" i="354" s="1"/>
  <c r="J38" i="365"/>
  <c r="L32" i="365"/>
  <c r="K125" i="354"/>
  <c r="F38" i="318"/>
  <c r="J9" i="365"/>
  <c r="L9" i="365" s="1"/>
  <c r="I9" i="365"/>
  <c r="L74" i="53"/>
  <c r="H18" i="354"/>
  <c r="J11" i="159"/>
  <c r="S11" i="159" s="1"/>
  <c r="G11" i="240"/>
  <c r="J231" i="53"/>
  <c r="M231" i="53" s="1"/>
  <c r="J127" i="53"/>
  <c r="M127" i="53" s="1"/>
  <c r="K98" i="354"/>
  <c r="K109" i="354"/>
  <c r="N20" i="421" s="1"/>
  <c r="H47" i="365"/>
  <c r="L47" i="365" s="1"/>
  <c r="G105" i="354"/>
  <c r="H38" i="365"/>
  <c r="I106" i="354"/>
  <c r="L106" i="354" s="1"/>
  <c r="J39" i="365"/>
  <c r="L39" i="365" s="1"/>
  <c r="G120" i="354"/>
  <c r="H45" i="365"/>
  <c r="G116" i="354"/>
  <c r="H43" i="365"/>
  <c r="I116" i="354"/>
  <c r="L116" i="354" s="1"/>
  <c r="J43" i="365"/>
  <c r="G129" i="354"/>
  <c r="H52" i="365"/>
  <c r="I129" i="354"/>
  <c r="L129" i="354" s="1"/>
  <c r="J52" i="365"/>
  <c r="G100" i="354"/>
  <c r="H34" i="365"/>
  <c r="G94" i="354"/>
  <c r="H30" i="365"/>
  <c r="G99" i="354"/>
  <c r="H33" i="365"/>
  <c r="G71" i="354"/>
  <c r="H20" i="365"/>
  <c r="L20" i="365" s="1"/>
  <c r="G70" i="354"/>
  <c r="H19" i="365"/>
  <c r="G10" i="354"/>
  <c r="H8" i="365"/>
  <c r="I117" i="354"/>
  <c r="J44" i="365"/>
  <c r="H10" i="354"/>
  <c r="I8" i="365"/>
  <c r="J13" i="341"/>
  <c r="M13" i="341" s="1"/>
  <c r="H10" i="223"/>
  <c r="L10" i="190"/>
  <c r="L106" i="53"/>
  <c r="I95" i="354"/>
  <c r="L95" i="354" s="1"/>
  <c r="J29" i="341"/>
  <c r="M29" i="341" s="1"/>
  <c r="E129" i="354"/>
  <c r="J235" i="53"/>
  <c r="I114" i="354"/>
  <c r="L114" i="354" s="1"/>
  <c r="J44" i="341"/>
  <c r="M44" i="341" s="1"/>
  <c r="I105" i="354"/>
  <c r="L105" i="354" s="1"/>
  <c r="J94" i="53"/>
  <c r="J16" i="341"/>
  <c r="M16" i="341" s="1"/>
  <c r="G127" i="354"/>
  <c r="J233" i="53"/>
  <c r="I115" i="354"/>
  <c r="L115" i="354" s="1"/>
  <c r="K35" i="53"/>
  <c r="I72" i="354"/>
  <c r="K72" i="354" s="1"/>
  <c r="L102" i="53"/>
  <c r="I100" i="354"/>
  <c r="L100" i="354" s="1"/>
  <c r="L97" i="53"/>
  <c r="I99" i="354"/>
  <c r="L99" i="354" s="1"/>
  <c r="J10" i="341"/>
  <c r="M10" i="341" s="1"/>
  <c r="L96" i="53"/>
  <c r="I97" i="354"/>
  <c r="L97" i="354" s="1"/>
  <c r="L99" i="53"/>
  <c r="I94" i="354"/>
  <c r="L94" i="354" s="1"/>
  <c r="K34" i="53"/>
  <c r="I11" i="354"/>
  <c r="L34" i="53"/>
  <c r="H11" i="354"/>
  <c r="F11" i="351"/>
  <c r="J181" i="53"/>
  <c r="M181" i="53" s="1"/>
  <c r="H10" i="246"/>
  <c r="L10" i="180"/>
  <c r="J11" i="182"/>
  <c r="O11" i="182" s="1"/>
  <c r="L10" i="182"/>
  <c r="J10" i="199"/>
  <c r="G10" i="229"/>
  <c r="G11" i="229" s="1"/>
  <c r="J11" i="197"/>
  <c r="I11" i="202"/>
  <c r="I12" i="202" s="1"/>
  <c r="J12" i="202" s="1"/>
  <c r="G41" i="212"/>
  <c r="L10" i="212"/>
  <c r="J11" i="165"/>
  <c r="S11" i="165" s="1"/>
  <c r="P11" i="256"/>
  <c r="G11" i="213"/>
  <c r="L11" i="213" s="1"/>
  <c r="L93" i="53"/>
  <c r="L10" i="160"/>
  <c r="G41" i="242"/>
  <c r="J112" i="53"/>
  <c r="M112" i="53" s="1"/>
  <c r="P11" i="251"/>
  <c r="J77" i="53"/>
  <c r="H10" i="212"/>
  <c r="L11" i="211"/>
  <c r="P11" i="255"/>
  <c r="L10" i="159"/>
  <c r="J11" i="181"/>
  <c r="O11" i="181" s="1"/>
  <c r="O10" i="181"/>
  <c r="J11" i="162"/>
  <c r="O11" i="162" s="1"/>
  <c r="O10" i="162"/>
  <c r="J10" i="231"/>
  <c r="O10" i="231" s="1"/>
  <c r="O9" i="231"/>
  <c r="J11" i="163"/>
  <c r="S10" i="163"/>
  <c r="G11" i="216"/>
  <c r="L10" i="216"/>
  <c r="J11" i="187"/>
  <c r="O10" i="187"/>
  <c r="H10" i="247"/>
  <c r="L10" i="247"/>
  <c r="J41" i="198"/>
  <c r="J41" i="197"/>
  <c r="J41" i="200"/>
  <c r="K10" i="242"/>
  <c r="H11" i="245"/>
  <c r="K11" i="245"/>
  <c r="L10" i="225"/>
  <c r="O10" i="225"/>
  <c r="J10" i="172"/>
  <c r="O10" i="172" s="1"/>
  <c r="O9" i="172"/>
  <c r="Z10" i="204"/>
  <c r="G11" i="223"/>
  <c r="L11" i="223" s="1"/>
  <c r="L10" i="164"/>
  <c r="S10" i="164"/>
  <c r="J13" i="149"/>
  <c r="S12" i="149"/>
  <c r="J11" i="178"/>
  <c r="L11" i="178" s="1"/>
  <c r="S10" i="178"/>
  <c r="G41" i="160"/>
  <c r="K41" i="160" s="1"/>
  <c r="G8" i="160"/>
  <c r="G41" i="159"/>
  <c r="K41" i="159" s="1"/>
  <c r="G8" i="159"/>
  <c r="G41" i="223"/>
  <c r="L9" i="172"/>
  <c r="J250" i="53"/>
  <c r="I41" i="256"/>
  <c r="K252" i="53"/>
  <c r="J11" i="225"/>
  <c r="G11" i="247"/>
  <c r="F38" i="53"/>
  <c r="G41" i="214"/>
  <c r="L10" i="181"/>
  <c r="K10" i="250"/>
  <c r="J11" i="250"/>
  <c r="K11" i="250"/>
  <c r="J11" i="196"/>
  <c r="I12" i="196"/>
  <c r="J113" i="53"/>
  <c r="M113" i="53" s="1"/>
  <c r="K41" i="183"/>
  <c r="L9" i="231"/>
  <c r="I74" i="53"/>
  <c r="M19" i="53"/>
  <c r="J97" i="53"/>
  <c r="J239" i="53"/>
  <c r="J102" i="53"/>
  <c r="M98" i="53"/>
  <c r="J68" i="53"/>
  <c r="J20" i="53"/>
  <c r="L20" i="53"/>
  <c r="L232" i="53"/>
  <c r="L94" i="53"/>
  <c r="J105" i="53"/>
  <c r="J114" i="53"/>
  <c r="M114" i="53" s="1"/>
  <c r="J249" i="53"/>
  <c r="J74" i="53"/>
  <c r="J99" i="53"/>
  <c r="J111" i="53"/>
  <c r="M111" i="53" s="1"/>
  <c r="J37" i="53"/>
  <c r="L37" i="53"/>
  <c r="J106" i="53"/>
  <c r="J185" i="53"/>
  <c r="M185" i="53" s="1"/>
  <c r="J234" i="53"/>
  <c r="F39" i="246"/>
  <c r="J41" i="183"/>
  <c r="E41" i="253"/>
  <c r="J41" i="180"/>
  <c r="K239" i="53"/>
  <c r="K11" i="225"/>
  <c r="M11" i="225" s="1"/>
  <c r="M10" i="162"/>
  <c r="J11" i="164"/>
  <c r="J41" i="187"/>
  <c r="I41" i="254"/>
  <c r="M11" i="177"/>
  <c r="K12" i="177"/>
  <c r="L9" i="232"/>
  <c r="K11" i="202"/>
  <c r="G12" i="245"/>
  <c r="H12" i="245" s="1"/>
  <c r="H12" i="214"/>
  <c r="J10" i="250"/>
  <c r="I41" i="250"/>
  <c r="J41" i="225"/>
  <c r="K68" i="53"/>
  <c r="G41" i="250"/>
  <c r="I105" i="53" s="1"/>
  <c r="K105" i="53" s="1"/>
  <c r="G8" i="250"/>
  <c r="E41" i="254"/>
  <c r="G41" i="254"/>
  <c r="I106" i="53" s="1"/>
  <c r="K106" i="53" s="1"/>
  <c r="G8" i="254"/>
  <c r="H39" i="254"/>
  <c r="H37" i="254"/>
  <c r="H35" i="254"/>
  <c r="H33" i="254"/>
  <c r="H31" i="254"/>
  <c r="H29" i="254"/>
  <c r="H27" i="254"/>
  <c r="H25" i="254"/>
  <c r="H23" i="254"/>
  <c r="H21" i="254"/>
  <c r="H19" i="254"/>
  <c r="H17" i="254"/>
  <c r="H15" i="254"/>
  <c r="H13" i="254"/>
  <c r="H11" i="254"/>
  <c r="K11" i="254" s="1"/>
  <c r="H38" i="254"/>
  <c r="H36" i="254"/>
  <c r="H34" i="254"/>
  <c r="H32" i="254"/>
  <c r="H30" i="254"/>
  <c r="H28" i="254"/>
  <c r="H26" i="254"/>
  <c r="H24" i="254"/>
  <c r="H22" i="254"/>
  <c r="H20" i="254"/>
  <c r="H18" i="254"/>
  <c r="H16" i="254"/>
  <c r="H14" i="254"/>
  <c r="H12" i="254"/>
  <c r="H10" i="254"/>
  <c r="K10" i="254" s="1"/>
  <c r="E41" i="250"/>
  <c r="G8" i="253"/>
  <c r="G41" i="253"/>
  <c r="I41" i="253"/>
  <c r="G41" i="251"/>
  <c r="G8" i="251"/>
  <c r="I41" i="251"/>
  <c r="G41" i="256"/>
  <c r="J41" i="256" s="1"/>
  <c r="G8" i="256"/>
  <c r="G41" i="255"/>
  <c r="J41" i="255" s="1"/>
  <c r="G8" i="255"/>
  <c r="G8" i="252"/>
  <c r="G41" i="252"/>
  <c r="I96" i="53" s="1"/>
  <c r="L10" i="178"/>
  <c r="J10" i="232"/>
  <c r="O10" i="232" s="1"/>
  <c r="K41" i="168"/>
  <c r="K41" i="184"/>
  <c r="K42" i="174"/>
  <c r="J41" i="168"/>
  <c r="J12" i="198"/>
  <c r="K12" i="198"/>
  <c r="I13" i="198"/>
  <c r="L11" i="177"/>
  <c r="J12" i="177"/>
  <c r="K12" i="168"/>
  <c r="M11" i="168"/>
  <c r="K42" i="186"/>
  <c r="L10" i="235"/>
  <c r="J11" i="235"/>
  <c r="K236" i="53"/>
  <c r="G41" i="216"/>
  <c r="G102" i="53"/>
  <c r="F39" i="53"/>
  <c r="K39" i="53"/>
  <c r="K12" i="202"/>
  <c r="M11" i="233"/>
  <c r="K12" i="233"/>
  <c r="G11" i="228"/>
  <c r="H10" i="228"/>
  <c r="I12" i="199"/>
  <c r="J11" i="199"/>
  <c r="K11" i="199"/>
  <c r="J13" i="168"/>
  <c r="L12" i="168"/>
  <c r="I13" i="200"/>
  <c r="J12" i="200"/>
  <c r="K12" i="200"/>
  <c r="J12" i="233"/>
  <c r="L11" i="233"/>
  <c r="F21" i="53"/>
  <c r="J21" i="53" s="1"/>
  <c r="J25" i="365" s="1"/>
  <c r="L25" i="365" s="1"/>
  <c r="G41" i="204"/>
  <c r="H11" i="214"/>
  <c r="L10" i="162"/>
  <c r="F47" i="53"/>
  <c r="J47" i="53" s="1"/>
  <c r="G41" i="203"/>
  <c r="G12" i="222"/>
  <c r="H11" i="222"/>
  <c r="I19" i="53"/>
  <c r="L39" i="53"/>
  <c r="F93" i="53"/>
  <c r="J41" i="172"/>
  <c r="K41" i="226"/>
  <c r="L10" i="226"/>
  <c r="J11" i="226"/>
  <c r="O11" i="226" s="1"/>
  <c r="K12" i="188"/>
  <c r="M11" i="188"/>
  <c r="G11" i="215"/>
  <c r="H10" i="215"/>
  <c r="G13" i="236"/>
  <c r="H12" i="236"/>
  <c r="H11" i="203"/>
  <c r="G41" i="221"/>
  <c r="H10" i="221"/>
  <c r="G11" i="221"/>
  <c r="L11" i="221" s="1"/>
  <c r="G41" i="220"/>
  <c r="I12" i="254"/>
  <c r="J11" i="254"/>
  <c r="I13" i="250"/>
  <c r="K12" i="250"/>
  <c r="J12" i="250"/>
  <c r="I94" i="53"/>
  <c r="M10" i="184"/>
  <c r="M9" i="184"/>
  <c r="M10" i="183"/>
  <c r="M9" i="183"/>
  <c r="M9" i="159"/>
  <c r="K11" i="159"/>
  <c r="K12" i="159" s="1"/>
  <c r="M10" i="159"/>
  <c r="F34" i="53"/>
  <c r="J34" i="53" s="1"/>
  <c r="M10" i="165"/>
  <c r="F48" i="53"/>
  <c r="J48" i="53" s="1"/>
  <c r="F35" i="53"/>
  <c r="J35" i="53" s="1"/>
  <c r="M35" i="53" s="1"/>
  <c r="L11" i="156"/>
  <c r="M12" i="155"/>
  <c r="K11" i="231"/>
  <c r="M11" i="231" s="1"/>
  <c r="M11" i="156"/>
  <c r="L10" i="156"/>
  <c r="L11" i="153"/>
  <c r="J10" i="170"/>
  <c r="S10" i="170" s="1"/>
  <c r="L9" i="170"/>
  <c r="M11" i="166"/>
  <c r="J11" i="155"/>
  <c r="P11" i="155" s="1"/>
  <c r="L10" i="234"/>
  <c r="J11" i="234"/>
  <c r="K13" i="234"/>
  <c r="M12" i="234"/>
  <c r="J10" i="157"/>
  <c r="S10" i="157" s="1"/>
  <c r="L9" i="157"/>
  <c r="I37" i="53"/>
  <c r="K37" i="53" s="1"/>
  <c r="K11" i="184"/>
  <c r="M11" i="184" s="1"/>
  <c r="M12" i="186"/>
  <c r="K13" i="186"/>
  <c r="J13" i="186"/>
  <c r="L12" i="186"/>
  <c r="K11" i="187"/>
  <c r="M10" i="187"/>
  <c r="J10" i="158"/>
  <c r="O10" i="158" s="1"/>
  <c r="L9" i="158"/>
  <c r="I20" i="53"/>
  <c r="K10" i="160"/>
  <c r="M9" i="160"/>
  <c r="M12" i="163"/>
  <c r="K13" i="163"/>
  <c r="L12" i="218"/>
  <c r="J13" i="218"/>
  <c r="O13" i="218" s="1"/>
  <c r="K12" i="218"/>
  <c r="M11" i="218"/>
  <c r="J12" i="181"/>
  <c r="O12" i="181" s="1"/>
  <c r="M10" i="181"/>
  <c r="K11" i="181"/>
  <c r="J12" i="188"/>
  <c r="O12" i="188" s="1"/>
  <c r="L11" i="188"/>
  <c r="M10" i="226"/>
  <c r="K11" i="226"/>
  <c r="J41" i="232"/>
  <c r="H256" i="53"/>
  <c r="J256" i="53" s="1"/>
  <c r="K256" i="53"/>
  <c r="L11" i="190"/>
  <c r="J12" i="190"/>
  <c r="O12" i="190" s="1"/>
  <c r="M12" i="190"/>
  <c r="K13" i="190"/>
  <c r="K14" i="180"/>
  <c r="M13" i="180"/>
  <c r="J12" i="180"/>
  <c r="O12" i="180" s="1"/>
  <c r="L11" i="180"/>
  <c r="K11" i="178"/>
  <c r="M10" i="178"/>
  <c r="K13" i="172"/>
  <c r="M12" i="172"/>
  <c r="K12" i="174"/>
  <c r="M11" i="174"/>
  <c r="J13" i="174"/>
  <c r="L12" i="174"/>
  <c r="I93" i="53"/>
  <c r="H30" i="258"/>
  <c r="G31" i="258"/>
  <c r="G26" i="257"/>
  <c r="H25" i="257"/>
  <c r="G42" i="166"/>
  <c r="K42" i="166" s="1"/>
  <c r="M25" i="191"/>
  <c r="K26" i="191"/>
  <c r="J12" i="191"/>
  <c r="L11" i="191"/>
  <c r="M10" i="182"/>
  <c r="K11" i="182"/>
  <c r="G14" i="214"/>
  <c r="H13" i="214"/>
  <c r="U12" i="208"/>
  <c r="M12" i="207"/>
  <c r="K13" i="207"/>
  <c r="L12" i="207"/>
  <c r="J13" i="207"/>
  <c r="H10" i="249"/>
  <c r="H11" i="246"/>
  <c r="G12" i="246"/>
  <c r="M12" i="246" s="1"/>
  <c r="P12" i="253"/>
  <c r="M11" i="183"/>
  <c r="K12" i="173"/>
  <c r="M11" i="173"/>
  <c r="L11" i="173"/>
  <c r="J12" i="173"/>
  <c r="S12" i="173" s="1"/>
  <c r="L11" i="160"/>
  <c r="J12" i="160"/>
  <c r="S12" i="160" s="1"/>
  <c r="M11" i="170"/>
  <c r="K12" i="170"/>
  <c r="K13" i="166"/>
  <c r="M12" i="166"/>
  <c r="L12" i="166"/>
  <c r="J13" i="166"/>
  <c r="M11" i="164"/>
  <c r="K12" i="164"/>
  <c r="M11" i="162"/>
  <c r="K12" i="162"/>
  <c r="L11" i="162"/>
  <c r="K12" i="158"/>
  <c r="M11" i="158"/>
  <c r="K12" i="165"/>
  <c r="M11" i="165"/>
  <c r="M11" i="149"/>
  <c r="L11" i="149"/>
  <c r="M11" i="157"/>
  <c r="K13" i="156"/>
  <c r="M12" i="156"/>
  <c r="L12" i="156"/>
  <c r="J13" i="156"/>
  <c r="M12" i="153"/>
  <c r="K13" i="153"/>
  <c r="L12" i="153"/>
  <c r="J13" i="153"/>
  <c r="G12" i="220"/>
  <c r="H11" i="220"/>
  <c r="G12" i="244"/>
  <c r="H11" i="244"/>
  <c r="G13" i="203"/>
  <c r="H12" i="203"/>
  <c r="L117" i="354" l="1"/>
  <c r="M32" i="206"/>
  <c r="K33" i="206"/>
  <c r="K13" i="208"/>
  <c r="M12" i="208"/>
  <c r="N32" i="421"/>
  <c r="J12" i="182"/>
  <c r="O12" i="182" s="1"/>
  <c r="M47" i="53"/>
  <c r="J12" i="197"/>
  <c r="I13" i="197"/>
  <c r="J13" i="197" s="1"/>
  <c r="E113" i="355"/>
  <c r="E81" i="355"/>
  <c r="E106" i="355"/>
  <c r="E104" i="355"/>
  <c r="E116" i="355"/>
  <c r="G20" i="421"/>
  <c r="P20" i="421" s="1"/>
  <c r="H20" i="421"/>
  <c r="H32" i="421"/>
  <c r="G32" i="421"/>
  <c r="P32" i="421" s="1"/>
  <c r="M77" i="53"/>
  <c r="M48" i="53"/>
  <c r="K95" i="354"/>
  <c r="K112" i="354"/>
  <c r="K94" i="354"/>
  <c r="J12" i="159"/>
  <c r="S12" i="159" s="1"/>
  <c r="F112" i="355"/>
  <c r="F110" i="355"/>
  <c r="L34" i="365"/>
  <c r="L38" i="365"/>
  <c r="L33" i="365"/>
  <c r="K118" i="354"/>
  <c r="J11" i="172"/>
  <c r="O11" i="172" s="1"/>
  <c r="I13" i="202"/>
  <c r="I14" i="202" s="1"/>
  <c r="H10" i="229"/>
  <c r="L10" i="231"/>
  <c r="L30" i="365"/>
  <c r="K119" i="354"/>
  <c r="L11" i="159"/>
  <c r="J8" i="365"/>
  <c r="L8" i="365" s="1"/>
  <c r="H44" i="365"/>
  <c r="L44" i="365" s="1"/>
  <c r="J12" i="365"/>
  <c r="L12" i="365" s="1"/>
  <c r="J11" i="202"/>
  <c r="L52" i="365"/>
  <c r="L43" i="365"/>
  <c r="F43" i="318"/>
  <c r="K114" i="354"/>
  <c r="N22" i="421" s="1"/>
  <c r="F44" i="318"/>
  <c r="F47" i="318"/>
  <c r="F46" i="318"/>
  <c r="G12" i="213"/>
  <c r="L12" i="213" s="1"/>
  <c r="K74" i="53"/>
  <c r="I18" i="354"/>
  <c r="K18" i="354" s="1"/>
  <c r="K129" i="354"/>
  <c r="M34" i="53"/>
  <c r="G12" i="240"/>
  <c r="K115" i="354"/>
  <c r="N23" i="421" s="1"/>
  <c r="K100" i="354"/>
  <c r="K99" i="354"/>
  <c r="K127" i="354"/>
  <c r="K116" i="354"/>
  <c r="N24" i="421" s="1"/>
  <c r="K105" i="354"/>
  <c r="K122" i="354"/>
  <c r="N29" i="421" s="1"/>
  <c r="K106" i="354"/>
  <c r="K71" i="354"/>
  <c r="E9" i="318"/>
  <c r="M99" i="53"/>
  <c r="J93" i="53"/>
  <c r="M93" i="53" s="1"/>
  <c r="G117" i="354"/>
  <c r="M102" i="53"/>
  <c r="M97" i="53"/>
  <c r="F28" i="318"/>
  <c r="K11" i="354"/>
  <c r="F10" i="318"/>
  <c r="E10" i="318"/>
  <c r="F40" i="318"/>
  <c r="F39" i="318"/>
  <c r="F37" i="318"/>
  <c r="F36" i="318"/>
  <c r="K20" i="53"/>
  <c r="I10" i="354"/>
  <c r="K19" i="53"/>
  <c r="I17" i="354"/>
  <c r="P12" i="256"/>
  <c r="L12" i="212"/>
  <c r="J12" i="162"/>
  <c r="O12" i="162" s="1"/>
  <c r="L11" i="182"/>
  <c r="L11" i="181"/>
  <c r="H11" i="223"/>
  <c r="J11" i="231"/>
  <c r="O11" i="231" s="1"/>
  <c r="J12" i="165"/>
  <c r="S12" i="165" s="1"/>
  <c r="L11" i="165"/>
  <c r="G12" i="223"/>
  <c r="L12" i="223" s="1"/>
  <c r="G40" i="212"/>
  <c r="L11" i="212"/>
  <c r="L11" i="247"/>
  <c r="G12" i="247"/>
  <c r="L12" i="247" s="1"/>
  <c r="L12" i="211"/>
  <c r="H11" i="213"/>
  <c r="H11" i="247"/>
  <c r="P12" i="255"/>
  <c r="P12" i="251"/>
  <c r="K13" i="197"/>
  <c r="H11" i="212"/>
  <c r="L10" i="172"/>
  <c r="L11" i="187"/>
  <c r="O11" i="187"/>
  <c r="J12" i="187"/>
  <c r="K11" i="242"/>
  <c r="L11" i="216"/>
  <c r="G12" i="216"/>
  <c r="H11" i="216"/>
  <c r="S11" i="163"/>
  <c r="L11" i="163"/>
  <c r="J12" i="163"/>
  <c r="G13" i="245"/>
  <c r="G14" i="245" s="1"/>
  <c r="K12" i="245"/>
  <c r="L11" i="225"/>
  <c r="O11" i="225"/>
  <c r="Z11" i="204"/>
  <c r="J12" i="164"/>
  <c r="S12" i="164" s="1"/>
  <c r="S11" i="164"/>
  <c r="J14" i="149"/>
  <c r="S13" i="149"/>
  <c r="J12" i="178"/>
  <c r="S11" i="178"/>
  <c r="M232" i="53"/>
  <c r="J12" i="225"/>
  <c r="J13" i="225" s="1"/>
  <c r="K12" i="225"/>
  <c r="M12" i="225" s="1"/>
  <c r="J41" i="253"/>
  <c r="L11" i="164"/>
  <c r="I13" i="196"/>
  <c r="J12" i="196"/>
  <c r="K12" i="196"/>
  <c r="M21" i="53"/>
  <c r="M68" i="53"/>
  <c r="M37" i="53"/>
  <c r="M74" i="53"/>
  <c r="J39" i="53"/>
  <c r="M39" i="53" s="1"/>
  <c r="M106" i="53"/>
  <c r="M105" i="53"/>
  <c r="M94" i="53"/>
  <c r="M20" i="53"/>
  <c r="K13" i="177"/>
  <c r="M12" i="177"/>
  <c r="J41" i="254"/>
  <c r="J41" i="250"/>
  <c r="I102" i="53"/>
  <c r="K102" i="53" s="1"/>
  <c r="J41" i="251"/>
  <c r="I99" i="53"/>
  <c r="K99" i="53" s="1"/>
  <c r="I97" i="53"/>
  <c r="K97" i="53" s="1"/>
  <c r="I98" i="53"/>
  <c r="K98" i="53" s="1"/>
  <c r="L12" i="177"/>
  <c r="J13" i="177"/>
  <c r="G12" i="229"/>
  <c r="H11" i="229"/>
  <c r="M12" i="168"/>
  <c r="K13" i="168"/>
  <c r="O11" i="235"/>
  <c r="L11" i="235"/>
  <c r="J12" i="235"/>
  <c r="J11" i="232"/>
  <c r="O11" i="232" s="1"/>
  <c r="L10" i="232"/>
  <c r="I14" i="198"/>
  <c r="K13" i="198"/>
  <c r="J13" i="198"/>
  <c r="L13" i="168"/>
  <c r="J14" i="168"/>
  <c r="I13" i="199"/>
  <c r="K12" i="199"/>
  <c r="J12" i="199"/>
  <c r="M12" i="233"/>
  <c r="K13" i="233"/>
  <c r="J13" i="202"/>
  <c r="I14" i="200"/>
  <c r="K13" i="200"/>
  <c r="J13" i="200"/>
  <c r="H11" i="228"/>
  <c r="G12" i="228"/>
  <c r="L12" i="233"/>
  <c r="J13" i="233"/>
  <c r="H12" i="222"/>
  <c r="G13" i="222"/>
  <c r="M11" i="159"/>
  <c r="K12" i="231"/>
  <c r="M12" i="231" s="1"/>
  <c r="J12" i="226"/>
  <c r="O12" i="226" s="1"/>
  <c r="L11" i="226"/>
  <c r="K13" i="188"/>
  <c r="M12" i="188"/>
  <c r="G12" i="215"/>
  <c r="H11" i="215"/>
  <c r="H12" i="212"/>
  <c r="L13" i="212"/>
  <c r="G14" i="236"/>
  <c r="H13" i="236"/>
  <c r="H11" i="221"/>
  <c r="G12" i="221"/>
  <c r="L12" i="221" s="1"/>
  <c r="I13" i="254"/>
  <c r="K12" i="254"/>
  <c r="J12" i="254"/>
  <c r="I14" i="250"/>
  <c r="J13" i="250"/>
  <c r="K13" i="250"/>
  <c r="K12" i="184"/>
  <c r="K13" i="184" s="1"/>
  <c r="M14" i="155"/>
  <c r="L10" i="170"/>
  <c r="J11" i="170"/>
  <c r="S11" i="170" s="1"/>
  <c r="L11" i="155"/>
  <c r="J12" i="155"/>
  <c r="P12" i="155" s="1"/>
  <c r="K14" i="234"/>
  <c r="M13" i="234"/>
  <c r="L11" i="234"/>
  <c r="J12" i="234"/>
  <c r="L10" i="157"/>
  <c r="J11" i="157"/>
  <c r="S11" i="157" s="1"/>
  <c r="K14" i="186"/>
  <c r="M13" i="186"/>
  <c r="J14" i="186"/>
  <c r="L13" i="186"/>
  <c r="M11" i="187"/>
  <c r="K12" i="187"/>
  <c r="L10" i="158"/>
  <c r="J11" i="158"/>
  <c r="O11" i="158" s="1"/>
  <c r="M10" i="160"/>
  <c r="K11" i="160"/>
  <c r="M13" i="163"/>
  <c r="K14" i="163"/>
  <c r="M12" i="218"/>
  <c r="K13" i="218"/>
  <c r="L13" i="218"/>
  <c r="J14" i="218"/>
  <c r="O14" i="218" s="1"/>
  <c r="M11" i="181"/>
  <c r="K12" i="181"/>
  <c r="L12" i="181"/>
  <c r="J13" i="181"/>
  <c r="O13" i="181" s="1"/>
  <c r="J13" i="188"/>
  <c r="O13" i="188" s="1"/>
  <c r="L12" i="188"/>
  <c r="M11" i="226"/>
  <c r="K12" i="226"/>
  <c r="M13" i="190"/>
  <c r="K14" i="190"/>
  <c r="L12" i="190"/>
  <c r="J13" i="190"/>
  <c r="O13" i="190" s="1"/>
  <c r="L12" i="182"/>
  <c r="L12" i="180"/>
  <c r="J13" i="180"/>
  <c r="O13" i="180" s="1"/>
  <c r="M14" i="180"/>
  <c r="K15" i="180"/>
  <c r="M11" i="178"/>
  <c r="K12" i="178"/>
  <c r="M13" i="172"/>
  <c r="K14" i="172"/>
  <c r="L13" i="174"/>
  <c r="J14" i="174"/>
  <c r="M12" i="174"/>
  <c r="K13" i="174"/>
  <c r="H31" i="258"/>
  <c r="G32" i="258"/>
  <c r="H26" i="257"/>
  <c r="G27" i="257"/>
  <c r="H12" i="247"/>
  <c r="M26" i="191"/>
  <c r="K27" i="191"/>
  <c r="L12" i="191"/>
  <c r="J13" i="191"/>
  <c r="M11" i="182"/>
  <c r="K12" i="182"/>
  <c r="G15" i="214"/>
  <c r="H14" i="214"/>
  <c r="U13" i="208"/>
  <c r="M13" i="207"/>
  <c r="K14" i="207"/>
  <c r="L13" i="207"/>
  <c r="J14" i="207"/>
  <c r="H11" i="249"/>
  <c r="G13" i="246"/>
  <c r="M13" i="246" s="1"/>
  <c r="H12" i="246"/>
  <c r="P13" i="253"/>
  <c r="M12" i="183"/>
  <c r="M12" i="173"/>
  <c r="K13" i="173"/>
  <c r="L12" i="173"/>
  <c r="J13" i="173"/>
  <c r="S13" i="173" s="1"/>
  <c r="L12" i="160"/>
  <c r="J13" i="160"/>
  <c r="S13" i="160" s="1"/>
  <c r="K13" i="159"/>
  <c r="M12" i="159"/>
  <c r="M12" i="170"/>
  <c r="K13" i="170"/>
  <c r="K14" i="166"/>
  <c r="M13" i="166"/>
  <c r="L13" i="166"/>
  <c r="J14" i="166"/>
  <c r="M12" i="164"/>
  <c r="K13" i="164"/>
  <c r="M12" i="162"/>
  <c r="K13" i="162"/>
  <c r="J13" i="162"/>
  <c r="O13" i="162" s="1"/>
  <c r="K13" i="158"/>
  <c r="M12" i="158"/>
  <c r="K13" i="165"/>
  <c r="M12" i="165"/>
  <c r="L12" i="165"/>
  <c r="J13" i="165"/>
  <c r="S13" i="165" s="1"/>
  <c r="M12" i="149"/>
  <c r="L12" i="149"/>
  <c r="M12" i="157"/>
  <c r="K14" i="156"/>
  <c r="M13" i="156"/>
  <c r="L13" i="156"/>
  <c r="J14" i="156"/>
  <c r="M13" i="153"/>
  <c r="K14" i="153"/>
  <c r="L13" i="153"/>
  <c r="J14" i="153"/>
  <c r="G13" i="220"/>
  <c r="H12" i="220"/>
  <c r="H12" i="244"/>
  <c r="G13" i="244"/>
  <c r="G14" i="203"/>
  <c r="H13" i="203"/>
  <c r="K34" i="206" l="1"/>
  <c r="M33" i="206"/>
  <c r="L12" i="162"/>
  <c r="J13" i="182"/>
  <c r="O13" i="182" s="1"/>
  <c r="K14" i="208"/>
  <c r="M13" i="208"/>
  <c r="H12" i="213"/>
  <c r="J12" i="172"/>
  <c r="O12" i="172" s="1"/>
  <c r="I14" i="197"/>
  <c r="G112" i="355"/>
  <c r="F116" i="355"/>
  <c r="G116" i="355" s="1"/>
  <c r="H110" i="355"/>
  <c r="H81" i="355"/>
  <c r="E21" i="355"/>
  <c r="E80" i="355"/>
  <c r="E107" i="355"/>
  <c r="E28" i="355"/>
  <c r="E115" i="355"/>
  <c r="E108" i="355"/>
  <c r="F108" i="355" s="1"/>
  <c r="G108" i="355" s="1"/>
  <c r="E102" i="355"/>
  <c r="E103" i="355"/>
  <c r="G34" i="421"/>
  <c r="P34" i="421" s="1"/>
  <c r="N34" i="421"/>
  <c r="G36" i="421"/>
  <c r="P36" i="421" s="1"/>
  <c r="N36" i="421"/>
  <c r="G26" i="421"/>
  <c r="P26" i="421" s="1"/>
  <c r="N26" i="421"/>
  <c r="G25" i="421"/>
  <c r="P25" i="421" s="1"/>
  <c r="N25" i="421"/>
  <c r="H29" i="421"/>
  <c r="G29" i="421"/>
  <c r="P29" i="421" s="1"/>
  <c r="H24" i="421"/>
  <c r="G24" i="421"/>
  <c r="P24" i="421" s="1"/>
  <c r="H17" i="421"/>
  <c r="K17" i="354"/>
  <c r="L12" i="159"/>
  <c r="K13" i="202"/>
  <c r="J13" i="159"/>
  <c r="S13" i="159" s="1"/>
  <c r="G110" i="355"/>
  <c r="H112" i="355"/>
  <c r="H89" i="355"/>
  <c r="H28" i="421"/>
  <c r="F113" i="355"/>
  <c r="F114" i="355"/>
  <c r="F109" i="355"/>
  <c r="L11" i="172"/>
  <c r="G13" i="213"/>
  <c r="L13" i="213" s="1"/>
  <c r="J12" i="231"/>
  <c r="L12" i="231" s="1"/>
  <c r="G13" i="240"/>
  <c r="K117" i="354"/>
  <c r="H90" i="355"/>
  <c r="G13" i="223"/>
  <c r="L13" i="223" s="1"/>
  <c r="G13" i="247"/>
  <c r="L13" i="247" s="1"/>
  <c r="H104" i="355"/>
  <c r="K10" i="354"/>
  <c r="F9" i="318"/>
  <c r="F15" i="318"/>
  <c r="P13" i="256"/>
  <c r="L13" i="211"/>
  <c r="L12" i="164"/>
  <c r="L11" i="231"/>
  <c r="H12" i="223"/>
  <c r="P13" i="255"/>
  <c r="P13" i="251"/>
  <c r="K12" i="242"/>
  <c r="L12" i="163"/>
  <c r="S12" i="163"/>
  <c r="J13" i="163"/>
  <c r="H12" i="216"/>
  <c r="L12" i="216"/>
  <c r="G13" i="216"/>
  <c r="L12" i="187"/>
  <c r="O12" i="187"/>
  <c r="J13" i="187"/>
  <c r="G15" i="245"/>
  <c r="K14" i="245"/>
  <c r="H13" i="245"/>
  <c r="K13" i="245"/>
  <c r="J13" i="164"/>
  <c r="S13" i="164" s="1"/>
  <c r="L13" i="225"/>
  <c r="O13" i="225"/>
  <c r="L12" i="225"/>
  <c r="O12" i="225"/>
  <c r="Z13" i="204"/>
  <c r="Z12" i="204"/>
  <c r="J15" i="149"/>
  <c r="S14" i="149"/>
  <c r="S12" i="178"/>
  <c r="J13" i="178"/>
  <c r="L12" i="178"/>
  <c r="K13" i="225"/>
  <c r="M13" i="225" s="1"/>
  <c r="K13" i="196"/>
  <c r="J13" i="196"/>
  <c r="I14" i="196"/>
  <c r="H14" i="245"/>
  <c r="M12" i="184"/>
  <c r="K14" i="177"/>
  <c r="M13" i="177"/>
  <c r="L11" i="232"/>
  <c r="J12" i="232"/>
  <c r="O12" i="232" s="1"/>
  <c r="H12" i="229"/>
  <c r="G13" i="229"/>
  <c r="K14" i="198"/>
  <c r="J14" i="198"/>
  <c r="I15" i="198"/>
  <c r="J13" i="235"/>
  <c r="L12" i="235"/>
  <c r="O12" i="235"/>
  <c r="M13" i="168"/>
  <c r="K14" i="168"/>
  <c r="L13" i="177"/>
  <c r="J14" i="177"/>
  <c r="J14" i="233"/>
  <c r="L13" i="233"/>
  <c r="J14" i="202"/>
  <c r="K14" i="202"/>
  <c r="I15" i="202"/>
  <c r="L14" i="168"/>
  <c r="J15" i="168"/>
  <c r="H12" i="228"/>
  <c r="G13" i="228"/>
  <c r="I15" i="200"/>
  <c r="J14" i="200"/>
  <c r="K14" i="200"/>
  <c r="M13" i="233"/>
  <c r="K14" i="233"/>
  <c r="J13" i="199"/>
  <c r="K13" i="199"/>
  <c r="I14" i="199"/>
  <c r="M15" i="155"/>
  <c r="G14" i="222"/>
  <c r="H13" i="222"/>
  <c r="K13" i="231"/>
  <c r="M13" i="155"/>
  <c r="L12" i="172"/>
  <c r="J13" i="226"/>
  <c r="O13" i="226" s="1"/>
  <c r="L12" i="226"/>
  <c r="K14" i="188"/>
  <c r="M13" i="188"/>
  <c r="G13" i="215"/>
  <c r="H12" i="215"/>
  <c r="H13" i="212"/>
  <c r="L14" i="212"/>
  <c r="G15" i="236"/>
  <c r="H14" i="236"/>
  <c r="H12" i="221"/>
  <c r="G13" i="221"/>
  <c r="L13" i="221" s="1"/>
  <c r="J13" i="254"/>
  <c r="I14" i="254"/>
  <c r="K13" i="254"/>
  <c r="J14" i="250"/>
  <c r="I15" i="250"/>
  <c r="K14" i="250"/>
  <c r="J12" i="170"/>
  <c r="S12" i="170" s="1"/>
  <c r="L11" i="170"/>
  <c r="L12" i="155"/>
  <c r="J13" i="155"/>
  <c r="P13" i="155" s="1"/>
  <c r="L12" i="234"/>
  <c r="J13" i="234"/>
  <c r="K15" i="234"/>
  <c r="M14" i="234"/>
  <c r="L11" i="157"/>
  <c r="J12" i="157"/>
  <c r="S12" i="157" s="1"/>
  <c r="L14" i="186"/>
  <c r="J15" i="186"/>
  <c r="M14" i="186"/>
  <c r="K15" i="186"/>
  <c r="K13" i="187"/>
  <c r="M12" i="187"/>
  <c r="J12" i="158"/>
  <c r="O12" i="158" s="1"/>
  <c r="L11" i="158"/>
  <c r="K12" i="160"/>
  <c r="M11" i="160"/>
  <c r="M14" i="163"/>
  <c r="K15" i="163"/>
  <c r="K14" i="218"/>
  <c r="M13" i="218"/>
  <c r="L14" i="218"/>
  <c r="J15" i="218"/>
  <c r="O15" i="218" s="1"/>
  <c r="L13" i="181"/>
  <c r="J14" i="181"/>
  <c r="O14" i="181" s="1"/>
  <c r="M12" i="181"/>
  <c r="K13" i="181"/>
  <c r="J14" i="225"/>
  <c r="J14" i="188"/>
  <c r="O14" i="188" s="1"/>
  <c r="L13" i="188"/>
  <c r="M12" i="226"/>
  <c r="K13" i="226"/>
  <c r="J14" i="190"/>
  <c r="O14" i="190" s="1"/>
  <c r="L13" i="190"/>
  <c r="M14" i="190"/>
  <c r="K15" i="190"/>
  <c r="L13" i="182"/>
  <c r="J14" i="182"/>
  <c r="O14" i="182" s="1"/>
  <c r="M15" i="180"/>
  <c r="K16" i="180"/>
  <c r="J14" i="180"/>
  <c r="O14" i="180" s="1"/>
  <c r="L13" i="180"/>
  <c r="M12" i="178"/>
  <c r="K13" i="178"/>
  <c r="K15" i="172"/>
  <c r="M14" i="172"/>
  <c r="K14" i="174"/>
  <c r="M13" i="174"/>
  <c r="J15" i="174"/>
  <c r="L14" i="174"/>
  <c r="H32" i="258"/>
  <c r="G33" i="258"/>
  <c r="H27" i="257"/>
  <c r="G28" i="257"/>
  <c r="M27" i="191"/>
  <c r="K28" i="191"/>
  <c r="L13" i="191"/>
  <c r="J14" i="191"/>
  <c r="M12" i="182"/>
  <c r="K13" i="182"/>
  <c r="G16" i="214"/>
  <c r="H15" i="214"/>
  <c r="M14" i="207"/>
  <c r="K15" i="207"/>
  <c r="L14" i="207"/>
  <c r="J15" i="207"/>
  <c r="H12" i="249"/>
  <c r="G14" i="246"/>
  <c r="M14" i="246" s="1"/>
  <c r="H13" i="246"/>
  <c r="P14" i="253"/>
  <c r="K14" i="184"/>
  <c r="M13" i="184"/>
  <c r="M13" i="183"/>
  <c r="M13" i="173"/>
  <c r="K14" i="173"/>
  <c r="M14" i="173" s="1"/>
  <c r="L13" i="173"/>
  <c r="J14" i="173"/>
  <c r="S14" i="173" s="1"/>
  <c r="L13" i="160"/>
  <c r="J14" i="160"/>
  <c r="S14" i="160" s="1"/>
  <c r="K14" i="159"/>
  <c r="M13" i="159"/>
  <c r="M13" i="170"/>
  <c r="K14" i="170"/>
  <c r="K15" i="166"/>
  <c r="M14" i="166"/>
  <c r="L14" i="166"/>
  <c r="J15" i="166"/>
  <c r="M13" i="164"/>
  <c r="K14" i="164"/>
  <c r="M13" i="162"/>
  <c r="K14" i="162"/>
  <c r="J14" i="162"/>
  <c r="O14" i="162" s="1"/>
  <c r="L13" i="162"/>
  <c r="K14" i="158"/>
  <c r="M13" i="158"/>
  <c r="K14" i="165"/>
  <c r="M13" i="165"/>
  <c r="L13" i="165"/>
  <c r="J14" i="165"/>
  <c r="S14" i="165" s="1"/>
  <c r="M13" i="149"/>
  <c r="L13" i="149"/>
  <c r="M13" i="157"/>
  <c r="K15" i="156"/>
  <c r="M14" i="156"/>
  <c r="L14" i="156"/>
  <c r="J15" i="156"/>
  <c r="M14" i="153"/>
  <c r="K15" i="153"/>
  <c r="L14" i="153"/>
  <c r="J15" i="153"/>
  <c r="G14" i="220"/>
  <c r="H13" i="220"/>
  <c r="G14" i="244"/>
  <c r="H13" i="244"/>
  <c r="G15" i="203"/>
  <c r="H14" i="203"/>
  <c r="K15" i="208" l="1"/>
  <c r="M14" i="208"/>
  <c r="M34" i="206"/>
  <c r="K35" i="206"/>
  <c r="H13" i="247"/>
  <c r="J13" i="172"/>
  <c r="O13" i="172" s="1"/>
  <c r="I15" i="197"/>
  <c r="K14" i="197"/>
  <c r="J14" i="197"/>
  <c r="G14" i="213"/>
  <c r="L14" i="213" s="1"/>
  <c r="L13" i="159"/>
  <c r="H80" i="355"/>
  <c r="H102" i="355"/>
  <c r="F115" i="355"/>
  <c r="H107" i="355"/>
  <c r="H28" i="355"/>
  <c r="E20" i="355"/>
  <c r="E117" i="355"/>
  <c r="E27" i="355"/>
  <c r="F27" i="355" s="1"/>
  <c r="G27" i="355" s="1"/>
  <c r="N17" i="421"/>
  <c r="G17" i="421"/>
  <c r="P17" i="421" s="1"/>
  <c r="J14" i="159"/>
  <c r="S14" i="159" s="1"/>
  <c r="H108" i="355"/>
  <c r="H21" i="355"/>
  <c r="G109" i="355"/>
  <c r="H109" i="355"/>
  <c r="G114" i="355"/>
  <c r="H114" i="355"/>
  <c r="G113" i="355"/>
  <c r="H113" i="355"/>
  <c r="G22" i="421"/>
  <c r="P22" i="421" s="1"/>
  <c r="H22" i="421"/>
  <c r="H21" i="421"/>
  <c r="G21" i="421"/>
  <c r="P21" i="421" s="1"/>
  <c r="H18" i="421"/>
  <c r="G18" i="421"/>
  <c r="P18" i="421" s="1"/>
  <c r="H13" i="213"/>
  <c r="O12" i="231"/>
  <c r="J13" i="231"/>
  <c r="G14" i="240"/>
  <c r="G14" i="223"/>
  <c r="L14" i="223" s="1"/>
  <c r="H13" i="223"/>
  <c r="G14" i="247"/>
  <c r="L14" i="247" s="1"/>
  <c r="H26" i="355"/>
  <c r="P14" i="256"/>
  <c r="L14" i="211"/>
  <c r="P14" i="255"/>
  <c r="P14" i="251"/>
  <c r="L13" i="164"/>
  <c r="K14" i="225"/>
  <c r="M14" i="225" s="1"/>
  <c r="Z14" i="204"/>
  <c r="G14" i="216"/>
  <c r="L13" i="216"/>
  <c r="H13" i="216"/>
  <c r="K13" i="242"/>
  <c r="L13" i="187"/>
  <c r="O13" i="187"/>
  <c r="J14" i="187"/>
  <c r="J14" i="163"/>
  <c r="S13" i="163"/>
  <c r="L13" i="163"/>
  <c r="J14" i="164"/>
  <c r="S14" i="164" s="1"/>
  <c r="G16" i="245"/>
  <c r="K16" i="245" s="1"/>
  <c r="K15" i="245"/>
  <c r="L14" i="225"/>
  <c r="O14" i="225"/>
  <c r="U14" i="208"/>
  <c r="J16" i="149"/>
  <c r="S15" i="149"/>
  <c r="S13" i="178"/>
  <c r="L13" i="178"/>
  <c r="J14" i="178"/>
  <c r="J14" i="196"/>
  <c r="K14" i="196"/>
  <c r="I15" i="196"/>
  <c r="K14" i="231"/>
  <c r="M14" i="231" s="1"/>
  <c r="M13" i="231"/>
  <c r="H15" i="245"/>
  <c r="M14" i="177"/>
  <c r="K15" i="177"/>
  <c r="M14" i="168"/>
  <c r="K15" i="168"/>
  <c r="J14" i="235"/>
  <c r="L13" i="235"/>
  <c r="O13" i="235"/>
  <c r="H13" i="229"/>
  <c r="G14" i="229"/>
  <c r="I16" i="198"/>
  <c r="J15" i="198"/>
  <c r="K15" i="198"/>
  <c r="J15" i="177"/>
  <c r="L14" i="177"/>
  <c r="J13" i="232"/>
  <c r="O13" i="232" s="1"/>
  <c r="L12" i="232"/>
  <c r="M14" i="233"/>
  <c r="K15" i="233"/>
  <c r="K15" i="200"/>
  <c r="J15" i="200"/>
  <c r="I16" i="200"/>
  <c r="G14" i="228"/>
  <c r="H13" i="228"/>
  <c r="K15" i="202"/>
  <c r="I16" i="202"/>
  <c r="J15" i="202"/>
  <c r="L14" i="233"/>
  <c r="J15" i="233"/>
  <c r="I15" i="199"/>
  <c r="K14" i="199"/>
  <c r="J14" i="199"/>
  <c r="L15" i="168"/>
  <c r="J16" i="168"/>
  <c r="H14" i="222"/>
  <c r="G15" i="222"/>
  <c r="L13" i="172"/>
  <c r="J14" i="226"/>
  <c r="O14" i="226" s="1"/>
  <c r="L13" i="226"/>
  <c r="K15" i="188"/>
  <c r="M14" i="188"/>
  <c r="G14" i="215"/>
  <c r="H13" i="215"/>
  <c r="L15" i="212"/>
  <c r="H14" i="212"/>
  <c r="G16" i="236"/>
  <c r="H15" i="236"/>
  <c r="G15" i="223"/>
  <c r="L15" i="223" s="1"/>
  <c r="H13" i="221"/>
  <c r="G14" i="221"/>
  <c r="L14" i="221" s="1"/>
  <c r="K14" i="254"/>
  <c r="I15" i="254"/>
  <c r="J14" i="254"/>
  <c r="J15" i="250"/>
  <c r="K15" i="250"/>
  <c r="I16" i="250"/>
  <c r="L12" i="170"/>
  <c r="J13" i="170"/>
  <c r="S13" i="170" s="1"/>
  <c r="J14" i="155"/>
  <c r="P14" i="155" s="1"/>
  <c r="L13" i="155"/>
  <c r="M15" i="234"/>
  <c r="K16" i="234"/>
  <c r="J14" i="234"/>
  <c r="L13" i="234"/>
  <c r="J13" i="157"/>
  <c r="S13" i="157" s="1"/>
  <c r="L12" i="157"/>
  <c r="L15" i="186"/>
  <c r="J16" i="186"/>
  <c r="M15" i="186"/>
  <c r="K16" i="186"/>
  <c r="M13" i="187"/>
  <c r="K14" i="187"/>
  <c r="L12" i="158"/>
  <c r="J13" i="158"/>
  <c r="O13" i="158" s="1"/>
  <c r="M12" i="160"/>
  <c r="K13" i="160"/>
  <c r="M15" i="163"/>
  <c r="K16" i="163"/>
  <c r="L15" i="218"/>
  <c r="J16" i="218"/>
  <c r="O16" i="218" s="1"/>
  <c r="K15" i="218"/>
  <c r="M14" i="218"/>
  <c r="K14" i="181"/>
  <c r="M13" i="181"/>
  <c r="L14" i="181"/>
  <c r="J15" i="181"/>
  <c r="O15" i="181" s="1"/>
  <c r="J15" i="225"/>
  <c r="L14" i="188"/>
  <c r="J15" i="188"/>
  <c r="O15" i="188" s="1"/>
  <c r="M13" i="226"/>
  <c r="K14" i="226"/>
  <c r="M15" i="190"/>
  <c r="K16" i="190"/>
  <c r="L14" i="190"/>
  <c r="J15" i="190"/>
  <c r="O15" i="190" s="1"/>
  <c r="L14" i="182"/>
  <c r="J15" i="182"/>
  <c r="O15" i="182" s="1"/>
  <c r="L14" i="180"/>
  <c r="J15" i="180"/>
  <c r="O15" i="180" s="1"/>
  <c r="K17" i="180"/>
  <c r="M16" i="180"/>
  <c r="K14" i="178"/>
  <c r="M13" i="178"/>
  <c r="M15" i="172"/>
  <c r="K16" i="172"/>
  <c r="J16" i="174"/>
  <c r="L15" i="174"/>
  <c r="M14" i="174"/>
  <c r="K15" i="174"/>
  <c r="H33" i="258"/>
  <c r="G34" i="258"/>
  <c r="H28" i="257"/>
  <c r="G29" i="257"/>
  <c r="K29" i="191"/>
  <c r="M28" i="191"/>
  <c r="J15" i="191"/>
  <c r="L14" i="191"/>
  <c r="M13" i="182"/>
  <c r="K14" i="182"/>
  <c r="G17" i="214"/>
  <c r="H16" i="214"/>
  <c r="M15" i="207"/>
  <c r="K16" i="207"/>
  <c r="L15" i="207"/>
  <c r="J16" i="207"/>
  <c r="H13" i="249"/>
  <c r="G15" i="246"/>
  <c r="M15" i="246" s="1"/>
  <c r="H14" i="246"/>
  <c r="P15" i="253"/>
  <c r="M14" i="184"/>
  <c r="K15" i="184"/>
  <c r="M14" i="183"/>
  <c r="K15" i="173"/>
  <c r="L14" i="173"/>
  <c r="J15" i="173"/>
  <c r="S15" i="173" s="1"/>
  <c r="L14" i="160"/>
  <c r="J15" i="160"/>
  <c r="S15" i="160" s="1"/>
  <c r="K15" i="159"/>
  <c r="M14" i="159"/>
  <c r="M14" i="170"/>
  <c r="K15" i="170"/>
  <c r="K16" i="166"/>
  <c r="M15" i="166"/>
  <c r="L15" i="166"/>
  <c r="J16" i="166"/>
  <c r="M14" i="164"/>
  <c r="K15" i="164"/>
  <c r="M14" i="162"/>
  <c r="K15" i="162"/>
  <c r="L14" i="162"/>
  <c r="J15" i="162"/>
  <c r="O15" i="162" s="1"/>
  <c r="K15" i="158"/>
  <c r="M14" i="158"/>
  <c r="K15" i="165"/>
  <c r="M14" i="165"/>
  <c r="L14" i="165"/>
  <c r="J15" i="165"/>
  <c r="S15" i="165" s="1"/>
  <c r="M14" i="149"/>
  <c r="L14" i="149"/>
  <c r="M14" i="157"/>
  <c r="K16" i="156"/>
  <c r="M15" i="156"/>
  <c r="L15" i="156"/>
  <c r="J16" i="156"/>
  <c r="M15" i="153"/>
  <c r="K16" i="153"/>
  <c r="L15" i="153"/>
  <c r="J16" i="153"/>
  <c r="G15" i="220"/>
  <c r="H14" i="220"/>
  <c r="G15" i="244"/>
  <c r="H14" i="244"/>
  <c r="H15" i="203"/>
  <c r="G16" i="203"/>
  <c r="K36" i="206" l="1"/>
  <c r="M35" i="206"/>
  <c r="K16" i="208"/>
  <c r="M15" i="208"/>
  <c r="H14" i="213"/>
  <c r="J14" i="172"/>
  <c r="O14" i="172" s="1"/>
  <c r="K15" i="197"/>
  <c r="I16" i="197"/>
  <c r="J15" i="197"/>
  <c r="L14" i="159"/>
  <c r="G15" i="213"/>
  <c r="L15" i="213" s="1"/>
  <c r="F117" i="355"/>
  <c r="H27" i="355"/>
  <c r="G115" i="355"/>
  <c r="H115" i="355"/>
  <c r="J15" i="159"/>
  <c r="S15" i="159" s="1"/>
  <c r="K15" i="225"/>
  <c r="M15" i="225" s="1"/>
  <c r="O13" i="231"/>
  <c r="J14" i="231"/>
  <c r="L13" i="231"/>
  <c r="G15" i="240"/>
  <c r="H14" i="247"/>
  <c r="H14" i="223"/>
  <c r="P15" i="256"/>
  <c r="G15" i="247"/>
  <c r="L15" i="247" s="1"/>
  <c r="H20" i="355"/>
  <c r="L15" i="211"/>
  <c r="P15" i="255"/>
  <c r="P15" i="251"/>
  <c r="Z15" i="204"/>
  <c r="J15" i="187"/>
  <c r="O14" i="187"/>
  <c r="L14" i="187"/>
  <c r="L14" i="164"/>
  <c r="S14" i="163"/>
  <c r="L14" i="163"/>
  <c r="J15" i="163"/>
  <c r="K14" i="242"/>
  <c r="L14" i="216"/>
  <c r="H14" i="216"/>
  <c r="G15" i="216"/>
  <c r="J15" i="164"/>
  <c r="S15" i="164" s="1"/>
  <c r="L15" i="225"/>
  <c r="O15" i="225"/>
  <c r="U15" i="208"/>
  <c r="J17" i="149"/>
  <c r="S16" i="149"/>
  <c r="L14" i="178"/>
  <c r="S14" i="178"/>
  <c r="J15" i="178"/>
  <c r="K15" i="231"/>
  <c r="M15" i="231" s="1"/>
  <c r="K15" i="196"/>
  <c r="I16" i="196"/>
  <c r="J15" i="196"/>
  <c r="G17" i="245"/>
  <c r="K17" i="245" s="1"/>
  <c r="H16" i="245"/>
  <c r="M15" i="177"/>
  <c r="K16" i="177"/>
  <c r="K16" i="198"/>
  <c r="J16" i="198"/>
  <c r="I17" i="198"/>
  <c r="L15" i="177"/>
  <c r="J16" i="177"/>
  <c r="H14" i="229"/>
  <c r="G15" i="229"/>
  <c r="O14" i="235"/>
  <c r="J15" i="235"/>
  <c r="L14" i="235"/>
  <c r="M15" i="168"/>
  <c r="K16" i="168"/>
  <c r="J14" i="232"/>
  <c r="O14" i="232" s="1"/>
  <c r="L13" i="232"/>
  <c r="H14" i="228"/>
  <c r="G15" i="228"/>
  <c r="J17" i="168"/>
  <c r="L16" i="168"/>
  <c r="I16" i="199"/>
  <c r="J15" i="199"/>
  <c r="K15" i="199"/>
  <c r="I17" i="202"/>
  <c r="J16" i="202"/>
  <c r="K16" i="202"/>
  <c r="M15" i="233"/>
  <c r="K16" i="233"/>
  <c r="J16" i="233"/>
  <c r="L15" i="233"/>
  <c r="I17" i="200"/>
  <c r="K16" i="200"/>
  <c r="J16" i="200"/>
  <c r="M17" i="155"/>
  <c r="M16" i="155"/>
  <c r="G16" i="222"/>
  <c r="H15" i="222"/>
  <c r="J15" i="172"/>
  <c r="O15" i="172" s="1"/>
  <c r="L14" i="226"/>
  <c r="J15" i="226"/>
  <c r="O15" i="226" s="1"/>
  <c r="M15" i="188"/>
  <c r="K16" i="188"/>
  <c r="G15" i="215"/>
  <c r="H14" i="215"/>
  <c r="L16" i="212"/>
  <c r="H15" i="212"/>
  <c r="G17" i="236"/>
  <c r="H16" i="236"/>
  <c r="G16" i="223"/>
  <c r="L16" i="223" s="1"/>
  <c r="H15" i="223"/>
  <c r="H14" i="221"/>
  <c r="G15" i="221"/>
  <c r="L15" i="221" s="1"/>
  <c r="I16" i="254"/>
  <c r="K15" i="254"/>
  <c r="J15" i="254"/>
  <c r="I17" i="250"/>
  <c r="J16" i="250"/>
  <c r="K16" i="250"/>
  <c r="L13" i="170"/>
  <c r="J14" i="170"/>
  <c r="S14" i="170" s="1"/>
  <c r="J15" i="155"/>
  <c r="P15" i="155" s="1"/>
  <c r="L14" i="155"/>
  <c r="J15" i="234"/>
  <c r="L14" i="234"/>
  <c r="K17" i="234"/>
  <c r="M16" i="234"/>
  <c r="L13" i="157"/>
  <c r="J14" i="157"/>
  <c r="S14" i="157" s="1"/>
  <c r="M16" i="186"/>
  <c r="K17" i="186"/>
  <c r="L16" i="186"/>
  <c r="J17" i="186"/>
  <c r="M14" i="187"/>
  <c r="K15" i="187"/>
  <c r="J14" i="158"/>
  <c r="O14" i="158" s="1"/>
  <c r="L13" i="158"/>
  <c r="M13" i="160"/>
  <c r="K14" i="160"/>
  <c r="K17" i="163"/>
  <c r="M16" i="163"/>
  <c r="M15" i="218"/>
  <c r="K16" i="218"/>
  <c r="L16" i="218"/>
  <c r="J17" i="218"/>
  <c r="O17" i="218" s="1"/>
  <c r="J16" i="181"/>
  <c r="O16" i="181" s="1"/>
  <c r="L15" i="181"/>
  <c r="K15" i="181"/>
  <c r="M14" i="181"/>
  <c r="K16" i="225"/>
  <c r="M16" i="225" s="1"/>
  <c r="J16" i="225"/>
  <c r="L15" i="188"/>
  <c r="J16" i="188"/>
  <c r="O16" i="188" s="1"/>
  <c r="M14" i="226"/>
  <c r="K15" i="226"/>
  <c r="L15" i="190"/>
  <c r="J16" i="190"/>
  <c r="O16" i="190" s="1"/>
  <c r="M16" i="190"/>
  <c r="K17" i="190"/>
  <c r="L15" i="182"/>
  <c r="J16" i="182"/>
  <c r="O16" i="182" s="1"/>
  <c r="K18" i="180"/>
  <c r="M17" i="180"/>
  <c r="J16" i="180"/>
  <c r="O16" i="180" s="1"/>
  <c r="L15" i="180"/>
  <c r="M14" i="178"/>
  <c r="K15" i="178"/>
  <c r="K17" i="172"/>
  <c r="M16" i="172"/>
  <c r="K16" i="174"/>
  <c r="M15" i="174"/>
  <c r="L16" i="174"/>
  <c r="J17" i="174"/>
  <c r="H34" i="258"/>
  <c r="G35" i="258"/>
  <c r="H29" i="257"/>
  <c r="G30" i="257"/>
  <c r="M18" i="155"/>
  <c r="M29" i="191"/>
  <c r="K30" i="191"/>
  <c r="L15" i="191"/>
  <c r="J16" i="191"/>
  <c r="K15" i="182"/>
  <c r="M14" i="182"/>
  <c r="G18" i="214"/>
  <c r="H17" i="214"/>
  <c r="G16" i="213"/>
  <c r="L16" i="213" s="1"/>
  <c r="H15" i="213"/>
  <c r="M16" i="207"/>
  <c r="K17" i="207"/>
  <c r="L16" i="207"/>
  <c r="J17" i="207"/>
  <c r="H14" i="249"/>
  <c r="G16" i="246"/>
  <c r="M16" i="246" s="1"/>
  <c r="H15" i="246"/>
  <c r="P16" i="253"/>
  <c r="M15" i="184"/>
  <c r="K16" i="184"/>
  <c r="M15" i="183"/>
  <c r="M15" i="173"/>
  <c r="K16" i="173"/>
  <c r="L15" i="173"/>
  <c r="J16" i="173"/>
  <c r="S16" i="173" s="1"/>
  <c r="L15" i="160"/>
  <c r="J16" i="160"/>
  <c r="S16" i="160" s="1"/>
  <c r="K16" i="159"/>
  <c r="M15" i="159"/>
  <c r="M15" i="170"/>
  <c r="K16" i="170"/>
  <c r="K17" i="166"/>
  <c r="M16" i="166"/>
  <c r="J17" i="166"/>
  <c r="L16" i="166"/>
  <c r="M15" i="164"/>
  <c r="K16" i="164"/>
  <c r="M15" i="162"/>
  <c r="K16" i="162"/>
  <c r="L15" i="162"/>
  <c r="J16" i="162"/>
  <c r="O16" i="162" s="1"/>
  <c r="K16" i="158"/>
  <c r="M15" i="158"/>
  <c r="K16" i="165"/>
  <c r="M15" i="165"/>
  <c r="L15" i="165"/>
  <c r="J16" i="165"/>
  <c r="S16" i="165" s="1"/>
  <c r="M15" i="149"/>
  <c r="L15" i="149"/>
  <c r="M15" i="157"/>
  <c r="K17" i="156"/>
  <c r="M16" i="156"/>
  <c r="L16" i="156"/>
  <c r="J17" i="156"/>
  <c r="M16" i="153"/>
  <c r="K17" i="153"/>
  <c r="L16" i="153"/>
  <c r="J17" i="153"/>
  <c r="H15" i="220"/>
  <c r="G16" i="220"/>
  <c r="G16" i="244"/>
  <c r="H15" i="244"/>
  <c r="G17" i="203"/>
  <c r="H16" i="203"/>
  <c r="K17" i="208" l="1"/>
  <c r="M16" i="208"/>
  <c r="K37" i="206"/>
  <c r="M36" i="206"/>
  <c r="K16" i="197"/>
  <c r="I17" i="197"/>
  <c r="J16" i="197"/>
  <c r="L14" i="172"/>
  <c r="L15" i="159"/>
  <c r="G117" i="355"/>
  <c r="H117" i="355"/>
  <c r="J16" i="159"/>
  <c r="S16" i="159" s="1"/>
  <c r="G16" i="247"/>
  <c r="L16" i="247" s="1"/>
  <c r="O14" i="231"/>
  <c r="L14" i="231"/>
  <c r="J15" i="231"/>
  <c r="G16" i="240"/>
  <c r="P16" i="251"/>
  <c r="P16" i="256"/>
  <c r="H15" i="247"/>
  <c r="P16" i="255"/>
  <c r="J16" i="164"/>
  <c r="S16" i="164" s="1"/>
  <c r="L15" i="164"/>
  <c r="Z16" i="204"/>
  <c r="L15" i="216"/>
  <c r="G16" i="216"/>
  <c r="H15" i="216"/>
  <c r="S15" i="163"/>
  <c r="J16" i="163"/>
  <c r="L15" i="163"/>
  <c r="K15" i="242"/>
  <c r="O15" i="187"/>
  <c r="J16" i="187"/>
  <c r="L15" i="187"/>
  <c r="L16" i="225"/>
  <c r="O16" i="225"/>
  <c r="U16" i="208"/>
  <c r="J18" i="149"/>
  <c r="S17" i="149"/>
  <c r="S15" i="178"/>
  <c r="L15" i="178"/>
  <c r="J16" i="178"/>
  <c r="K16" i="231"/>
  <c r="M16" i="231" s="1"/>
  <c r="K16" i="196"/>
  <c r="I17" i="196"/>
  <c r="J16" i="196"/>
  <c r="H17" i="245"/>
  <c r="G18" i="245"/>
  <c r="K18" i="245" s="1"/>
  <c r="K17" i="177"/>
  <c r="M16" i="177"/>
  <c r="K17" i="168"/>
  <c r="M16" i="168"/>
  <c r="G16" i="229"/>
  <c r="H15" i="229"/>
  <c r="J17" i="198"/>
  <c r="I18" i="198"/>
  <c r="K17" i="198"/>
  <c r="J15" i="232"/>
  <c r="O15" i="232" s="1"/>
  <c r="L14" i="232"/>
  <c r="L15" i="235"/>
  <c r="J16" i="235"/>
  <c r="O15" i="235"/>
  <c r="J17" i="177"/>
  <c r="L16" i="177"/>
  <c r="L17" i="168"/>
  <c r="J18" i="168"/>
  <c r="I18" i="200"/>
  <c r="K17" i="200"/>
  <c r="J17" i="200"/>
  <c r="M16" i="233"/>
  <c r="K17" i="233"/>
  <c r="G16" i="228"/>
  <c r="H15" i="228"/>
  <c r="I17" i="199"/>
  <c r="K16" i="199"/>
  <c r="J16" i="199"/>
  <c r="L16" i="233"/>
  <c r="J17" i="233"/>
  <c r="I18" i="202"/>
  <c r="J17" i="202"/>
  <c r="K17" i="202"/>
  <c r="H16" i="222"/>
  <c r="G17" i="222"/>
  <c r="J16" i="172"/>
  <c r="O16" i="172" s="1"/>
  <c r="L15" i="172"/>
  <c r="J16" i="226"/>
  <c r="O16" i="226" s="1"/>
  <c r="L15" i="226"/>
  <c r="K17" i="188"/>
  <c r="M16" i="188"/>
  <c r="G16" i="215"/>
  <c r="H15" i="215"/>
  <c r="H16" i="212"/>
  <c r="L17" i="212"/>
  <c r="H17" i="236"/>
  <c r="G18" i="236"/>
  <c r="G17" i="223"/>
  <c r="L17" i="223" s="1"/>
  <c r="H16" i="223"/>
  <c r="H15" i="221"/>
  <c r="G16" i="221"/>
  <c r="L16" i="221" s="1"/>
  <c r="I17" i="254"/>
  <c r="J16" i="254"/>
  <c r="K16" i="254"/>
  <c r="J17" i="250"/>
  <c r="K17" i="250"/>
  <c r="I18" i="250"/>
  <c r="L14" i="170"/>
  <c r="J15" i="170"/>
  <c r="S15" i="170" s="1"/>
  <c r="J16" i="155"/>
  <c r="P16" i="155" s="1"/>
  <c r="L15" i="155"/>
  <c r="K18" i="234"/>
  <c r="M17" i="234"/>
  <c r="J16" i="234"/>
  <c r="L15" i="234"/>
  <c r="L14" i="157"/>
  <c r="J15" i="157"/>
  <c r="S15" i="157" s="1"/>
  <c r="M17" i="186"/>
  <c r="K18" i="186"/>
  <c r="L17" i="186"/>
  <c r="J18" i="186"/>
  <c r="M15" i="187"/>
  <c r="K16" i="187"/>
  <c r="J15" i="158"/>
  <c r="O15" i="158" s="1"/>
  <c r="L14" i="158"/>
  <c r="M14" i="160"/>
  <c r="K15" i="160"/>
  <c r="M17" i="163"/>
  <c r="K18" i="163"/>
  <c r="L17" i="218"/>
  <c r="J18" i="218"/>
  <c r="O18" i="218" s="1"/>
  <c r="M16" i="218"/>
  <c r="K17" i="218"/>
  <c r="K16" i="181"/>
  <c r="M15" i="181"/>
  <c r="L16" i="181"/>
  <c r="J17" i="181"/>
  <c r="O17" i="181" s="1"/>
  <c r="J17" i="225"/>
  <c r="O17" i="225" s="1"/>
  <c r="K17" i="225"/>
  <c r="J17" i="188"/>
  <c r="O17" i="188" s="1"/>
  <c r="L16" i="188"/>
  <c r="M15" i="226"/>
  <c r="K16" i="226"/>
  <c r="M17" i="190"/>
  <c r="K18" i="190"/>
  <c r="J17" i="190"/>
  <c r="O17" i="190" s="1"/>
  <c r="L16" i="190"/>
  <c r="L16" i="182"/>
  <c r="J17" i="182"/>
  <c r="O17" i="182" s="1"/>
  <c r="L16" i="180"/>
  <c r="J17" i="180"/>
  <c r="O17" i="180" s="1"/>
  <c r="M18" i="180"/>
  <c r="K19" i="180"/>
  <c r="K16" i="178"/>
  <c r="M15" i="178"/>
  <c r="K18" i="172"/>
  <c r="M17" i="172"/>
  <c r="J18" i="174"/>
  <c r="L17" i="174"/>
  <c r="M16" i="174"/>
  <c r="K17" i="174"/>
  <c r="G36" i="258"/>
  <c r="H35" i="258"/>
  <c r="H30" i="257"/>
  <c r="G31" i="257"/>
  <c r="G17" i="247"/>
  <c r="L17" i="247" s="1"/>
  <c r="H16" i="247"/>
  <c r="M19" i="155"/>
  <c r="M30" i="191"/>
  <c r="K31" i="191"/>
  <c r="J17" i="191"/>
  <c r="L16" i="191"/>
  <c r="M15" i="182"/>
  <c r="K16" i="182"/>
  <c r="G19" i="214"/>
  <c r="H18" i="214"/>
  <c r="H16" i="213"/>
  <c r="G17" i="213"/>
  <c r="L17" i="213" s="1"/>
  <c r="M17" i="207"/>
  <c r="K18" i="207"/>
  <c r="L17" i="207"/>
  <c r="J18" i="207"/>
  <c r="H15" i="249"/>
  <c r="G17" i="246"/>
  <c r="M17" i="246" s="1"/>
  <c r="H16" i="246"/>
  <c r="P17" i="253"/>
  <c r="M16" i="184"/>
  <c r="K17" i="184"/>
  <c r="M16" i="183"/>
  <c r="M16" i="173"/>
  <c r="K17" i="173"/>
  <c r="L16" i="173"/>
  <c r="J17" i="173"/>
  <c r="S17" i="173" s="1"/>
  <c r="L16" i="160"/>
  <c r="J17" i="160"/>
  <c r="S17" i="160" s="1"/>
  <c r="K17" i="159"/>
  <c r="M16" i="159"/>
  <c r="M16" i="170"/>
  <c r="K17" i="170"/>
  <c r="K18" i="166"/>
  <c r="M17" i="166"/>
  <c r="J18" i="166"/>
  <c r="L17" i="166"/>
  <c r="M16" i="164"/>
  <c r="K17" i="164"/>
  <c r="M16" i="162"/>
  <c r="K17" i="162"/>
  <c r="L16" i="162"/>
  <c r="J17" i="162"/>
  <c r="O17" i="162" s="1"/>
  <c r="K17" i="158"/>
  <c r="M16" i="158"/>
  <c r="K17" i="165"/>
  <c r="M16" i="165"/>
  <c r="L16" i="165"/>
  <c r="J17" i="165"/>
  <c r="S17" i="165" s="1"/>
  <c r="M16" i="149"/>
  <c r="L16" i="149"/>
  <c r="M16" i="157"/>
  <c r="K18" i="156"/>
  <c r="M17" i="156"/>
  <c r="L17" i="156"/>
  <c r="J18" i="156"/>
  <c r="M17" i="153"/>
  <c r="K18" i="153"/>
  <c r="L17" i="153"/>
  <c r="J18" i="153"/>
  <c r="G17" i="220"/>
  <c r="H16" i="220"/>
  <c r="G17" i="244"/>
  <c r="H16" i="244"/>
  <c r="G18" i="203"/>
  <c r="H17" i="203"/>
  <c r="M37" i="206" l="1"/>
  <c r="K38" i="206"/>
  <c r="K18" i="208"/>
  <c r="M17" i="208"/>
  <c r="J17" i="197"/>
  <c r="K17" i="197"/>
  <c r="I18" i="197"/>
  <c r="L16" i="159"/>
  <c r="J17" i="159"/>
  <c r="S17" i="159" s="1"/>
  <c r="O15" i="231"/>
  <c r="J16" i="231"/>
  <c r="L15" i="231"/>
  <c r="G17" i="240"/>
  <c r="G18" i="240" s="1"/>
  <c r="P17" i="251"/>
  <c r="P17" i="256"/>
  <c r="L16" i="211"/>
  <c r="P17" i="255"/>
  <c r="L16" i="164"/>
  <c r="J17" i="164"/>
  <c r="S17" i="164" s="1"/>
  <c r="Z17" i="204"/>
  <c r="K16" i="242"/>
  <c r="O16" i="187"/>
  <c r="J17" i="187"/>
  <c r="L16" i="187"/>
  <c r="L16" i="216"/>
  <c r="G17" i="216"/>
  <c r="H16" i="216"/>
  <c r="S16" i="163"/>
  <c r="L16" i="163"/>
  <c r="J17" i="163"/>
  <c r="L17" i="211"/>
  <c r="U18" i="208"/>
  <c r="U17" i="208"/>
  <c r="J19" i="149"/>
  <c r="S18" i="149"/>
  <c r="S16" i="178"/>
  <c r="J17" i="178"/>
  <c r="L16" i="178"/>
  <c r="K17" i="231"/>
  <c r="M17" i="231" s="1"/>
  <c r="J17" i="196"/>
  <c r="K17" i="196"/>
  <c r="I18" i="196"/>
  <c r="H18" i="245"/>
  <c r="G19" i="245"/>
  <c r="K19" i="245" s="1"/>
  <c r="M17" i="177"/>
  <c r="K18" i="177"/>
  <c r="J16" i="232"/>
  <c r="O16" i="232" s="1"/>
  <c r="L15" i="232"/>
  <c r="J17" i="235"/>
  <c r="L16" i="235"/>
  <c r="O16" i="235"/>
  <c r="G17" i="229"/>
  <c r="H16" i="229"/>
  <c r="I19" i="198"/>
  <c r="K18" i="198"/>
  <c r="J18" i="198"/>
  <c r="L17" i="177"/>
  <c r="J18" i="177"/>
  <c r="M17" i="168"/>
  <c r="K18" i="168"/>
  <c r="K17" i="199"/>
  <c r="J17" i="199"/>
  <c r="I18" i="199"/>
  <c r="H16" i="228"/>
  <c r="G17" i="228"/>
  <c r="K18" i="200"/>
  <c r="J18" i="200"/>
  <c r="I19" i="200"/>
  <c r="J18" i="202"/>
  <c r="K18" i="202"/>
  <c r="I19" i="202"/>
  <c r="M17" i="233"/>
  <c r="K18" i="233"/>
  <c r="J19" i="168"/>
  <c r="L18" i="168"/>
  <c r="J18" i="233"/>
  <c r="L17" i="233"/>
  <c r="G18" i="222"/>
  <c r="H17" i="222"/>
  <c r="L16" i="172"/>
  <c r="J17" i="172"/>
  <c r="O17" i="172" s="1"/>
  <c r="L16" i="226"/>
  <c r="J17" i="226"/>
  <c r="O17" i="226" s="1"/>
  <c r="M17" i="188"/>
  <c r="K18" i="188"/>
  <c r="H16" i="215"/>
  <c r="G17" i="215"/>
  <c r="H17" i="212"/>
  <c r="L18" i="212"/>
  <c r="G19" i="236"/>
  <c r="H18" i="236"/>
  <c r="H17" i="223"/>
  <c r="G18" i="223"/>
  <c r="L18" i="223" s="1"/>
  <c r="H16" i="221"/>
  <c r="G17" i="221"/>
  <c r="L17" i="221" s="1"/>
  <c r="I18" i="254"/>
  <c r="K17" i="254"/>
  <c r="J17" i="254"/>
  <c r="J18" i="250"/>
  <c r="K18" i="250"/>
  <c r="I19" i="250"/>
  <c r="L15" i="170"/>
  <c r="J16" i="170"/>
  <c r="S16" i="170" s="1"/>
  <c r="L16" i="155"/>
  <c r="J17" i="155"/>
  <c r="P17" i="155" s="1"/>
  <c r="L16" i="234"/>
  <c r="J17" i="234"/>
  <c r="K19" i="234"/>
  <c r="M18" i="234"/>
  <c r="L15" i="157"/>
  <c r="J16" i="157"/>
  <c r="S16" i="157" s="1"/>
  <c r="M18" i="186"/>
  <c r="K19" i="186"/>
  <c r="L18" i="186"/>
  <c r="J19" i="186"/>
  <c r="M16" i="187"/>
  <c r="K17" i="187"/>
  <c r="J16" i="158"/>
  <c r="O16" i="158" s="1"/>
  <c r="L15" i="158"/>
  <c r="M15" i="160"/>
  <c r="K16" i="160"/>
  <c r="K19" i="163"/>
  <c r="M18" i="163"/>
  <c r="M17" i="218"/>
  <c r="K18" i="218"/>
  <c r="L18" i="218"/>
  <c r="J19" i="218"/>
  <c r="O19" i="218" s="1"/>
  <c r="J18" i="181"/>
  <c r="O18" i="181" s="1"/>
  <c r="L17" i="181"/>
  <c r="M16" i="181"/>
  <c r="K17" i="181"/>
  <c r="M17" i="225"/>
  <c r="K18" i="225"/>
  <c r="L17" i="225"/>
  <c r="J18" i="225"/>
  <c r="O18" i="225" s="1"/>
  <c r="J18" i="188"/>
  <c r="O18" i="188" s="1"/>
  <c r="L17" i="188"/>
  <c r="K17" i="226"/>
  <c r="M16" i="226"/>
  <c r="L17" i="190"/>
  <c r="J18" i="190"/>
  <c r="O18" i="190" s="1"/>
  <c r="K19" i="190"/>
  <c r="M18" i="190"/>
  <c r="L17" i="182"/>
  <c r="J18" i="182"/>
  <c r="O18" i="182" s="1"/>
  <c r="K20" i="180"/>
  <c r="M19" i="180"/>
  <c r="L17" i="180"/>
  <c r="J18" i="180"/>
  <c r="O18" i="180" s="1"/>
  <c r="K17" i="178"/>
  <c r="M16" i="178"/>
  <c r="M18" i="172"/>
  <c r="K19" i="172"/>
  <c r="K18" i="174"/>
  <c r="M17" i="174"/>
  <c r="J19" i="174"/>
  <c r="L18" i="174"/>
  <c r="G37" i="258"/>
  <c r="H36" i="258"/>
  <c r="H31" i="257"/>
  <c r="G32" i="257"/>
  <c r="G18" i="247"/>
  <c r="L18" i="247" s="1"/>
  <c r="H17" i="247"/>
  <c r="M20" i="155"/>
  <c r="M31" i="191"/>
  <c r="K32" i="191"/>
  <c r="J18" i="191"/>
  <c r="L17" i="191"/>
  <c r="M16" i="182"/>
  <c r="K17" i="182"/>
  <c r="G20" i="214"/>
  <c r="H19" i="214"/>
  <c r="H17" i="213"/>
  <c r="G18" i="213"/>
  <c r="L18" i="213" s="1"/>
  <c r="M18" i="207"/>
  <c r="K19" i="207"/>
  <c r="L18" i="207"/>
  <c r="J19" i="207"/>
  <c r="H16" i="249"/>
  <c r="H17" i="246"/>
  <c r="G18" i="246"/>
  <c r="M18" i="246" s="1"/>
  <c r="K18" i="184"/>
  <c r="M17" i="184"/>
  <c r="M17" i="183"/>
  <c r="M17" i="173"/>
  <c r="K18" i="173"/>
  <c r="L17" i="173"/>
  <c r="J18" i="173"/>
  <c r="S18" i="173" s="1"/>
  <c r="L17" i="160"/>
  <c r="J18" i="160"/>
  <c r="S18" i="160" s="1"/>
  <c r="K18" i="159"/>
  <c r="M17" i="159"/>
  <c r="K18" i="170"/>
  <c r="M17" i="170"/>
  <c r="K19" i="166"/>
  <c r="M18" i="166"/>
  <c r="L18" i="166"/>
  <c r="J19" i="166"/>
  <c r="M17" i="164"/>
  <c r="K18" i="164"/>
  <c r="M17" i="162"/>
  <c r="K18" i="162"/>
  <c r="J18" i="162"/>
  <c r="O18" i="162" s="1"/>
  <c r="L17" i="162"/>
  <c r="K18" i="158"/>
  <c r="M17" i="158"/>
  <c r="K18" i="165"/>
  <c r="M17" i="165"/>
  <c r="L17" i="165"/>
  <c r="J18" i="165"/>
  <c r="S18" i="165" s="1"/>
  <c r="M17" i="149"/>
  <c r="L17" i="149"/>
  <c r="M17" i="157"/>
  <c r="K19" i="156"/>
  <c r="M18" i="156"/>
  <c r="J19" i="156"/>
  <c r="L18" i="156"/>
  <c r="M18" i="153"/>
  <c r="K19" i="153"/>
  <c r="J19" i="153"/>
  <c r="L18" i="153"/>
  <c r="H17" i="220"/>
  <c r="G18" i="220"/>
  <c r="L18" i="220" s="1"/>
  <c r="G18" i="244"/>
  <c r="H17" i="244"/>
  <c r="G19" i="203"/>
  <c r="H18" i="203"/>
  <c r="K39" i="206" l="1"/>
  <c r="M38" i="206"/>
  <c r="K19" i="208"/>
  <c r="M18" i="208"/>
  <c r="J18" i="159"/>
  <c r="S18" i="159" s="1"/>
  <c r="I19" i="197"/>
  <c r="J18" i="197"/>
  <c r="K18" i="197"/>
  <c r="L17" i="159"/>
  <c r="O16" i="231"/>
  <c r="L16" i="231"/>
  <c r="J17" i="231"/>
  <c r="P18" i="251"/>
  <c r="P18" i="256"/>
  <c r="P18" i="253"/>
  <c r="P18" i="255"/>
  <c r="J18" i="164"/>
  <c r="S18" i="164" s="1"/>
  <c r="L17" i="164"/>
  <c r="Z18" i="204"/>
  <c r="O17" i="187"/>
  <c r="L17" i="187"/>
  <c r="J18" i="187"/>
  <c r="S17" i="163"/>
  <c r="L17" i="163"/>
  <c r="J18" i="163"/>
  <c r="L17" i="216"/>
  <c r="G18" i="216"/>
  <c r="H17" i="216"/>
  <c r="K17" i="242"/>
  <c r="L18" i="211"/>
  <c r="J20" i="149"/>
  <c r="S19" i="149"/>
  <c r="S17" i="178"/>
  <c r="J18" i="178"/>
  <c r="L17" i="178"/>
  <c r="K18" i="231"/>
  <c r="M18" i="231" s="1"/>
  <c r="J18" i="196"/>
  <c r="I19" i="196"/>
  <c r="K18" i="196"/>
  <c r="H19" i="245"/>
  <c r="G20" i="245"/>
  <c r="K20" i="245" s="1"/>
  <c r="M18" i="177"/>
  <c r="K19" i="177"/>
  <c r="L18" i="177"/>
  <c r="J19" i="177"/>
  <c r="J19" i="198"/>
  <c r="K19" i="198"/>
  <c r="I20" i="198"/>
  <c r="J18" i="235"/>
  <c r="O17" i="235"/>
  <c r="L17" i="235"/>
  <c r="M18" i="168"/>
  <c r="K19" i="168"/>
  <c r="H17" i="229"/>
  <c r="G18" i="229"/>
  <c r="L16" i="232"/>
  <c r="J17" i="232"/>
  <c r="O17" i="232" s="1"/>
  <c r="L18" i="233"/>
  <c r="J19" i="233"/>
  <c r="K19" i="200"/>
  <c r="J19" i="200"/>
  <c r="I20" i="200"/>
  <c r="K18" i="199"/>
  <c r="I19" i="199"/>
  <c r="J18" i="199"/>
  <c r="K19" i="202"/>
  <c r="I20" i="202"/>
  <c r="J19" i="202"/>
  <c r="J20" i="168"/>
  <c r="L19" i="168"/>
  <c r="M18" i="233"/>
  <c r="K19" i="233"/>
  <c r="H17" i="228"/>
  <c r="G18" i="228"/>
  <c r="H18" i="222"/>
  <c r="G19" i="222"/>
  <c r="L17" i="172"/>
  <c r="J18" i="172"/>
  <c r="O18" i="172" s="1"/>
  <c r="J18" i="226"/>
  <c r="O18" i="226" s="1"/>
  <c r="L17" i="226"/>
  <c r="M18" i="188"/>
  <c r="K19" i="188"/>
  <c r="H17" i="215"/>
  <c r="G18" i="215"/>
  <c r="L19" i="212"/>
  <c r="H18" i="212"/>
  <c r="G20" i="236"/>
  <c r="H19" i="236"/>
  <c r="G19" i="223"/>
  <c r="L19" i="223" s="1"/>
  <c r="H18" i="223"/>
  <c r="H17" i="221"/>
  <c r="G18" i="221"/>
  <c r="L18" i="221" s="1"/>
  <c r="K18" i="254"/>
  <c r="I19" i="254"/>
  <c r="J18" i="254"/>
  <c r="I20" i="250"/>
  <c r="J19" i="250"/>
  <c r="K19" i="250"/>
  <c r="L16" i="170"/>
  <c r="J17" i="170"/>
  <c r="S17" i="170" s="1"/>
  <c r="L17" i="155"/>
  <c r="J18" i="155"/>
  <c r="P18" i="155" s="1"/>
  <c r="K20" i="234"/>
  <c r="M19" i="234"/>
  <c r="L17" i="234"/>
  <c r="J18" i="234"/>
  <c r="L16" i="157"/>
  <c r="J17" i="157"/>
  <c r="S17" i="157" s="1"/>
  <c r="L19" i="186"/>
  <c r="J20" i="186"/>
  <c r="M19" i="186"/>
  <c r="K20" i="186"/>
  <c r="M17" i="187"/>
  <c r="K18" i="187"/>
  <c r="J17" i="158"/>
  <c r="O17" i="158" s="1"/>
  <c r="L16" i="158"/>
  <c r="M16" i="160"/>
  <c r="K17" i="160"/>
  <c r="M19" i="163"/>
  <c r="K20" i="163"/>
  <c r="J20" i="218"/>
  <c r="O20" i="218" s="1"/>
  <c r="L19" i="218"/>
  <c r="K19" i="218"/>
  <c r="M18" i="218"/>
  <c r="K18" i="181"/>
  <c r="M17" i="181"/>
  <c r="L18" i="181"/>
  <c r="J19" i="181"/>
  <c r="O19" i="181" s="1"/>
  <c r="L18" i="225"/>
  <c r="J19" i="225"/>
  <c r="O19" i="225" s="1"/>
  <c r="M18" i="225"/>
  <c r="K19" i="225"/>
  <c r="J19" i="188"/>
  <c r="O19" i="188" s="1"/>
  <c r="L18" i="188"/>
  <c r="M17" i="226"/>
  <c r="K18" i="226"/>
  <c r="K20" i="190"/>
  <c r="M19" i="190"/>
  <c r="L18" i="190"/>
  <c r="J19" i="190"/>
  <c r="O19" i="190" s="1"/>
  <c r="L18" i="182"/>
  <c r="J19" i="182"/>
  <c r="O19" i="182" s="1"/>
  <c r="J19" i="180"/>
  <c r="O19" i="180" s="1"/>
  <c r="L18" i="180"/>
  <c r="M20" i="180"/>
  <c r="K21" i="180"/>
  <c r="M17" i="178"/>
  <c r="K18" i="178"/>
  <c r="M19" i="172"/>
  <c r="K20" i="172"/>
  <c r="J20" i="174"/>
  <c r="L19" i="174"/>
  <c r="M18" i="174"/>
  <c r="K19" i="174"/>
  <c r="H37" i="258"/>
  <c r="G38" i="258"/>
  <c r="H32" i="257"/>
  <c r="G33" i="257"/>
  <c r="G19" i="247"/>
  <c r="L19" i="247" s="1"/>
  <c r="H18" i="247"/>
  <c r="M21" i="155"/>
  <c r="K33" i="191"/>
  <c r="M32" i="191"/>
  <c r="J19" i="191"/>
  <c r="L18" i="191"/>
  <c r="M17" i="182"/>
  <c r="K18" i="182"/>
  <c r="H20" i="214"/>
  <c r="G21" i="214"/>
  <c r="G19" i="213"/>
  <c r="L19" i="213" s="1"/>
  <c r="H18" i="213"/>
  <c r="U19" i="208"/>
  <c r="M19" i="207"/>
  <c r="K20" i="207"/>
  <c r="L19" i="207"/>
  <c r="J20" i="207"/>
  <c r="H17" i="249"/>
  <c r="G19" i="246"/>
  <c r="M19" i="246" s="1"/>
  <c r="H18" i="246"/>
  <c r="P19" i="253"/>
  <c r="M18" i="184"/>
  <c r="K19" i="184"/>
  <c r="M18" i="183"/>
  <c r="M18" i="173"/>
  <c r="K19" i="173"/>
  <c r="L18" i="173"/>
  <c r="J19" i="173"/>
  <c r="S19" i="173" s="1"/>
  <c r="L18" i="160"/>
  <c r="J19" i="160"/>
  <c r="S19" i="160" s="1"/>
  <c r="K19" i="159"/>
  <c r="M18" i="159"/>
  <c r="M18" i="170"/>
  <c r="K19" i="170"/>
  <c r="K20" i="166"/>
  <c r="M19" i="166"/>
  <c r="L19" i="166"/>
  <c r="J20" i="166"/>
  <c r="M18" i="164"/>
  <c r="K19" i="164"/>
  <c r="M18" i="162"/>
  <c r="K19" i="162"/>
  <c r="J19" i="162"/>
  <c r="O19" i="162" s="1"/>
  <c r="L18" i="162"/>
  <c r="K19" i="158"/>
  <c r="M18" i="158"/>
  <c r="K19" i="165"/>
  <c r="M18" i="165"/>
  <c r="L18" i="165"/>
  <c r="J19" i="165"/>
  <c r="S19" i="165" s="1"/>
  <c r="M18" i="149"/>
  <c r="L18" i="149"/>
  <c r="M18" i="157"/>
  <c r="K20" i="156"/>
  <c r="M19" i="156"/>
  <c r="J20" i="156"/>
  <c r="L19" i="156"/>
  <c r="M19" i="153"/>
  <c r="K20" i="153"/>
  <c r="J20" i="153"/>
  <c r="L19" i="153"/>
  <c r="G19" i="220"/>
  <c r="L19" i="220" s="1"/>
  <c r="H18" i="220"/>
  <c r="G19" i="244"/>
  <c r="H18" i="244"/>
  <c r="G20" i="203"/>
  <c r="H19" i="203"/>
  <c r="K20" i="208" l="1"/>
  <c r="M19" i="208"/>
  <c r="K40" i="206"/>
  <c r="M40" i="206" s="1"/>
  <c r="M39" i="206"/>
  <c r="J19" i="159"/>
  <c r="S19" i="159" s="1"/>
  <c r="L18" i="159"/>
  <c r="J19" i="197"/>
  <c r="K19" i="197"/>
  <c r="I20" i="197"/>
  <c r="O17" i="231"/>
  <c r="L17" i="231"/>
  <c r="J18" i="231"/>
  <c r="P19" i="251"/>
  <c r="G19" i="240"/>
  <c r="P19" i="256"/>
  <c r="P19" i="255"/>
  <c r="J19" i="164"/>
  <c r="S19" i="164" s="1"/>
  <c r="L18" i="164"/>
  <c r="Z19" i="204"/>
  <c r="L18" i="216"/>
  <c r="H18" i="216"/>
  <c r="G19" i="216"/>
  <c r="K18" i="242"/>
  <c r="O18" i="187"/>
  <c r="L18" i="187"/>
  <c r="J19" i="187"/>
  <c r="S18" i="163"/>
  <c r="L18" i="163"/>
  <c r="J19" i="163"/>
  <c r="L19" i="211"/>
  <c r="J21" i="149"/>
  <c r="S20" i="149"/>
  <c r="S18" i="178"/>
  <c r="L18" i="178"/>
  <c r="J19" i="178"/>
  <c r="K19" i="231"/>
  <c r="M19" i="231" s="1"/>
  <c r="K19" i="196"/>
  <c r="I20" i="196"/>
  <c r="J19" i="196"/>
  <c r="G21" i="245"/>
  <c r="K21" i="245" s="1"/>
  <c r="H20" i="245"/>
  <c r="K20" i="177"/>
  <c r="M19" i="177"/>
  <c r="H18" i="229"/>
  <c r="G19" i="229"/>
  <c r="J18" i="232"/>
  <c r="O18" i="232" s="1"/>
  <c r="L17" i="232"/>
  <c r="M19" i="168"/>
  <c r="K20" i="168"/>
  <c r="O18" i="235"/>
  <c r="L18" i="235"/>
  <c r="J19" i="235"/>
  <c r="L19" i="177"/>
  <c r="J20" i="177"/>
  <c r="I21" i="198"/>
  <c r="J20" i="198"/>
  <c r="K20" i="198"/>
  <c r="H18" i="228"/>
  <c r="G19" i="228"/>
  <c r="K20" i="233"/>
  <c r="M19" i="233"/>
  <c r="I21" i="202"/>
  <c r="J20" i="202"/>
  <c r="K20" i="202"/>
  <c r="J19" i="199"/>
  <c r="I20" i="199"/>
  <c r="K19" i="199"/>
  <c r="L19" i="233"/>
  <c r="J20" i="233"/>
  <c r="L20" i="168"/>
  <c r="J21" i="168"/>
  <c r="I21" i="200"/>
  <c r="K20" i="200"/>
  <c r="J20" i="200"/>
  <c r="G20" i="222"/>
  <c r="H19" i="222"/>
  <c r="J19" i="172"/>
  <c r="O19" i="172" s="1"/>
  <c r="L18" i="172"/>
  <c r="L18" i="226"/>
  <c r="J19" i="226"/>
  <c r="O19" i="226" s="1"/>
  <c r="M19" i="188"/>
  <c r="K20" i="188"/>
  <c r="H18" i="215"/>
  <c r="G19" i="215"/>
  <c r="H19" i="212"/>
  <c r="L20" i="212"/>
  <c r="G21" i="236"/>
  <c r="H20" i="236"/>
  <c r="H19" i="223"/>
  <c r="G20" i="223"/>
  <c r="L20" i="223" s="1"/>
  <c r="H18" i="221"/>
  <c r="G19" i="221"/>
  <c r="L19" i="221" s="1"/>
  <c r="I20" i="254"/>
  <c r="J19" i="254"/>
  <c r="K19" i="254"/>
  <c r="J20" i="250"/>
  <c r="K20" i="250"/>
  <c r="I21" i="250"/>
  <c r="L17" i="170"/>
  <c r="J18" i="170"/>
  <c r="S18" i="170" s="1"/>
  <c r="L18" i="155"/>
  <c r="J19" i="155"/>
  <c r="P19" i="155" s="1"/>
  <c r="L18" i="234"/>
  <c r="J19" i="234"/>
  <c r="K21" i="234"/>
  <c r="M20" i="234"/>
  <c r="L17" i="157"/>
  <c r="J18" i="157"/>
  <c r="S18" i="157" s="1"/>
  <c r="M20" i="186"/>
  <c r="K21" i="186"/>
  <c r="L20" i="186"/>
  <c r="J21" i="186"/>
  <c r="M18" i="187"/>
  <c r="K19" i="187"/>
  <c r="L17" i="158"/>
  <c r="J18" i="158"/>
  <c r="O18" i="158" s="1"/>
  <c r="M17" i="160"/>
  <c r="K18" i="160"/>
  <c r="M20" i="163"/>
  <c r="K21" i="163"/>
  <c r="L20" i="218"/>
  <c r="J21" i="218"/>
  <c r="O21" i="218" s="1"/>
  <c r="M19" i="218"/>
  <c r="K20" i="218"/>
  <c r="J20" i="181"/>
  <c r="O20" i="181" s="1"/>
  <c r="L19" i="181"/>
  <c r="K19" i="181"/>
  <c r="M18" i="181"/>
  <c r="K20" i="225"/>
  <c r="M19" i="225"/>
  <c r="J20" i="225"/>
  <c r="O20" i="225" s="1"/>
  <c r="L19" i="225"/>
  <c r="J20" i="188"/>
  <c r="O20" i="188" s="1"/>
  <c r="L19" i="188"/>
  <c r="M18" i="226"/>
  <c r="K19" i="226"/>
  <c r="J20" i="190"/>
  <c r="O20" i="190" s="1"/>
  <c r="L19" i="190"/>
  <c r="M20" i="190"/>
  <c r="K21" i="190"/>
  <c r="L19" i="182"/>
  <c r="J20" i="182"/>
  <c r="O20" i="182" s="1"/>
  <c r="K22" i="180"/>
  <c r="M21" i="180"/>
  <c r="J20" i="180"/>
  <c r="O20" i="180" s="1"/>
  <c r="L19" i="180"/>
  <c r="M18" i="178"/>
  <c r="K19" i="178"/>
  <c r="M20" i="172"/>
  <c r="K21" i="172"/>
  <c r="M19" i="174"/>
  <c r="K20" i="174"/>
  <c r="L20" i="174"/>
  <c r="J21" i="174"/>
  <c r="G39" i="258"/>
  <c r="H38" i="258"/>
  <c r="H33" i="257"/>
  <c r="G34" i="257"/>
  <c r="H19" i="247"/>
  <c r="G20" i="247"/>
  <c r="L20" i="247" s="1"/>
  <c r="M22" i="155"/>
  <c r="M33" i="191"/>
  <c r="K34" i="191"/>
  <c r="L19" i="191"/>
  <c r="J20" i="191"/>
  <c r="K19" i="182"/>
  <c r="M18" i="182"/>
  <c r="G22" i="214"/>
  <c r="H21" i="214"/>
  <c r="G20" i="213"/>
  <c r="L20" i="213" s="1"/>
  <c r="H19" i="213"/>
  <c r="U20" i="208"/>
  <c r="M20" i="207"/>
  <c r="K21" i="207"/>
  <c r="L20" i="207"/>
  <c r="J21" i="207"/>
  <c r="H18" i="249"/>
  <c r="H19" i="246"/>
  <c r="G20" i="246"/>
  <c r="M20" i="246" s="1"/>
  <c r="P20" i="253"/>
  <c r="M19" i="184"/>
  <c r="K20" i="184"/>
  <c r="M19" i="183"/>
  <c r="M19" i="173"/>
  <c r="K20" i="173"/>
  <c r="L19" i="173"/>
  <c r="J20" i="173"/>
  <c r="S20" i="173" s="1"/>
  <c r="L19" i="160"/>
  <c r="J20" i="160"/>
  <c r="S20" i="160" s="1"/>
  <c r="K20" i="159"/>
  <c r="M19" i="159"/>
  <c r="M19" i="170"/>
  <c r="K20" i="170"/>
  <c r="K21" i="166"/>
  <c r="M20" i="166"/>
  <c r="L20" i="166"/>
  <c r="J21" i="166"/>
  <c r="K20" i="164"/>
  <c r="M19" i="164"/>
  <c r="M19" i="162"/>
  <c r="K20" i="162"/>
  <c r="L19" i="162"/>
  <c r="J20" i="162"/>
  <c r="O20" i="162" s="1"/>
  <c r="K20" i="158"/>
  <c r="M19" i="158"/>
  <c r="K20" i="165"/>
  <c r="M19" i="165"/>
  <c r="L19" i="165"/>
  <c r="J20" i="165"/>
  <c r="S20" i="165" s="1"/>
  <c r="M19" i="149"/>
  <c r="L19" i="149"/>
  <c r="M19" i="157"/>
  <c r="K21" i="156"/>
  <c r="M20" i="156"/>
  <c r="J21" i="156"/>
  <c r="L20" i="156"/>
  <c r="M20" i="153"/>
  <c r="K21" i="153"/>
  <c r="J21" i="153"/>
  <c r="L20" i="153"/>
  <c r="H19" i="220"/>
  <c r="G20" i="220"/>
  <c r="L20" i="220" s="1"/>
  <c r="G20" i="244"/>
  <c r="H19" i="244"/>
  <c r="G21" i="203"/>
  <c r="H20" i="203"/>
  <c r="M20" i="208" l="1"/>
  <c r="K21" i="208"/>
  <c r="J20" i="159"/>
  <c r="S20" i="159" s="1"/>
  <c r="L19" i="159"/>
  <c r="K20" i="197"/>
  <c r="I21" i="197"/>
  <c r="J20" i="197"/>
  <c r="O18" i="231"/>
  <c r="J19" i="231"/>
  <c r="L18" i="231"/>
  <c r="P20" i="251"/>
  <c r="G20" i="240"/>
  <c r="P20" i="255"/>
  <c r="P20" i="256"/>
  <c r="L19" i="164"/>
  <c r="J20" i="164"/>
  <c r="S20" i="164" s="1"/>
  <c r="Z20" i="204"/>
  <c r="O19" i="187"/>
  <c r="J20" i="187"/>
  <c r="L19" i="187"/>
  <c r="S19" i="163"/>
  <c r="L19" i="163"/>
  <c r="J20" i="163"/>
  <c r="L19" i="216"/>
  <c r="H19" i="216"/>
  <c r="G20" i="216"/>
  <c r="K19" i="242"/>
  <c r="L20" i="211"/>
  <c r="J22" i="149"/>
  <c r="S21" i="149"/>
  <c r="S19" i="178"/>
  <c r="J20" i="178"/>
  <c r="L19" i="178"/>
  <c r="K20" i="231"/>
  <c r="M20" i="231" s="1"/>
  <c r="I21" i="196"/>
  <c r="J20" i="196"/>
  <c r="K20" i="196"/>
  <c r="H21" i="245"/>
  <c r="G22" i="245"/>
  <c r="K22" i="245" s="1"/>
  <c r="K21" i="177"/>
  <c r="M20" i="177"/>
  <c r="I22" i="198"/>
  <c r="J21" i="198"/>
  <c r="K21" i="198"/>
  <c r="J21" i="177"/>
  <c r="L20" i="177"/>
  <c r="J19" i="232"/>
  <c r="O19" i="232" s="1"/>
  <c r="L18" i="232"/>
  <c r="K21" i="168"/>
  <c r="M20" i="168"/>
  <c r="G20" i="229"/>
  <c r="H19" i="229"/>
  <c r="O19" i="235"/>
  <c r="J20" i="235"/>
  <c r="L19" i="235"/>
  <c r="J20" i="199"/>
  <c r="K20" i="199"/>
  <c r="I21" i="199"/>
  <c r="I22" i="202"/>
  <c r="J21" i="202"/>
  <c r="K21" i="202"/>
  <c r="I22" i="200"/>
  <c r="K21" i="200"/>
  <c r="J21" i="200"/>
  <c r="L21" i="168"/>
  <c r="J22" i="168"/>
  <c r="L20" i="233"/>
  <c r="J21" i="233"/>
  <c r="M20" i="233"/>
  <c r="K21" i="233"/>
  <c r="G20" i="228"/>
  <c r="H19" i="228"/>
  <c r="H20" i="222"/>
  <c r="G21" i="222"/>
  <c r="L19" i="172"/>
  <c r="J20" i="172"/>
  <c r="O20" i="172" s="1"/>
  <c r="J20" i="226"/>
  <c r="O20" i="226" s="1"/>
  <c r="L19" i="226"/>
  <c r="M20" i="188"/>
  <c r="K21" i="188"/>
  <c r="G20" i="215"/>
  <c r="H19" i="215"/>
  <c r="H20" i="212"/>
  <c r="L21" i="212"/>
  <c r="G22" i="236"/>
  <c r="H21" i="236"/>
  <c r="G21" i="223"/>
  <c r="L21" i="223" s="1"/>
  <c r="H20" i="223"/>
  <c r="H19" i="221"/>
  <c r="G20" i="221"/>
  <c r="L20" i="221" s="1"/>
  <c r="I21" i="254"/>
  <c r="J20" i="254"/>
  <c r="K20" i="254"/>
  <c r="J21" i="250"/>
  <c r="K21" i="250"/>
  <c r="I22" i="250"/>
  <c r="L18" i="170"/>
  <c r="J19" i="170"/>
  <c r="S19" i="170" s="1"/>
  <c r="L19" i="155"/>
  <c r="J20" i="155"/>
  <c r="P20" i="155" s="1"/>
  <c r="K22" i="234"/>
  <c r="M21" i="234"/>
  <c r="L19" i="234"/>
  <c r="J20" i="234"/>
  <c r="L18" i="157"/>
  <c r="J19" i="157"/>
  <c r="S19" i="157" s="1"/>
  <c r="L21" i="186"/>
  <c r="J22" i="186"/>
  <c r="M21" i="186"/>
  <c r="K22" i="186"/>
  <c r="M19" i="187"/>
  <c r="K20" i="187"/>
  <c r="L18" i="158"/>
  <c r="J19" i="158"/>
  <c r="O19" i="158" s="1"/>
  <c r="M18" i="160"/>
  <c r="K19" i="160"/>
  <c r="M21" i="163"/>
  <c r="K22" i="163"/>
  <c r="M20" i="218"/>
  <c r="K21" i="218"/>
  <c r="J22" i="218"/>
  <c r="O22" i="218" s="1"/>
  <c r="L21" i="218"/>
  <c r="K20" i="181"/>
  <c r="M19" i="181"/>
  <c r="L20" i="181"/>
  <c r="J21" i="181"/>
  <c r="O21" i="181" s="1"/>
  <c r="L20" i="225"/>
  <c r="J21" i="225"/>
  <c r="O21" i="225" s="1"/>
  <c r="M20" i="225"/>
  <c r="K21" i="225"/>
  <c r="J21" i="188"/>
  <c r="O21" i="188" s="1"/>
  <c r="L20" i="188"/>
  <c r="M19" i="226"/>
  <c r="K20" i="226"/>
  <c r="K22" i="190"/>
  <c r="M21" i="190"/>
  <c r="J21" i="190"/>
  <c r="O21" i="190" s="1"/>
  <c r="L20" i="190"/>
  <c r="L20" i="182"/>
  <c r="J21" i="182"/>
  <c r="O21" i="182" s="1"/>
  <c r="J21" i="180"/>
  <c r="O21" i="180" s="1"/>
  <c r="L20" i="180"/>
  <c r="M22" i="180"/>
  <c r="K23" i="180"/>
  <c r="M19" i="178"/>
  <c r="K20" i="178"/>
  <c r="M21" i="172"/>
  <c r="K22" i="172"/>
  <c r="L21" i="174"/>
  <c r="J22" i="174"/>
  <c r="M20" i="174"/>
  <c r="K21" i="174"/>
  <c r="G40" i="258"/>
  <c r="H39" i="258"/>
  <c r="H34" i="257"/>
  <c r="G35" i="257"/>
  <c r="H20" i="247"/>
  <c r="G21" i="247"/>
  <c r="L21" i="247" s="1"/>
  <c r="M23" i="155"/>
  <c r="M34" i="191"/>
  <c r="K35" i="191"/>
  <c r="L20" i="191"/>
  <c r="J21" i="191"/>
  <c r="M19" i="182"/>
  <c r="K20" i="182"/>
  <c r="H22" i="214"/>
  <c r="G23" i="214"/>
  <c r="G21" i="213"/>
  <c r="L21" i="213" s="1"/>
  <c r="H20" i="213"/>
  <c r="U21" i="208"/>
  <c r="M21" i="207"/>
  <c r="K22" i="207"/>
  <c r="L21" i="207"/>
  <c r="J22" i="207"/>
  <c r="H19" i="249"/>
  <c r="G21" i="246"/>
  <c r="M21" i="246" s="1"/>
  <c r="H20" i="246"/>
  <c r="P21" i="253"/>
  <c r="K21" i="184"/>
  <c r="M20" i="184"/>
  <c r="M20" i="183"/>
  <c r="M20" i="173"/>
  <c r="K21" i="173"/>
  <c r="L20" i="173"/>
  <c r="J21" i="173"/>
  <c r="S21" i="173" s="1"/>
  <c r="L20" i="160"/>
  <c r="J21" i="160"/>
  <c r="S21" i="160" s="1"/>
  <c r="K21" i="159"/>
  <c r="M20" i="159"/>
  <c r="M20" i="170"/>
  <c r="K21" i="170"/>
  <c r="K22" i="166"/>
  <c r="M21" i="166"/>
  <c r="J22" i="166"/>
  <c r="L21" i="166"/>
  <c r="M20" i="164"/>
  <c r="K21" i="164"/>
  <c r="M20" i="162"/>
  <c r="K21" i="162"/>
  <c r="L20" i="162"/>
  <c r="J21" i="162"/>
  <c r="O21" i="162" s="1"/>
  <c r="K21" i="158"/>
  <c r="M20" i="158"/>
  <c r="K21" i="165"/>
  <c r="M20" i="165"/>
  <c r="L20" i="165"/>
  <c r="J21" i="165"/>
  <c r="S21" i="165" s="1"/>
  <c r="M20" i="149"/>
  <c r="L20" i="149"/>
  <c r="M20" i="157"/>
  <c r="K22" i="156"/>
  <c r="M21" i="156"/>
  <c r="J22" i="156"/>
  <c r="L21" i="156"/>
  <c r="M21" i="153"/>
  <c r="K22" i="153"/>
  <c r="L21" i="153"/>
  <c r="J22" i="153"/>
  <c r="G21" i="220"/>
  <c r="L21" i="220" s="1"/>
  <c r="H20" i="220"/>
  <c r="G21" i="244"/>
  <c r="H20" i="244"/>
  <c r="G22" i="203"/>
  <c r="H21" i="203"/>
  <c r="J21" i="159" l="1"/>
  <c r="S21" i="159" s="1"/>
  <c r="K22" i="208"/>
  <c r="M21" i="208"/>
  <c r="L20" i="159"/>
  <c r="J21" i="197"/>
  <c r="K21" i="197"/>
  <c r="I22" i="197"/>
  <c r="O19" i="231"/>
  <c r="J20" i="231"/>
  <c r="L19" i="231"/>
  <c r="P21" i="251"/>
  <c r="G21" i="240"/>
  <c r="P21" i="255"/>
  <c r="P21" i="256"/>
  <c r="J21" i="164"/>
  <c r="S21" i="164" s="1"/>
  <c r="L20" i="164"/>
  <c r="Z21" i="204"/>
  <c r="K20" i="242"/>
  <c r="S20" i="163"/>
  <c r="J21" i="163"/>
  <c r="L20" i="163"/>
  <c r="O20" i="187"/>
  <c r="L20" i="187"/>
  <c r="J21" i="187"/>
  <c r="L20" i="216"/>
  <c r="H20" i="216"/>
  <c r="G21" i="216"/>
  <c r="L21" i="211"/>
  <c r="L22" i="211"/>
  <c r="J23" i="149"/>
  <c r="S22" i="149"/>
  <c r="S20" i="178"/>
  <c r="L20" i="178"/>
  <c r="J21" i="178"/>
  <c r="K21" i="231"/>
  <c r="M21" i="231" s="1"/>
  <c r="J21" i="196"/>
  <c r="K21" i="196"/>
  <c r="I22" i="196"/>
  <c r="G23" i="245"/>
  <c r="K23" i="245" s="1"/>
  <c r="H22" i="245"/>
  <c r="M21" i="177"/>
  <c r="K22" i="177"/>
  <c r="K22" i="168"/>
  <c r="M21" i="168"/>
  <c r="L21" i="177"/>
  <c r="J22" i="177"/>
  <c r="G21" i="229"/>
  <c r="H20" i="229"/>
  <c r="J20" i="232"/>
  <c r="O20" i="232" s="1"/>
  <c r="L19" i="232"/>
  <c r="J21" i="235"/>
  <c r="O20" i="235"/>
  <c r="L20" i="235"/>
  <c r="I23" i="198"/>
  <c r="J22" i="198"/>
  <c r="K22" i="198"/>
  <c r="J22" i="202"/>
  <c r="K22" i="202"/>
  <c r="I23" i="202"/>
  <c r="K21" i="199"/>
  <c r="J21" i="199"/>
  <c r="I22" i="199"/>
  <c r="H20" i="228"/>
  <c r="G21" i="228"/>
  <c r="J23" i="168"/>
  <c r="L22" i="168"/>
  <c r="K22" i="200"/>
  <c r="J22" i="200"/>
  <c r="I23" i="200"/>
  <c r="K22" i="233"/>
  <c r="M21" i="233"/>
  <c r="L21" i="233"/>
  <c r="J22" i="233"/>
  <c r="G22" i="222"/>
  <c r="H21" i="222"/>
  <c r="J21" i="172"/>
  <c r="O21" i="172" s="1"/>
  <c r="L20" i="172"/>
  <c r="L20" i="226"/>
  <c r="J21" i="226"/>
  <c r="O21" i="226" s="1"/>
  <c r="M21" i="188"/>
  <c r="K22" i="188"/>
  <c r="H20" i="215"/>
  <c r="G21" i="215"/>
  <c r="L22" i="212"/>
  <c r="H21" i="212"/>
  <c r="G23" i="236"/>
  <c r="H22" i="236"/>
  <c r="G22" i="223"/>
  <c r="L22" i="223" s="1"/>
  <c r="H21" i="223"/>
  <c r="H20" i="221"/>
  <c r="G21" i="221"/>
  <c r="L21" i="221" s="1"/>
  <c r="I22" i="254"/>
  <c r="J21" i="254"/>
  <c r="K21" i="254"/>
  <c r="K22" i="250"/>
  <c r="J22" i="250"/>
  <c r="I23" i="250"/>
  <c r="L19" i="170"/>
  <c r="J20" i="170"/>
  <c r="S20" i="170" s="1"/>
  <c r="J21" i="155"/>
  <c r="P21" i="155" s="1"/>
  <c r="L20" i="155"/>
  <c r="L20" i="234"/>
  <c r="J21" i="234"/>
  <c r="K23" i="234"/>
  <c r="M22" i="234"/>
  <c r="L19" i="157"/>
  <c r="J20" i="157"/>
  <c r="S20" i="157" s="1"/>
  <c r="L22" i="186"/>
  <c r="J23" i="186"/>
  <c r="M22" i="186"/>
  <c r="K23" i="186"/>
  <c r="M20" i="187"/>
  <c r="K21" i="187"/>
  <c r="L19" i="158"/>
  <c r="J20" i="158"/>
  <c r="O20" i="158" s="1"/>
  <c r="M19" i="160"/>
  <c r="K20" i="160"/>
  <c r="K23" i="163"/>
  <c r="M22" i="163"/>
  <c r="L22" i="218"/>
  <c r="J23" i="218"/>
  <c r="O23" i="218" s="1"/>
  <c r="M21" i="218"/>
  <c r="K22" i="218"/>
  <c r="L21" i="181"/>
  <c r="J22" i="181"/>
  <c r="O22" i="181" s="1"/>
  <c r="M20" i="181"/>
  <c r="K21" i="181"/>
  <c r="K22" i="225"/>
  <c r="M21" i="225"/>
  <c r="J22" i="225"/>
  <c r="O22" i="225" s="1"/>
  <c r="L21" i="225"/>
  <c r="J22" i="188"/>
  <c r="O22" i="188" s="1"/>
  <c r="L21" i="188"/>
  <c r="K21" i="226"/>
  <c r="M20" i="226"/>
  <c r="J22" i="190"/>
  <c r="O22" i="190" s="1"/>
  <c r="L21" i="190"/>
  <c r="M22" i="190"/>
  <c r="K23" i="190"/>
  <c r="J22" i="182"/>
  <c r="O22" i="182" s="1"/>
  <c r="L21" i="182"/>
  <c r="K24" i="180"/>
  <c r="M23" i="180"/>
  <c r="L21" i="180"/>
  <c r="J22" i="180"/>
  <c r="O22" i="180" s="1"/>
  <c r="M20" i="178"/>
  <c r="K21" i="178"/>
  <c r="K23" i="172"/>
  <c r="M22" i="172"/>
  <c r="K22" i="174"/>
  <c r="M21" i="174"/>
  <c r="J23" i="174"/>
  <c r="L22" i="174"/>
  <c r="H35" i="257"/>
  <c r="G36" i="257"/>
  <c r="G22" i="247"/>
  <c r="L22" i="247" s="1"/>
  <c r="H21" i="247"/>
  <c r="M24" i="155"/>
  <c r="K36" i="191"/>
  <c r="M35" i="191"/>
  <c r="J22" i="191"/>
  <c r="L21" i="191"/>
  <c r="K21" i="182"/>
  <c r="M20" i="182"/>
  <c r="G24" i="214"/>
  <c r="H23" i="214"/>
  <c r="G22" i="213"/>
  <c r="L22" i="213" s="1"/>
  <c r="H21" i="213"/>
  <c r="U22" i="208"/>
  <c r="M22" i="207"/>
  <c r="K23" i="207"/>
  <c r="L22" i="207"/>
  <c r="J23" i="207"/>
  <c r="H20" i="249"/>
  <c r="G22" i="246"/>
  <c r="M22" i="246" s="1"/>
  <c r="H21" i="246"/>
  <c r="P22" i="253"/>
  <c r="P22" i="251"/>
  <c r="M21" i="184"/>
  <c r="K22" i="184"/>
  <c r="M21" i="183"/>
  <c r="M21" i="173"/>
  <c r="K22" i="173"/>
  <c r="L21" i="173"/>
  <c r="J22" i="173"/>
  <c r="S22" i="173" s="1"/>
  <c r="L21" i="160"/>
  <c r="J22" i="160"/>
  <c r="S22" i="160" s="1"/>
  <c r="K22" i="159"/>
  <c r="M21" i="159"/>
  <c r="M21" i="170"/>
  <c r="K22" i="170"/>
  <c r="K23" i="166"/>
  <c r="M22" i="166"/>
  <c r="L22" i="166"/>
  <c r="J23" i="166"/>
  <c r="M21" i="164"/>
  <c r="K22" i="164"/>
  <c r="M21" i="162"/>
  <c r="K22" i="162"/>
  <c r="J22" i="162"/>
  <c r="O22" i="162" s="1"/>
  <c r="L21" i="162"/>
  <c r="K22" i="158"/>
  <c r="M21" i="158"/>
  <c r="K22" i="165"/>
  <c r="M21" i="165"/>
  <c r="J22" i="165"/>
  <c r="S22" i="165" s="1"/>
  <c r="L21" i="165"/>
  <c r="M21" i="149"/>
  <c r="L21" i="149"/>
  <c r="M21" i="157"/>
  <c r="K23" i="156"/>
  <c r="M22" i="156"/>
  <c r="L22" i="156"/>
  <c r="J23" i="156"/>
  <c r="M22" i="153"/>
  <c r="K23" i="153"/>
  <c r="L22" i="153"/>
  <c r="J23" i="153"/>
  <c r="H21" i="220"/>
  <c r="G22" i="220"/>
  <c r="L22" i="220" s="1"/>
  <c r="H21" i="244"/>
  <c r="G22" i="244"/>
  <c r="G23" i="203"/>
  <c r="H22" i="203"/>
  <c r="J22" i="159" l="1"/>
  <c r="S22" i="159" s="1"/>
  <c r="L21" i="159"/>
  <c r="M22" i="208"/>
  <c r="K23" i="208"/>
  <c r="K22" i="197"/>
  <c r="I23" i="197"/>
  <c r="J22" i="197"/>
  <c r="O20" i="231"/>
  <c r="J21" i="231"/>
  <c r="L20" i="231"/>
  <c r="P22" i="256"/>
  <c r="P22" i="255"/>
  <c r="G22" i="240"/>
  <c r="J22" i="164"/>
  <c r="S22" i="164" s="1"/>
  <c r="L21" i="164"/>
  <c r="Z22" i="204"/>
  <c r="O21" i="187"/>
  <c r="L21" i="187"/>
  <c r="J22" i="187"/>
  <c r="S21" i="163"/>
  <c r="J22" i="163"/>
  <c r="L21" i="163"/>
  <c r="L21" i="216"/>
  <c r="H21" i="216"/>
  <c r="G22" i="216"/>
  <c r="K21" i="242"/>
  <c r="J24" i="149"/>
  <c r="S23" i="149"/>
  <c r="S21" i="178"/>
  <c r="L21" i="178"/>
  <c r="J22" i="178"/>
  <c r="K22" i="231"/>
  <c r="M22" i="231" s="1"/>
  <c r="J22" i="196"/>
  <c r="K22" i="196"/>
  <c r="I23" i="196"/>
  <c r="G24" i="245"/>
  <c r="K24" i="245" s="1"/>
  <c r="H23" i="245"/>
  <c r="M22" i="177"/>
  <c r="K23" i="177"/>
  <c r="I24" i="198"/>
  <c r="K23" i="198"/>
  <c r="J23" i="198"/>
  <c r="L22" i="177"/>
  <c r="J23" i="177"/>
  <c r="J21" i="232"/>
  <c r="O21" i="232" s="1"/>
  <c r="L20" i="232"/>
  <c r="O21" i="235"/>
  <c r="L21" i="235"/>
  <c r="J22" i="235"/>
  <c r="G22" i="229"/>
  <c r="H21" i="229"/>
  <c r="K23" i="168"/>
  <c r="M22" i="168"/>
  <c r="M22" i="233"/>
  <c r="K23" i="233"/>
  <c r="K22" i="199"/>
  <c r="I23" i="199"/>
  <c r="J22" i="199"/>
  <c r="K23" i="202"/>
  <c r="I24" i="202"/>
  <c r="J23" i="202"/>
  <c r="L22" i="233"/>
  <c r="J23" i="233"/>
  <c r="K23" i="200"/>
  <c r="J23" i="200"/>
  <c r="I24" i="200"/>
  <c r="L23" i="168"/>
  <c r="J24" i="168"/>
  <c r="H21" i="228"/>
  <c r="G22" i="228"/>
  <c r="H22" i="222"/>
  <c r="G23" i="222"/>
  <c r="J22" i="172"/>
  <c r="O22" i="172" s="1"/>
  <c r="L21" i="172"/>
  <c r="J22" i="226"/>
  <c r="O22" i="226" s="1"/>
  <c r="L21" i="226"/>
  <c r="M22" i="188"/>
  <c r="K23" i="188"/>
  <c r="H21" i="215"/>
  <c r="G22" i="215"/>
  <c r="L23" i="212"/>
  <c r="H22" i="212"/>
  <c r="G24" i="236"/>
  <c r="H23" i="236"/>
  <c r="G23" i="223"/>
  <c r="L23" i="223" s="1"/>
  <c r="H22" i="223"/>
  <c r="H21" i="221"/>
  <c r="G22" i="221"/>
  <c r="L22" i="221" s="1"/>
  <c r="K22" i="254"/>
  <c r="I23" i="254"/>
  <c r="J22" i="254"/>
  <c r="I24" i="250"/>
  <c r="J23" i="250"/>
  <c r="K23" i="250"/>
  <c r="L20" i="170"/>
  <c r="J21" i="170"/>
  <c r="S21" i="170" s="1"/>
  <c r="L21" i="155"/>
  <c r="J22" i="155"/>
  <c r="P22" i="155" s="1"/>
  <c r="K24" i="234"/>
  <c r="M23" i="234"/>
  <c r="L21" i="234"/>
  <c r="J22" i="234"/>
  <c r="L20" i="157"/>
  <c r="J21" i="157"/>
  <c r="S21" i="157" s="1"/>
  <c r="L23" i="186"/>
  <c r="J24" i="186"/>
  <c r="M23" i="186"/>
  <c r="K24" i="186"/>
  <c r="M21" i="187"/>
  <c r="K22" i="187"/>
  <c r="J21" i="158"/>
  <c r="O21" i="158" s="1"/>
  <c r="L20" i="158"/>
  <c r="M20" i="160"/>
  <c r="K21" i="160"/>
  <c r="M23" i="163"/>
  <c r="K24" i="163"/>
  <c r="K23" i="218"/>
  <c r="M22" i="218"/>
  <c r="L23" i="218"/>
  <c r="J24" i="218"/>
  <c r="O24" i="218" s="1"/>
  <c r="M21" i="181"/>
  <c r="K22" i="181"/>
  <c r="L22" i="181"/>
  <c r="J23" i="181"/>
  <c r="O23" i="181" s="1"/>
  <c r="L22" i="225"/>
  <c r="J23" i="225"/>
  <c r="O23" i="225" s="1"/>
  <c r="K23" i="225"/>
  <c r="M22" i="225"/>
  <c r="J23" i="188"/>
  <c r="O23" i="188" s="1"/>
  <c r="L22" i="188"/>
  <c r="M21" i="226"/>
  <c r="K22" i="226"/>
  <c r="K24" i="190"/>
  <c r="M23" i="190"/>
  <c r="L22" i="190"/>
  <c r="J23" i="190"/>
  <c r="O23" i="190" s="1"/>
  <c r="L22" i="182"/>
  <c r="J23" i="182"/>
  <c r="O23" i="182" s="1"/>
  <c r="L22" i="180"/>
  <c r="J23" i="180"/>
  <c r="O23" i="180" s="1"/>
  <c r="M24" i="180"/>
  <c r="K25" i="180"/>
  <c r="K22" i="178"/>
  <c r="M21" i="178"/>
  <c r="K24" i="172"/>
  <c r="M23" i="172"/>
  <c r="J24" i="174"/>
  <c r="L23" i="174"/>
  <c r="M22" i="174"/>
  <c r="K23" i="174"/>
  <c r="H36" i="257"/>
  <c r="G37" i="257"/>
  <c r="G23" i="247"/>
  <c r="L23" i="247" s="1"/>
  <c r="H22" i="247"/>
  <c r="M25" i="155"/>
  <c r="K37" i="191"/>
  <c r="M36" i="191"/>
  <c r="L22" i="191"/>
  <c r="J23" i="191"/>
  <c r="M21" i="182"/>
  <c r="K22" i="182"/>
  <c r="H24" i="214"/>
  <c r="G25" i="214"/>
  <c r="G23" i="213"/>
  <c r="L23" i="213" s="1"/>
  <c r="H22" i="213"/>
  <c r="U23" i="208"/>
  <c r="M23" i="207"/>
  <c r="K24" i="207"/>
  <c r="L23" i="207"/>
  <c r="J24" i="207"/>
  <c r="H21" i="249"/>
  <c r="G23" i="246"/>
  <c r="M23" i="246" s="1"/>
  <c r="H22" i="246"/>
  <c r="P23" i="253"/>
  <c r="P23" i="251"/>
  <c r="K23" i="184"/>
  <c r="M22" i="184"/>
  <c r="M22" i="183"/>
  <c r="M22" i="173"/>
  <c r="K23" i="173"/>
  <c r="L22" i="173"/>
  <c r="J23" i="173"/>
  <c r="S23" i="173" s="1"/>
  <c r="L22" i="160"/>
  <c r="J23" i="160"/>
  <c r="S23" i="160" s="1"/>
  <c r="K23" i="159"/>
  <c r="M22" i="159"/>
  <c r="L22" i="159"/>
  <c r="M22" i="170"/>
  <c r="K23" i="170"/>
  <c r="K24" i="166"/>
  <c r="M23" i="166"/>
  <c r="L23" i="166"/>
  <c r="J24" i="166"/>
  <c r="M22" i="164"/>
  <c r="K23" i="164"/>
  <c r="J23" i="164"/>
  <c r="S23" i="164" s="1"/>
  <c r="M22" i="162"/>
  <c r="K23" i="162"/>
  <c r="J23" i="162"/>
  <c r="O23" i="162" s="1"/>
  <c r="L22" i="162"/>
  <c r="K23" i="158"/>
  <c r="M22" i="158"/>
  <c r="K23" i="165"/>
  <c r="M22" i="165"/>
  <c r="J23" i="165"/>
  <c r="S23" i="165" s="1"/>
  <c r="L22" i="165"/>
  <c r="M22" i="149"/>
  <c r="L22" i="149"/>
  <c r="M22" i="157"/>
  <c r="K24" i="156"/>
  <c r="M23" i="156"/>
  <c r="L23" i="156"/>
  <c r="J24" i="156"/>
  <c r="M23" i="153"/>
  <c r="K24" i="153"/>
  <c r="J24" i="153"/>
  <c r="L23" i="153"/>
  <c r="G23" i="220"/>
  <c r="L23" i="220" s="1"/>
  <c r="H22" i="220"/>
  <c r="L23" i="211"/>
  <c r="G23" i="244"/>
  <c r="H22" i="244"/>
  <c r="G24" i="203"/>
  <c r="H23" i="203"/>
  <c r="J23" i="159" l="1"/>
  <c r="S23" i="159" s="1"/>
  <c r="K24" i="208"/>
  <c r="M23" i="208"/>
  <c r="K23" i="197"/>
  <c r="I24" i="197"/>
  <c r="J23" i="197"/>
  <c r="O21" i="231"/>
  <c r="J22" i="231"/>
  <c r="L21" i="231"/>
  <c r="P23" i="256"/>
  <c r="P23" i="255"/>
  <c r="G23" i="240"/>
  <c r="L22" i="164"/>
  <c r="Z23" i="204"/>
  <c r="K22" i="242"/>
  <c r="O22" i="187"/>
  <c r="L22" i="187"/>
  <c r="J23" i="187"/>
  <c r="L22" i="216"/>
  <c r="H22" i="216"/>
  <c r="G23" i="216"/>
  <c r="S22" i="163"/>
  <c r="L22" i="163"/>
  <c r="J23" i="163"/>
  <c r="J25" i="149"/>
  <c r="S24" i="149"/>
  <c r="S22" i="178"/>
  <c r="J23" i="178"/>
  <c r="L22" i="178"/>
  <c r="K23" i="231"/>
  <c r="M23" i="231" s="1"/>
  <c r="K23" i="196"/>
  <c r="I24" i="196"/>
  <c r="J23" i="196"/>
  <c r="H24" i="245"/>
  <c r="G25" i="245"/>
  <c r="K25" i="245" s="1"/>
  <c r="M23" i="177"/>
  <c r="K24" i="177"/>
  <c r="H22" i="229"/>
  <c r="G23" i="229"/>
  <c r="O22" i="235"/>
  <c r="J23" i="235"/>
  <c r="L22" i="235"/>
  <c r="L21" i="232"/>
  <c r="J22" i="232"/>
  <c r="O22" i="232" s="1"/>
  <c r="M23" i="168"/>
  <c r="K24" i="168"/>
  <c r="L23" i="177"/>
  <c r="J24" i="177"/>
  <c r="K24" i="198"/>
  <c r="J24" i="198"/>
  <c r="I25" i="198"/>
  <c r="I25" i="202"/>
  <c r="J24" i="202"/>
  <c r="K24" i="202"/>
  <c r="K24" i="233"/>
  <c r="M23" i="233"/>
  <c r="J25" i="168"/>
  <c r="L24" i="168"/>
  <c r="L23" i="233"/>
  <c r="J24" i="233"/>
  <c r="J23" i="199"/>
  <c r="I24" i="199"/>
  <c r="K23" i="199"/>
  <c r="H22" i="228"/>
  <c r="G23" i="228"/>
  <c r="I25" i="200"/>
  <c r="K24" i="200"/>
  <c r="J24" i="200"/>
  <c r="G24" i="222"/>
  <c r="H23" i="222"/>
  <c r="L22" i="172"/>
  <c r="J23" i="172"/>
  <c r="O23" i="172" s="1"/>
  <c r="L22" i="226"/>
  <c r="J23" i="226"/>
  <c r="O23" i="226" s="1"/>
  <c r="M23" i="188"/>
  <c r="K24" i="188"/>
  <c r="H22" i="215"/>
  <c r="G23" i="215"/>
  <c r="L24" i="212"/>
  <c r="H23" i="212"/>
  <c r="G25" i="236"/>
  <c r="H24" i="236"/>
  <c r="G24" i="223"/>
  <c r="L24" i="223" s="1"/>
  <c r="H23" i="223"/>
  <c r="H22" i="221"/>
  <c r="G23" i="221"/>
  <c r="L23" i="221" s="1"/>
  <c r="K23" i="254"/>
  <c r="I24" i="254"/>
  <c r="J23" i="254"/>
  <c r="J24" i="250"/>
  <c r="K24" i="250"/>
  <c r="I25" i="250"/>
  <c r="J22" i="170"/>
  <c r="S22" i="170" s="1"/>
  <c r="L21" i="170"/>
  <c r="L22" i="155"/>
  <c r="J23" i="155"/>
  <c r="P23" i="155" s="1"/>
  <c r="L22" i="234"/>
  <c r="J23" i="234"/>
  <c r="K25" i="234"/>
  <c r="M24" i="234"/>
  <c r="L21" i="157"/>
  <c r="J22" i="157"/>
  <c r="S22" i="157" s="1"/>
  <c r="L24" i="186"/>
  <c r="J25" i="186"/>
  <c r="M24" i="186"/>
  <c r="K25" i="186"/>
  <c r="M22" i="187"/>
  <c r="K23" i="187"/>
  <c r="J22" i="158"/>
  <c r="O22" i="158" s="1"/>
  <c r="L21" i="158"/>
  <c r="K22" i="160"/>
  <c r="M21" i="160"/>
  <c r="M24" i="163"/>
  <c r="K25" i="163"/>
  <c r="L24" i="218"/>
  <c r="J25" i="218"/>
  <c r="O25" i="218" s="1"/>
  <c r="K24" i="218"/>
  <c r="M23" i="218"/>
  <c r="J24" i="181"/>
  <c r="O24" i="181" s="1"/>
  <c r="L23" i="181"/>
  <c r="K23" i="181"/>
  <c r="M22" i="181"/>
  <c r="K24" i="225"/>
  <c r="M23" i="225"/>
  <c r="J24" i="225"/>
  <c r="O24" i="225" s="1"/>
  <c r="L23" i="225"/>
  <c r="J24" i="188"/>
  <c r="O24" i="188" s="1"/>
  <c r="L23" i="188"/>
  <c r="M22" i="226"/>
  <c r="K23" i="226"/>
  <c r="L23" i="190"/>
  <c r="J24" i="190"/>
  <c r="O24" i="190" s="1"/>
  <c r="M24" i="190"/>
  <c r="K25" i="190"/>
  <c r="L23" i="182"/>
  <c r="J24" i="182"/>
  <c r="O24" i="182" s="1"/>
  <c r="K26" i="180"/>
  <c r="M25" i="180"/>
  <c r="L23" i="180"/>
  <c r="J24" i="180"/>
  <c r="O24" i="180" s="1"/>
  <c r="K23" i="178"/>
  <c r="M22" i="178"/>
  <c r="M24" i="172"/>
  <c r="K25" i="172"/>
  <c r="M23" i="174"/>
  <c r="K24" i="174"/>
  <c r="L24" i="174"/>
  <c r="J25" i="174"/>
  <c r="H37" i="257"/>
  <c r="G38" i="257"/>
  <c r="H23" i="247"/>
  <c r="G24" i="247"/>
  <c r="L24" i="247" s="1"/>
  <c r="M26" i="155"/>
  <c r="K38" i="191"/>
  <c r="M37" i="191"/>
  <c r="J24" i="191"/>
  <c r="L23" i="191"/>
  <c r="K23" i="182"/>
  <c r="M22" i="182"/>
  <c r="G26" i="214"/>
  <c r="H25" i="214"/>
  <c r="G24" i="213"/>
  <c r="L24" i="213" s="1"/>
  <c r="H23" i="213"/>
  <c r="U24" i="208"/>
  <c r="M24" i="207"/>
  <c r="K25" i="207"/>
  <c r="L24" i="207"/>
  <c r="J25" i="207"/>
  <c r="H22" i="249"/>
  <c r="G24" i="246"/>
  <c r="M24" i="246" s="1"/>
  <c r="H23" i="246"/>
  <c r="P24" i="253"/>
  <c r="P24" i="251"/>
  <c r="M23" i="184"/>
  <c r="K24" i="184"/>
  <c r="M23" i="183"/>
  <c r="M23" i="173"/>
  <c r="K24" i="173"/>
  <c r="L23" i="173"/>
  <c r="J24" i="173"/>
  <c r="S24" i="173" s="1"/>
  <c r="L23" i="160"/>
  <c r="J24" i="160"/>
  <c r="S24" i="160" s="1"/>
  <c r="K24" i="159"/>
  <c r="M23" i="159"/>
  <c r="J24" i="159"/>
  <c r="S24" i="159" s="1"/>
  <c r="K24" i="170"/>
  <c r="M23" i="170"/>
  <c r="K25" i="166"/>
  <c r="M24" i="166"/>
  <c r="L24" i="166"/>
  <c r="J25" i="166"/>
  <c r="M23" i="164"/>
  <c r="K24" i="164"/>
  <c r="L23" i="164"/>
  <c r="J24" i="164"/>
  <c r="S24" i="164" s="1"/>
  <c r="M23" i="162"/>
  <c r="K24" i="162"/>
  <c r="L23" i="162"/>
  <c r="J24" i="162"/>
  <c r="O24" i="162" s="1"/>
  <c r="K24" i="158"/>
  <c r="M23" i="158"/>
  <c r="K24" i="165"/>
  <c r="M23" i="165"/>
  <c r="J24" i="165"/>
  <c r="S24" i="165" s="1"/>
  <c r="L23" i="165"/>
  <c r="M23" i="149"/>
  <c r="L23" i="149"/>
  <c r="M23" i="157"/>
  <c r="K25" i="156"/>
  <c r="M24" i="156"/>
  <c r="L24" i="156"/>
  <c r="J25" i="156"/>
  <c r="M24" i="153"/>
  <c r="K25" i="153"/>
  <c r="L24" i="153"/>
  <c r="J25" i="153"/>
  <c r="H23" i="220"/>
  <c r="G24" i="220"/>
  <c r="L24" i="220" s="1"/>
  <c r="L24" i="211"/>
  <c r="H23" i="244"/>
  <c r="G24" i="244"/>
  <c r="H24" i="203"/>
  <c r="G25" i="203"/>
  <c r="L23" i="159" l="1"/>
  <c r="M24" i="208"/>
  <c r="K25" i="208"/>
  <c r="J24" i="197"/>
  <c r="K24" i="197"/>
  <c r="I25" i="197"/>
  <c r="O22" i="231"/>
  <c r="L22" i="231"/>
  <c r="J23" i="231"/>
  <c r="P24" i="255"/>
  <c r="P24" i="256"/>
  <c r="G24" i="240"/>
  <c r="Z24" i="204"/>
  <c r="K23" i="242"/>
  <c r="L23" i="216"/>
  <c r="G24" i="216"/>
  <c r="H23" i="216"/>
  <c r="S23" i="163"/>
  <c r="L23" i="163"/>
  <c r="J24" i="163"/>
  <c r="O23" i="187"/>
  <c r="L23" i="187"/>
  <c r="J24" i="187"/>
  <c r="J26" i="149"/>
  <c r="S25" i="149"/>
  <c r="S23" i="178"/>
  <c r="J24" i="178"/>
  <c r="L23" i="178"/>
  <c r="K24" i="231"/>
  <c r="M24" i="231" s="1"/>
  <c r="I25" i="196"/>
  <c r="J24" i="196"/>
  <c r="K24" i="196"/>
  <c r="H25" i="245"/>
  <c r="G26" i="245"/>
  <c r="K26" i="245" s="1"/>
  <c r="M24" i="177"/>
  <c r="K25" i="177"/>
  <c r="O23" i="235"/>
  <c r="L23" i="235"/>
  <c r="J24" i="235"/>
  <c r="J25" i="177"/>
  <c r="L24" i="177"/>
  <c r="J23" i="232"/>
  <c r="O23" i="232" s="1"/>
  <c r="L22" i="232"/>
  <c r="J25" i="198"/>
  <c r="K25" i="198"/>
  <c r="I26" i="198"/>
  <c r="G24" i="229"/>
  <c r="H23" i="229"/>
  <c r="K25" i="168"/>
  <c r="M24" i="168"/>
  <c r="L24" i="233"/>
  <c r="J25" i="233"/>
  <c r="I26" i="200"/>
  <c r="K25" i="200"/>
  <c r="J25" i="200"/>
  <c r="G24" i="228"/>
  <c r="H23" i="228"/>
  <c r="J24" i="199"/>
  <c r="K24" i="199"/>
  <c r="I25" i="199"/>
  <c r="M24" i="233"/>
  <c r="K25" i="233"/>
  <c r="L25" i="168"/>
  <c r="J26" i="168"/>
  <c r="I26" i="202"/>
  <c r="J25" i="202"/>
  <c r="K25" i="202"/>
  <c r="H24" i="222"/>
  <c r="G25" i="222"/>
  <c r="L23" i="172"/>
  <c r="J24" i="172"/>
  <c r="O24" i="172" s="1"/>
  <c r="J24" i="226"/>
  <c r="O24" i="226" s="1"/>
  <c r="L23" i="226"/>
  <c r="K25" i="188"/>
  <c r="M24" i="188"/>
  <c r="H23" i="215"/>
  <c r="G24" i="215"/>
  <c r="H24" i="212"/>
  <c r="G26" i="236"/>
  <c r="H25" i="236"/>
  <c r="G25" i="223"/>
  <c r="L25" i="223" s="1"/>
  <c r="H24" i="223"/>
  <c r="G24" i="221"/>
  <c r="L24" i="221" s="1"/>
  <c r="H23" i="221"/>
  <c r="I25" i="254"/>
  <c r="K24" i="254"/>
  <c r="J24" i="254"/>
  <c r="I26" i="250"/>
  <c r="J25" i="250"/>
  <c r="K25" i="250"/>
  <c r="L22" i="170"/>
  <c r="J23" i="170"/>
  <c r="S23" i="170" s="1"/>
  <c r="J24" i="155"/>
  <c r="P24" i="155" s="1"/>
  <c r="L23" i="155"/>
  <c r="K26" i="234"/>
  <c r="M25" i="234"/>
  <c r="L23" i="234"/>
  <c r="J24" i="234"/>
  <c r="L22" i="157"/>
  <c r="J23" i="157"/>
  <c r="S23" i="157" s="1"/>
  <c r="L25" i="186"/>
  <c r="J26" i="186"/>
  <c r="M25" i="186"/>
  <c r="K26" i="186"/>
  <c r="M23" i="187"/>
  <c r="K24" i="187"/>
  <c r="J23" i="158"/>
  <c r="O23" i="158" s="1"/>
  <c r="L22" i="158"/>
  <c r="M22" i="160"/>
  <c r="K23" i="160"/>
  <c r="M25" i="163"/>
  <c r="K26" i="163"/>
  <c r="M24" i="218"/>
  <c r="K25" i="218"/>
  <c r="L25" i="218"/>
  <c r="J26" i="218"/>
  <c r="O26" i="218" s="1"/>
  <c r="K24" i="181"/>
  <c r="M23" i="181"/>
  <c r="L24" i="181"/>
  <c r="J25" i="181"/>
  <c r="O25" i="181" s="1"/>
  <c r="L24" i="225"/>
  <c r="J25" i="225"/>
  <c r="O25" i="225" s="1"/>
  <c r="K25" i="225"/>
  <c r="M24" i="225"/>
  <c r="J25" i="188"/>
  <c r="O25" i="188" s="1"/>
  <c r="L24" i="188"/>
  <c r="M23" i="226"/>
  <c r="K24" i="226"/>
  <c r="K26" i="190"/>
  <c r="M25" i="190"/>
  <c r="L24" i="190"/>
  <c r="J25" i="190"/>
  <c r="O25" i="190" s="1"/>
  <c r="L24" i="182"/>
  <c r="J25" i="182"/>
  <c r="O25" i="182" s="1"/>
  <c r="J25" i="180"/>
  <c r="O25" i="180" s="1"/>
  <c r="L24" i="180"/>
  <c r="M26" i="180"/>
  <c r="K27" i="180"/>
  <c r="M23" i="178"/>
  <c r="K24" i="178"/>
  <c r="K26" i="172"/>
  <c r="M25" i="172"/>
  <c r="L25" i="174"/>
  <c r="J26" i="174"/>
  <c r="M24" i="174"/>
  <c r="K25" i="174"/>
  <c r="H38" i="257"/>
  <c r="G39" i="257"/>
  <c r="G25" i="247"/>
  <c r="L25" i="247" s="1"/>
  <c r="H24" i="247"/>
  <c r="M27" i="155"/>
  <c r="K39" i="191"/>
  <c r="M38" i="191"/>
  <c r="L24" i="191"/>
  <c r="J25" i="191"/>
  <c r="M23" i="182"/>
  <c r="K24" i="182"/>
  <c r="G27" i="214"/>
  <c r="H26" i="214"/>
  <c r="H24" i="213"/>
  <c r="G25" i="213"/>
  <c r="L25" i="213" s="1"/>
  <c r="U25" i="208"/>
  <c r="M25" i="207"/>
  <c r="K26" i="207"/>
  <c r="L25" i="207"/>
  <c r="J26" i="207"/>
  <c r="H23" i="249"/>
  <c r="G25" i="246"/>
  <c r="M25" i="246" s="1"/>
  <c r="H24" i="246"/>
  <c r="P25" i="253"/>
  <c r="P25" i="251"/>
  <c r="M24" i="184"/>
  <c r="K25" i="184"/>
  <c r="M24" i="183"/>
  <c r="M24" i="173"/>
  <c r="K25" i="173"/>
  <c r="L24" i="173"/>
  <c r="J25" i="173"/>
  <c r="S25" i="173" s="1"/>
  <c r="L24" i="160"/>
  <c r="J25" i="160"/>
  <c r="S25" i="160" s="1"/>
  <c r="K25" i="159"/>
  <c r="M24" i="159"/>
  <c r="J25" i="159"/>
  <c r="S25" i="159" s="1"/>
  <c r="L24" i="159"/>
  <c r="M24" i="170"/>
  <c r="K25" i="170"/>
  <c r="K26" i="166"/>
  <c r="M25" i="166"/>
  <c r="L25" i="166"/>
  <c r="J26" i="166"/>
  <c r="K25" i="164"/>
  <c r="M24" i="164"/>
  <c r="L24" i="164"/>
  <c r="J25" i="164"/>
  <c r="S25" i="164" s="1"/>
  <c r="M24" i="162"/>
  <c r="K25" i="162"/>
  <c r="L24" i="162"/>
  <c r="J25" i="162"/>
  <c r="O25" i="162" s="1"/>
  <c r="K25" i="158"/>
  <c r="M24" i="158"/>
  <c r="K25" i="165"/>
  <c r="M24" i="165"/>
  <c r="J25" i="165"/>
  <c r="S25" i="165" s="1"/>
  <c r="L24" i="165"/>
  <c r="M24" i="149"/>
  <c r="L24" i="149"/>
  <c r="M24" i="157"/>
  <c r="K26" i="156"/>
  <c r="M25" i="156"/>
  <c r="J26" i="156"/>
  <c r="L25" i="156"/>
  <c r="M25" i="153"/>
  <c r="K26" i="153"/>
  <c r="L25" i="153"/>
  <c r="J26" i="153"/>
  <c r="G25" i="220"/>
  <c r="L25" i="220" s="1"/>
  <c r="H24" i="220"/>
  <c r="L25" i="211"/>
  <c r="G25" i="244"/>
  <c r="H24" i="244"/>
  <c r="G26" i="203"/>
  <c r="H25" i="203"/>
  <c r="M25" i="208" l="1"/>
  <c r="K26" i="208"/>
  <c r="I26" i="197"/>
  <c r="J25" i="197"/>
  <c r="K25" i="197"/>
  <c r="O23" i="231"/>
  <c r="L23" i="231"/>
  <c r="J24" i="231"/>
  <c r="P25" i="255"/>
  <c r="P25" i="256"/>
  <c r="G25" i="240"/>
  <c r="Z25" i="204"/>
  <c r="S24" i="163"/>
  <c r="J25" i="163"/>
  <c r="L24" i="163"/>
  <c r="L24" i="216"/>
  <c r="G25" i="216"/>
  <c r="H24" i="216"/>
  <c r="O24" i="187"/>
  <c r="J25" i="187"/>
  <c r="L24" i="187"/>
  <c r="K24" i="242"/>
  <c r="J27" i="149"/>
  <c r="S26" i="149"/>
  <c r="S24" i="178"/>
  <c r="L24" i="178"/>
  <c r="J25" i="178"/>
  <c r="L25" i="212"/>
  <c r="K25" i="231"/>
  <c r="M25" i="231" s="1"/>
  <c r="I26" i="196"/>
  <c r="J25" i="196"/>
  <c r="K25" i="196"/>
  <c r="G27" i="245"/>
  <c r="K27" i="245" s="1"/>
  <c r="H26" i="245"/>
  <c r="K26" i="177"/>
  <c r="M25" i="177"/>
  <c r="J26" i="177"/>
  <c r="L25" i="177"/>
  <c r="H24" i="229"/>
  <c r="G25" i="229"/>
  <c r="L24" i="235"/>
  <c r="O24" i="235"/>
  <c r="J25" i="235"/>
  <c r="I27" i="198"/>
  <c r="K26" i="198"/>
  <c r="J26" i="198"/>
  <c r="J24" i="232"/>
  <c r="O24" i="232" s="1"/>
  <c r="L23" i="232"/>
  <c r="K26" i="168"/>
  <c r="M25" i="168"/>
  <c r="J27" i="168"/>
  <c r="L26" i="168"/>
  <c r="K26" i="233"/>
  <c r="M25" i="233"/>
  <c r="K26" i="200"/>
  <c r="J26" i="200"/>
  <c r="I27" i="200"/>
  <c r="L25" i="233"/>
  <c r="J26" i="233"/>
  <c r="J26" i="202"/>
  <c r="K26" i="202"/>
  <c r="I27" i="202"/>
  <c r="H24" i="228"/>
  <c r="G25" i="228"/>
  <c r="K25" i="199"/>
  <c r="J25" i="199"/>
  <c r="I26" i="199"/>
  <c r="G26" i="222"/>
  <c r="H25" i="222"/>
  <c r="J25" i="172"/>
  <c r="O25" i="172" s="1"/>
  <c r="L24" i="172"/>
  <c r="L24" i="226"/>
  <c r="J25" i="226"/>
  <c r="O25" i="226" s="1"/>
  <c r="M25" i="188"/>
  <c r="K26" i="188"/>
  <c r="H24" i="215"/>
  <c r="G25" i="215"/>
  <c r="H25" i="212"/>
  <c r="G27" i="236"/>
  <c r="H26" i="236"/>
  <c r="G26" i="223"/>
  <c r="L26" i="223" s="1"/>
  <c r="H25" i="223"/>
  <c r="H24" i="221"/>
  <c r="G25" i="221"/>
  <c r="L25" i="221" s="1"/>
  <c r="I26" i="254"/>
  <c r="K25" i="254"/>
  <c r="J25" i="254"/>
  <c r="J26" i="250"/>
  <c r="K26" i="250"/>
  <c r="I27" i="250"/>
  <c r="L23" i="170"/>
  <c r="J24" i="170"/>
  <c r="S24" i="170" s="1"/>
  <c r="L24" i="155"/>
  <c r="J25" i="155"/>
  <c r="P25" i="155" s="1"/>
  <c r="L24" i="234"/>
  <c r="J25" i="234"/>
  <c r="K27" i="234"/>
  <c r="M26" i="234"/>
  <c r="L23" i="157"/>
  <c r="J24" i="157"/>
  <c r="S24" i="157" s="1"/>
  <c r="L26" i="186"/>
  <c r="J27" i="186"/>
  <c r="M26" i="186"/>
  <c r="K27" i="186"/>
  <c r="M24" i="187"/>
  <c r="K25" i="187"/>
  <c r="L23" i="158"/>
  <c r="J24" i="158"/>
  <c r="O24" i="158" s="1"/>
  <c r="M23" i="160"/>
  <c r="K24" i="160"/>
  <c r="M26" i="163"/>
  <c r="K27" i="163"/>
  <c r="L26" i="218"/>
  <c r="J27" i="218"/>
  <c r="O27" i="218" s="1"/>
  <c r="M25" i="218"/>
  <c r="K26" i="218"/>
  <c r="L25" i="181"/>
  <c r="J26" i="181"/>
  <c r="O26" i="181" s="1"/>
  <c r="M24" i="181"/>
  <c r="K25" i="181"/>
  <c r="K26" i="225"/>
  <c r="M25" i="225"/>
  <c r="J26" i="225"/>
  <c r="O26" i="225" s="1"/>
  <c r="L25" i="225"/>
  <c r="J26" i="188"/>
  <c r="O26" i="188" s="1"/>
  <c r="L25" i="188"/>
  <c r="K25" i="226"/>
  <c r="M24" i="226"/>
  <c r="J26" i="190"/>
  <c r="O26" i="190" s="1"/>
  <c r="L25" i="190"/>
  <c r="M26" i="190"/>
  <c r="K27" i="190"/>
  <c r="J26" i="182"/>
  <c r="O26" i="182" s="1"/>
  <c r="L25" i="182"/>
  <c r="M27" i="180"/>
  <c r="K28" i="180"/>
  <c r="L25" i="180"/>
  <c r="J26" i="180"/>
  <c r="O26" i="180" s="1"/>
  <c r="K25" i="178"/>
  <c r="M24" i="178"/>
  <c r="M26" i="172"/>
  <c r="K27" i="172"/>
  <c r="K26" i="174"/>
  <c r="M25" i="174"/>
  <c r="J27" i="174"/>
  <c r="L26" i="174"/>
  <c r="H39" i="257"/>
  <c r="G40" i="257"/>
  <c r="H25" i="247"/>
  <c r="G26" i="247"/>
  <c r="L26" i="247" s="1"/>
  <c r="M28" i="155"/>
  <c r="K40" i="191"/>
  <c r="M39" i="191"/>
  <c r="J26" i="191"/>
  <c r="L25" i="191"/>
  <c r="M24" i="182"/>
  <c r="K25" i="182"/>
  <c r="H27" i="214"/>
  <c r="G28" i="214"/>
  <c r="G26" i="213"/>
  <c r="L26" i="213" s="1"/>
  <c r="H25" i="213"/>
  <c r="U26" i="208"/>
  <c r="M26" i="207"/>
  <c r="K27" i="207"/>
  <c r="L26" i="207"/>
  <c r="J27" i="207"/>
  <c r="H24" i="249"/>
  <c r="H25" i="246"/>
  <c r="G26" i="246"/>
  <c r="M26" i="246" s="1"/>
  <c r="P26" i="253"/>
  <c r="P26" i="251"/>
  <c r="P26" i="256"/>
  <c r="M25" i="184"/>
  <c r="K26" i="184"/>
  <c r="M25" i="183"/>
  <c r="M25" i="173"/>
  <c r="K26" i="173"/>
  <c r="L25" i="173"/>
  <c r="J26" i="173"/>
  <c r="S26" i="173" s="1"/>
  <c r="L25" i="160"/>
  <c r="J26" i="160"/>
  <c r="S26" i="160" s="1"/>
  <c r="K26" i="159"/>
  <c r="M25" i="159"/>
  <c r="L25" i="159"/>
  <c r="J26" i="159"/>
  <c r="S26" i="159" s="1"/>
  <c r="M25" i="170"/>
  <c r="K26" i="170"/>
  <c r="K27" i="166"/>
  <c r="M26" i="166"/>
  <c r="J27" i="166"/>
  <c r="L26" i="166"/>
  <c r="M25" i="164"/>
  <c r="K26" i="164"/>
  <c r="J26" i="164"/>
  <c r="S26" i="164" s="1"/>
  <c r="L25" i="164"/>
  <c r="M25" i="162"/>
  <c r="K26" i="162"/>
  <c r="J26" i="162"/>
  <c r="O26" i="162" s="1"/>
  <c r="L25" i="162"/>
  <c r="K26" i="158"/>
  <c r="M25" i="158"/>
  <c r="K26" i="165"/>
  <c r="M25" i="165"/>
  <c r="J26" i="165"/>
  <c r="S26" i="165" s="1"/>
  <c r="L25" i="165"/>
  <c r="M25" i="149"/>
  <c r="L25" i="149"/>
  <c r="M25" i="157"/>
  <c r="K27" i="156"/>
  <c r="M26" i="156"/>
  <c r="L26" i="156"/>
  <c r="J27" i="156"/>
  <c r="M26" i="153"/>
  <c r="K27" i="153"/>
  <c r="J27" i="153"/>
  <c r="L26" i="153"/>
  <c r="H25" i="220"/>
  <c r="G26" i="220"/>
  <c r="L26" i="220" s="1"/>
  <c r="L26" i="211"/>
  <c r="H25" i="244"/>
  <c r="G26" i="244"/>
  <c r="H26" i="203"/>
  <c r="G27" i="203"/>
  <c r="M26" i="208" l="1"/>
  <c r="K27" i="208"/>
  <c r="K26" i="197"/>
  <c r="I27" i="197"/>
  <c r="J26" i="197"/>
  <c r="O24" i="231"/>
  <c r="J25" i="231"/>
  <c r="L24" i="231"/>
  <c r="P26" i="255"/>
  <c r="G26" i="240"/>
  <c r="Z26" i="204"/>
  <c r="O25" i="187"/>
  <c r="J26" i="187"/>
  <c r="L25" i="187"/>
  <c r="K25" i="242"/>
  <c r="S25" i="163"/>
  <c r="J26" i="163"/>
  <c r="L25" i="163"/>
  <c r="L25" i="216"/>
  <c r="G26" i="216"/>
  <c r="H25" i="216"/>
  <c r="S27" i="149"/>
  <c r="J28" i="149"/>
  <c r="S25" i="178"/>
  <c r="J26" i="178"/>
  <c r="L25" i="178"/>
  <c r="L27" i="212"/>
  <c r="L26" i="212"/>
  <c r="K26" i="231"/>
  <c r="M26" i="231" s="1"/>
  <c r="K26" i="196"/>
  <c r="J26" i="196"/>
  <c r="I27" i="196"/>
  <c r="H27" i="245"/>
  <c r="G28" i="245"/>
  <c r="K28" i="245" s="1"/>
  <c r="M26" i="177"/>
  <c r="K27" i="177"/>
  <c r="J27" i="198"/>
  <c r="K27" i="198"/>
  <c r="I28" i="198"/>
  <c r="H25" i="229"/>
  <c r="G26" i="229"/>
  <c r="J25" i="232"/>
  <c r="O25" i="232" s="1"/>
  <c r="L24" i="232"/>
  <c r="J26" i="235"/>
  <c r="O25" i="235"/>
  <c r="L25" i="235"/>
  <c r="M26" i="168"/>
  <c r="K27" i="168"/>
  <c r="L26" i="177"/>
  <c r="J27" i="177"/>
  <c r="K27" i="200"/>
  <c r="J27" i="200"/>
  <c r="I28" i="200"/>
  <c r="K26" i="199"/>
  <c r="J26" i="199"/>
  <c r="I27" i="199"/>
  <c r="H25" i="228"/>
  <c r="G26" i="228"/>
  <c r="L26" i="233"/>
  <c r="J27" i="233"/>
  <c r="M26" i="233"/>
  <c r="K27" i="233"/>
  <c r="K27" i="202"/>
  <c r="I28" i="202"/>
  <c r="J27" i="202"/>
  <c r="L27" i="168"/>
  <c r="J28" i="168"/>
  <c r="H26" i="222"/>
  <c r="G27" i="222"/>
  <c r="L25" i="172"/>
  <c r="J26" i="172"/>
  <c r="O26" i="172" s="1"/>
  <c r="J26" i="226"/>
  <c r="O26" i="226" s="1"/>
  <c r="L25" i="226"/>
  <c r="M26" i="188"/>
  <c r="K27" i="188"/>
  <c r="H25" i="215"/>
  <c r="G26" i="215"/>
  <c r="H26" i="212"/>
  <c r="G28" i="236"/>
  <c r="H27" i="236"/>
  <c r="G27" i="223"/>
  <c r="L27" i="223" s="1"/>
  <c r="H26" i="223"/>
  <c r="H25" i="221"/>
  <c r="G26" i="221"/>
  <c r="L26" i="221" s="1"/>
  <c r="K26" i="254"/>
  <c r="J26" i="254"/>
  <c r="I27" i="254"/>
  <c r="J27" i="250"/>
  <c r="K27" i="250"/>
  <c r="I28" i="250"/>
  <c r="J25" i="170"/>
  <c r="S25" i="170" s="1"/>
  <c r="L24" i="170"/>
  <c r="J26" i="155"/>
  <c r="P26" i="155" s="1"/>
  <c r="L25" i="155"/>
  <c r="K28" i="234"/>
  <c r="M27" i="234"/>
  <c r="L25" i="234"/>
  <c r="J26" i="234"/>
  <c r="L24" i="157"/>
  <c r="J25" i="157"/>
  <c r="S25" i="157" s="1"/>
  <c r="L27" i="186"/>
  <c r="J28" i="186"/>
  <c r="M27" i="186"/>
  <c r="K28" i="186"/>
  <c r="M25" i="187"/>
  <c r="K26" i="187"/>
  <c r="J25" i="158"/>
  <c r="O25" i="158" s="1"/>
  <c r="L24" i="158"/>
  <c r="K25" i="160"/>
  <c r="M24" i="160"/>
  <c r="M27" i="163"/>
  <c r="K28" i="163"/>
  <c r="K27" i="218"/>
  <c r="M26" i="218"/>
  <c r="L27" i="218"/>
  <c r="J28" i="218"/>
  <c r="O28" i="218" s="1"/>
  <c r="M25" i="181"/>
  <c r="K26" i="181"/>
  <c r="L26" i="181"/>
  <c r="J27" i="181"/>
  <c r="O27" i="181" s="1"/>
  <c r="L26" i="225"/>
  <c r="J27" i="225"/>
  <c r="O27" i="225" s="1"/>
  <c r="K27" i="225"/>
  <c r="M26" i="225"/>
  <c r="J27" i="188"/>
  <c r="O27" i="188" s="1"/>
  <c r="L26" i="188"/>
  <c r="M25" i="226"/>
  <c r="K26" i="226"/>
  <c r="K28" i="190"/>
  <c r="M27" i="190"/>
  <c r="L26" i="190"/>
  <c r="J27" i="190"/>
  <c r="O27" i="190" s="1"/>
  <c r="L26" i="182"/>
  <c r="J27" i="182"/>
  <c r="O27" i="182" s="1"/>
  <c r="L26" i="180"/>
  <c r="J27" i="180"/>
  <c r="O27" i="180" s="1"/>
  <c r="M28" i="180"/>
  <c r="K29" i="180"/>
  <c r="M25" i="178"/>
  <c r="K26" i="178"/>
  <c r="K28" i="172"/>
  <c r="M27" i="172"/>
  <c r="J28" i="174"/>
  <c r="L27" i="174"/>
  <c r="M26" i="174"/>
  <c r="K27" i="174"/>
  <c r="H26" i="247"/>
  <c r="G27" i="247"/>
  <c r="M29" i="155"/>
  <c r="K41" i="191"/>
  <c r="M40" i="191"/>
  <c r="L26" i="191"/>
  <c r="J27" i="191"/>
  <c r="M25" i="182"/>
  <c r="K26" i="182"/>
  <c r="G29" i="214"/>
  <c r="H28" i="214"/>
  <c r="H26" i="213"/>
  <c r="G27" i="213"/>
  <c r="L27" i="213" s="1"/>
  <c r="U27" i="208"/>
  <c r="M27" i="207"/>
  <c r="K28" i="207"/>
  <c r="L27" i="207"/>
  <c r="J28" i="207"/>
  <c r="H25" i="249"/>
  <c r="G27" i="246"/>
  <c r="M27" i="246" s="1"/>
  <c r="H26" i="246"/>
  <c r="P27" i="253"/>
  <c r="P27" i="251"/>
  <c r="P27" i="256"/>
  <c r="M26" i="184"/>
  <c r="K27" i="184"/>
  <c r="M26" i="183"/>
  <c r="K27" i="173"/>
  <c r="M26" i="173"/>
  <c r="L26" i="173"/>
  <c r="J27" i="173"/>
  <c r="S27" i="173" s="1"/>
  <c r="L26" i="160"/>
  <c r="J27" i="160"/>
  <c r="S27" i="160" s="1"/>
  <c r="K27" i="159"/>
  <c r="M26" i="159"/>
  <c r="L26" i="159"/>
  <c r="J27" i="159"/>
  <c r="S27" i="159" s="1"/>
  <c r="M26" i="170"/>
  <c r="K27" i="170"/>
  <c r="K28" i="166"/>
  <c r="M27" i="166"/>
  <c r="J28" i="166"/>
  <c r="L27" i="166"/>
  <c r="M26" i="164"/>
  <c r="K27" i="164"/>
  <c r="L26" i="164"/>
  <c r="J27" i="164"/>
  <c r="S27" i="164" s="1"/>
  <c r="M26" i="162"/>
  <c r="K27" i="162"/>
  <c r="L26" i="162"/>
  <c r="J27" i="162"/>
  <c r="O27" i="162" s="1"/>
  <c r="K27" i="158"/>
  <c r="M26" i="158"/>
  <c r="K27" i="165"/>
  <c r="M26" i="165"/>
  <c r="L26" i="165"/>
  <c r="J27" i="165"/>
  <c r="S27" i="165" s="1"/>
  <c r="M26" i="149"/>
  <c r="L26" i="149"/>
  <c r="M26" i="157"/>
  <c r="K28" i="156"/>
  <c r="M27" i="156"/>
  <c r="L27" i="156"/>
  <c r="J28" i="156"/>
  <c r="M27" i="153"/>
  <c r="K28" i="153"/>
  <c r="J28" i="153"/>
  <c r="L27" i="153"/>
  <c r="G27" i="220"/>
  <c r="L27" i="220" s="1"/>
  <c r="H26" i="220"/>
  <c r="L27" i="211"/>
  <c r="G27" i="244"/>
  <c r="H26" i="244"/>
  <c r="G28" i="203"/>
  <c r="H27" i="203"/>
  <c r="M27" i="208" l="1"/>
  <c r="K28" i="208"/>
  <c r="K27" i="197"/>
  <c r="I28" i="197"/>
  <c r="J27" i="197"/>
  <c r="O25" i="231"/>
  <c r="L25" i="231"/>
  <c r="J26" i="231"/>
  <c r="P27" i="255"/>
  <c r="G27" i="240"/>
  <c r="Z27" i="204"/>
  <c r="S26" i="163"/>
  <c r="L26" i="163"/>
  <c r="J27" i="163"/>
  <c r="H27" i="247"/>
  <c r="L27" i="247"/>
  <c r="L26" i="216"/>
  <c r="H26" i="216"/>
  <c r="G27" i="216"/>
  <c r="O26" i="187"/>
  <c r="L26" i="187"/>
  <c r="J27" i="187"/>
  <c r="K26" i="242"/>
  <c r="S28" i="149"/>
  <c r="J29" i="149"/>
  <c r="J27" i="178"/>
  <c r="S26" i="178"/>
  <c r="L26" i="178"/>
  <c r="K27" i="231"/>
  <c r="M27" i="231" s="1"/>
  <c r="I28" i="196"/>
  <c r="J27" i="196"/>
  <c r="K27" i="196"/>
  <c r="H28" i="245"/>
  <c r="G29" i="245"/>
  <c r="K29" i="245" s="1"/>
  <c r="M27" i="177"/>
  <c r="K28" i="177"/>
  <c r="K28" i="168"/>
  <c r="M27" i="168"/>
  <c r="O26" i="235"/>
  <c r="L26" i="235"/>
  <c r="J27" i="235"/>
  <c r="K28" i="198"/>
  <c r="J28" i="198"/>
  <c r="I29" i="198"/>
  <c r="L27" i="177"/>
  <c r="J28" i="177"/>
  <c r="L25" i="232"/>
  <c r="J26" i="232"/>
  <c r="O26" i="232" s="1"/>
  <c r="H26" i="229"/>
  <c r="G27" i="229"/>
  <c r="I28" i="199"/>
  <c r="J27" i="199"/>
  <c r="K27" i="199"/>
  <c r="I29" i="200"/>
  <c r="K28" i="200"/>
  <c r="J28" i="200"/>
  <c r="I29" i="202"/>
  <c r="J28" i="202"/>
  <c r="K28" i="202"/>
  <c r="L27" i="233"/>
  <c r="J28" i="233"/>
  <c r="H26" i="228"/>
  <c r="G27" i="228"/>
  <c r="L28" i="168"/>
  <c r="J29" i="168"/>
  <c r="K28" i="233"/>
  <c r="M27" i="233"/>
  <c r="G28" i="222"/>
  <c r="H27" i="222"/>
  <c r="L26" i="172"/>
  <c r="J27" i="172"/>
  <c r="O27" i="172" s="1"/>
  <c r="L26" i="226"/>
  <c r="J27" i="226"/>
  <c r="O27" i="226" s="1"/>
  <c r="M27" i="188"/>
  <c r="K28" i="188"/>
  <c r="H26" i="215"/>
  <c r="G27" i="215"/>
  <c r="H27" i="212"/>
  <c r="L28" i="212"/>
  <c r="H28" i="236"/>
  <c r="G29" i="236"/>
  <c r="G28" i="223"/>
  <c r="L28" i="223" s="1"/>
  <c r="H27" i="223"/>
  <c r="H26" i="221"/>
  <c r="G27" i="221"/>
  <c r="L27" i="221" s="1"/>
  <c r="I28" i="254"/>
  <c r="K27" i="254"/>
  <c r="J27" i="254"/>
  <c r="J28" i="250"/>
  <c r="K28" i="250"/>
  <c r="I29" i="250"/>
  <c r="J26" i="170"/>
  <c r="S26" i="170" s="1"/>
  <c r="L25" i="170"/>
  <c r="J27" i="155"/>
  <c r="P27" i="155" s="1"/>
  <c r="L26" i="155"/>
  <c r="L26" i="234"/>
  <c r="J27" i="234"/>
  <c r="K29" i="234"/>
  <c r="M28" i="234"/>
  <c r="L25" i="157"/>
  <c r="J26" i="157"/>
  <c r="S26" i="157" s="1"/>
  <c r="M28" i="186"/>
  <c r="K29" i="186"/>
  <c r="L28" i="186"/>
  <c r="J29" i="186"/>
  <c r="M26" i="187"/>
  <c r="K27" i="187"/>
  <c r="L25" i="158"/>
  <c r="J26" i="158"/>
  <c r="O26" i="158" s="1"/>
  <c r="M25" i="160"/>
  <c r="K26" i="160"/>
  <c r="M28" i="163"/>
  <c r="K29" i="163"/>
  <c r="L28" i="218"/>
  <c r="J29" i="218"/>
  <c r="O29" i="218" s="1"/>
  <c r="M27" i="218"/>
  <c r="K28" i="218"/>
  <c r="J28" i="181"/>
  <c r="O28" i="181" s="1"/>
  <c r="L27" i="181"/>
  <c r="K27" i="181"/>
  <c r="M26" i="181"/>
  <c r="M27" i="225"/>
  <c r="K28" i="225"/>
  <c r="J28" i="225"/>
  <c r="O28" i="225" s="1"/>
  <c r="L27" i="225"/>
  <c r="J28" i="188"/>
  <c r="O28" i="188" s="1"/>
  <c r="L27" i="188"/>
  <c r="M26" i="226"/>
  <c r="K27" i="226"/>
  <c r="J28" i="190"/>
  <c r="O28" i="190" s="1"/>
  <c r="L27" i="190"/>
  <c r="M28" i="190"/>
  <c r="K29" i="190"/>
  <c r="L27" i="182"/>
  <c r="J28" i="182"/>
  <c r="O28" i="182" s="1"/>
  <c r="M29" i="180"/>
  <c r="K30" i="180"/>
  <c r="L27" i="180"/>
  <c r="J28" i="180"/>
  <c r="O28" i="180" s="1"/>
  <c r="K27" i="178"/>
  <c r="M26" i="178"/>
  <c r="M28" i="172"/>
  <c r="K29" i="172"/>
  <c r="M27" i="174"/>
  <c r="K28" i="174"/>
  <c r="J29" i="174"/>
  <c r="L28" i="174"/>
  <c r="G28" i="247"/>
  <c r="M30" i="155"/>
  <c r="L27" i="191"/>
  <c r="J28" i="191"/>
  <c r="M26" i="182"/>
  <c r="K27" i="182"/>
  <c r="H29" i="214"/>
  <c r="G30" i="214"/>
  <c r="G28" i="213"/>
  <c r="L28" i="213" s="1"/>
  <c r="H27" i="213"/>
  <c r="U28" i="208"/>
  <c r="M28" i="207"/>
  <c r="K29" i="207"/>
  <c r="L28" i="207"/>
  <c r="J29" i="207"/>
  <c r="H26" i="249"/>
  <c r="H27" i="246"/>
  <c r="G28" i="246"/>
  <c r="M28" i="246" s="1"/>
  <c r="P28" i="253"/>
  <c r="P28" i="251"/>
  <c r="P28" i="256"/>
  <c r="K28" i="184"/>
  <c r="M27" i="184"/>
  <c r="M27" i="183"/>
  <c r="M27" i="173"/>
  <c r="K28" i="173"/>
  <c r="L27" i="173"/>
  <c r="J28" i="173"/>
  <c r="S28" i="173" s="1"/>
  <c r="L27" i="160"/>
  <c r="J28" i="160"/>
  <c r="S28" i="160" s="1"/>
  <c r="K28" i="159"/>
  <c r="M27" i="159"/>
  <c r="J28" i="159"/>
  <c r="S28" i="159" s="1"/>
  <c r="L27" i="159"/>
  <c r="K28" i="170"/>
  <c r="M27" i="170"/>
  <c r="K29" i="166"/>
  <c r="M28" i="166"/>
  <c r="L28" i="166"/>
  <c r="J29" i="166"/>
  <c r="K28" i="164"/>
  <c r="M27" i="164"/>
  <c r="L27" i="164"/>
  <c r="J28" i="164"/>
  <c r="S28" i="164" s="1"/>
  <c r="M27" i="162"/>
  <c r="K28" i="162"/>
  <c r="J28" i="162"/>
  <c r="O28" i="162" s="1"/>
  <c r="L27" i="162"/>
  <c r="K28" i="158"/>
  <c r="M27" i="158"/>
  <c r="K28" i="165"/>
  <c r="M27" i="165"/>
  <c r="L27" i="165"/>
  <c r="J28" i="165"/>
  <c r="S28" i="165" s="1"/>
  <c r="M27" i="149"/>
  <c r="L27" i="149"/>
  <c r="M27" i="157"/>
  <c r="K29" i="156"/>
  <c r="M28" i="156"/>
  <c r="L28" i="156"/>
  <c r="J29" i="156"/>
  <c r="M28" i="153"/>
  <c r="K29" i="153"/>
  <c r="L28" i="153"/>
  <c r="J29" i="153"/>
  <c r="H27" i="220"/>
  <c r="G28" i="220"/>
  <c r="L28" i="220" s="1"/>
  <c r="L28" i="211"/>
  <c r="G28" i="244"/>
  <c r="H27" i="244"/>
  <c r="H28" i="203"/>
  <c r="G29" i="203"/>
  <c r="M28" i="208" l="1"/>
  <c r="K29" i="208"/>
  <c r="J28" i="197"/>
  <c r="K28" i="197"/>
  <c r="I29" i="197"/>
  <c r="O26" i="231"/>
  <c r="J27" i="231"/>
  <c r="L26" i="231"/>
  <c r="Z28" i="204"/>
  <c r="P28" i="255"/>
  <c r="G28" i="240"/>
  <c r="L27" i="216"/>
  <c r="G28" i="216"/>
  <c r="H27" i="216"/>
  <c r="O27" i="187"/>
  <c r="J28" i="187"/>
  <c r="L27" i="187"/>
  <c r="S27" i="163"/>
  <c r="L27" i="163"/>
  <c r="J28" i="163"/>
  <c r="H28" i="247"/>
  <c r="L28" i="247"/>
  <c r="K27" i="242"/>
  <c r="S29" i="149"/>
  <c r="J30" i="149"/>
  <c r="S27" i="178"/>
  <c r="L27" i="178"/>
  <c r="J28" i="178"/>
  <c r="K28" i="231"/>
  <c r="M28" i="231" s="1"/>
  <c r="J28" i="196"/>
  <c r="K28" i="196"/>
  <c r="I29" i="196"/>
  <c r="H29" i="245"/>
  <c r="G30" i="245"/>
  <c r="K30" i="245" s="1"/>
  <c r="M28" i="177"/>
  <c r="K29" i="177"/>
  <c r="L26" i="232"/>
  <c r="J27" i="232"/>
  <c r="O27" i="232" s="1"/>
  <c r="K29" i="198"/>
  <c r="I30" i="198"/>
  <c r="J29" i="198"/>
  <c r="G28" i="229"/>
  <c r="H27" i="229"/>
  <c r="J29" i="177"/>
  <c r="L28" i="177"/>
  <c r="L27" i="235"/>
  <c r="J28" i="235"/>
  <c r="O27" i="235"/>
  <c r="M28" i="168"/>
  <c r="K29" i="168"/>
  <c r="I29" i="199"/>
  <c r="K28" i="199"/>
  <c r="J28" i="199"/>
  <c r="M28" i="233"/>
  <c r="K29" i="233"/>
  <c r="I30" i="200"/>
  <c r="K29" i="200"/>
  <c r="J29" i="200"/>
  <c r="L29" i="168"/>
  <c r="J30" i="168"/>
  <c r="G28" i="228"/>
  <c r="H27" i="228"/>
  <c r="L28" i="233"/>
  <c r="J29" i="233"/>
  <c r="I30" i="202"/>
  <c r="J29" i="202"/>
  <c r="K29" i="202"/>
  <c r="H28" i="222"/>
  <c r="G29" i="222"/>
  <c r="L27" i="172"/>
  <c r="J28" i="172"/>
  <c r="O28" i="172" s="1"/>
  <c r="J28" i="226"/>
  <c r="O28" i="226" s="1"/>
  <c r="L27" i="226"/>
  <c r="M28" i="188"/>
  <c r="K29" i="188"/>
  <c r="G28" i="215"/>
  <c r="H27" i="215"/>
  <c r="H28" i="212"/>
  <c r="L29" i="212"/>
  <c r="G30" i="236"/>
  <c r="H29" i="236"/>
  <c r="H28" i="223"/>
  <c r="G29" i="223"/>
  <c r="L29" i="223" s="1"/>
  <c r="H27" i="221"/>
  <c r="G28" i="221"/>
  <c r="L28" i="221" s="1"/>
  <c r="I29" i="254"/>
  <c r="J28" i="254"/>
  <c r="K28" i="254"/>
  <c r="I30" i="250"/>
  <c r="J29" i="250"/>
  <c r="K29" i="250"/>
  <c r="L26" i="170"/>
  <c r="J27" i="170"/>
  <c r="S27" i="170" s="1"/>
  <c r="J28" i="155"/>
  <c r="P28" i="155" s="1"/>
  <c r="L27" i="155"/>
  <c r="K30" i="234"/>
  <c r="M29" i="234"/>
  <c r="L27" i="234"/>
  <c r="J28" i="234"/>
  <c r="L26" i="157"/>
  <c r="J27" i="157"/>
  <c r="S27" i="157" s="1"/>
  <c r="L29" i="186"/>
  <c r="J30" i="186"/>
  <c r="M29" i="186"/>
  <c r="K30" i="186"/>
  <c r="M27" i="187"/>
  <c r="K28" i="187"/>
  <c r="J27" i="158"/>
  <c r="O27" i="158" s="1"/>
  <c r="L26" i="158"/>
  <c r="M26" i="160"/>
  <c r="K27" i="160"/>
  <c r="K30" i="163"/>
  <c r="M29" i="163"/>
  <c r="M28" i="218"/>
  <c r="K29" i="218"/>
  <c r="L29" i="218"/>
  <c r="J30" i="218"/>
  <c r="O30" i="218" s="1"/>
  <c r="K28" i="181"/>
  <c r="M27" i="181"/>
  <c r="L28" i="181"/>
  <c r="J29" i="181"/>
  <c r="O29" i="181" s="1"/>
  <c r="L28" i="225"/>
  <c r="J29" i="225"/>
  <c r="O29" i="225" s="1"/>
  <c r="M28" i="225"/>
  <c r="K29" i="225"/>
  <c r="J29" i="188"/>
  <c r="O29" i="188" s="1"/>
  <c r="L28" i="188"/>
  <c r="M27" i="226"/>
  <c r="K28" i="226"/>
  <c r="K30" i="190"/>
  <c r="M29" i="190"/>
  <c r="L28" i="190"/>
  <c r="J29" i="190"/>
  <c r="O29" i="190" s="1"/>
  <c r="J29" i="182"/>
  <c r="O29" i="182" s="1"/>
  <c r="L28" i="182"/>
  <c r="J29" i="180"/>
  <c r="O29" i="180" s="1"/>
  <c r="L28" i="180"/>
  <c r="M30" i="180"/>
  <c r="K31" i="180"/>
  <c r="M27" i="178"/>
  <c r="K28" i="178"/>
  <c r="M29" i="172"/>
  <c r="K30" i="172"/>
  <c r="L29" i="174"/>
  <c r="J30" i="174"/>
  <c r="M28" i="174"/>
  <c r="K29" i="174"/>
  <c r="G29" i="247"/>
  <c r="M31" i="155"/>
  <c r="J29" i="191"/>
  <c r="L28" i="191"/>
  <c r="M27" i="182"/>
  <c r="K28" i="182"/>
  <c r="G31" i="214"/>
  <c r="H30" i="214"/>
  <c r="H28" i="213"/>
  <c r="G29" i="213"/>
  <c r="L29" i="213" s="1"/>
  <c r="U29" i="208"/>
  <c r="M29" i="207"/>
  <c r="K30" i="207"/>
  <c r="L29" i="207"/>
  <c r="J30" i="207"/>
  <c r="H27" i="249"/>
  <c r="G29" i="246"/>
  <c r="M29" i="246" s="1"/>
  <c r="H28" i="246"/>
  <c r="P29" i="253"/>
  <c r="P29" i="251"/>
  <c r="P29" i="256"/>
  <c r="K29" i="184"/>
  <c r="M28" i="184"/>
  <c r="M28" i="183"/>
  <c r="M28" i="173"/>
  <c r="K29" i="173"/>
  <c r="L28" i="173"/>
  <c r="J29" i="173"/>
  <c r="S29" i="173" s="1"/>
  <c r="L28" i="160"/>
  <c r="J29" i="160"/>
  <c r="S29" i="160" s="1"/>
  <c r="K29" i="159"/>
  <c r="M28" i="159"/>
  <c r="J29" i="159"/>
  <c r="S29" i="159" s="1"/>
  <c r="L28" i="159"/>
  <c r="K29" i="170"/>
  <c r="M28" i="170"/>
  <c r="K30" i="166"/>
  <c r="M29" i="166"/>
  <c r="L29" i="166"/>
  <c r="J30" i="166"/>
  <c r="M28" i="164"/>
  <c r="K29" i="164"/>
  <c r="J29" i="164"/>
  <c r="S29" i="164" s="1"/>
  <c r="L28" i="164"/>
  <c r="M28" i="162"/>
  <c r="K29" i="162"/>
  <c r="J29" i="162"/>
  <c r="O29" i="162" s="1"/>
  <c r="L28" i="162"/>
  <c r="K29" i="158"/>
  <c r="M28" i="158"/>
  <c r="K29" i="165"/>
  <c r="M28" i="165"/>
  <c r="L28" i="165"/>
  <c r="J29" i="165"/>
  <c r="S29" i="165" s="1"/>
  <c r="M28" i="149"/>
  <c r="L28" i="149"/>
  <c r="M28" i="157"/>
  <c r="K30" i="156"/>
  <c r="M29" i="156"/>
  <c r="J30" i="156"/>
  <c r="L29" i="156"/>
  <c r="M29" i="153"/>
  <c r="K30" i="153"/>
  <c r="L29" i="153"/>
  <c r="J30" i="153"/>
  <c r="G29" i="220"/>
  <c r="L29" i="220" s="1"/>
  <c r="H28" i="220"/>
  <c r="L29" i="211"/>
  <c r="G29" i="244"/>
  <c r="H28" i="244"/>
  <c r="G30" i="203"/>
  <c r="H29" i="203"/>
  <c r="K30" i="208" l="1"/>
  <c r="M29" i="208"/>
  <c r="I30" i="197"/>
  <c r="J29" i="197"/>
  <c r="K29" i="197"/>
  <c r="O27" i="231"/>
  <c r="L27" i="231"/>
  <c r="J28" i="231"/>
  <c r="P29" i="255"/>
  <c r="Z29" i="204"/>
  <c r="G29" i="240"/>
  <c r="L28" i="216"/>
  <c r="H28" i="216"/>
  <c r="G29" i="216"/>
  <c r="H29" i="247"/>
  <c r="L29" i="247"/>
  <c r="K28" i="242"/>
  <c r="S28" i="163"/>
  <c r="J29" i="163"/>
  <c r="L28" i="163"/>
  <c r="O28" i="187"/>
  <c r="J29" i="187"/>
  <c r="L28" i="187"/>
  <c r="S30" i="149"/>
  <c r="J31" i="149"/>
  <c r="S28" i="178"/>
  <c r="J29" i="178"/>
  <c r="L28" i="178"/>
  <c r="K29" i="231"/>
  <c r="M29" i="231" s="1"/>
  <c r="J29" i="196"/>
  <c r="K29" i="196"/>
  <c r="I30" i="196"/>
  <c r="H30" i="245"/>
  <c r="G31" i="245"/>
  <c r="K31" i="245" s="1"/>
  <c r="M29" i="177"/>
  <c r="K30" i="177"/>
  <c r="L29" i="177"/>
  <c r="J30" i="177"/>
  <c r="K30" i="198"/>
  <c r="I31" i="198"/>
  <c r="J30" i="198"/>
  <c r="L28" i="235"/>
  <c r="J29" i="235"/>
  <c r="O28" i="235"/>
  <c r="M29" i="168"/>
  <c r="K30" i="168"/>
  <c r="H28" i="229"/>
  <c r="G29" i="229"/>
  <c r="J28" i="232"/>
  <c r="O28" i="232" s="1"/>
  <c r="L27" i="232"/>
  <c r="J30" i="202"/>
  <c r="K30" i="202"/>
  <c r="I31" i="202"/>
  <c r="L30" i="168"/>
  <c r="J31" i="168"/>
  <c r="K30" i="200"/>
  <c r="I31" i="200"/>
  <c r="J30" i="200"/>
  <c r="K30" i="233"/>
  <c r="M29" i="233"/>
  <c r="J29" i="199"/>
  <c r="K29" i="199"/>
  <c r="I30" i="199"/>
  <c r="L29" i="233"/>
  <c r="J30" i="233"/>
  <c r="H28" i="228"/>
  <c r="G29" i="228"/>
  <c r="G30" i="222"/>
  <c r="H29" i="222"/>
  <c r="L28" i="172"/>
  <c r="J29" i="172"/>
  <c r="O29" i="172" s="1"/>
  <c r="L28" i="226"/>
  <c r="J29" i="226"/>
  <c r="O29" i="226" s="1"/>
  <c r="K30" i="188"/>
  <c r="M29" i="188"/>
  <c r="H28" i="215"/>
  <c r="G29" i="215"/>
  <c r="L30" i="212"/>
  <c r="H29" i="212"/>
  <c r="H30" i="236"/>
  <c r="G31" i="236"/>
  <c r="H29" i="223"/>
  <c r="G30" i="223"/>
  <c r="L30" i="223" s="1"/>
  <c r="G29" i="221"/>
  <c r="H28" i="221"/>
  <c r="I30" i="254"/>
  <c r="K29" i="254"/>
  <c r="J29" i="254"/>
  <c r="J30" i="250"/>
  <c r="K30" i="250"/>
  <c r="I31" i="250"/>
  <c r="L27" i="170"/>
  <c r="J28" i="170"/>
  <c r="S28" i="170" s="1"/>
  <c r="L28" i="155"/>
  <c r="J29" i="155"/>
  <c r="P29" i="155" s="1"/>
  <c r="L28" i="234"/>
  <c r="J29" i="234"/>
  <c r="K31" i="234"/>
  <c r="M30" i="234"/>
  <c r="L27" i="157"/>
  <c r="J28" i="157"/>
  <c r="S28" i="157" s="1"/>
  <c r="L30" i="186"/>
  <c r="J31" i="186"/>
  <c r="M30" i="186"/>
  <c r="K31" i="186"/>
  <c r="M28" i="187"/>
  <c r="K29" i="187"/>
  <c r="L27" i="158"/>
  <c r="J28" i="158"/>
  <c r="O28" i="158" s="1"/>
  <c r="M27" i="160"/>
  <c r="K28" i="160"/>
  <c r="K31" i="163"/>
  <c r="M30" i="163"/>
  <c r="L30" i="218"/>
  <c r="J31" i="218"/>
  <c r="O31" i="218" s="1"/>
  <c r="M29" i="218"/>
  <c r="K30" i="218"/>
  <c r="L29" i="181"/>
  <c r="J30" i="181"/>
  <c r="O30" i="181" s="1"/>
  <c r="M28" i="181"/>
  <c r="K29" i="181"/>
  <c r="M29" i="225"/>
  <c r="K30" i="225"/>
  <c r="J30" i="225"/>
  <c r="O30" i="225" s="1"/>
  <c r="L29" i="225"/>
  <c r="J30" i="188"/>
  <c r="O30" i="188" s="1"/>
  <c r="L29" i="188"/>
  <c r="K29" i="226"/>
  <c r="M28" i="226"/>
  <c r="J30" i="190"/>
  <c r="O30" i="190" s="1"/>
  <c r="L29" i="190"/>
  <c r="M30" i="190"/>
  <c r="K31" i="190"/>
  <c r="L29" i="182"/>
  <c r="J30" i="182"/>
  <c r="O30" i="182" s="1"/>
  <c r="M31" i="180"/>
  <c r="K32" i="180"/>
  <c r="L29" i="180"/>
  <c r="J30" i="180"/>
  <c r="O30" i="180" s="1"/>
  <c r="K29" i="178"/>
  <c r="M28" i="178"/>
  <c r="M30" i="172"/>
  <c r="K31" i="172"/>
  <c r="K30" i="174"/>
  <c r="M29" i="174"/>
  <c r="J31" i="174"/>
  <c r="L30" i="174"/>
  <c r="G30" i="247"/>
  <c r="M32" i="155"/>
  <c r="L29" i="191"/>
  <c r="J30" i="191"/>
  <c r="K29" i="182"/>
  <c r="M28" i="182"/>
  <c r="H31" i="214"/>
  <c r="G32" i="214"/>
  <c r="G33" i="214" s="1"/>
  <c r="G30" i="213"/>
  <c r="L30" i="213" s="1"/>
  <c r="H29" i="213"/>
  <c r="U30" i="208"/>
  <c r="M30" i="207"/>
  <c r="K31" i="207"/>
  <c r="L30" i="207"/>
  <c r="J31" i="207"/>
  <c r="H28" i="249"/>
  <c r="G30" i="246"/>
  <c r="M30" i="246" s="1"/>
  <c r="H29" i="246"/>
  <c r="P30" i="253"/>
  <c r="P30" i="251"/>
  <c r="P30" i="256"/>
  <c r="K30" i="184"/>
  <c r="M29" i="184"/>
  <c r="M29" i="183"/>
  <c r="M29" i="173"/>
  <c r="K30" i="173"/>
  <c r="J30" i="173"/>
  <c r="S30" i="173" s="1"/>
  <c r="L29" i="173"/>
  <c r="L29" i="160"/>
  <c r="J30" i="160"/>
  <c r="S30" i="160" s="1"/>
  <c r="K30" i="159"/>
  <c r="M29" i="159"/>
  <c r="L29" i="159"/>
  <c r="J30" i="159"/>
  <c r="S30" i="159" s="1"/>
  <c r="K30" i="170"/>
  <c r="M29" i="170"/>
  <c r="M30" i="166"/>
  <c r="K31" i="166"/>
  <c r="J31" i="166"/>
  <c r="L30" i="166"/>
  <c r="M29" i="164"/>
  <c r="K30" i="164"/>
  <c r="L29" i="164"/>
  <c r="J30" i="164"/>
  <c r="S30" i="164" s="1"/>
  <c r="M29" i="162"/>
  <c r="K30" i="162"/>
  <c r="L29" i="162"/>
  <c r="J30" i="162"/>
  <c r="O30" i="162" s="1"/>
  <c r="K30" i="158"/>
  <c r="M29" i="158"/>
  <c r="M29" i="165"/>
  <c r="K30" i="165"/>
  <c r="L29" i="165"/>
  <c r="J30" i="165"/>
  <c r="S30" i="165" s="1"/>
  <c r="M29" i="149"/>
  <c r="L29" i="149"/>
  <c r="M29" i="157"/>
  <c r="M30" i="156"/>
  <c r="K31" i="156"/>
  <c r="J31" i="156"/>
  <c r="L30" i="156"/>
  <c r="M30" i="153"/>
  <c r="K31" i="153"/>
  <c r="L30" i="153"/>
  <c r="J31" i="153"/>
  <c r="G30" i="220"/>
  <c r="L30" i="220" s="1"/>
  <c r="H29" i="220"/>
  <c r="L30" i="211"/>
  <c r="H29" i="244"/>
  <c r="G30" i="244"/>
  <c r="H30" i="203"/>
  <c r="G31" i="203"/>
  <c r="M30" i="208" l="1"/>
  <c r="K31" i="208"/>
  <c r="I31" i="197"/>
  <c r="J30" i="197"/>
  <c r="K30" i="197"/>
  <c r="O28" i="231"/>
  <c r="L28" i="231"/>
  <c r="P30" i="255"/>
  <c r="Z30" i="204"/>
  <c r="G30" i="240"/>
  <c r="H30" i="247"/>
  <c r="L30" i="247"/>
  <c r="O29" i="187"/>
  <c r="L29" i="187"/>
  <c r="J30" i="187"/>
  <c r="K29" i="242"/>
  <c r="L29" i="216"/>
  <c r="H29" i="216"/>
  <c r="G30" i="216"/>
  <c r="S29" i="163"/>
  <c r="L29" i="163"/>
  <c r="J30" i="163"/>
  <c r="G30" i="221"/>
  <c r="L29" i="221"/>
  <c r="S31" i="149"/>
  <c r="J32" i="149"/>
  <c r="S29" i="178"/>
  <c r="L29" i="178"/>
  <c r="J30" i="178"/>
  <c r="K30" i="231"/>
  <c r="M30" i="231" s="1"/>
  <c r="J30" i="196"/>
  <c r="K30" i="196"/>
  <c r="I31" i="196"/>
  <c r="G32" i="245"/>
  <c r="K32" i="245" s="1"/>
  <c r="H31" i="245"/>
  <c r="K31" i="177"/>
  <c r="M30" i="177"/>
  <c r="H29" i="229"/>
  <c r="G30" i="229"/>
  <c r="I32" i="198"/>
  <c r="K31" i="198"/>
  <c r="J31" i="198"/>
  <c r="L29" i="235"/>
  <c r="O29" i="235"/>
  <c r="J30" i="235"/>
  <c r="M30" i="168"/>
  <c r="K31" i="168"/>
  <c r="J31" i="177"/>
  <c r="L30" i="177"/>
  <c r="J29" i="232"/>
  <c r="O29" i="232" s="1"/>
  <c r="L28" i="232"/>
  <c r="K31" i="200"/>
  <c r="J31" i="200"/>
  <c r="I32" i="200"/>
  <c r="K31" i="202"/>
  <c r="I32" i="202"/>
  <c r="J31" i="202"/>
  <c r="H29" i="228"/>
  <c r="G30" i="228"/>
  <c r="L30" i="233"/>
  <c r="J31" i="233"/>
  <c r="I31" i="199"/>
  <c r="K30" i="199"/>
  <c r="J30" i="199"/>
  <c r="M30" i="233"/>
  <c r="K31" i="233"/>
  <c r="L31" i="168"/>
  <c r="J32" i="168"/>
  <c r="H30" i="222"/>
  <c r="G31" i="222"/>
  <c r="J30" i="172"/>
  <c r="O30" i="172" s="1"/>
  <c r="L29" i="172"/>
  <c r="J30" i="226"/>
  <c r="O30" i="226" s="1"/>
  <c r="L29" i="226"/>
  <c r="K31" i="188"/>
  <c r="M30" i="188"/>
  <c r="G30" i="215"/>
  <c r="H29" i="215"/>
  <c r="H30" i="212"/>
  <c r="L31" i="212"/>
  <c r="H31" i="236"/>
  <c r="G32" i="236"/>
  <c r="H30" i="223"/>
  <c r="G31" i="223"/>
  <c r="L31" i="223" s="1"/>
  <c r="H29" i="221"/>
  <c r="K30" i="254"/>
  <c r="I31" i="254"/>
  <c r="J30" i="254"/>
  <c r="J31" i="250"/>
  <c r="K31" i="250"/>
  <c r="I32" i="250"/>
  <c r="J29" i="170"/>
  <c r="S29" i="170" s="1"/>
  <c r="L28" i="170"/>
  <c r="J30" i="155"/>
  <c r="P30" i="155" s="1"/>
  <c r="L29" i="155"/>
  <c r="K32" i="234"/>
  <c r="M31" i="234"/>
  <c r="L29" i="234"/>
  <c r="J30" i="234"/>
  <c r="L28" i="157"/>
  <c r="J29" i="157"/>
  <c r="S29" i="157" s="1"/>
  <c r="M31" i="186"/>
  <c r="K32" i="186"/>
  <c r="L31" i="186"/>
  <c r="J32" i="186"/>
  <c r="M29" i="187"/>
  <c r="K30" i="187"/>
  <c r="L28" i="158"/>
  <c r="J29" i="158"/>
  <c r="O29" i="158" s="1"/>
  <c r="K29" i="160"/>
  <c r="M28" i="160"/>
  <c r="M31" i="163"/>
  <c r="K32" i="163"/>
  <c r="K31" i="218"/>
  <c r="M30" i="218"/>
  <c r="L31" i="218"/>
  <c r="J32" i="218"/>
  <c r="O32" i="218" s="1"/>
  <c r="M29" i="181"/>
  <c r="K30" i="181"/>
  <c r="L30" i="181"/>
  <c r="J31" i="181"/>
  <c r="O31" i="181" s="1"/>
  <c r="L30" i="225"/>
  <c r="J31" i="225"/>
  <c r="O31" i="225" s="1"/>
  <c r="K31" i="225"/>
  <c r="M30" i="225"/>
  <c r="J31" i="188"/>
  <c r="O31" i="188" s="1"/>
  <c r="L30" i="188"/>
  <c r="M29" i="226"/>
  <c r="K30" i="226"/>
  <c r="K32" i="190"/>
  <c r="M31" i="190"/>
  <c r="L30" i="190"/>
  <c r="J31" i="190"/>
  <c r="O31" i="190" s="1"/>
  <c r="L30" i="182"/>
  <c r="J31" i="182"/>
  <c r="O31" i="182" s="1"/>
  <c r="L30" i="180"/>
  <c r="J31" i="180"/>
  <c r="O31" i="180" s="1"/>
  <c r="K33" i="180"/>
  <c r="M32" i="180"/>
  <c r="M29" i="178"/>
  <c r="K30" i="178"/>
  <c r="M31" i="172"/>
  <c r="K32" i="172"/>
  <c r="L31" i="174"/>
  <c r="J32" i="174"/>
  <c r="M30" i="174"/>
  <c r="K31" i="174"/>
  <c r="G31" i="247"/>
  <c r="M33" i="155"/>
  <c r="L30" i="191"/>
  <c r="J31" i="191"/>
  <c r="K30" i="182"/>
  <c r="M29" i="182"/>
  <c r="H32" i="214"/>
  <c r="H30" i="213"/>
  <c r="G31" i="213"/>
  <c r="L31" i="213" s="1"/>
  <c r="U31" i="208"/>
  <c r="M31" i="207"/>
  <c r="K32" i="207"/>
  <c r="L31" i="207"/>
  <c r="J32" i="207"/>
  <c r="H29" i="249"/>
  <c r="G31" i="246"/>
  <c r="M31" i="246" s="1"/>
  <c r="H30" i="246"/>
  <c r="P31" i="253"/>
  <c r="P31" i="251"/>
  <c r="P31" i="256"/>
  <c r="M30" i="184"/>
  <c r="K31" i="184"/>
  <c r="M30" i="183"/>
  <c r="M30" i="173"/>
  <c r="K31" i="173"/>
  <c r="L30" i="173"/>
  <c r="J31" i="173"/>
  <c r="S31" i="173" s="1"/>
  <c r="L30" i="160"/>
  <c r="J31" i="160"/>
  <c r="S31" i="160" s="1"/>
  <c r="K31" i="159"/>
  <c r="M30" i="159"/>
  <c r="L30" i="159"/>
  <c r="J31" i="159"/>
  <c r="S31" i="159" s="1"/>
  <c r="M30" i="170"/>
  <c r="K31" i="170"/>
  <c r="M31" i="166"/>
  <c r="K32" i="166"/>
  <c r="J32" i="166"/>
  <c r="L31" i="166"/>
  <c r="K31" i="164"/>
  <c r="M30" i="164"/>
  <c r="J31" i="164"/>
  <c r="L30" i="164"/>
  <c r="K31" i="162"/>
  <c r="M30" i="162"/>
  <c r="J31" i="162"/>
  <c r="O31" i="162" s="1"/>
  <c r="L30" i="162"/>
  <c r="K31" i="158"/>
  <c r="M30" i="158"/>
  <c r="M30" i="165"/>
  <c r="K31" i="165"/>
  <c r="J31" i="165"/>
  <c r="S31" i="165" s="1"/>
  <c r="L30" i="165"/>
  <c r="M30" i="149"/>
  <c r="L30" i="149"/>
  <c r="M30" i="157"/>
  <c r="K32" i="156"/>
  <c r="M31" i="156"/>
  <c r="J32" i="156"/>
  <c r="L31" i="156"/>
  <c r="K32" i="153"/>
  <c r="M31" i="153"/>
  <c r="J32" i="153"/>
  <c r="L31" i="153"/>
  <c r="G31" i="220"/>
  <c r="L31" i="220" s="1"/>
  <c r="H30" i="220"/>
  <c r="L31" i="211"/>
  <c r="G31" i="244"/>
  <c r="H30" i="244"/>
  <c r="G32" i="203"/>
  <c r="H31" i="203"/>
  <c r="M31" i="208" l="1"/>
  <c r="K32" i="208"/>
  <c r="K31" i="197"/>
  <c r="J31" i="197"/>
  <c r="I32" i="197"/>
  <c r="P31" i="255"/>
  <c r="Z31" i="204"/>
  <c r="G31" i="240"/>
  <c r="K30" i="242"/>
  <c r="L30" i="216"/>
  <c r="H30" i="216"/>
  <c r="G31" i="216"/>
  <c r="H31" i="247"/>
  <c r="L31" i="247"/>
  <c r="S30" i="163"/>
  <c r="L30" i="163"/>
  <c r="J31" i="163"/>
  <c r="O30" i="187"/>
  <c r="J31" i="187"/>
  <c r="L30" i="187"/>
  <c r="G31" i="221"/>
  <c r="L30" i="221"/>
  <c r="S32" i="149"/>
  <c r="J33" i="149"/>
  <c r="S30" i="178"/>
  <c r="J31" i="178"/>
  <c r="L30" i="178"/>
  <c r="L31" i="164"/>
  <c r="S31" i="164"/>
  <c r="K31" i="231"/>
  <c r="M31" i="231" s="1"/>
  <c r="J31" i="196"/>
  <c r="K31" i="196"/>
  <c r="I32" i="196"/>
  <c r="G33" i="245"/>
  <c r="K33" i="245" s="1"/>
  <c r="H32" i="245"/>
  <c r="M31" i="177"/>
  <c r="K32" i="177"/>
  <c r="L30" i="235"/>
  <c r="J31" i="235"/>
  <c r="O30" i="235"/>
  <c r="L31" i="177"/>
  <c r="J32" i="177"/>
  <c r="I33" i="198"/>
  <c r="K32" i="198"/>
  <c r="J32" i="198"/>
  <c r="K32" i="168"/>
  <c r="M31" i="168"/>
  <c r="H30" i="229"/>
  <c r="G31" i="229"/>
  <c r="L29" i="232"/>
  <c r="J30" i="232"/>
  <c r="O30" i="232" s="1"/>
  <c r="H30" i="228"/>
  <c r="G31" i="228"/>
  <c r="K32" i="233"/>
  <c r="M31" i="233"/>
  <c r="J31" i="199"/>
  <c r="K31" i="199"/>
  <c r="I32" i="199"/>
  <c r="J32" i="200"/>
  <c r="K32" i="200"/>
  <c r="I33" i="200"/>
  <c r="L31" i="233"/>
  <c r="J32" i="233"/>
  <c r="L32" i="168"/>
  <c r="J33" i="168"/>
  <c r="J32" i="202"/>
  <c r="I33" i="202"/>
  <c r="K32" i="202"/>
  <c r="G32" i="222"/>
  <c r="H31" i="222"/>
  <c r="L30" i="172"/>
  <c r="J31" i="172"/>
  <c r="O31" i="172" s="1"/>
  <c r="L30" i="226"/>
  <c r="J31" i="226"/>
  <c r="O31" i="226" s="1"/>
  <c r="M31" i="188"/>
  <c r="K32" i="188"/>
  <c r="H30" i="215"/>
  <c r="G31" i="215"/>
  <c r="H31" i="212"/>
  <c r="L32" i="212"/>
  <c r="G33" i="236"/>
  <c r="H32" i="236"/>
  <c r="G32" i="223"/>
  <c r="L32" i="223" s="1"/>
  <c r="H31" i="223"/>
  <c r="H30" i="221"/>
  <c r="J31" i="254"/>
  <c r="K31" i="254"/>
  <c r="I32" i="254"/>
  <c r="J32" i="250"/>
  <c r="K32" i="250"/>
  <c r="I33" i="250"/>
  <c r="J30" i="170"/>
  <c r="S30" i="170" s="1"/>
  <c r="L29" i="170"/>
  <c r="L30" i="155"/>
  <c r="J31" i="155"/>
  <c r="L30" i="234"/>
  <c r="J31" i="234"/>
  <c r="K33" i="234"/>
  <c r="M32" i="234"/>
  <c r="L29" i="157"/>
  <c r="J30" i="157"/>
  <c r="S30" i="157" s="1"/>
  <c r="L32" i="186"/>
  <c r="J33" i="186"/>
  <c r="M32" i="186"/>
  <c r="K33" i="186"/>
  <c r="M30" i="187"/>
  <c r="K31" i="187"/>
  <c r="L29" i="158"/>
  <c r="J30" i="158"/>
  <c r="O30" i="158" s="1"/>
  <c r="K30" i="160"/>
  <c r="M29" i="160"/>
  <c r="M32" i="163"/>
  <c r="K33" i="163"/>
  <c r="L32" i="218"/>
  <c r="J33" i="218"/>
  <c r="O33" i="218" s="1"/>
  <c r="K32" i="218"/>
  <c r="M31" i="218"/>
  <c r="J32" i="181"/>
  <c r="O32" i="181" s="1"/>
  <c r="L31" i="181"/>
  <c r="K31" i="181"/>
  <c r="M30" i="181"/>
  <c r="M31" i="225"/>
  <c r="K32" i="225"/>
  <c r="J32" i="225"/>
  <c r="O32" i="225" s="1"/>
  <c r="L31" i="225"/>
  <c r="J32" i="188"/>
  <c r="O32" i="188" s="1"/>
  <c r="L31" i="188"/>
  <c r="M30" i="226"/>
  <c r="K31" i="226"/>
  <c r="J32" i="190"/>
  <c r="O32" i="190" s="1"/>
  <c r="L31" i="190"/>
  <c r="M32" i="190"/>
  <c r="K33" i="190"/>
  <c r="L31" i="182"/>
  <c r="J32" i="182"/>
  <c r="O32" i="182" s="1"/>
  <c r="K34" i="180"/>
  <c r="M33" i="180"/>
  <c r="J32" i="180"/>
  <c r="O32" i="180" s="1"/>
  <c r="L31" i="180"/>
  <c r="M30" i="178"/>
  <c r="K31" i="178"/>
  <c r="M32" i="172"/>
  <c r="K33" i="172"/>
  <c r="M31" i="174"/>
  <c r="K32" i="174"/>
  <c r="J33" i="174"/>
  <c r="L32" i="174"/>
  <c r="G32" i="247"/>
  <c r="L32" i="247" s="1"/>
  <c r="M34" i="155"/>
  <c r="J32" i="191"/>
  <c r="L31" i="191"/>
  <c r="M30" i="182"/>
  <c r="K31" i="182"/>
  <c r="H33" i="214"/>
  <c r="G34" i="214"/>
  <c r="H31" i="213"/>
  <c r="G32" i="213"/>
  <c r="L32" i="213" s="1"/>
  <c r="U32" i="208"/>
  <c r="K33" i="207"/>
  <c r="M32" i="207"/>
  <c r="J33" i="207"/>
  <c r="L32" i="207"/>
  <c r="H30" i="249"/>
  <c r="G32" i="246"/>
  <c r="M32" i="246" s="1"/>
  <c r="H31" i="246"/>
  <c r="P32" i="253"/>
  <c r="P32" i="251"/>
  <c r="P32" i="256"/>
  <c r="K32" i="184"/>
  <c r="M31" i="184"/>
  <c r="M31" i="183"/>
  <c r="M31" i="173"/>
  <c r="K32" i="173"/>
  <c r="L31" i="173"/>
  <c r="J32" i="173"/>
  <c r="S32" i="173" s="1"/>
  <c r="L31" i="160"/>
  <c r="J32" i="160"/>
  <c r="S32" i="160" s="1"/>
  <c r="K32" i="159"/>
  <c r="M31" i="159"/>
  <c r="L31" i="159"/>
  <c r="J32" i="159"/>
  <c r="S32" i="159" s="1"/>
  <c r="M31" i="170"/>
  <c r="K32" i="170"/>
  <c r="K33" i="166"/>
  <c r="M32" i="166"/>
  <c r="J33" i="166"/>
  <c r="L32" i="166"/>
  <c r="K32" i="164"/>
  <c r="M31" i="164"/>
  <c r="J32" i="164"/>
  <c r="S32" i="164" s="1"/>
  <c r="K32" i="162"/>
  <c r="M31" i="162"/>
  <c r="J32" i="162"/>
  <c r="O32" i="162" s="1"/>
  <c r="L31" i="162"/>
  <c r="K32" i="158"/>
  <c r="M31" i="158"/>
  <c r="K32" i="165"/>
  <c r="M31" i="165"/>
  <c r="J32" i="165"/>
  <c r="S32" i="165" s="1"/>
  <c r="L31" i="165"/>
  <c r="M31" i="149"/>
  <c r="L31" i="149"/>
  <c r="M31" i="157"/>
  <c r="M32" i="156"/>
  <c r="K33" i="156"/>
  <c r="J33" i="156"/>
  <c r="L32" i="156"/>
  <c r="K33" i="153"/>
  <c r="M32" i="153"/>
  <c r="J33" i="153"/>
  <c r="L32" i="153"/>
  <c r="H31" i="220"/>
  <c r="G32" i="220"/>
  <c r="L32" i="220" s="1"/>
  <c r="L32" i="211"/>
  <c r="H31" i="244"/>
  <c r="G32" i="244"/>
  <c r="G33" i="203"/>
  <c r="H32" i="203"/>
  <c r="M32" i="208" l="1"/>
  <c r="K33" i="208"/>
  <c r="K32" i="197"/>
  <c r="I33" i="197"/>
  <c r="J32" i="197"/>
  <c r="P32" i="255"/>
  <c r="Z32" i="204"/>
  <c r="G32" i="240"/>
  <c r="O31" i="187"/>
  <c r="L31" i="187"/>
  <c r="J32" i="187"/>
  <c r="S31" i="163"/>
  <c r="L31" i="163"/>
  <c r="J32" i="163"/>
  <c r="K31" i="242"/>
  <c r="L31" i="216"/>
  <c r="H31" i="216"/>
  <c r="G32" i="216"/>
  <c r="G32" i="221"/>
  <c r="L31" i="221"/>
  <c r="S33" i="149"/>
  <c r="J34" i="149"/>
  <c r="S31" i="178"/>
  <c r="J32" i="178"/>
  <c r="L31" i="178"/>
  <c r="L31" i="155"/>
  <c r="P31" i="155"/>
  <c r="K32" i="231"/>
  <c r="M32" i="231" s="1"/>
  <c r="K32" i="196"/>
  <c r="I33" i="196"/>
  <c r="J32" i="196"/>
  <c r="G34" i="245"/>
  <c r="H33" i="245"/>
  <c r="G33" i="247"/>
  <c r="H32" i="247"/>
  <c r="M32" i="177"/>
  <c r="K33" i="177"/>
  <c r="G32" i="229"/>
  <c r="H31" i="229"/>
  <c r="L30" i="232"/>
  <c r="J31" i="232"/>
  <c r="O31" i="232" s="1"/>
  <c r="I34" i="198"/>
  <c r="K33" i="198"/>
  <c r="J33" i="198"/>
  <c r="L31" i="235"/>
  <c r="J32" i="235"/>
  <c r="O31" i="235"/>
  <c r="M32" i="168"/>
  <c r="K33" i="168"/>
  <c r="L32" i="177"/>
  <c r="J33" i="177"/>
  <c r="L33" i="168"/>
  <c r="J34" i="168"/>
  <c r="K32" i="199"/>
  <c r="I33" i="199"/>
  <c r="J32" i="199"/>
  <c r="M32" i="233"/>
  <c r="K33" i="233"/>
  <c r="I34" i="202"/>
  <c r="K33" i="202"/>
  <c r="J33" i="202"/>
  <c r="L32" i="233"/>
  <c r="J33" i="233"/>
  <c r="I34" i="200"/>
  <c r="K33" i="200"/>
  <c r="J33" i="200"/>
  <c r="G32" i="228"/>
  <c r="H31" i="228"/>
  <c r="H32" i="222"/>
  <c r="G33" i="222"/>
  <c r="J32" i="172"/>
  <c r="O32" i="172" s="1"/>
  <c r="L31" i="172"/>
  <c r="J32" i="226"/>
  <c r="O32" i="226" s="1"/>
  <c r="L31" i="226"/>
  <c r="M32" i="188"/>
  <c r="K33" i="188"/>
  <c r="G32" i="215"/>
  <c r="H31" i="215"/>
  <c r="H32" i="212"/>
  <c r="L33" i="212"/>
  <c r="G34" i="236"/>
  <c r="H33" i="236"/>
  <c r="G33" i="223"/>
  <c r="L33" i="223" s="1"/>
  <c r="H32" i="223"/>
  <c r="H31" i="221"/>
  <c r="I33" i="254"/>
  <c r="J32" i="254"/>
  <c r="K32" i="254"/>
  <c r="I34" i="250"/>
  <c r="J33" i="250"/>
  <c r="K33" i="250"/>
  <c r="L30" i="170"/>
  <c r="J31" i="170"/>
  <c r="S31" i="170" s="1"/>
  <c r="J32" i="155"/>
  <c r="P32" i="155" s="1"/>
  <c r="K34" i="234"/>
  <c r="M33" i="234"/>
  <c r="L31" i="234"/>
  <c r="J32" i="234"/>
  <c r="J31" i="157"/>
  <c r="S31" i="157" s="1"/>
  <c r="L30" i="157"/>
  <c r="L33" i="186"/>
  <c r="J34" i="186"/>
  <c r="M33" i="186"/>
  <c r="K34" i="186"/>
  <c r="M31" i="187"/>
  <c r="K32" i="187"/>
  <c r="J31" i="158"/>
  <c r="O31" i="158" s="1"/>
  <c r="L30" i="158"/>
  <c r="M30" i="160"/>
  <c r="K31" i="160"/>
  <c r="M33" i="163"/>
  <c r="K34" i="163"/>
  <c r="K33" i="218"/>
  <c r="M32" i="218"/>
  <c r="L33" i="218"/>
  <c r="J34" i="218"/>
  <c r="O34" i="218" s="1"/>
  <c r="K32" i="181"/>
  <c r="M31" i="181"/>
  <c r="L32" i="181"/>
  <c r="J33" i="181"/>
  <c r="O33" i="181" s="1"/>
  <c r="L32" i="225"/>
  <c r="J33" i="225"/>
  <c r="O33" i="225" s="1"/>
  <c r="M32" i="225"/>
  <c r="K33" i="225"/>
  <c r="J33" i="188"/>
  <c r="O33" i="188" s="1"/>
  <c r="L32" i="188"/>
  <c r="M31" i="226"/>
  <c r="K32" i="226"/>
  <c r="K34" i="190"/>
  <c r="M33" i="190"/>
  <c r="L32" i="190"/>
  <c r="J33" i="190"/>
  <c r="O33" i="190" s="1"/>
  <c r="J33" i="182"/>
  <c r="O33" i="182" s="1"/>
  <c r="L32" i="182"/>
  <c r="L32" i="180"/>
  <c r="J33" i="180"/>
  <c r="O33" i="180" s="1"/>
  <c r="M34" i="180"/>
  <c r="K35" i="180"/>
  <c r="M31" i="178"/>
  <c r="K32" i="178"/>
  <c r="K34" i="172"/>
  <c r="M33" i="172"/>
  <c r="L33" i="174"/>
  <c r="J34" i="174"/>
  <c r="M32" i="174"/>
  <c r="K33" i="174"/>
  <c r="M35" i="155"/>
  <c r="J33" i="191"/>
  <c r="L32" i="191"/>
  <c r="M31" i="182"/>
  <c r="K32" i="182"/>
  <c r="G35" i="214"/>
  <c r="H34" i="214"/>
  <c r="G33" i="213"/>
  <c r="L33" i="213" s="1"/>
  <c r="H32" i="213"/>
  <c r="U33" i="208"/>
  <c r="K34" i="207"/>
  <c r="M33" i="207"/>
  <c r="J34" i="207"/>
  <c r="L33" i="207"/>
  <c r="H31" i="249"/>
  <c r="G33" i="246"/>
  <c r="M33" i="246" s="1"/>
  <c r="H32" i="246"/>
  <c r="P33" i="253"/>
  <c r="P33" i="251"/>
  <c r="P33" i="256"/>
  <c r="K33" i="184"/>
  <c r="M32" i="184"/>
  <c r="M32" i="183"/>
  <c r="K33" i="173"/>
  <c r="M32" i="173"/>
  <c r="J33" i="173"/>
  <c r="S33" i="173" s="1"/>
  <c r="L32" i="173"/>
  <c r="L32" i="160"/>
  <c r="J33" i="160"/>
  <c r="S33" i="160" s="1"/>
  <c r="M32" i="159"/>
  <c r="K33" i="159"/>
  <c r="J33" i="159"/>
  <c r="S33" i="159" s="1"/>
  <c r="L32" i="159"/>
  <c r="M32" i="170"/>
  <c r="K33" i="170"/>
  <c r="K34" i="166"/>
  <c r="M33" i="166"/>
  <c r="J34" i="166"/>
  <c r="L33" i="166"/>
  <c r="M32" i="164"/>
  <c r="K33" i="164"/>
  <c r="J33" i="164"/>
  <c r="S33" i="164" s="1"/>
  <c r="L32" i="164"/>
  <c r="M32" i="162"/>
  <c r="K33" i="162"/>
  <c r="J33" i="162"/>
  <c r="O33" i="162" s="1"/>
  <c r="L32" i="162"/>
  <c r="K33" i="158"/>
  <c r="M32" i="158"/>
  <c r="K33" i="165"/>
  <c r="M32" i="165"/>
  <c r="J33" i="165"/>
  <c r="S33" i="165" s="1"/>
  <c r="L32" i="165"/>
  <c r="M32" i="149"/>
  <c r="L32" i="149"/>
  <c r="M32" i="157"/>
  <c r="K34" i="156"/>
  <c r="M33" i="156"/>
  <c r="J34" i="156"/>
  <c r="L33" i="156"/>
  <c r="K34" i="153"/>
  <c r="M33" i="153"/>
  <c r="J34" i="153"/>
  <c r="L33" i="153"/>
  <c r="G33" i="220"/>
  <c r="L33" i="220" s="1"/>
  <c r="H32" i="220"/>
  <c r="L33" i="211"/>
  <c r="G33" i="244"/>
  <c r="H32" i="244"/>
  <c r="H33" i="203"/>
  <c r="G34" i="203"/>
  <c r="K34" i="208" l="1"/>
  <c r="M33" i="208"/>
  <c r="I34" i="197"/>
  <c r="J33" i="197"/>
  <c r="K33" i="197"/>
  <c r="P33" i="255"/>
  <c r="Z33" i="204"/>
  <c r="G33" i="240"/>
  <c r="K32" i="242"/>
  <c r="H33" i="247"/>
  <c r="L33" i="247"/>
  <c r="L32" i="216"/>
  <c r="G33" i="216"/>
  <c r="H32" i="216"/>
  <c r="O32" i="187"/>
  <c r="L32" i="187"/>
  <c r="J33" i="187"/>
  <c r="S32" i="163"/>
  <c r="L32" i="163"/>
  <c r="J33" i="163"/>
  <c r="G33" i="221"/>
  <c r="L32" i="221"/>
  <c r="G35" i="245"/>
  <c r="K34" i="245"/>
  <c r="J35" i="149"/>
  <c r="S34" i="149"/>
  <c r="S32" i="178"/>
  <c r="J33" i="178"/>
  <c r="L32" i="178"/>
  <c r="K33" i="231"/>
  <c r="M33" i="231" s="1"/>
  <c r="I34" i="196"/>
  <c r="J33" i="196"/>
  <c r="K33" i="196"/>
  <c r="H34" i="245"/>
  <c r="M33" i="177"/>
  <c r="K34" i="177"/>
  <c r="K34" i="168"/>
  <c r="M33" i="168"/>
  <c r="J32" i="232"/>
  <c r="O32" i="232" s="1"/>
  <c r="L31" i="232"/>
  <c r="L33" i="177"/>
  <c r="J34" i="177"/>
  <c r="L32" i="235"/>
  <c r="J33" i="235"/>
  <c r="O32" i="235"/>
  <c r="J34" i="198"/>
  <c r="I35" i="198"/>
  <c r="K34" i="198"/>
  <c r="G33" i="229"/>
  <c r="H32" i="229"/>
  <c r="H32" i="228"/>
  <c r="G33" i="228"/>
  <c r="J34" i="202"/>
  <c r="K34" i="202"/>
  <c r="I35" i="202"/>
  <c r="I35" i="200"/>
  <c r="K34" i="200"/>
  <c r="J34" i="200"/>
  <c r="L33" i="233"/>
  <c r="J34" i="233"/>
  <c r="K33" i="199"/>
  <c r="I34" i="199"/>
  <c r="J33" i="199"/>
  <c r="L34" i="168"/>
  <c r="J35" i="168"/>
  <c r="K34" i="233"/>
  <c r="M33" i="233"/>
  <c r="G34" i="222"/>
  <c r="H33" i="222"/>
  <c r="L32" i="172"/>
  <c r="J33" i="172"/>
  <c r="O33" i="172" s="1"/>
  <c r="L32" i="226"/>
  <c r="J33" i="226"/>
  <c r="O33" i="226" s="1"/>
  <c r="K34" i="188"/>
  <c r="M33" i="188"/>
  <c r="G33" i="215"/>
  <c r="H32" i="215"/>
  <c r="H33" i="212"/>
  <c r="L34" i="212"/>
  <c r="H34" i="236"/>
  <c r="G35" i="236"/>
  <c r="G34" i="223"/>
  <c r="L34" i="223" s="1"/>
  <c r="H33" i="223"/>
  <c r="H32" i="221"/>
  <c r="I34" i="254"/>
  <c r="J33" i="254"/>
  <c r="K33" i="254"/>
  <c r="J34" i="250"/>
  <c r="K34" i="250"/>
  <c r="I35" i="250"/>
  <c r="L31" i="170"/>
  <c r="J32" i="170"/>
  <c r="S32" i="170" s="1"/>
  <c r="L32" i="155"/>
  <c r="J33" i="155"/>
  <c r="P33" i="155" s="1"/>
  <c r="L32" i="234"/>
  <c r="J33" i="234"/>
  <c r="K35" i="234"/>
  <c r="M34" i="234"/>
  <c r="J32" i="157"/>
  <c r="S32" i="157" s="1"/>
  <c r="L31" i="157"/>
  <c r="M34" i="186"/>
  <c r="K35" i="186"/>
  <c r="L34" i="186"/>
  <c r="J35" i="186"/>
  <c r="M32" i="187"/>
  <c r="K33" i="187"/>
  <c r="J32" i="158"/>
  <c r="O32" i="158" s="1"/>
  <c r="L31" i="158"/>
  <c r="M31" i="160"/>
  <c r="K32" i="160"/>
  <c r="M34" i="163"/>
  <c r="K35" i="163"/>
  <c r="L34" i="218"/>
  <c r="J35" i="218"/>
  <c r="O35" i="218" s="1"/>
  <c r="M33" i="218"/>
  <c r="K34" i="218"/>
  <c r="L33" i="181"/>
  <c r="J34" i="181"/>
  <c r="O34" i="181" s="1"/>
  <c r="M32" i="181"/>
  <c r="K33" i="181"/>
  <c r="K34" i="225"/>
  <c r="M33" i="225"/>
  <c r="J34" i="225"/>
  <c r="O34" i="225" s="1"/>
  <c r="L33" i="225"/>
  <c r="J34" i="188"/>
  <c r="O34" i="188" s="1"/>
  <c r="L33" i="188"/>
  <c r="K33" i="226"/>
  <c r="M32" i="226"/>
  <c r="J34" i="190"/>
  <c r="O34" i="190" s="1"/>
  <c r="L33" i="190"/>
  <c r="M34" i="190"/>
  <c r="K35" i="190"/>
  <c r="J34" i="182"/>
  <c r="O34" i="182" s="1"/>
  <c r="L33" i="182"/>
  <c r="M35" i="180"/>
  <c r="K36" i="180"/>
  <c r="J34" i="180"/>
  <c r="O34" i="180" s="1"/>
  <c r="L33" i="180"/>
  <c r="K33" i="178"/>
  <c r="M32" i="178"/>
  <c r="M34" i="172"/>
  <c r="K35" i="172"/>
  <c r="K34" i="174"/>
  <c r="M33" i="174"/>
  <c r="J35" i="174"/>
  <c r="L34" i="174"/>
  <c r="G34" i="247"/>
  <c r="M36" i="155"/>
  <c r="L33" i="191"/>
  <c r="J34" i="191"/>
  <c r="K33" i="182"/>
  <c r="M32" i="182"/>
  <c r="H35" i="214"/>
  <c r="G36" i="214"/>
  <c r="H33" i="213"/>
  <c r="G34" i="213"/>
  <c r="L34" i="213" s="1"/>
  <c r="U34" i="208"/>
  <c r="K35" i="207"/>
  <c r="M34" i="207"/>
  <c r="J35" i="207"/>
  <c r="L34" i="207"/>
  <c r="H32" i="249"/>
  <c r="H33" i="246"/>
  <c r="G34" i="246"/>
  <c r="M34" i="246" s="1"/>
  <c r="P34" i="253"/>
  <c r="P34" i="251"/>
  <c r="P34" i="256"/>
  <c r="K34" i="184"/>
  <c r="M33" i="184"/>
  <c r="M33" i="183"/>
  <c r="K34" i="173"/>
  <c r="M33" i="173"/>
  <c r="J34" i="173"/>
  <c r="S34" i="173" s="1"/>
  <c r="L33" i="173"/>
  <c r="J34" i="160"/>
  <c r="S34" i="160" s="1"/>
  <c r="L33" i="160"/>
  <c r="M33" i="159"/>
  <c r="K34" i="159"/>
  <c r="J34" i="159"/>
  <c r="S34" i="159" s="1"/>
  <c r="L33" i="159"/>
  <c r="M33" i="170"/>
  <c r="K34" i="170"/>
  <c r="K35" i="166"/>
  <c r="M34" i="166"/>
  <c r="J35" i="166"/>
  <c r="L34" i="166"/>
  <c r="K34" i="164"/>
  <c r="M33" i="164"/>
  <c r="J34" i="164"/>
  <c r="S34" i="164" s="1"/>
  <c r="L33" i="164"/>
  <c r="K34" i="162"/>
  <c r="M33" i="162"/>
  <c r="J34" i="162"/>
  <c r="O34" i="162" s="1"/>
  <c r="L33" i="162"/>
  <c r="M33" i="158"/>
  <c r="K34" i="158"/>
  <c r="K34" i="165"/>
  <c r="M33" i="165"/>
  <c r="J34" i="165"/>
  <c r="S34" i="165" s="1"/>
  <c r="L33" i="165"/>
  <c r="M33" i="149"/>
  <c r="L33" i="149"/>
  <c r="M33" i="157"/>
  <c r="K35" i="156"/>
  <c r="M34" i="156"/>
  <c r="J35" i="156"/>
  <c r="L34" i="156"/>
  <c r="K35" i="153"/>
  <c r="M34" i="153"/>
  <c r="J35" i="153"/>
  <c r="L34" i="153"/>
  <c r="G34" i="220"/>
  <c r="L34" i="220" s="1"/>
  <c r="H33" i="220"/>
  <c r="L34" i="211"/>
  <c r="G34" i="244"/>
  <c r="H33" i="244"/>
  <c r="H34" i="203"/>
  <c r="G35" i="203"/>
  <c r="K35" i="208" l="1"/>
  <c r="M34" i="208"/>
  <c r="I35" i="197"/>
  <c r="J34" i="197"/>
  <c r="K34" i="197"/>
  <c r="P34" i="255"/>
  <c r="Z34" i="204"/>
  <c r="G34" i="240"/>
  <c r="H34" i="247"/>
  <c r="L34" i="247"/>
  <c r="O33" i="187"/>
  <c r="J34" i="187"/>
  <c r="L33" i="187"/>
  <c r="L33" i="216"/>
  <c r="H33" i="216"/>
  <c r="G34" i="216"/>
  <c r="K33" i="242"/>
  <c r="S33" i="163"/>
  <c r="J34" i="163"/>
  <c r="L33" i="163"/>
  <c r="G34" i="221"/>
  <c r="L33" i="221"/>
  <c r="G36" i="245"/>
  <c r="K35" i="245"/>
  <c r="S35" i="149"/>
  <c r="J36" i="149"/>
  <c r="S33" i="178"/>
  <c r="J34" i="178"/>
  <c r="L33" i="178"/>
  <c r="K34" i="231"/>
  <c r="M34" i="231" s="1"/>
  <c r="K34" i="196"/>
  <c r="I35" i="196"/>
  <c r="J34" i="196"/>
  <c r="H35" i="245"/>
  <c r="K35" i="177"/>
  <c r="M34" i="177"/>
  <c r="O33" i="235"/>
  <c r="J34" i="235"/>
  <c r="L33" i="235"/>
  <c r="I36" i="198"/>
  <c r="K35" i="198"/>
  <c r="J35" i="198"/>
  <c r="J33" i="232"/>
  <c r="O33" i="232" s="1"/>
  <c r="L32" i="232"/>
  <c r="L34" i="177"/>
  <c r="J35" i="177"/>
  <c r="H33" i="229"/>
  <c r="G34" i="229"/>
  <c r="K35" i="168"/>
  <c r="M34" i="168"/>
  <c r="K34" i="199"/>
  <c r="J34" i="199"/>
  <c r="I35" i="199"/>
  <c r="K35" i="200"/>
  <c r="J35" i="200"/>
  <c r="I36" i="200"/>
  <c r="M34" i="233"/>
  <c r="K35" i="233"/>
  <c r="L35" i="168"/>
  <c r="J36" i="168"/>
  <c r="L34" i="233"/>
  <c r="J35" i="233"/>
  <c r="K35" i="202"/>
  <c r="J35" i="202"/>
  <c r="I36" i="202"/>
  <c r="H33" i="228"/>
  <c r="G34" i="228"/>
  <c r="H34" i="222"/>
  <c r="G35" i="222"/>
  <c r="J34" i="172"/>
  <c r="O34" i="172" s="1"/>
  <c r="L33" i="172"/>
  <c r="J34" i="226"/>
  <c r="O34" i="226" s="1"/>
  <c r="L33" i="226"/>
  <c r="M34" i="188"/>
  <c r="K35" i="188"/>
  <c r="G34" i="215"/>
  <c r="H33" i="215"/>
  <c r="H34" i="212"/>
  <c r="L35" i="212"/>
  <c r="H35" i="236"/>
  <c r="G36" i="236"/>
  <c r="G35" i="223"/>
  <c r="L35" i="223" s="1"/>
  <c r="H34" i="223"/>
  <c r="H33" i="221"/>
  <c r="K34" i="254"/>
  <c r="I35" i="254"/>
  <c r="J34" i="254"/>
  <c r="J35" i="250"/>
  <c r="K35" i="250"/>
  <c r="I36" i="250"/>
  <c r="J33" i="170"/>
  <c r="L32" i="170"/>
  <c r="J34" i="155"/>
  <c r="P34" i="155" s="1"/>
  <c r="L33" i="155"/>
  <c r="K36" i="234"/>
  <c r="M35" i="234"/>
  <c r="L33" i="234"/>
  <c r="J34" i="234"/>
  <c r="J33" i="157"/>
  <c r="S33" i="157" s="1"/>
  <c r="L32" i="157"/>
  <c r="L35" i="186"/>
  <c r="J36" i="186"/>
  <c r="M35" i="186"/>
  <c r="K36" i="186"/>
  <c r="M33" i="187"/>
  <c r="K34" i="187"/>
  <c r="J33" i="158"/>
  <c r="O33" i="158" s="1"/>
  <c r="L32" i="158"/>
  <c r="M32" i="160"/>
  <c r="K33" i="160"/>
  <c r="M35" i="163"/>
  <c r="K36" i="163"/>
  <c r="K35" i="218"/>
  <c r="M34" i="218"/>
  <c r="L35" i="218"/>
  <c r="J36" i="218"/>
  <c r="O36" i="218" s="1"/>
  <c r="M33" i="181"/>
  <c r="K34" i="181"/>
  <c r="L34" i="181"/>
  <c r="J35" i="181"/>
  <c r="O35" i="181" s="1"/>
  <c r="L34" i="225"/>
  <c r="J35" i="225"/>
  <c r="O35" i="225" s="1"/>
  <c r="K35" i="225"/>
  <c r="M34" i="225"/>
  <c r="J35" i="188"/>
  <c r="O35" i="188" s="1"/>
  <c r="L34" i="188"/>
  <c r="M33" i="226"/>
  <c r="K34" i="226"/>
  <c r="K36" i="190"/>
  <c r="M35" i="190"/>
  <c r="L34" i="190"/>
  <c r="J35" i="190"/>
  <c r="O35" i="190" s="1"/>
  <c r="L34" i="182"/>
  <c r="J35" i="182"/>
  <c r="O35" i="182" s="1"/>
  <c r="L34" i="180"/>
  <c r="J35" i="180"/>
  <c r="O35" i="180" s="1"/>
  <c r="M36" i="180"/>
  <c r="K37" i="180"/>
  <c r="M33" i="178"/>
  <c r="K34" i="178"/>
  <c r="M35" i="172"/>
  <c r="K36" i="172"/>
  <c r="J36" i="174"/>
  <c r="L35" i="174"/>
  <c r="M34" i="174"/>
  <c r="K35" i="174"/>
  <c r="G35" i="247"/>
  <c r="M37" i="155"/>
  <c r="L34" i="191"/>
  <c r="J35" i="191"/>
  <c r="K34" i="182"/>
  <c r="M33" i="182"/>
  <c r="G37" i="214"/>
  <c r="H36" i="214"/>
  <c r="G35" i="213"/>
  <c r="L35" i="213" s="1"/>
  <c r="H34" i="213"/>
  <c r="U35" i="208"/>
  <c r="K36" i="207"/>
  <c r="M35" i="207"/>
  <c r="J36" i="207"/>
  <c r="L35" i="207"/>
  <c r="H33" i="249"/>
  <c r="G35" i="246"/>
  <c r="M35" i="246" s="1"/>
  <c r="H34" i="246"/>
  <c r="P35" i="253"/>
  <c r="P35" i="251"/>
  <c r="P35" i="256"/>
  <c r="M34" i="184"/>
  <c r="K35" i="184"/>
  <c r="M34" i="183"/>
  <c r="K35" i="173"/>
  <c r="M34" i="173"/>
  <c r="J35" i="173"/>
  <c r="S35" i="173" s="1"/>
  <c r="L34" i="173"/>
  <c r="J35" i="160"/>
  <c r="S35" i="160" s="1"/>
  <c r="L34" i="160"/>
  <c r="K35" i="159"/>
  <c r="M34" i="159"/>
  <c r="J35" i="159"/>
  <c r="S35" i="159" s="1"/>
  <c r="L34" i="159"/>
  <c r="K35" i="170"/>
  <c r="M34" i="170"/>
  <c r="M35" i="166"/>
  <c r="K36" i="166"/>
  <c r="J36" i="166"/>
  <c r="L35" i="166"/>
  <c r="M34" i="164"/>
  <c r="K35" i="164"/>
  <c r="J35" i="164"/>
  <c r="S35" i="164" s="1"/>
  <c r="L34" i="164"/>
  <c r="K35" i="162"/>
  <c r="M34" i="162"/>
  <c r="J35" i="162"/>
  <c r="O35" i="162" s="1"/>
  <c r="L34" i="162"/>
  <c r="M34" i="158"/>
  <c r="K35" i="158"/>
  <c r="M34" i="165"/>
  <c r="K35" i="165"/>
  <c r="J35" i="165"/>
  <c r="S35" i="165" s="1"/>
  <c r="L34" i="165"/>
  <c r="M34" i="149"/>
  <c r="L34" i="149"/>
  <c r="M34" i="157"/>
  <c r="M35" i="156"/>
  <c r="K36" i="156"/>
  <c r="J36" i="156"/>
  <c r="L35" i="156"/>
  <c r="K36" i="153"/>
  <c r="M35" i="153"/>
  <c r="J36" i="153"/>
  <c r="L35" i="153"/>
  <c r="G35" i="220"/>
  <c r="L35" i="220" s="1"/>
  <c r="H34" i="220"/>
  <c r="L35" i="211"/>
  <c r="G35" i="244"/>
  <c r="H34" i="244"/>
  <c r="G36" i="203"/>
  <c r="H35" i="203"/>
  <c r="K36" i="208" l="1"/>
  <c r="M35" i="208"/>
  <c r="I36" i="197"/>
  <c r="J35" i="197"/>
  <c r="K35" i="197"/>
  <c r="P35" i="255"/>
  <c r="Z35" i="204"/>
  <c r="G35" i="240"/>
  <c r="S34" i="163"/>
  <c r="L34" i="163"/>
  <c r="J35" i="163"/>
  <c r="L34" i="216"/>
  <c r="H34" i="216"/>
  <c r="G35" i="216"/>
  <c r="O34" i="187"/>
  <c r="L34" i="187"/>
  <c r="J35" i="187"/>
  <c r="H35" i="247"/>
  <c r="L35" i="247"/>
  <c r="K34" i="242"/>
  <c r="G35" i="221"/>
  <c r="L35" i="221" s="1"/>
  <c r="L34" i="221"/>
  <c r="G37" i="245"/>
  <c r="K36" i="245"/>
  <c r="S36" i="149"/>
  <c r="J37" i="149"/>
  <c r="S34" i="178"/>
  <c r="J35" i="178"/>
  <c r="L34" i="178"/>
  <c r="L33" i="170"/>
  <c r="S33" i="170"/>
  <c r="K35" i="231"/>
  <c r="M35" i="231" s="1"/>
  <c r="I36" i="196"/>
  <c r="J35" i="196"/>
  <c r="K35" i="196"/>
  <c r="H36" i="245"/>
  <c r="M35" i="177"/>
  <c r="K36" i="177"/>
  <c r="H34" i="229"/>
  <c r="G35" i="229"/>
  <c r="K36" i="198"/>
  <c r="I37" i="198"/>
  <c r="J36" i="198"/>
  <c r="L33" i="232"/>
  <c r="J34" i="232"/>
  <c r="O34" i="232" s="1"/>
  <c r="L35" i="177"/>
  <c r="J36" i="177"/>
  <c r="O34" i="235"/>
  <c r="L34" i="235"/>
  <c r="J35" i="235"/>
  <c r="M35" i="168"/>
  <c r="K36" i="168"/>
  <c r="H34" i="228"/>
  <c r="G35" i="228"/>
  <c r="J37" i="168"/>
  <c r="L36" i="168"/>
  <c r="J36" i="200"/>
  <c r="K36" i="200"/>
  <c r="I37" i="200"/>
  <c r="L35" i="233"/>
  <c r="J36" i="233"/>
  <c r="J35" i="199"/>
  <c r="I36" i="199"/>
  <c r="K35" i="199"/>
  <c r="J36" i="202"/>
  <c r="K36" i="202"/>
  <c r="I37" i="202"/>
  <c r="K36" i="233"/>
  <c r="M35" i="233"/>
  <c r="G36" i="222"/>
  <c r="H35" i="222"/>
  <c r="L34" i="172"/>
  <c r="J35" i="172"/>
  <c r="O35" i="172" s="1"/>
  <c r="J35" i="226"/>
  <c r="O35" i="226" s="1"/>
  <c r="L34" i="226"/>
  <c r="K36" i="188"/>
  <c r="M35" i="188"/>
  <c r="H34" i="215"/>
  <c r="G35" i="215"/>
  <c r="H35" i="212"/>
  <c r="L36" i="212"/>
  <c r="H36" i="236"/>
  <c r="G37" i="236"/>
  <c r="G36" i="223"/>
  <c r="L36" i="223" s="1"/>
  <c r="H35" i="223"/>
  <c r="H34" i="221"/>
  <c r="K35" i="254"/>
  <c r="I36" i="254"/>
  <c r="J35" i="254"/>
  <c r="J36" i="250"/>
  <c r="K36" i="250"/>
  <c r="I37" i="250"/>
  <c r="J34" i="170"/>
  <c r="S34" i="170" s="1"/>
  <c r="J35" i="155"/>
  <c r="P35" i="155" s="1"/>
  <c r="L34" i="155"/>
  <c r="L34" i="234"/>
  <c r="J35" i="234"/>
  <c r="K37" i="234"/>
  <c r="M36" i="234"/>
  <c r="J34" i="157"/>
  <c r="S34" i="157" s="1"/>
  <c r="L33" i="157"/>
  <c r="M36" i="186"/>
  <c r="K37" i="186"/>
  <c r="L36" i="186"/>
  <c r="J37" i="186"/>
  <c r="M34" i="187"/>
  <c r="K35" i="187"/>
  <c r="J34" i="158"/>
  <c r="O34" i="158" s="1"/>
  <c r="L33" i="158"/>
  <c r="M33" i="160"/>
  <c r="K34" i="160"/>
  <c r="M36" i="163"/>
  <c r="K37" i="163"/>
  <c r="L36" i="218"/>
  <c r="J37" i="218"/>
  <c r="O37" i="218" s="1"/>
  <c r="K36" i="218"/>
  <c r="M35" i="218"/>
  <c r="J36" i="181"/>
  <c r="O36" i="181" s="1"/>
  <c r="L35" i="181"/>
  <c r="K35" i="181"/>
  <c r="M34" i="181"/>
  <c r="K36" i="225"/>
  <c r="M35" i="225"/>
  <c r="J36" i="225"/>
  <c r="O36" i="225" s="1"/>
  <c r="L35" i="225"/>
  <c r="J36" i="188"/>
  <c r="O36" i="188" s="1"/>
  <c r="L35" i="188"/>
  <c r="M34" i="226"/>
  <c r="K35" i="226"/>
  <c r="J36" i="190"/>
  <c r="O36" i="190" s="1"/>
  <c r="L35" i="190"/>
  <c r="M36" i="190"/>
  <c r="K37" i="190"/>
  <c r="L35" i="182"/>
  <c r="J36" i="182"/>
  <c r="O36" i="182" s="1"/>
  <c r="K38" i="180"/>
  <c r="M37" i="180"/>
  <c r="L35" i="180"/>
  <c r="J36" i="180"/>
  <c r="O36" i="180" s="1"/>
  <c r="M34" i="178"/>
  <c r="K35" i="178"/>
  <c r="M36" i="172"/>
  <c r="K37" i="172"/>
  <c r="M35" i="174"/>
  <c r="K36" i="174"/>
  <c r="L36" i="174"/>
  <c r="J37" i="174"/>
  <c r="G36" i="247"/>
  <c r="L36" i="247" s="1"/>
  <c r="M38" i="155"/>
  <c r="J36" i="191"/>
  <c r="L35" i="191"/>
  <c r="M34" i="182"/>
  <c r="K35" i="182"/>
  <c r="H37" i="214"/>
  <c r="G38" i="214"/>
  <c r="G36" i="213"/>
  <c r="L36" i="213" s="1"/>
  <c r="H35" i="213"/>
  <c r="U36" i="208"/>
  <c r="K37" i="207"/>
  <c r="M36" i="207"/>
  <c r="L36" i="207"/>
  <c r="J37" i="207"/>
  <c r="H34" i="249"/>
  <c r="H35" i="246"/>
  <c r="G36" i="246"/>
  <c r="M36" i="246" s="1"/>
  <c r="P36" i="253"/>
  <c r="P36" i="251"/>
  <c r="P36" i="256"/>
  <c r="K36" i="184"/>
  <c r="M35" i="184"/>
  <c r="M35" i="183"/>
  <c r="K36" i="173"/>
  <c r="M35" i="173"/>
  <c r="J36" i="173"/>
  <c r="S36" i="173" s="1"/>
  <c r="L35" i="173"/>
  <c r="J36" i="160"/>
  <c r="S36" i="160" s="1"/>
  <c r="L35" i="160"/>
  <c r="M35" i="159"/>
  <c r="K36" i="159"/>
  <c r="J36" i="159"/>
  <c r="S36" i="159" s="1"/>
  <c r="L35" i="159"/>
  <c r="M35" i="170"/>
  <c r="K36" i="170"/>
  <c r="M36" i="166"/>
  <c r="K37" i="166"/>
  <c r="J37" i="166"/>
  <c r="L36" i="166"/>
  <c r="K36" i="164"/>
  <c r="M35" i="164"/>
  <c r="J36" i="164"/>
  <c r="S36" i="164" s="1"/>
  <c r="L35" i="164"/>
  <c r="K36" i="162"/>
  <c r="M35" i="162"/>
  <c r="J36" i="162"/>
  <c r="O36" i="162" s="1"/>
  <c r="L35" i="162"/>
  <c r="M35" i="158"/>
  <c r="K36" i="158"/>
  <c r="M35" i="165"/>
  <c r="K36" i="165"/>
  <c r="J36" i="165"/>
  <c r="S36" i="165" s="1"/>
  <c r="L35" i="165"/>
  <c r="M35" i="149"/>
  <c r="L35" i="149"/>
  <c r="M35" i="157"/>
  <c r="M36" i="156"/>
  <c r="K37" i="156"/>
  <c r="J37" i="156"/>
  <c r="L36" i="156"/>
  <c r="M36" i="153"/>
  <c r="K37" i="153"/>
  <c r="J37" i="153"/>
  <c r="L36" i="153"/>
  <c r="H35" i="220"/>
  <c r="G36" i="220"/>
  <c r="L36" i="220" s="1"/>
  <c r="G36" i="244"/>
  <c r="H35" i="244"/>
  <c r="G37" i="203"/>
  <c r="H36" i="203"/>
  <c r="M36" i="208" l="1"/>
  <c r="K37" i="208"/>
  <c r="I37" i="197"/>
  <c r="K36" i="197"/>
  <c r="J36" i="197"/>
  <c r="Z36" i="204"/>
  <c r="P36" i="255"/>
  <c r="G36" i="240"/>
  <c r="S35" i="163"/>
  <c r="L35" i="163"/>
  <c r="J36" i="163"/>
  <c r="L35" i="216"/>
  <c r="H35" i="216"/>
  <c r="G36" i="216"/>
  <c r="K35" i="242"/>
  <c r="O35" i="187"/>
  <c r="L35" i="187"/>
  <c r="J36" i="187"/>
  <c r="K37" i="245"/>
  <c r="G38" i="245"/>
  <c r="H37" i="245"/>
  <c r="S37" i="149"/>
  <c r="J38" i="149"/>
  <c r="S35" i="178"/>
  <c r="J36" i="178"/>
  <c r="L35" i="178"/>
  <c r="K36" i="231"/>
  <c r="M36" i="231" s="1"/>
  <c r="I37" i="196"/>
  <c r="J36" i="196"/>
  <c r="K36" i="196"/>
  <c r="M36" i="177"/>
  <c r="K37" i="177"/>
  <c r="J36" i="235"/>
  <c r="O35" i="235"/>
  <c r="L35" i="235"/>
  <c r="I38" i="198"/>
  <c r="J37" i="198"/>
  <c r="K37" i="198"/>
  <c r="L34" i="232"/>
  <c r="J35" i="232"/>
  <c r="O35" i="232" s="1"/>
  <c r="M36" i="168"/>
  <c r="K37" i="168"/>
  <c r="G36" i="229"/>
  <c r="H35" i="229"/>
  <c r="L36" i="177"/>
  <c r="J37" i="177"/>
  <c r="L36" i="233"/>
  <c r="J37" i="233"/>
  <c r="K37" i="200"/>
  <c r="J37" i="200"/>
  <c r="I38" i="200"/>
  <c r="L37" i="168"/>
  <c r="J38" i="168"/>
  <c r="G36" i="228"/>
  <c r="H35" i="228"/>
  <c r="M36" i="233"/>
  <c r="K37" i="233"/>
  <c r="J37" i="202"/>
  <c r="I38" i="202"/>
  <c r="K37" i="202"/>
  <c r="J36" i="199"/>
  <c r="K36" i="199"/>
  <c r="I37" i="199"/>
  <c r="H36" i="222"/>
  <c r="G37" i="222"/>
  <c r="L35" i="172"/>
  <c r="J36" i="172"/>
  <c r="O36" i="172" s="1"/>
  <c r="L35" i="226"/>
  <c r="J36" i="226"/>
  <c r="O36" i="226" s="1"/>
  <c r="M36" i="188"/>
  <c r="K37" i="188"/>
  <c r="G36" i="215"/>
  <c r="H35" i="215"/>
  <c r="L37" i="212"/>
  <c r="H36" i="212"/>
  <c r="G38" i="236"/>
  <c r="H37" i="236"/>
  <c r="G37" i="223"/>
  <c r="L37" i="223" s="1"/>
  <c r="H36" i="223"/>
  <c r="H35" i="221"/>
  <c r="G36" i="221"/>
  <c r="L36" i="221" s="1"/>
  <c r="I37" i="254"/>
  <c r="K36" i="254"/>
  <c r="J36" i="254"/>
  <c r="J37" i="250"/>
  <c r="K37" i="250"/>
  <c r="I38" i="250"/>
  <c r="J35" i="170"/>
  <c r="S35" i="170" s="1"/>
  <c r="L34" i="170"/>
  <c r="J36" i="155"/>
  <c r="P36" i="155" s="1"/>
  <c r="L35" i="155"/>
  <c r="L35" i="234"/>
  <c r="J36" i="234"/>
  <c r="K38" i="234"/>
  <c r="M37" i="234"/>
  <c r="J35" i="157"/>
  <c r="S35" i="157" s="1"/>
  <c r="L34" i="157"/>
  <c r="M37" i="186"/>
  <c r="K38" i="186"/>
  <c r="L37" i="186"/>
  <c r="J38" i="186"/>
  <c r="M35" i="187"/>
  <c r="K36" i="187"/>
  <c r="J35" i="158"/>
  <c r="O35" i="158" s="1"/>
  <c r="L34" i="158"/>
  <c r="K35" i="160"/>
  <c r="M34" i="160"/>
  <c r="M37" i="163"/>
  <c r="K38" i="163"/>
  <c r="M36" i="218"/>
  <c r="K37" i="218"/>
  <c r="J38" i="218"/>
  <c r="O38" i="218" s="1"/>
  <c r="L37" i="218"/>
  <c r="K36" i="181"/>
  <c r="M35" i="181"/>
  <c r="L36" i="181"/>
  <c r="J37" i="181"/>
  <c r="O37" i="181" s="1"/>
  <c r="L36" i="225"/>
  <c r="J37" i="225"/>
  <c r="O37" i="225" s="1"/>
  <c r="K37" i="225"/>
  <c r="M36" i="225"/>
  <c r="J37" i="188"/>
  <c r="O37" i="188" s="1"/>
  <c r="L36" i="188"/>
  <c r="M35" i="226"/>
  <c r="K36" i="226"/>
  <c r="K38" i="190"/>
  <c r="M37" i="190"/>
  <c r="J37" i="190"/>
  <c r="O37" i="190" s="1"/>
  <c r="L36" i="190"/>
  <c r="L36" i="182"/>
  <c r="J37" i="182"/>
  <c r="O37" i="182" s="1"/>
  <c r="L36" i="180"/>
  <c r="J37" i="180"/>
  <c r="O37" i="180" s="1"/>
  <c r="M38" i="180"/>
  <c r="K39" i="180"/>
  <c r="M35" i="178"/>
  <c r="K36" i="178"/>
  <c r="M37" i="172"/>
  <c r="K38" i="172"/>
  <c r="J38" i="174"/>
  <c r="L37" i="174"/>
  <c r="M36" i="174"/>
  <c r="K37" i="174"/>
  <c r="H36" i="247"/>
  <c r="G37" i="247"/>
  <c r="L37" i="247" s="1"/>
  <c r="M39" i="155"/>
  <c r="J37" i="191"/>
  <c r="L36" i="191"/>
  <c r="K36" i="182"/>
  <c r="M35" i="182"/>
  <c r="G39" i="214"/>
  <c r="H38" i="214"/>
  <c r="G37" i="213"/>
  <c r="L37" i="213" s="1"/>
  <c r="H36" i="213"/>
  <c r="U37" i="208"/>
  <c r="K38" i="207"/>
  <c r="M37" i="207"/>
  <c r="L37" i="207"/>
  <c r="J38" i="207"/>
  <c r="H35" i="249"/>
  <c r="G37" i="246"/>
  <c r="H36" i="246"/>
  <c r="P37" i="253"/>
  <c r="P37" i="251"/>
  <c r="P37" i="256"/>
  <c r="M36" i="184"/>
  <c r="K37" i="184"/>
  <c r="M36" i="183"/>
  <c r="M36" i="173"/>
  <c r="K37" i="173"/>
  <c r="J37" i="173"/>
  <c r="S37" i="173" s="1"/>
  <c r="L36" i="173"/>
  <c r="J37" i="160"/>
  <c r="S37" i="160" s="1"/>
  <c r="L36" i="160"/>
  <c r="K37" i="159"/>
  <c r="M36" i="159"/>
  <c r="J37" i="159"/>
  <c r="S37" i="159" s="1"/>
  <c r="L36" i="159"/>
  <c r="M36" i="170"/>
  <c r="K37" i="170"/>
  <c r="K38" i="166"/>
  <c r="M37" i="166"/>
  <c r="J38" i="166"/>
  <c r="L37" i="166"/>
  <c r="M36" i="164"/>
  <c r="K37" i="164"/>
  <c r="J37" i="164"/>
  <c r="S37" i="164" s="1"/>
  <c r="L36" i="164"/>
  <c r="M36" i="162"/>
  <c r="K37" i="162"/>
  <c r="J37" i="162"/>
  <c r="O37" i="162" s="1"/>
  <c r="L36" i="162"/>
  <c r="M36" i="158"/>
  <c r="K37" i="158"/>
  <c r="M36" i="165"/>
  <c r="K37" i="165"/>
  <c r="J37" i="165"/>
  <c r="S37" i="165" s="1"/>
  <c r="L36" i="165"/>
  <c r="M36" i="149"/>
  <c r="L36" i="149"/>
  <c r="M36" i="157"/>
  <c r="M37" i="156"/>
  <c r="K38" i="156"/>
  <c r="J38" i="156"/>
  <c r="L37" i="156"/>
  <c r="K38" i="153"/>
  <c r="M37" i="153"/>
  <c r="J38" i="153"/>
  <c r="L37" i="153"/>
  <c r="H36" i="220"/>
  <c r="G37" i="220"/>
  <c r="L37" i="220" s="1"/>
  <c r="G37" i="244"/>
  <c r="H36" i="244"/>
  <c r="G38" i="203"/>
  <c r="H37" i="203"/>
  <c r="M37" i="208" l="1"/>
  <c r="K38" i="208"/>
  <c r="J37" i="197"/>
  <c r="I38" i="197"/>
  <c r="K37" i="197"/>
  <c r="Z37" i="204"/>
  <c r="P37" i="255"/>
  <c r="G37" i="240"/>
  <c r="K36" i="242"/>
  <c r="O36" i="187"/>
  <c r="L36" i="187"/>
  <c r="J37" i="187"/>
  <c r="S36" i="163"/>
  <c r="L36" i="163"/>
  <c r="J37" i="163"/>
  <c r="L36" i="216"/>
  <c r="G37" i="216"/>
  <c r="H36" i="216"/>
  <c r="K38" i="245"/>
  <c r="G39" i="245"/>
  <c r="H38" i="245"/>
  <c r="S38" i="149"/>
  <c r="J39" i="149"/>
  <c r="S36" i="178"/>
  <c r="J37" i="178"/>
  <c r="L36" i="178"/>
  <c r="G38" i="246"/>
  <c r="M37" i="246"/>
  <c r="K37" i="231"/>
  <c r="M37" i="231" s="1"/>
  <c r="J37" i="196"/>
  <c r="K37" i="196"/>
  <c r="I38" i="196"/>
  <c r="M37" i="177"/>
  <c r="K38" i="177"/>
  <c r="J36" i="232"/>
  <c r="O36" i="232" s="1"/>
  <c r="L35" i="232"/>
  <c r="J38" i="198"/>
  <c r="K38" i="198"/>
  <c r="I39" i="198"/>
  <c r="H36" i="229"/>
  <c r="G37" i="229"/>
  <c r="L37" i="177"/>
  <c r="J38" i="177"/>
  <c r="K38" i="168"/>
  <c r="M37" i="168"/>
  <c r="J37" i="235"/>
  <c r="O36" i="235"/>
  <c r="L36" i="235"/>
  <c r="K38" i="233"/>
  <c r="M37" i="233"/>
  <c r="L37" i="233"/>
  <c r="J38" i="233"/>
  <c r="K38" i="200"/>
  <c r="I39" i="200"/>
  <c r="J38" i="200"/>
  <c r="J37" i="199"/>
  <c r="K37" i="199"/>
  <c r="I38" i="199"/>
  <c r="K38" i="202"/>
  <c r="J38" i="202"/>
  <c r="I39" i="202"/>
  <c r="G37" i="228"/>
  <c r="H36" i="228"/>
  <c r="J39" i="168"/>
  <c r="L38" i="168"/>
  <c r="G38" i="222"/>
  <c r="H37" i="222"/>
  <c r="L36" i="172"/>
  <c r="J37" i="172"/>
  <c r="O37" i="172" s="1"/>
  <c r="L36" i="226"/>
  <c r="J37" i="226"/>
  <c r="O37" i="226" s="1"/>
  <c r="M37" i="188"/>
  <c r="K38" i="188"/>
  <c r="G37" i="215"/>
  <c r="H36" i="215"/>
  <c r="L38" i="212"/>
  <c r="H37" i="212"/>
  <c r="H38" i="236"/>
  <c r="G39" i="236"/>
  <c r="G38" i="223"/>
  <c r="L38" i="223" s="1"/>
  <c r="H37" i="223"/>
  <c r="G37" i="221"/>
  <c r="L37" i="221" s="1"/>
  <c r="H36" i="221"/>
  <c r="I38" i="254"/>
  <c r="K37" i="254"/>
  <c r="J37" i="254"/>
  <c r="J38" i="250"/>
  <c r="K38" i="250"/>
  <c r="I39" i="250"/>
  <c r="L35" i="170"/>
  <c r="J36" i="170"/>
  <c r="S36" i="170" s="1"/>
  <c r="J37" i="155"/>
  <c r="P37" i="155" s="1"/>
  <c r="L36" i="155"/>
  <c r="L36" i="234"/>
  <c r="J37" i="234"/>
  <c r="K39" i="234"/>
  <c r="M38" i="234"/>
  <c r="J36" i="157"/>
  <c r="S36" i="157" s="1"/>
  <c r="L35" i="157"/>
  <c r="K39" i="186"/>
  <c r="M38" i="186"/>
  <c r="L38" i="186"/>
  <c r="J39" i="186"/>
  <c r="M36" i="187"/>
  <c r="K37" i="187"/>
  <c r="J36" i="158"/>
  <c r="O36" i="158" s="1"/>
  <c r="L35" i="158"/>
  <c r="M35" i="160"/>
  <c r="K36" i="160"/>
  <c r="M38" i="163"/>
  <c r="K39" i="163"/>
  <c r="K40" i="163" s="1"/>
  <c r="L38" i="218"/>
  <c r="J39" i="218"/>
  <c r="O39" i="218" s="1"/>
  <c r="M37" i="218"/>
  <c r="K38" i="218"/>
  <c r="J38" i="181"/>
  <c r="O38" i="181" s="1"/>
  <c r="L37" i="181"/>
  <c r="M36" i="181"/>
  <c r="K37" i="181"/>
  <c r="K38" i="225"/>
  <c r="M37" i="225"/>
  <c r="J38" i="225"/>
  <c r="O38" i="225" s="1"/>
  <c r="L37" i="225"/>
  <c r="L37" i="188"/>
  <c r="J38" i="188"/>
  <c r="O38" i="188" s="1"/>
  <c r="K37" i="226"/>
  <c r="M36" i="226"/>
  <c r="J38" i="190"/>
  <c r="O38" i="190" s="1"/>
  <c r="L37" i="190"/>
  <c r="M38" i="190"/>
  <c r="K39" i="190"/>
  <c r="J38" i="182"/>
  <c r="O38" i="182" s="1"/>
  <c r="L37" i="182"/>
  <c r="M39" i="180"/>
  <c r="K40" i="180"/>
  <c r="J38" i="180"/>
  <c r="O38" i="180" s="1"/>
  <c r="L37" i="180"/>
  <c r="M36" i="178"/>
  <c r="K37" i="178"/>
  <c r="K39" i="172"/>
  <c r="M38" i="172"/>
  <c r="K38" i="174"/>
  <c r="M37" i="174"/>
  <c r="J39" i="174"/>
  <c r="L38" i="174"/>
  <c r="G38" i="247"/>
  <c r="L38" i="247" s="1"/>
  <c r="H37" i="247"/>
  <c r="J38" i="191"/>
  <c r="L37" i="191"/>
  <c r="M36" i="182"/>
  <c r="K37" i="182"/>
  <c r="H39" i="214"/>
  <c r="G40" i="214"/>
  <c r="H37" i="213"/>
  <c r="G38" i="213"/>
  <c r="L38" i="213" s="1"/>
  <c r="U38" i="208"/>
  <c r="K39" i="207"/>
  <c r="M38" i="207"/>
  <c r="J39" i="207"/>
  <c r="L38" i="207"/>
  <c r="H36" i="249"/>
  <c r="H37" i="246"/>
  <c r="P38" i="253"/>
  <c r="P38" i="251"/>
  <c r="P38" i="256"/>
  <c r="K38" i="184"/>
  <c r="M37" i="184"/>
  <c r="M37" i="183"/>
  <c r="K38" i="173"/>
  <c r="M37" i="173"/>
  <c r="J38" i="173"/>
  <c r="S38" i="173" s="1"/>
  <c r="L37" i="173"/>
  <c r="J38" i="160"/>
  <c r="S38" i="160" s="1"/>
  <c r="L37" i="160"/>
  <c r="M37" i="159"/>
  <c r="K38" i="159"/>
  <c r="J38" i="159"/>
  <c r="S38" i="159" s="1"/>
  <c r="L37" i="159"/>
  <c r="M37" i="170"/>
  <c r="K38" i="170"/>
  <c r="K39" i="166"/>
  <c r="M38" i="166"/>
  <c r="J39" i="166"/>
  <c r="L38" i="166"/>
  <c r="M37" i="164"/>
  <c r="K38" i="164"/>
  <c r="J38" i="164"/>
  <c r="S38" i="164" s="1"/>
  <c r="L37" i="164"/>
  <c r="M37" i="162"/>
  <c r="K38" i="162"/>
  <c r="J38" i="162"/>
  <c r="O38" i="162" s="1"/>
  <c r="L37" i="162"/>
  <c r="M37" i="158"/>
  <c r="K38" i="158"/>
  <c r="M37" i="165"/>
  <c r="K38" i="165"/>
  <c r="J38" i="165"/>
  <c r="S38" i="165" s="1"/>
  <c r="L37" i="165"/>
  <c r="M37" i="149"/>
  <c r="L37" i="149"/>
  <c r="M37" i="157"/>
  <c r="M38" i="156"/>
  <c r="K39" i="156"/>
  <c r="J39" i="156"/>
  <c r="L38" i="156"/>
  <c r="M38" i="153"/>
  <c r="K39" i="153"/>
  <c r="J39" i="153"/>
  <c r="L38" i="153"/>
  <c r="H37" i="220"/>
  <c r="G38" i="220"/>
  <c r="L38" i="220" s="1"/>
  <c r="G38" i="244"/>
  <c r="H37" i="244"/>
  <c r="H38" i="203"/>
  <c r="G39" i="203"/>
  <c r="M38" i="208" l="1"/>
  <c r="K39" i="208"/>
  <c r="I39" i="197"/>
  <c r="J38" i="197"/>
  <c r="K38" i="197"/>
  <c r="Z38" i="204"/>
  <c r="P38" i="255"/>
  <c r="G38" i="240"/>
  <c r="S37" i="163"/>
  <c r="J38" i="163"/>
  <c r="L37" i="163"/>
  <c r="L37" i="216"/>
  <c r="H37" i="216"/>
  <c r="G38" i="216"/>
  <c r="K37" i="242"/>
  <c r="O37" i="187"/>
  <c r="J38" i="187"/>
  <c r="L37" i="187"/>
  <c r="H39" i="245"/>
  <c r="K39" i="245"/>
  <c r="S39" i="149"/>
  <c r="J40" i="149"/>
  <c r="S37" i="178"/>
  <c r="J38" i="178"/>
  <c r="L37" i="178"/>
  <c r="G39" i="246"/>
  <c r="M39" i="246" s="1"/>
  <c r="M38" i="246"/>
  <c r="K38" i="231"/>
  <c r="M38" i="231" s="1"/>
  <c r="I39" i="196"/>
  <c r="K38" i="196"/>
  <c r="J38" i="196"/>
  <c r="G40" i="245"/>
  <c r="H40" i="245" s="1"/>
  <c r="K39" i="177"/>
  <c r="M38" i="177"/>
  <c r="J38" i="235"/>
  <c r="L37" i="235"/>
  <c r="O37" i="235"/>
  <c r="H37" i="229"/>
  <c r="G38" i="229"/>
  <c r="M38" i="168"/>
  <c r="K39" i="168"/>
  <c r="L38" i="177"/>
  <c r="J39" i="177"/>
  <c r="J39" i="198"/>
  <c r="J40" i="198" s="1"/>
  <c r="I40" i="198"/>
  <c r="K39" i="198"/>
  <c r="L36" i="232"/>
  <c r="J37" i="232"/>
  <c r="O37" i="232" s="1"/>
  <c r="G38" i="228"/>
  <c r="H37" i="228"/>
  <c r="K38" i="199"/>
  <c r="I39" i="199"/>
  <c r="J38" i="199"/>
  <c r="L38" i="233"/>
  <c r="J39" i="233"/>
  <c r="K39" i="202"/>
  <c r="I40" i="202"/>
  <c r="J39" i="202"/>
  <c r="J40" i="202" s="1"/>
  <c r="L39" i="168"/>
  <c r="J40" i="168"/>
  <c r="K39" i="200"/>
  <c r="J39" i="200"/>
  <c r="J40" i="200" s="1"/>
  <c r="I40" i="200"/>
  <c r="M38" i="233"/>
  <c r="K39" i="233"/>
  <c r="H38" i="222"/>
  <c r="G39" i="222"/>
  <c r="H39" i="222" s="1"/>
  <c r="K39" i="231"/>
  <c r="L37" i="172"/>
  <c r="J38" i="172"/>
  <c r="O38" i="172" s="1"/>
  <c r="J38" i="226"/>
  <c r="O38" i="226" s="1"/>
  <c r="L37" i="226"/>
  <c r="K39" i="188"/>
  <c r="M38" i="188"/>
  <c r="H37" i="215"/>
  <c r="G38" i="215"/>
  <c r="H38" i="212"/>
  <c r="L39" i="212"/>
  <c r="H39" i="236"/>
  <c r="G40" i="236"/>
  <c r="G39" i="223"/>
  <c r="H38" i="223"/>
  <c r="H37" i="221"/>
  <c r="G38" i="221"/>
  <c r="L38" i="221" s="1"/>
  <c r="K38" i="254"/>
  <c r="I39" i="254"/>
  <c r="J38" i="254"/>
  <c r="J39" i="250"/>
  <c r="J40" i="250" s="1"/>
  <c r="I40" i="250"/>
  <c r="K39" i="250"/>
  <c r="J37" i="170"/>
  <c r="S37" i="170" s="1"/>
  <c r="L36" i="170"/>
  <c r="J38" i="155"/>
  <c r="P38" i="155" s="1"/>
  <c r="L37" i="155"/>
  <c r="L37" i="234"/>
  <c r="J38" i="234"/>
  <c r="K40" i="234"/>
  <c r="K41" i="234" s="1"/>
  <c r="M39" i="234"/>
  <c r="J37" i="157"/>
  <c r="S37" i="157" s="1"/>
  <c r="L36" i="157"/>
  <c r="L39" i="186"/>
  <c r="J40" i="186"/>
  <c r="K40" i="186"/>
  <c r="M39" i="186"/>
  <c r="M37" i="187"/>
  <c r="K38" i="187"/>
  <c r="J37" i="158"/>
  <c r="O37" i="158" s="1"/>
  <c r="L36" i="158"/>
  <c r="K37" i="160"/>
  <c r="M36" i="160"/>
  <c r="M39" i="163"/>
  <c r="K39" i="218"/>
  <c r="M38" i="218"/>
  <c r="J40" i="218"/>
  <c r="L39" i="218"/>
  <c r="K38" i="181"/>
  <c r="M37" i="181"/>
  <c r="L38" i="181"/>
  <c r="J39" i="181"/>
  <c r="O39" i="181" s="1"/>
  <c r="L38" i="225"/>
  <c r="J39" i="225"/>
  <c r="O39" i="225" s="1"/>
  <c r="K39" i="225"/>
  <c r="M38" i="225"/>
  <c r="J39" i="188"/>
  <c r="O39" i="188" s="1"/>
  <c r="L38" i="188"/>
  <c r="M37" i="226"/>
  <c r="K38" i="226"/>
  <c r="M39" i="190"/>
  <c r="K40" i="190"/>
  <c r="L38" i="190"/>
  <c r="J39" i="190"/>
  <c r="O39" i="190" s="1"/>
  <c r="L38" i="182"/>
  <c r="J39" i="182"/>
  <c r="O39" i="182" s="1"/>
  <c r="L38" i="180"/>
  <c r="J39" i="180"/>
  <c r="O39" i="180" s="1"/>
  <c r="K38" i="178"/>
  <c r="M37" i="178"/>
  <c r="K40" i="172"/>
  <c r="M39" i="172"/>
  <c r="L39" i="174"/>
  <c r="J40" i="174"/>
  <c r="M38" i="174"/>
  <c r="K39" i="174"/>
  <c r="H38" i="247"/>
  <c r="G39" i="247"/>
  <c r="L39" i="247" s="1"/>
  <c r="L38" i="191"/>
  <c r="J39" i="191"/>
  <c r="M37" i="182"/>
  <c r="K38" i="182"/>
  <c r="H38" i="213"/>
  <c r="G39" i="213"/>
  <c r="L39" i="213" s="1"/>
  <c r="K40" i="207"/>
  <c r="M39" i="207"/>
  <c r="J40" i="207"/>
  <c r="L39" i="207"/>
  <c r="H37" i="249"/>
  <c r="H38" i="246"/>
  <c r="P39" i="253"/>
  <c r="P39" i="251"/>
  <c r="P39" i="256"/>
  <c r="M38" i="184"/>
  <c r="K39" i="184"/>
  <c r="M38" i="183"/>
  <c r="M38" i="173"/>
  <c r="K39" i="173"/>
  <c r="K40" i="173" s="1"/>
  <c r="J39" i="173"/>
  <c r="L38" i="173"/>
  <c r="J39" i="160"/>
  <c r="L38" i="160"/>
  <c r="K39" i="159"/>
  <c r="K40" i="159" s="1"/>
  <c r="M38" i="159"/>
  <c r="J39" i="159"/>
  <c r="L38" i="159"/>
  <c r="K39" i="170"/>
  <c r="K40" i="170" s="1"/>
  <c r="M38" i="170"/>
  <c r="M39" i="166"/>
  <c r="K40" i="166"/>
  <c r="J40" i="166"/>
  <c r="L39" i="166"/>
  <c r="M38" i="164"/>
  <c r="K39" i="164"/>
  <c r="K40" i="164" s="1"/>
  <c r="J39" i="164"/>
  <c r="L38" i="164"/>
  <c r="M38" i="162"/>
  <c r="K39" i="162"/>
  <c r="K40" i="162" s="1"/>
  <c r="J39" i="162"/>
  <c r="L38" i="162"/>
  <c r="K39" i="158"/>
  <c r="K40" i="158" s="1"/>
  <c r="M38" i="158"/>
  <c r="K39" i="165"/>
  <c r="K40" i="165" s="1"/>
  <c r="M38" i="165"/>
  <c r="J39" i="165"/>
  <c r="L38" i="165"/>
  <c r="M38" i="149"/>
  <c r="L38" i="149"/>
  <c r="M38" i="157"/>
  <c r="K40" i="156"/>
  <c r="K41" i="156" s="1"/>
  <c r="M39" i="156"/>
  <c r="J40" i="156"/>
  <c r="J41" i="156" s="1"/>
  <c r="L39" i="156"/>
  <c r="M39" i="153"/>
  <c r="K40" i="153"/>
  <c r="K41" i="153" s="1"/>
  <c r="L39" i="153"/>
  <c r="J40" i="153"/>
  <c r="J41" i="153" s="1"/>
  <c r="G39" i="220"/>
  <c r="L39" i="220" s="1"/>
  <c r="H38" i="220"/>
  <c r="H38" i="244"/>
  <c r="G39" i="244"/>
  <c r="H39" i="203"/>
  <c r="G40" i="203"/>
  <c r="K40" i="208" l="1"/>
  <c r="M40" i="208" s="1"/>
  <c r="M39" i="208"/>
  <c r="Z39" i="204"/>
  <c r="I40" i="197"/>
  <c r="K39" i="197"/>
  <c r="J39" i="197"/>
  <c r="J40" i="197" s="1"/>
  <c r="P39" i="255"/>
  <c r="G39" i="240"/>
  <c r="O38" i="187"/>
  <c r="L38" i="187"/>
  <c r="J39" i="187"/>
  <c r="L38" i="216"/>
  <c r="H38" i="216"/>
  <c r="G39" i="216"/>
  <c r="S38" i="163"/>
  <c r="L38" i="163"/>
  <c r="J39" i="163"/>
  <c r="K38" i="242"/>
  <c r="J40" i="162"/>
  <c r="O39" i="162"/>
  <c r="J40" i="173"/>
  <c r="S39" i="173"/>
  <c r="S38" i="178"/>
  <c r="J39" i="178"/>
  <c r="L38" i="178"/>
  <c r="J40" i="160"/>
  <c r="S39" i="160"/>
  <c r="H39" i="223"/>
  <c r="L39" i="223"/>
  <c r="J40" i="159"/>
  <c r="S39" i="159"/>
  <c r="J40" i="165"/>
  <c r="S39" i="165"/>
  <c r="J40" i="164"/>
  <c r="S39" i="164"/>
  <c r="J39" i="196"/>
  <c r="K39" i="196"/>
  <c r="I40" i="196"/>
  <c r="J40" i="196" s="1"/>
  <c r="K40" i="231"/>
  <c r="M39" i="231"/>
  <c r="K40" i="177"/>
  <c r="M39" i="177"/>
  <c r="K40" i="168"/>
  <c r="M39" i="168"/>
  <c r="J38" i="232"/>
  <c r="O38" i="232" s="1"/>
  <c r="L37" i="232"/>
  <c r="L39" i="177"/>
  <c r="J40" i="177"/>
  <c r="H38" i="229"/>
  <c r="G39" i="229"/>
  <c r="L38" i="235"/>
  <c r="J39" i="235"/>
  <c r="O38" i="235"/>
  <c r="M39" i="233"/>
  <c r="K40" i="233"/>
  <c r="I40" i="199"/>
  <c r="J39" i="199"/>
  <c r="J40" i="199" s="1"/>
  <c r="K39" i="199"/>
  <c r="L39" i="233"/>
  <c r="J40" i="233"/>
  <c r="G39" i="228"/>
  <c r="H38" i="228"/>
  <c r="L38" i="172"/>
  <c r="J39" i="172"/>
  <c r="O39" i="172" s="1"/>
  <c r="J39" i="226"/>
  <c r="O39" i="226" s="1"/>
  <c r="L38" i="226"/>
  <c r="K40" i="188"/>
  <c r="M39" i="188"/>
  <c r="H38" i="215"/>
  <c r="G39" i="215"/>
  <c r="H39" i="212"/>
  <c r="G40" i="223"/>
  <c r="G39" i="221"/>
  <c r="L39" i="221" s="1"/>
  <c r="H38" i="221"/>
  <c r="I40" i="254"/>
  <c r="J39" i="254"/>
  <c r="J40" i="254" s="1"/>
  <c r="K39" i="254"/>
  <c r="L37" i="170"/>
  <c r="J38" i="170"/>
  <c r="S38" i="170" s="1"/>
  <c r="J39" i="155"/>
  <c r="L38" i="155"/>
  <c r="L38" i="234"/>
  <c r="J39" i="234"/>
  <c r="M40" i="234"/>
  <c r="L37" i="157"/>
  <c r="J38" i="157"/>
  <c r="S38" i="157" s="1"/>
  <c r="M40" i="186"/>
  <c r="K41" i="186"/>
  <c r="L40" i="186"/>
  <c r="J41" i="186"/>
  <c r="M38" i="187"/>
  <c r="K39" i="187"/>
  <c r="J38" i="158"/>
  <c r="O38" i="158" s="1"/>
  <c r="L37" i="158"/>
  <c r="M37" i="160"/>
  <c r="K38" i="160"/>
  <c r="K40" i="218"/>
  <c r="M39" i="218"/>
  <c r="L39" i="181"/>
  <c r="J40" i="181"/>
  <c r="K39" i="181"/>
  <c r="M38" i="181"/>
  <c r="M39" i="225"/>
  <c r="K40" i="225"/>
  <c r="J40" i="225"/>
  <c r="L39" i="225"/>
  <c r="J40" i="188"/>
  <c r="L39" i="188"/>
  <c r="K39" i="226"/>
  <c r="M38" i="226"/>
  <c r="L39" i="190"/>
  <c r="J40" i="190"/>
  <c r="L39" i="182"/>
  <c r="J40" i="182"/>
  <c r="J40" i="180"/>
  <c r="L39" i="180"/>
  <c r="M38" i="178"/>
  <c r="K39" i="178"/>
  <c r="K40" i="178" s="1"/>
  <c r="K41" i="178" s="1"/>
  <c r="K40" i="174"/>
  <c r="M39" i="174"/>
  <c r="J41" i="174"/>
  <c r="L40" i="174"/>
  <c r="H39" i="247"/>
  <c r="G40" i="247"/>
  <c r="L39" i="191"/>
  <c r="J40" i="191"/>
  <c r="K39" i="182"/>
  <c r="M38" i="182"/>
  <c r="H39" i="213"/>
  <c r="G40" i="213"/>
  <c r="K41" i="207"/>
  <c r="M40" i="207"/>
  <c r="J41" i="207"/>
  <c r="L40" i="207"/>
  <c r="H38" i="249"/>
  <c r="G40" i="249"/>
  <c r="G40" i="246"/>
  <c r="H39" i="246"/>
  <c r="I40" i="253"/>
  <c r="J40" i="253"/>
  <c r="J40" i="251"/>
  <c r="I40" i="251"/>
  <c r="I40" i="256"/>
  <c r="J40" i="256"/>
  <c r="K40" i="184"/>
  <c r="M39" i="184"/>
  <c r="M39" i="183"/>
  <c r="K40" i="183"/>
  <c r="M39" i="173"/>
  <c r="L39" i="173"/>
  <c r="L39" i="160"/>
  <c r="M39" i="159"/>
  <c r="L39" i="159"/>
  <c r="M39" i="170"/>
  <c r="M40" i="166"/>
  <c r="K41" i="166"/>
  <c r="J41" i="166"/>
  <c r="L40" i="166"/>
  <c r="M39" i="164"/>
  <c r="L39" i="164"/>
  <c r="M39" i="162"/>
  <c r="L39" i="162"/>
  <c r="M39" i="158"/>
  <c r="M39" i="165"/>
  <c r="L39" i="165"/>
  <c r="M39" i="149"/>
  <c r="L39" i="149"/>
  <c r="M39" i="157"/>
  <c r="M40" i="156"/>
  <c r="L40" i="156"/>
  <c r="M40" i="153"/>
  <c r="L40" i="153"/>
  <c r="G40" i="220"/>
  <c r="H39" i="220"/>
  <c r="G40" i="244"/>
  <c r="H39" i="244"/>
  <c r="G40" i="204" l="1"/>
  <c r="I40" i="255"/>
  <c r="J40" i="255"/>
  <c r="G40" i="240"/>
  <c r="K39" i="242"/>
  <c r="O39" i="187"/>
  <c r="L39" i="187"/>
  <c r="J40" i="187"/>
  <c r="L39" i="216"/>
  <c r="G40" i="216"/>
  <c r="H39" i="216"/>
  <c r="J40" i="163"/>
  <c r="S39" i="163"/>
  <c r="L39" i="163"/>
  <c r="S39" i="178"/>
  <c r="J40" i="178"/>
  <c r="L39" i="178"/>
  <c r="J40" i="155"/>
  <c r="P39" i="155"/>
  <c r="J39" i="232"/>
  <c r="O39" i="232" s="1"/>
  <c r="L38" i="232"/>
  <c r="L39" i="235"/>
  <c r="O39" i="235"/>
  <c r="J40" i="235"/>
  <c r="L39" i="172"/>
  <c r="J40" i="172"/>
  <c r="J40" i="226"/>
  <c r="L39" i="226"/>
  <c r="H39" i="215"/>
  <c r="G40" i="215"/>
  <c r="H39" i="221"/>
  <c r="G40" i="221"/>
  <c r="J39" i="170"/>
  <c r="L38" i="170"/>
  <c r="L39" i="155"/>
  <c r="J40" i="234"/>
  <c r="J41" i="234" s="1"/>
  <c r="L39" i="234"/>
  <c r="J39" i="157"/>
  <c r="L38" i="157"/>
  <c r="M39" i="187"/>
  <c r="K40" i="187"/>
  <c r="J39" i="158"/>
  <c r="L38" i="158"/>
  <c r="K39" i="160"/>
  <c r="K40" i="160" s="1"/>
  <c r="M38" i="160"/>
  <c r="K40" i="181"/>
  <c r="M39" i="181"/>
  <c r="M39" i="226"/>
  <c r="K40" i="226"/>
  <c r="M39" i="178"/>
  <c r="M40" i="174"/>
  <c r="K41" i="174"/>
  <c r="J41" i="191"/>
  <c r="L40" i="191"/>
  <c r="K40" i="182"/>
  <c r="M39" i="182"/>
  <c r="G41" i="249"/>
  <c r="H39" i="249"/>
  <c r="J40" i="158" l="1"/>
  <c r="O39" i="158"/>
  <c r="J40" i="170"/>
  <c r="S39" i="170"/>
  <c r="J40" i="157"/>
  <c r="S39" i="157"/>
  <c r="J40" i="232"/>
  <c r="L39" i="232"/>
  <c r="L39" i="170"/>
  <c r="L40" i="234"/>
  <c r="L39" i="157"/>
  <c r="L39" i="158"/>
  <c r="M39" i="160"/>
  <c r="I38" i="53"/>
  <c r="K38" i="53" s="1"/>
  <c r="K9" i="169"/>
  <c r="M9" i="169" s="1"/>
  <c r="J9" i="169" l="1"/>
  <c r="S9" i="169" s="1"/>
  <c r="K10" i="169"/>
  <c r="M10" i="169" l="1"/>
  <c r="K11" i="169"/>
  <c r="L9" i="169"/>
  <c r="J10" i="169"/>
  <c r="S10" i="169" s="1"/>
  <c r="H38" i="53"/>
  <c r="H70" i="354" l="1"/>
  <c r="H216" i="354" s="1"/>
  <c r="I19" i="365"/>
  <c r="J38" i="53"/>
  <c r="L38" i="53"/>
  <c r="L10" i="169"/>
  <c r="J11" i="169"/>
  <c r="S11" i="169" s="1"/>
  <c r="K12" i="169"/>
  <c r="M11" i="169"/>
  <c r="E26" i="318" l="1"/>
  <c r="I70" i="354"/>
  <c r="J19" i="365"/>
  <c r="I63" i="365"/>
  <c r="M38" i="53"/>
  <c r="M12" i="169"/>
  <c r="K13" i="169"/>
  <c r="J12" i="169"/>
  <c r="S12" i="169" s="1"/>
  <c r="L11" i="169"/>
  <c r="K70" i="354" l="1"/>
  <c r="F26" i="318"/>
  <c r="L19" i="365"/>
  <c r="L12" i="169"/>
  <c r="J13" i="169"/>
  <c r="S13" i="169" s="1"/>
  <c r="K14" i="169"/>
  <c r="K15" i="169" s="1"/>
  <c r="K16" i="169" s="1"/>
  <c r="K17" i="169" s="1"/>
  <c r="M13" i="169"/>
  <c r="E79" i="355" l="1"/>
  <c r="G88" i="355"/>
  <c r="L13" i="169"/>
  <c r="J14" i="169"/>
  <c r="M14" i="169"/>
  <c r="H79" i="355" l="1"/>
  <c r="H88" i="355"/>
  <c r="J15" i="169"/>
  <c r="S14" i="169"/>
  <c r="M15" i="169"/>
  <c r="L14" i="169"/>
  <c r="J16" i="169" l="1"/>
  <c r="S15" i="169"/>
  <c r="L15" i="169"/>
  <c r="M16" i="169"/>
  <c r="J17" i="169" l="1"/>
  <c r="S17" i="169" s="1"/>
  <c r="S16" i="169"/>
  <c r="M17" i="169"/>
  <c r="K18" i="169"/>
  <c r="L16" i="169"/>
  <c r="J18" i="169" l="1"/>
  <c r="S18" i="169" s="1"/>
  <c r="L17" i="169"/>
  <c r="M18" i="169"/>
  <c r="K19" i="169"/>
  <c r="K20" i="169" l="1"/>
  <c r="M19" i="169"/>
  <c r="L18" i="169"/>
  <c r="J19" i="169"/>
  <c r="S19" i="169" s="1"/>
  <c r="J20" i="169" l="1"/>
  <c r="S20" i="169" s="1"/>
  <c r="L19" i="169"/>
  <c r="M20" i="169"/>
  <c r="K21" i="169"/>
  <c r="L20" i="169" l="1"/>
  <c r="J21" i="169"/>
  <c r="S21" i="169" s="1"/>
  <c r="K22" i="169"/>
  <c r="M21" i="169"/>
  <c r="M22" i="169" l="1"/>
  <c r="K23" i="169"/>
  <c r="L21" i="169"/>
  <c r="J22" i="169"/>
  <c r="S22" i="169" s="1"/>
  <c r="L22" i="169" l="1"/>
  <c r="J23" i="169"/>
  <c r="S23" i="169" s="1"/>
  <c r="K24" i="169"/>
  <c r="M23" i="169"/>
  <c r="M24" i="169" l="1"/>
  <c r="K25" i="169"/>
  <c r="J24" i="169"/>
  <c r="S24" i="169" s="1"/>
  <c r="L23" i="169"/>
  <c r="L24" i="169" l="1"/>
  <c r="J25" i="169"/>
  <c r="S25" i="169" s="1"/>
  <c r="K26" i="169"/>
  <c r="M25" i="169"/>
  <c r="M26" i="169" l="1"/>
  <c r="K27" i="169"/>
  <c r="L25" i="169"/>
  <c r="J26" i="169"/>
  <c r="S26" i="169" s="1"/>
  <c r="L26" i="169" l="1"/>
  <c r="J27" i="169"/>
  <c r="S27" i="169" s="1"/>
  <c r="K28" i="169"/>
  <c r="M27" i="169"/>
  <c r="M28" i="169" l="1"/>
  <c r="K29" i="169"/>
  <c r="J28" i="169"/>
  <c r="S28" i="169" s="1"/>
  <c r="L27" i="169"/>
  <c r="L28" i="169" l="1"/>
  <c r="J29" i="169"/>
  <c r="S29" i="169" s="1"/>
  <c r="K30" i="169"/>
  <c r="M29" i="169"/>
  <c r="M30" i="169" l="1"/>
  <c r="K31" i="169"/>
  <c r="J30" i="169"/>
  <c r="S30" i="169" s="1"/>
  <c r="L29" i="169"/>
  <c r="L30" i="169" l="1"/>
  <c r="J31" i="169"/>
  <c r="S31" i="169" s="1"/>
  <c r="K32" i="169"/>
  <c r="M31" i="169"/>
  <c r="M32" i="169" l="1"/>
  <c r="K33" i="169"/>
  <c r="K34" i="169" s="1"/>
  <c r="L31" i="169"/>
  <c r="J32" i="169"/>
  <c r="S32" i="169" s="1"/>
  <c r="L32" i="169" l="1"/>
  <c r="J33" i="169"/>
  <c r="S33" i="169" s="1"/>
  <c r="M33" i="169"/>
  <c r="M34" i="169" l="1"/>
  <c r="K35" i="169"/>
  <c r="J34" i="169"/>
  <c r="S34" i="169" s="1"/>
  <c r="L33" i="169"/>
  <c r="L34" i="169" l="1"/>
  <c r="J35" i="169"/>
  <c r="S35" i="169" s="1"/>
  <c r="K36" i="169"/>
  <c r="M35" i="169"/>
  <c r="M36" i="169" l="1"/>
  <c r="K37" i="169"/>
  <c r="J36" i="169"/>
  <c r="S36" i="169" s="1"/>
  <c r="L35" i="169"/>
  <c r="L36" i="169" l="1"/>
  <c r="J37" i="169"/>
  <c r="S37" i="169" s="1"/>
  <c r="K38" i="169"/>
  <c r="M37" i="169"/>
  <c r="M38" i="169" l="1"/>
  <c r="K39" i="169"/>
  <c r="K40" i="169" s="1"/>
  <c r="L37" i="169"/>
  <c r="J38" i="169"/>
  <c r="S38" i="169" s="1"/>
  <c r="L38" i="169" l="1"/>
  <c r="J39" i="169"/>
  <c r="M39" i="169"/>
  <c r="J40" i="169" l="1"/>
  <c r="S39" i="169"/>
  <c r="L39" i="169"/>
  <c r="K10" i="260"/>
  <c r="K11" i="260" s="1"/>
  <c r="M11" i="260" l="1"/>
  <c r="K12" i="260"/>
  <c r="M10" i="260"/>
  <c r="J10" i="260"/>
  <c r="M12" i="260" l="1"/>
  <c r="K13" i="260"/>
  <c r="L10" i="260"/>
  <c r="J11" i="260"/>
  <c r="J12" i="260" l="1"/>
  <c r="L11" i="260"/>
  <c r="M13" i="260"/>
  <c r="K14" i="260"/>
  <c r="K15" i="260" l="1"/>
  <c r="M14" i="260"/>
  <c r="L12" i="260"/>
  <c r="J13" i="260"/>
  <c r="J14" i="260" l="1"/>
  <c r="L13" i="260"/>
  <c r="M15" i="260"/>
  <c r="K16" i="260"/>
  <c r="K17" i="260" l="1"/>
  <c r="M16" i="260"/>
  <c r="L14" i="260"/>
  <c r="J15" i="260"/>
  <c r="L15" i="260" l="1"/>
  <c r="J16" i="260"/>
  <c r="M17" i="260"/>
  <c r="K18" i="260"/>
  <c r="K19" i="260" l="1"/>
  <c r="M18" i="260"/>
  <c r="L16" i="260"/>
  <c r="J17" i="260"/>
  <c r="J18" i="260" l="1"/>
  <c r="L17" i="260"/>
  <c r="M19" i="260"/>
  <c r="K20" i="260"/>
  <c r="K21" i="260" l="1"/>
  <c r="M20" i="260"/>
  <c r="L18" i="260"/>
  <c r="J19" i="260"/>
  <c r="J20" i="260" l="1"/>
  <c r="L19" i="260"/>
  <c r="M21" i="260"/>
  <c r="K22" i="260"/>
  <c r="K23" i="260" l="1"/>
  <c r="M22" i="260"/>
  <c r="L20" i="260"/>
  <c r="J21" i="260"/>
  <c r="J22" i="260" l="1"/>
  <c r="L21" i="260"/>
  <c r="M23" i="260"/>
  <c r="K24" i="260"/>
  <c r="M24" i="260" l="1"/>
  <c r="K25" i="260"/>
  <c r="L22" i="260"/>
  <c r="J23" i="260"/>
  <c r="J24" i="260" l="1"/>
  <c r="L23" i="260"/>
  <c r="M25" i="260"/>
  <c r="K26" i="260"/>
  <c r="M26" i="260" l="1"/>
  <c r="K27" i="260"/>
  <c r="L24" i="260"/>
  <c r="J25" i="260"/>
  <c r="J26" i="260" l="1"/>
  <c r="L25" i="260"/>
  <c r="M27" i="260"/>
  <c r="K28" i="260"/>
  <c r="K29" i="260" l="1"/>
  <c r="M28" i="260"/>
  <c r="L26" i="260"/>
  <c r="J27" i="260"/>
  <c r="J28" i="260" l="1"/>
  <c r="L27" i="260"/>
  <c r="M29" i="260"/>
  <c r="K30" i="260"/>
  <c r="K31" i="260" l="1"/>
  <c r="M30" i="260"/>
  <c r="L28" i="260"/>
  <c r="J29" i="260"/>
  <c r="J30" i="260" l="1"/>
  <c r="L29" i="260"/>
  <c r="M31" i="260"/>
  <c r="K32" i="260"/>
  <c r="M32" i="260" l="1"/>
  <c r="K33" i="260"/>
  <c r="L30" i="260"/>
  <c r="J31" i="260"/>
  <c r="L31" i="260" l="1"/>
  <c r="J32" i="260"/>
  <c r="M33" i="260"/>
  <c r="K34" i="260"/>
  <c r="K35" i="260" l="1"/>
  <c r="M34" i="260"/>
  <c r="L32" i="260"/>
  <c r="J33" i="260"/>
  <c r="L33" i="260" l="1"/>
  <c r="J34" i="260"/>
  <c r="M35" i="260"/>
  <c r="K36" i="260"/>
  <c r="M36" i="260" l="1"/>
  <c r="K37" i="260"/>
  <c r="J35" i="260"/>
  <c r="L34" i="260"/>
  <c r="L35" i="260" l="1"/>
  <c r="J36" i="260"/>
  <c r="M37" i="260"/>
  <c r="K38" i="260"/>
  <c r="K39" i="260" l="1"/>
  <c r="M38" i="260"/>
  <c r="L36" i="260"/>
  <c r="J37" i="260"/>
  <c r="L37" i="260" l="1"/>
  <c r="J38" i="260"/>
  <c r="M39" i="260"/>
  <c r="K40" i="260"/>
  <c r="K41" i="260" s="1"/>
  <c r="M40" i="260" l="1"/>
  <c r="L38" i="260"/>
  <c r="J39" i="260"/>
  <c r="L39" i="260" l="1"/>
  <c r="J40" i="260"/>
  <c r="J41" i="260" s="1"/>
  <c r="L40" i="260" l="1"/>
  <c r="J46" i="236"/>
  <c r="L46" i="236" s="1"/>
  <c r="M9" i="289" l="1"/>
  <c r="L9" i="289"/>
  <c r="D40" i="289"/>
  <c r="F63" i="53" s="1"/>
  <c r="J63" i="53" s="1"/>
  <c r="M63" i="53" s="1"/>
  <c r="L10" i="289"/>
  <c r="M10" i="289"/>
  <c r="L11" i="289" l="1"/>
  <c r="D41" i="289"/>
  <c r="J41" i="289" s="1"/>
  <c r="E40" i="289"/>
  <c r="L12" i="289" l="1"/>
  <c r="E41" i="289"/>
  <c r="K41" i="289" s="1"/>
  <c r="G63" i="53"/>
  <c r="K63" i="53" s="1"/>
  <c r="M11" i="289"/>
  <c r="L13" i="289" l="1"/>
  <c r="M12" i="289"/>
  <c r="L14" i="289" l="1"/>
  <c r="M13" i="289"/>
  <c r="L15" i="289" l="1"/>
  <c r="M14" i="289"/>
  <c r="L16" i="289" l="1"/>
  <c r="M15" i="289"/>
  <c r="M16" i="289" l="1"/>
  <c r="M18" i="289"/>
  <c r="L17" i="289" l="1"/>
  <c r="L18" i="289"/>
  <c r="M17" i="289"/>
  <c r="L19" i="289" l="1"/>
  <c r="L20" i="289" l="1"/>
  <c r="M19" i="289"/>
  <c r="L21" i="289" l="1"/>
  <c r="M20" i="289"/>
  <c r="L22" i="289" l="1"/>
  <c r="M21" i="289"/>
  <c r="L23" i="289" l="1"/>
  <c r="M22" i="289"/>
  <c r="L24" i="289" l="1"/>
  <c r="M23" i="289"/>
  <c r="L25" i="289" l="1"/>
  <c r="M24" i="289"/>
  <c r="L26" i="289" l="1"/>
  <c r="M25" i="289"/>
  <c r="L27" i="289" l="1"/>
  <c r="M26" i="289"/>
  <c r="L28" i="289" l="1"/>
  <c r="M27" i="289"/>
  <c r="L29" i="289" l="1"/>
  <c r="M28" i="289"/>
  <c r="L30" i="289" l="1"/>
  <c r="M29" i="289"/>
  <c r="L31" i="289" l="1"/>
  <c r="M30" i="289"/>
  <c r="L32" i="289" l="1"/>
  <c r="M31" i="289"/>
  <c r="M32" i="289" l="1"/>
  <c r="L33" i="289" l="1"/>
  <c r="M33" i="289"/>
  <c r="L34" i="289"/>
  <c r="L35" i="289" l="1"/>
  <c r="M34" i="289"/>
  <c r="M35" i="289" l="1"/>
  <c r="L36" i="289"/>
  <c r="L37" i="289" l="1"/>
  <c r="M36" i="289"/>
  <c r="M37" i="289" l="1"/>
  <c r="L38" i="289"/>
  <c r="M38" i="289" l="1"/>
  <c r="L39" i="289"/>
  <c r="K40" i="289" l="1"/>
  <c r="M39" i="289"/>
  <c r="G41" i="206"/>
  <c r="G42" i="206" l="1"/>
  <c r="K42" i="206" s="1"/>
  <c r="F41" i="206"/>
  <c r="F42" i="206" s="1"/>
  <c r="H223" i="53" l="1"/>
  <c r="I124" i="354" l="1"/>
  <c r="J49" i="365"/>
  <c r="L49" i="365" s="1"/>
  <c r="L223" i="53"/>
  <c r="J223" i="53"/>
  <c r="J42" i="206"/>
  <c r="I223" i="53"/>
  <c r="L124" i="354" l="1"/>
  <c r="K124" i="354"/>
  <c r="M223" i="53"/>
  <c r="K223" i="53"/>
  <c r="N31" i="421" l="1"/>
  <c r="H31" i="421"/>
  <c r="G31" i="421"/>
  <c r="P31" i="421" s="1"/>
  <c r="H26" i="421"/>
  <c r="K41" i="206" l="1"/>
  <c r="J41" i="206" l="1"/>
  <c r="J29" i="231" l="1"/>
  <c r="O29" i="231" s="1"/>
  <c r="J41" i="231"/>
  <c r="F22" i="53" l="1"/>
  <c r="J22" i="53" s="1"/>
  <c r="M22" i="53" s="1"/>
  <c r="L29" i="231"/>
  <c r="J30" i="231"/>
  <c r="O30" i="231" s="1"/>
  <c r="L30" i="231" l="1"/>
  <c r="J31" i="231"/>
  <c r="O31" i="231" s="1"/>
  <c r="J32" i="231" l="1"/>
  <c r="O32" i="231" s="1"/>
  <c r="L31" i="231"/>
  <c r="L32" i="231" l="1"/>
  <c r="J33" i="231"/>
  <c r="O33" i="231" s="1"/>
  <c r="L33" i="231" l="1"/>
  <c r="J34" i="231"/>
  <c r="O34" i="231" s="1"/>
  <c r="J35" i="231" l="1"/>
  <c r="O35" i="231" s="1"/>
  <c r="L34" i="231"/>
  <c r="J36" i="231" l="1"/>
  <c r="O36" i="231" s="1"/>
  <c r="L35" i="231"/>
  <c r="L36" i="231" l="1"/>
  <c r="J37" i="231"/>
  <c r="O37" i="231" s="1"/>
  <c r="L37" i="231" l="1"/>
  <c r="J38" i="231"/>
  <c r="O38" i="231" s="1"/>
  <c r="L38" i="231" l="1"/>
  <c r="J39" i="231"/>
  <c r="O39" i="231" s="1"/>
  <c r="L39" i="231" l="1"/>
  <c r="J40" i="231"/>
  <c r="G41" i="208" l="1"/>
  <c r="G42" i="208" s="1"/>
  <c r="K42" i="208" s="1"/>
  <c r="F41" i="208"/>
  <c r="F42" i="208" s="1"/>
  <c r="J42" i="208" l="1"/>
  <c r="U39" i="208"/>
  <c r="H224" i="53"/>
  <c r="J41" i="365" l="1"/>
  <c r="L41" i="365" s="1"/>
  <c r="L224" i="53"/>
  <c r="I108" i="354"/>
  <c r="J224" i="53"/>
  <c r="I224" i="53"/>
  <c r="K41" i="208"/>
  <c r="U40" i="208"/>
  <c r="L108" i="354" l="1"/>
  <c r="K108" i="354"/>
  <c r="N19" i="421" s="1"/>
  <c r="H116" i="355"/>
  <c r="J41" i="208"/>
  <c r="K224" i="53"/>
  <c r="M224" i="53"/>
  <c r="G19" i="421" l="1"/>
  <c r="P19" i="421" s="1"/>
  <c r="H19" i="421"/>
  <c r="H5" i="208"/>
  <c r="H5" i="206"/>
  <c r="I5" i="208"/>
  <c r="I5" i="206"/>
  <c r="B5" i="208"/>
  <c r="B5" i="206"/>
  <c r="G5" i="206"/>
  <c r="G5" i="208"/>
  <c r="F5" i="206"/>
  <c r="F5" i="208"/>
  <c r="E5" i="206"/>
  <c r="E5" i="208"/>
  <c r="D5" i="208"/>
  <c r="D5" i="206"/>
  <c r="C5" i="208"/>
  <c r="C5" i="206"/>
  <c r="D28" i="266" l="1"/>
  <c r="D15" i="266"/>
  <c r="D12" i="266"/>
  <c r="D26" i="266"/>
  <c r="D38" i="266"/>
  <c r="D13" i="266"/>
  <c r="D27" i="266"/>
  <c r="D29" i="266"/>
  <c r="D10" i="266"/>
  <c r="D11" i="266"/>
  <c r="K9" i="266"/>
  <c r="M9" i="266" s="1"/>
  <c r="D25" i="266"/>
  <c r="D14" i="266"/>
  <c r="D39" i="266"/>
  <c r="E40" i="266"/>
  <c r="G55" i="53" s="1"/>
  <c r="K55" i="53" s="1"/>
  <c r="D16" i="266"/>
  <c r="E41" i="266" l="1"/>
  <c r="K41" i="266" s="1"/>
  <c r="D40" i="266"/>
  <c r="F55" i="53" s="1"/>
  <c r="J55" i="53" s="1"/>
  <c r="M55" i="53" s="1"/>
  <c r="J9" i="266"/>
  <c r="S9" i="266" s="1"/>
  <c r="K10" i="266"/>
  <c r="D41" i="266" l="1"/>
  <c r="J41" i="266" s="1"/>
  <c r="L9" i="266"/>
  <c r="J10" i="266"/>
  <c r="S10" i="266" s="1"/>
  <c r="K11" i="266"/>
  <c r="M10" i="266"/>
  <c r="L10" i="266" l="1"/>
  <c r="J11" i="266"/>
  <c r="S11" i="266" s="1"/>
  <c r="K12" i="266"/>
  <c r="M11" i="266"/>
  <c r="L11" i="266" l="1"/>
  <c r="J12" i="266"/>
  <c r="S12" i="266" s="1"/>
  <c r="K13" i="266"/>
  <c r="M12" i="266"/>
  <c r="J13" i="266" l="1"/>
  <c r="S13" i="266" s="1"/>
  <c r="L12" i="266"/>
  <c r="M13" i="266"/>
  <c r="K14" i="266"/>
  <c r="J14" i="266" l="1"/>
  <c r="S14" i="266" s="1"/>
  <c r="L13" i="266"/>
  <c r="M14" i="266"/>
  <c r="K15" i="266"/>
  <c r="L14" i="266" l="1"/>
  <c r="J15" i="266"/>
  <c r="S15" i="266" s="1"/>
  <c r="M15" i="266"/>
  <c r="K16" i="266"/>
  <c r="L15" i="266" l="1"/>
  <c r="J16" i="266"/>
  <c r="S16" i="266" s="1"/>
  <c r="K17" i="266"/>
  <c r="K18" i="266" s="1"/>
  <c r="K19" i="266" s="1"/>
  <c r="K20" i="266" s="1"/>
  <c r="K21" i="266" s="1"/>
  <c r="K22" i="266" s="1"/>
  <c r="K23" i="266" s="1"/>
  <c r="K24" i="266" s="1"/>
  <c r="K25" i="266" s="1"/>
  <c r="K26" i="266" s="1"/>
  <c r="K27" i="266" s="1"/>
  <c r="K28" i="266" s="1"/>
  <c r="K29" i="266" s="1"/>
  <c r="K30" i="266" s="1"/>
  <c r="K31" i="266" s="1"/>
  <c r="K32" i="266" s="1"/>
  <c r="K33" i="266" s="1"/>
  <c r="K34" i="266" s="1"/>
  <c r="K35" i="266" s="1"/>
  <c r="K36" i="266" s="1"/>
  <c r="K37" i="266" s="1"/>
  <c r="K38" i="266" s="1"/>
  <c r="K39" i="266" s="1"/>
  <c r="K40" i="266" s="1"/>
  <c r="M16" i="266"/>
  <c r="J17" i="266" l="1"/>
  <c r="S17" i="266" s="1"/>
  <c r="L16" i="266"/>
  <c r="M17" i="266"/>
  <c r="L17" i="266" l="1"/>
  <c r="J18" i="266"/>
  <c r="S18" i="266" s="1"/>
  <c r="M18" i="266"/>
  <c r="L18" i="266" l="1"/>
  <c r="J19" i="266"/>
  <c r="S19" i="266" s="1"/>
  <c r="M19" i="266"/>
  <c r="L19" i="266" l="1"/>
  <c r="J20" i="266"/>
  <c r="S20" i="266" s="1"/>
  <c r="M20" i="266"/>
  <c r="L20" i="266" l="1"/>
  <c r="J21" i="266"/>
  <c r="S21" i="266" s="1"/>
  <c r="M21" i="266"/>
  <c r="J22" i="266" l="1"/>
  <c r="S22" i="266" s="1"/>
  <c r="L21" i="266"/>
  <c r="M22" i="266"/>
  <c r="J23" i="266" l="1"/>
  <c r="L22" i="266"/>
  <c r="M23" i="266"/>
  <c r="S23" i="266" l="1"/>
  <c r="J24" i="266"/>
  <c r="S24" i="266" s="1"/>
  <c r="L23" i="266"/>
  <c r="M24" i="266"/>
  <c r="L24" i="266" l="1"/>
  <c r="J25" i="266"/>
  <c r="S25" i="266" s="1"/>
  <c r="M25" i="266"/>
  <c r="L25" i="266" l="1"/>
  <c r="J26" i="266"/>
  <c r="S26" i="266" s="1"/>
  <c r="M26" i="266"/>
  <c r="L26" i="266" l="1"/>
  <c r="J27" i="266"/>
  <c r="S27" i="266" s="1"/>
  <c r="M27" i="266"/>
  <c r="L27" i="266" l="1"/>
  <c r="J28" i="266"/>
  <c r="S28" i="266" s="1"/>
  <c r="M28" i="266"/>
  <c r="J29" i="266" l="1"/>
  <c r="S29" i="266" s="1"/>
  <c r="L28" i="266"/>
  <c r="M29" i="266"/>
  <c r="L29" i="266" l="1"/>
  <c r="J30" i="266"/>
  <c r="S30" i="266" s="1"/>
  <c r="M30" i="266"/>
  <c r="L30" i="266" l="1"/>
  <c r="J31" i="266"/>
  <c r="S31" i="266" s="1"/>
  <c r="M31" i="266"/>
  <c r="L31" i="266" l="1"/>
  <c r="J32" i="266"/>
  <c r="S32" i="266" s="1"/>
  <c r="M32" i="266"/>
  <c r="J33" i="266" l="1"/>
  <c r="S33" i="266" s="1"/>
  <c r="L32" i="266"/>
  <c r="M33" i="266"/>
  <c r="L33" i="266" l="1"/>
  <c r="J34" i="266"/>
  <c r="S34" i="266" s="1"/>
  <c r="M34" i="266"/>
  <c r="L34" i="266" l="1"/>
  <c r="J35" i="266"/>
  <c r="S35" i="266" s="1"/>
  <c r="M35" i="266"/>
  <c r="L35" i="266" l="1"/>
  <c r="J36" i="266"/>
  <c r="S36" i="266" s="1"/>
  <c r="M36" i="266"/>
  <c r="L36" i="266" l="1"/>
  <c r="J37" i="266"/>
  <c r="S37" i="266" s="1"/>
  <c r="M37" i="266"/>
  <c r="J38" i="266" l="1"/>
  <c r="S38" i="266" s="1"/>
  <c r="L37" i="266"/>
  <c r="M38" i="266"/>
  <c r="J39" i="266" l="1"/>
  <c r="L38" i="266"/>
  <c r="M39" i="266"/>
  <c r="J40" i="266" l="1"/>
  <c r="S39" i="266"/>
  <c r="L39" i="266"/>
  <c r="E40" i="211"/>
  <c r="E8" i="211" l="1"/>
  <c r="F90" i="351"/>
  <c r="L36" i="211"/>
  <c r="H226" i="53"/>
  <c r="L37" i="211"/>
  <c r="E41" i="211"/>
  <c r="G41" i="211" s="1"/>
  <c r="J45" i="365" l="1"/>
  <c r="L45" i="365" s="1"/>
  <c r="J226" i="53"/>
  <c r="M226" i="53" s="1"/>
  <c r="I120" i="354"/>
  <c r="I216" i="354" s="1"/>
  <c r="L38" i="211"/>
  <c r="L120" i="354" l="1"/>
  <c r="L216" i="354" s="1"/>
  <c r="J63" i="365"/>
  <c r="K120" i="354"/>
  <c r="F48" i="318"/>
  <c r="L39" i="211"/>
  <c r="H23" i="421" l="1"/>
  <c r="N27" i="421"/>
  <c r="G23" i="421"/>
  <c r="P23" i="421" s="1"/>
  <c r="G40" i="211"/>
  <c r="H27" i="421" l="1"/>
  <c r="G27" i="421"/>
  <c r="P27" i="421" s="1"/>
  <c r="E96" i="53"/>
  <c r="K96" i="53" s="1"/>
  <c r="D96" i="53"/>
  <c r="E8" i="252"/>
  <c r="E41" i="252" s="1"/>
  <c r="J41" i="252" s="1"/>
  <c r="D8" i="252"/>
  <c r="D41" i="252" s="1"/>
  <c r="I41" i="252" s="1"/>
  <c r="F31" i="365" l="1"/>
  <c r="L31" i="365" s="1"/>
  <c r="O9" i="252"/>
  <c r="J96" i="53"/>
  <c r="M96" i="53" s="1"/>
  <c r="E97" i="354"/>
  <c r="O10" i="252" l="1"/>
  <c r="K97" i="354"/>
  <c r="E105" i="355" l="1"/>
  <c r="O11" i="252"/>
  <c r="H105" i="355" l="1"/>
  <c r="F111" i="355"/>
  <c r="O12" i="252"/>
  <c r="H106" i="355"/>
  <c r="G111" i="355" l="1"/>
  <c r="H111" i="355"/>
  <c r="O13" i="252"/>
  <c r="O14" i="252" l="1"/>
  <c r="O15" i="252" l="1"/>
  <c r="O16" i="252" l="1"/>
  <c r="O17" i="252" l="1"/>
  <c r="O18" i="252" l="1"/>
  <c r="O19" i="252" l="1"/>
  <c r="O20" i="252" l="1"/>
  <c r="O21" i="252" l="1"/>
  <c r="O22" i="252" l="1"/>
  <c r="O23" i="252" l="1"/>
  <c r="O24" i="252" l="1"/>
  <c r="O25" i="252" l="1"/>
  <c r="O26" i="252" l="1"/>
  <c r="O27" i="252" l="1"/>
  <c r="O28" i="252" l="1"/>
  <c r="O29" i="252" l="1"/>
  <c r="O30" i="252" l="1"/>
  <c r="O31" i="252" l="1"/>
  <c r="O32" i="252" l="1"/>
  <c r="O33" i="252" l="1"/>
  <c r="O34" i="252" l="1"/>
  <c r="O35" i="252" l="1"/>
  <c r="O36" i="252" l="1"/>
  <c r="O37" i="252" l="1"/>
  <c r="O38" i="252" l="1"/>
  <c r="O39" i="252" l="1"/>
  <c r="J40" i="252"/>
  <c r="I40" i="252"/>
  <c r="D39" i="356"/>
  <c r="D35" i="356"/>
  <c r="D31" i="356"/>
  <c r="D27" i="356"/>
  <c r="D23" i="356"/>
  <c r="D19" i="356"/>
  <c r="D15" i="356"/>
  <c r="D11" i="356"/>
  <c r="D36" i="356"/>
  <c r="D32" i="356"/>
  <c r="D28" i="356"/>
  <c r="D24" i="356"/>
  <c r="D20" i="356"/>
  <c r="D16" i="356"/>
  <c r="D12" i="356"/>
  <c r="E40" i="356"/>
  <c r="G59" i="53" s="1"/>
  <c r="D37" i="356"/>
  <c r="D33" i="356"/>
  <c r="D29" i="356"/>
  <c r="D25" i="356"/>
  <c r="D21" i="356"/>
  <c r="D13" i="356"/>
  <c r="D34" i="356"/>
  <c r="D26" i="356"/>
  <c r="D18" i="356"/>
  <c r="D10" i="356"/>
  <c r="K9" i="356"/>
  <c r="M9" i="356" s="1"/>
  <c r="D17" i="356"/>
  <c r="D38" i="356"/>
  <c r="D30" i="356"/>
  <c r="D22" i="356"/>
  <c r="D14" i="356"/>
  <c r="D9" i="356"/>
  <c r="J9" i="356" s="1"/>
  <c r="E41" i="356" l="1"/>
  <c r="K41" i="356" s="1"/>
  <c r="K59" i="53"/>
  <c r="G88" i="354"/>
  <c r="L9" i="356"/>
  <c r="J10" i="356"/>
  <c r="S9" i="356"/>
  <c r="D40" i="356"/>
  <c r="K10" i="356"/>
  <c r="K88" i="354" l="1"/>
  <c r="D41" i="356"/>
  <c r="J41" i="356" s="1"/>
  <c r="F59" i="53"/>
  <c r="J59" i="53" s="1"/>
  <c r="M59" i="53" s="1"/>
  <c r="L10" i="356"/>
  <c r="S10" i="356"/>
  <c r="J11" i="356"/>
  <c r="M10" i="356"/>
  <c r="K11" i="356"/>
  <c r="E96" i="355" l="1"/>
  <c r="H103" i="355"/>
  <c r="G103" i="355"/>
  <c r="M11" i="356"/>
  <c r="K12" i="356"/>
  <c r="L11" i="356"/>
  <c r="J12" i="356"/>
  <c r="S11" i="356"/>
  <c r="H96" i="355" l="1"/>
  <c r="M12" i="356"/>
  <c r="K13" i="356"/>
  <c r="L12" i="356"/>
  <c r="S12" i="356"/>
  <c r="J13" i="356"/>
  <c r="K14" i="356" l="1"/>
  <c r="M13" i="356"/>
  <c r="L13" i="356"/>
  <c r="J14" i="356"/>
  <c r="S13" i="356"/>
  <c r="L14" i="356" l="1"/>
  <c r="S14" i="356"/>
  <c r="J15" i="356"/>
  <c r="M14" i="356"/>
  <c r="K15" i="356"/>
  <c r="S15" i="356" l="1"/>
  <c r="J16" i="356"/>
  <c r="L15" i="356"/>
  <c r="K16" i="356"/>
  <c r="M15" i="356"/>
  <c r="M16" i="356" l="1"/>
  <c r="K17" i="356"/>
  <c r="S16" i="356"/>
  <c r="L16" i="356"/>
  <c r="J17" i="356"/>
  <c r="M17" i="356" l="1"/>
  <c r="K18" i="356"/>
  <c r="L17" i="356"/>
  <c r="J18" i="356"/>
  <c r="S17" i="356"/>
  <c r="L18" i="356" l="1"/>
  <c r="S18" i="356"/>
  <c r="J19" i="356"/>
  <c r="M18" i="356"/>
  <c r="K19" i="356"/>
  <c r="M19" i="356" l="1"/>
  <c r="K20" i="356"/>
  <c r="S19" i="356"/>
  <c r="J20" i="356"/>
  <c r="L19" i="356"/>
  <c r="S20" i="356" l="1"/>
  <c r="L20" i="356"/>
  <c r="J21" i="356"/>
  <c r="M20" i="356"/>
  <c r="K21" i="356"/>
  <c r="L21" i="356" l="1"/>
  <c r="J22" i="356"/>
  <c r="S21" i="356"/>
  <c r="K22" i="356"/>
  <c r="M21" i="356"/>
  <c r="M22" i="356" l="1"/>
  <c r="K23" i="356"/>
  <c r="L22" i="356"/>
  <c r="S22" i="356"/>
  <c r="J23" i="356"/>
  <c r="S23" i="356" l="1"/>
  <c r="J24" i="356"/>
  <c r="L23" i="356"/>
  <c r="K24" i="356"/>
  <c r="M23" i="356"/>
  <c r="M24" i="356" l="1"/>
  <c r="K25" i="356"/>
  <c r="S24" i="356"/>
  <c r="L24" i="356"/>
  <c r="J25" i="356"/>
  <c r="M25" i="356" l="1"/>
  <c r="K26" i="356"/>
  <c r="L25" i="356"/>
  <c r="J26" i="356"/>
  <c r="S25" i="356"/>
  <c r="L26" i="356" l="1"/>
  <c r="S26" i="356"/>
  <c r="J27" i="356"/>
  <c r="M26" i="356"/>
  <c r="K27" i="356"/>
  <c r="M27" i="356" l="1"/>
  <c r="K28" i="356"/>
  <c r="S27" i="356"/>
  <c r="J28" i="356"/>
  <c r="L27" i="356"/>
  <c r="S28" i="356" l="1"/>
  <c r="L28" i="356"/>
  <c r="J29" i="356"/>
  <c r="M28" i="356"/>
  <c r="K29" i="356"/>
  <c r="L29" i="356" l="1"/>
  <c r="J30" i="356"/>
  <c r="S29" i="356"/>
  <c r="K30" i="356"/>
  <c r="M29" i="356"/>
  <c r="M30" i="356" l="1"/>
  <c r="K31" i="356"/>
  <c r="L30" i="356"/>
  <c r="S30" i="356"/>
  <c r="J31" i="356"/>
  <c r="S31" i="356" l="1"/>
  <c r="J32" i="356"/>
  <c r="L31" i="356"/>
  <c r="K32" i="356"/>
  <c r="M31" i="356"/>
  <c r="M32" i="356" l="1"/>
  <c r="K33" i="356"/>
  <c r="S32" i="356"/>
  <c r="L32" i="356"/>
  <c r="J33" i="356"/>
  <c r="M33" i="356" l="1"/>
  <c r="K34" i="356"/>
  <c r="L33" i="356"/>
  <c r="J34" i="356"/>
  <c r="S33" i="356"/>
  <c r="L34" i="356" l="1"/>
  <c r="S34" i="356"/>
  <c r="J35" i="356"/>
  <c r="M34" i="356"/>
  <c r="K35" i="356"/>
  <c r="M35" i="356" l="1"/>
  <c r="K36" i="356"/>
  <c r="S35" i="356"/>
  <c r="J36" i="356"/>
  <c r="L35" i="356"/>
  <c r="S36" i="356" l="1"/>
  <c r="L36" i="356"/>
  <c r="J37" i="356"/>
  <c r="M36" i="356"/>
  <c r="K37" i="356"/>
  <c r="K38" i="356" l="1"/>
  <c r="M37" i="356"/>
  <c r="L37" i="356"/>
  <c r="J38" i="356"/>
  <c r="S37" i="356"/>
  <c r="L38" i="356" l="1"/>
  <c r="S38" i="356"/>
  <c r="J39" i="356"/>
  <c r="M38" i="356"/>
  <c r="K39" i="356"/>
  <c r="J40" i="356" l="1"/>
  <c r="L39" i="356"/>
  <c r="S39" i="356"/>
  <c r="K40" i="356"/>
  <c r="M39" i="356"/>
  <c r="D120" i="53"/>
  <c r="J120" i="53" s="1"/>
  <c r="M120" i="53" s="1"/>
  <c r="D11" i="341"/>
  <c r="D8" i="297"/>
  <c r="D41" i="297" s="1"/>
  <c r="G41" i="297" s="1"/>
  <c r="G9" i="297"/>
  <c r="J11" i="341" l="1"/>
  <c r="M11" i="341" s="1"/>
  <c r="E123" i="354"/>
  <c r="N9" i="297"/>
  <c r="H9" i="297"/>
  <c r="G10" i="297"/>
  <c r="F48" i="365"/>
  <c r="K123" i="354" l="1"/>
  <c r="H10" i="297"/>
  <c r="N10" i="297"/>
  <c r="G11" i="297"/>
  <c r="F63" i="365"/>
  <c r="L48" i="365"/>
  <c r="H25" i="421" l="1"/>
  <c r="N30" i="421"/>
  <c r="N11" i="297"/>
  <c r="H11" i="297"/>
  <c r="G12" i="297"/>
  <c r="G30" i="421" l="1"/>
  <c r="P30" i="421" s="1"/>
  <c r="H30" i="421"/>
  <c r="H12" i="297"/>
  <c r="N12" i="297"/>
  <c r="G13" i="297"/>
  <c r="H13" i="297" l="1"/>
  <c r="N13" i="297"/>
  <c r="G14" i="297"/>
  <c r="H14" i="297" l="1"/>
  <c r="N14" i="297"/>
  <c r="G15" i="297"/>
  <c r="H15" i="297" l="1"/>
  <c r="N15" i="297"/>
  <c r="G16" i="297"/>
  <c r="H16" i="297" l="1"/>
  <c r="N16" i="297"/>
  <c r="G17" i="297"/>
  <c r="H17" i="297" l="1"/>
  <c r="N17" i="297"/>
  <c r="G18" i="297"/>
  <c r="H18" i="297" l="1"/>
  <c r="N18" i="297"/>
  <c r="G19" i="297"/>
  <c r="H19" i="297" l="1"/>
  <c r="N19" i="297"/>
  <c r="G20" i="297"/>
  <c r="H20" i="297" l="1"/>
  <c r="N20" i="297"/>
  <c r="G21" i="297"/>
  <c r="N21" i="297" l="1"/>
  <c r="H21" i="297"/>
  <c r="G22" i="297"/>
  <c r="H22" i="297" l="1"/>
  <c r="N22" i="297"/>
  <c r="G23" i="297"/>
  <c r="H23" i="297" l="1"/>
  <c r="N23" i="297"/>
  <c r="G24" i="297"/>
  <c r="H24" i="297" l="1"/>
  <c r="N24" i="297"/>
  <c r="G25" i="297"/>
  <c r="H25" i="297" l="1"/>
  <c r="N25" i="297"/>
  <c r="G26" i="297"/>
  <c r="H26" i="297" l="1"/>
  <c r="N26" i="297"/>
  <c r="G27" i="297"/>
  <c r="N27" i="297" l="1"/>
  <c r="H27" i="297"/>
  <c r="G28" i="297"/>
  <c r="H28" i="297" l="1"/>
  <c r="N28" i="297"/>
  <c r="G29" i="297"/>
  <c r="H29" i="297" l="1"/>
  <c r="N29" i="297"/>
  <c r="G30" i="297"/>
  <c r="N30" i="297" l="1"/>
  <c r="H30" i="297"/>
  <c r="G31" i="297"/>
  <c r="N31" i="297" l="1"/>
  <c r="H31" i="297"/>
  <c r="G32" i="297"/>
  <c r="H32" i="297" l="1"/>
  <c r="N32" i="297"/>
  <c r="G33" i="297"/>
  <c r="N33" i="297" l="1"/>
  <c r="H33" i="297"/>
  <c r="G34" i="297"/>
  <c r="H34" i="297" l="1"/>
  <c r="N34" i="297"/>
  <c r="G35" i="297"/>
  <c r="N35" i="297" l="1"/>
  <c r="H35" i="297"/>
  <c r="G36" i="297"/>
  <c r="H36" i="297" l="1"/>
  <c r="N36" i="297"/>
  <c r="G37" i="297"/>
  <c r="N37" i="297" l="1"/>
  <c r="H37" i="297"/>
  <c r="G38" i="297"/>
  <c r="H38" i="297" l="1"/>
  <c r="N38" i="297"/>
  <c r="G39" i="297"/>
  <c r="N39" i="297" l="1"/>
  <c r="H39" i="297"/>
  <c r="G40" i="297"/>
  <c r="H94" i="355" l="1"/>
  <c r="D9" i="334"/>
  <c r="K9" i="334"/>
  <c r="M9" i="334" s="1"/>
  <c r="J9" i="334" l="1"/>
  <c r="S9" i="334" l="1"/>
  <c r="L9" i="334"/>
  <c r="D12" i="334"/>
  <c r="D13" i="334"/>
  <c r="D10" i="334"/>
  <c r="K10" i="334"/>
  <c r="M10" i="334" s="1"/>
  <c r="D11" i="334"/>
  <c r="K11" i="334" l="1"/>
  <c r="M11" i="334" s="1"/>
  <c r="J10" i="334"/>
  <c r="K12" i="334" l="1"/>
  <c r="K13" i="334" s="1"/>
  <c r="L10" i="334"/>
  <c r="S10" i="334"/>
  <c r="J11" i="334"/>
  <c r="M12" i="334" l="1"/>
  <c r="M13" i="334"/>
  <c r="K14" i="334"/>
  <c r="L11" i="334"/>
  <c r="J12" i="334"/>
  <c r="S11" i="334"/>
  <c r="S12" i="334" l="1"/>
  <c r="L12" i="334"/>
  <c r="J13" i="334"/>
  <c r="M14" i="334"/>
  <c r="L13" i="334" l="1"/>
  <c r="J14" i="334"/>
  <c r="S13" i="334"/>
  <c r="L14" i="334" l="1"/>
  <c r="S14" i="334"/>
  <c r="K15" i="334"/>
  <c r="M15" i="334" s="1"/>
  <c r="D15" i="334"/>
  <c r="J15" i="334" s="1"/>
  <c r="L15" i="334" l="1"/>
  <c r="S15" i="334"/>
  <c r="D26" i="334"/>
  <c r="D18" i="334"/>
  <c r="D17" i="334"/>
  <c r="D20" i="334"/>
  <c r="D19" i="334"/>
  <c r="D22" i="334"/>
  <c r="D21" i="334"/>
  <c r="K16" i="334"/>
  <c r="M16" i="334" s="1"/>
  <c r="D16" i="334"/>
  <c r="J16" i="334" s="1"/>
  <c r="D27" i="334"/>
  <c r="D24" i="334"/>
  <c r="D23" i="334"/>
  <c r="D25" i="334"/>
  <c r="S16" i="334" l="1"/>
  <c r="L16" i="334"/>
  <c r="J17" i="334"/>
  <c r="K17" i="334"/>
  <c r="L17" i="334" l="1"/>
  <c r="J18" i="334"/>
  <c r="S17" i="334"/>
  <c r="M17" i="334"/>
  <c r="K18" i="334"/>
  <c r="M18" i="334" l="1"/>
  <c r="K19" i="334"/>
  <c r="L18" i="334"/>
  <c r="S18" i="334"/>
  <c r="J19" i="334"/>
  <c r="M19" i="334" l="1"/>
  <c r="K20" i="334"/>
  <c r="S19" i="334"/>
  <c r="J20" i="334"/>
  <c r="L19" i="334"/>
  <c r="L20" i="334" l="1"/>
  <c r="S20" i="334"/>
  <c r="J21" i="334"/>
  <c r="M20" i="334"/>
  <c r="K21" i="334"/>
  <c r="S21" i="334" l="1"/>
  <c r="J22" i="334"/>
  <c r="L21" i="334"/>
  <c r="M21" i="334"/>
  <c r="K22" i="334"/>
  <c r="L22" i="334" l="1"/>
  <c r="S22" i="334"/>
  <c r="J23" i="334"/>
  <c r="M22" i="334"/>
  <c r="K23" i="334"/>
  <c r="M23" i="334" l="1"/>
  <c r="K24" i="334"/>
  <c r="S23" i="334"/>
  <c r="J24" i="334"/>
  <c r="L23" i="334"/>
  <c r="L24" i="334" l="1"/>
  <c r="S24" i="334"/>
  <c r="J25" i="334"/>
  <c r="M24" i="334"/>
  <c r="K25" i="334"/>
  <c r="M25" i="334" l="1"/>
  <c r="K26" i="334"/>
  <c r="L25" i="334"/>
  <c r="J26" i="334"/>
  <c r="S25" i="334"/>
  <c r="S26" i="334" l="1"/>
  <c r="L26" i="334"/>
  <c r="J27" i="334"/>
  <c r="K27" i="334"/>
  <c r="M26" i="334"/>
  <c r="L27" i="334" l="1"/>
  <c r="S27" i="334"/>
  <c r="M27" i="334"/>
  <c r="D29" i="334"/>
  <c r="D37" i="334"/>
  <c r="D35" i="334"/>
  <c r="D33" i="334"/>
  <c r="D39" i="334"/>
  <c r="D30" i="334"/>
  <c r="D38" i="334"/>
  <c r="D32" i="334"/>
  <c r="D34" i="334"/>
  <c r="D36" i="334"/>
  <c r="D31" i="334"/>
  <c r="K28" i="334"/>
  <c r="M28" i="334" s="1"/>
  <c r="E40" i="334"/>
  <c r="G76" i="53" s="1"/>
  <c r="D28" i="334"/>
  <c r="J28" i="334" s="1"/>
  <c r="D40" i="334" l="1"/>
  <c r="D41" i="334" s="1"/>
  <c r="J41" i="334" s="1"/>
  <c r="K76" i="53"/>
  <c r="G78" i="354"/>
  <c r="G216" i="354" s="1"/>
  <c r="H24" i="365"/>
  <c r="L28" i="334"/>
  <c r="J29" i="334"/>
  <c r="S28" i="334"/>
  <c r="E41" i="334"/>
  <c r="K41" i="334" s="1"/>
  <c r="K29" i="334"/>
  <c r="F76" i="53" l="1"/>
  <c r="J76" i="53" s="1"/>
  <c r="M76" i="53" s="1"/>
  <c r="S29" i="334"/>
  <c r="L29" i="334"/>
  <c r="J30" i="334"/>
  <c r="K78" i="354"/>
  <c r="K216" i="354" s="1"/>
  <c r="M29" i="334"/>
  <c r="K30" i="334"/>
  <c r="H63" i="365"/>
  <c r="L24" i="365"/>
  <c r="L63" i="365" s="1"/>
  <c r="M30" i="334" l="1"/>
  <c r="K31" i="334"/>
  <c r="E86" i="355"/>
  <c r="H86" i="355" s="1"/>
  <c r="L30" i="334"/>
  <c r="J31" i="334"/>
  <c r="S30" i="334"/>
  <c r="S31" i="334" l="1"/>
  <c r="L31" i="334"/>
  <c r="J32" i="334"/>
  <c r="M31" i="334"/>
  <c r="K32" i="334"/>
  <c r="S32" i="334" l="1"/>
  <c r="J33" i="334"/>
  <c r="L32" i="334"/>
  <c r="M32" i="334"/>
  <c r="K33" i="334"/>
  <c r="M33" i="334" l="1"/>
  <c r="K34" i="334"/>
  <c r="L33" i="334"/>
  <c r="S33" i="334"/>
  <c r="J34" i="334"/>
  <c r="M34" i="334" l="1"/>
  <c r="K35" i="334"/>
  <c r="L34" i="334"/>
  <c r="J35" i="334"/>
  <c r="S34" i="334"/>
  <c r="S35" i="334" l="1"/>
  <c r="L35" i="334"/>
  <c r="J36" i="334"/>
  <c r="M35" i="334"/>
  <c r="K36" i="334"/>
  <c r="S36" i="334" l="1"/>
  <c r="J37" i="334"/>
  <c r="L36" i="334"/>
  <c r="M36" i="334"/>
  <c r="K37" i="334"/>
  <c r="S37" i="334" l="1"/>
  <c r="L37" i="334"/>
  <c r="J38" i="334"/>
  <c r="K38" i="334"/>
  <c r="M37" i="334"/>
  <c r="S38" i="334" l="1"/>
  <c r="J39" i="334"/>
  <c r="L38" i="334"/>
  <c r="K39" i="334"/>
  <c r="M38" i="334"/>
  <c r="M39" i="334" l="1"/>
  <c r="K40" i="334"/>
  <c r="S39" i="334"/>
  <c r="J40" i="334"/>
  <c r="L39" i="334"/>
  <c r="H33" i="242"/>
  <c r="H9" i="242"/>
  <c r="F33" i="242"/>
  <c r="H23" i="240"/>
  <c r="F36" i="242"/>
  <c r="H36" i="242"/>
  <c r="F29" i="242"/>
  <c r="H29" i="242"/>
  <c r="H12" i="294"/>
  <c r="H12" i="240"/>
  <c r="F30" i="242"/>
  <c r="H30" i="242"/>
  <c r="F12" i="240"/>
  <c r="H9" i="240"/>
  <c r="F23" i="240"/>
  <c r="F12" i="294"/>
  <c r="H9" i="294"/>
  <c r="F11" i="240"/>
  <c r="H11" i="240"/>
  <c r="F21" i="240"/>
  <c r="H21" i="240"/>
  <c r="F27" i="240"/>
  <c r="H27" i="240"/>
  <c r="F22" i="240"/>
  <c r="H22" i="240"/>
  <c r="F36" i="240"/>
  <c r="H36" i="240"/>
  <c r="F10" i="294"/>
  <c r="H10" i="294"/>
  <c r="F34" i="240"/>
  <c r="H34" i="240"/>
  <c r="F36" i="294"/>
  <c r="H36" i="294"/>
  <c r="F26" i="240"/>
  <c r="H26" i="240"/>
  <c r="F39" i="242"/>
  <c r="H39" i="242"/>
  <c r="F19" i="240"/>
  <c r="H19" i="240"/>
  <c r="F32" i="240"/>
  <c r="H32" i="240"/>
  <c r="F17" i="294"/>
  <c r="H17" i="294"/>
  <c r="F20" i="240"/>
  <c r="H20" i="240"/>
  <c r="F22" i="242"/>
  <c r="H22" i="242"/>
  <c r="F10" i="242"/>
  <c r="H10" i="242"/>
  <c r="F16" i="240"/>
  <c r="H16" i="240"/>
  <c r="F38" i="240"/>
  <c r="H38" i="240"/>
  <c r="F39" i="294"/>
  <c r="H39" i="294"/>
  <c r="F38" i="242"/>
  <c r="H38" i="242"/>
  <c r="F33" i="240"/>
  <c r="H33" i="240"/>
  <c r="F24" i="240"/>
  <c r="H24" i="240"/>
  <c r="F28" i="240"/>
  <c r="H28" i="240"/>
  <c r="F26" i="294"/>
  <c r="H26" i="294"/>
  <c r="F24" i="242"/>
  <c r="H24" i="242"/>
  <c r="F32" i="242"/>
  <c r="H32" i="242"/>
  <c r="F22" i="294"/>
  <c r="H22" i="294"/>
  <c r="F13" i="294"/>
  <c r="H13" i="294"/>
  <c r="F15" i="294"/>
  <c r="H15" i="294"/>
  <c r="F14" i="242"/>
  <c r="H14" i="242"/>
  <c r="F31" i="294"/>
  <c r="H31" i="294"/>
  <c r="F30" i="240"/>
  <c r="H30" i="240"/>
  <c r="F33" i="294"/>
  <c r="H33" i="294"/>
  <c r="F26" i="242"/>
  <c r="H26" i="242"/>
  <c r="F31" i="242"/>
  <c r="H31" i="242"/>
  <c r="F27" i="242"/>
  <c r="H27" i="242"/>
  <c r="F10" i="240"/>
  <c r="H10" i="240"/>
  <c r="F24" i="294"/>
  <c r="H24" i="294"/>
  <c r="F14" i="294"/>
  <c r="H14" i="294"/>
  <c r="F13" i="242"/>
  <c r="H13" i="242"/>
  <c r="F21" i="242"/>
  <c r="H21" i="242"/>
  <c r="F39" i="240"/>
  <c r="H39" i="240"/>
  <c r="F20" i="242"/>
  <c r="H20" i="242"/>
  <c r="F37" i="242"/>
  <c r="H37" i="242"/>
  <c r="F35" i="242"/>
  <c r="H35" i="242"/>
  <c r="F17" i="240"/>
  <c r="H17" i="240"/>
  <c r="F23" i="294"/>
  <c r="H23" i="294"/>
  <c r="F35" i="240"/>
  <c r="H35" i="240"/>
  <c r="F18" i="240"/>
  <c r="H18" i="240"/>
  <c r="F15" i="242"/>
  <c r="H15" i="242"/>
  <c r="F21" i="294"/>
  <c r="H21" i="294"/>
  <c r="F11" i="242"/>
  <c r="H11" i="242"/>
  <c r="F25" i="242"/>
  <c r="H25" i="242"/>
  <c r="F19" i="242"/>
  <c r="H19" i="242"/>
  <c r="F16" i="242"/>
  <c r="H16" i="242"/>
  <c r="F37" i="294"/>
  <c r="H37" i="294"/>
  <c r="F29" i="240"/>
  <c r="H29" i="240"/>
  <c r="F38" i="294"/>
  <c r="H38" i="294"/>
  <c r="F18" i="242"/>
  <c r="H18" i="242"/>
  <c r="F30" i="294"/>
  <c r="H30" i="294"/>
  <c r="F25" i="240"/>
  <c r="H25" i="240"/>
  <c r="F20" i="294"/>
  <c r="H20" i="294"/>
  <c r="F35" i="294"/>
  <c r="H35" i="294"/>
  <c r="F23" i="242"/>
  <c r="H23" i="242"/>
  <c r="F15" i="240"/>
  <c r="H15" i="240"/>
  <c r="F37" i="240"/>
  <c r="H37" i="240"/>
  <c r="F18" i="294"/>
  <c r="H18" i="294"/>
  <c r="F19" i="294"/>
  <c r="H19" i="294"/>
  <c r="F29" i="294"/>
  <c r="H29" i="294"/>
  <c r="F28" i="294"/>
  <c r="H28" i="294"/>
  <c r="F14" i="240"/>
  <c r="H14" i="240"/>
  <c r="F12" i="242"/>
  <c r="H12" i="242"/>
  <c r="F34" i="242"/>
  <c r="H34" i="242"/>
  <c r="F32" i="294"/>
  <c r="H32" i="294"/>
  <c r="F16" i="294"/>
  <c r="H16" i="294"/>
  <c r="F34" i="294"/>
  <c r="H34" i="294"/>
  <c r="F25" i="294"/>
  <c r="H25" i="294"/>
  <c r="F17" i="242"/>
  <c r="H17" i="242"/>
  <c r="F11" i="294"/>
  <c r="H11" i="294"/>
  <c r="F9" i="294"/>
  <c r="F27" i="294"/>
  <c r="H27" i="294"/>
  <c r="F13" i="240"/>
  <c r="H13" i="240"/>
  <c r="F9" i="242"/>
  <c r="F28" i="242"/>
  <c r="H28" i="242"/>
  <c r="F9" i="240"/>
  <c r="F31" i="240"/>
  <c r="H31" i="240"/>
</calcChain>
</file>

<file path=xl/comments1.xml><?xml version="1.0" encoding="utf-8"?>
<comments xmlns="http://schemas.openxmlformats.org/spreadsheetml/2006/main">
  <authors>
    <author>Admin</author>
  </authors>
  <commentList>
    <comment ref="E9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dư kho nhập lại 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D20" authorId="0" shapeId="0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30kg hàng đổi
</t>
        </r>
      </text>
    </comment>
  </commentList>
</comments>
</file>

<file path=xl/sharedStrings.xml><?xml version="1.0" encoding="utf-8"?>
<sst xmlns="http://schemas.openxmlformats.org/spreadsheetml/2006/main" count="18520" uniqueCount="1262">
  <si>
    <t>THẺ KHO</t>
  </si>
  <si>
    <t>NGÀY</t>
  </si>
  <si>
    <t>STT</t>
  </si>
  <si>
    <t>Tồn đầu kì</t>
  </si>
  <si>
    <t>CÁI</t>
  </si>
  <si>
    <t xml:space="preserve"> </t>
  </si>
  <si>
    <t>Quy khô</t>
  </si>
  <si>
    <t>I</t>
  </si>
  <si>
    <t>MEN LÓT</t>
  </si>
  <si>
    <t>ĐVT</t>
  </si>
  <si>
    <t>KG</t>
  </si>
  <si>
    <t>CUỘN</t>
  </si>
  <si>
    <t>Quy ướt</t>
  </si>
  <si>
    <t>Người Lập</t>
  </si>
  <si>
    <t>SL TỒN</t>
  </si>
  <si>
    <t>Tổng cộng</t>
  </si>
  <si>
    <t>Ghi chú</t>
  </si>
  <si>
    <t>Xuất</t>
  </si>
  <si>
    <t>YN!A1</t>
  </si>
  <si>
    <t>Không</t>
  </si>
  <si>
    <t>Nhập</t>
  </si>
  <si>
    <t>Xuất</t>
  </si>
  <si>
    <t>không</t>
  </si>
  <si>
    <t xml:space="preserve">Không </t>
  </si>
  <si>
    <t>DIỄN GIẢI</t>
  </si>
  <si>
    <t>Thực tế</t>
  </si>
  <si>
    <t>Đơn vị tính: Kg</t>
  </si>
  <si>
    <t>SL NHẬP KHO</t>
  </si>
  <si>
    <t>SL XUẤT 
TRUNG BÌNH</t>
  </si>
  <si>
    <t>Cộng nhập xuất</t>
  </si>
  <si>
    <t>SỐ NGÀY CÒN
SỬ DỤNG</t>
  </si>
  <si>
    <t>SL XUẤT KHO</t>
  </si>
  <si>
    <t>SL XUẤT 
TRUNG BÌNH (KG)</t>
  </si>
  <si>
    <t xml:space="preserve">Tên hàng hóa: </t>
  </si>
  <si>
    <t>FELDSPAR INDOMIN</t>
  </si>
  <si>
    <t>CAO LANH LỌC BẢO LỘC</t>
  </si>
  <si>
    <t>BỘT TALC</t>
  </si>
  <si>
    <t>NƯỚC RỬA</t>
  </si>
  <si>
    <t>Tên hàng hóa:</t>
  </si>
  <si>
    <t>BĂNG KEO TRONG</t>
  </si>
  <si>
    <t>Đơn vị tính: Cái</t>
  </si>
  <si>
    <t>VỎ THÙNG SAHADO 30X30</t>
  </si>
  <si>
    <t>DÂY ĐAI TAY</t>
  </si>
  <si>
    <t>II</t>
  </si>
  <si>
    <t>MEN NỀN</t>
  </si>
  <si>
    <t>III</t>
  </si>
  <si>
    <t>MEN ĐẾ</t>
  </si>
  <si>
    <t>MEN MATT</t>
  </si>
  <si>
    <t>BI TRUNG CAO NHÔM</t>
  </si>
  <si>
    <t>Kg</t>
  </si>
  <si>
    <t>IV</t>
  </si>
  <si>
    <t>V</t>
  </si>
  <si>
    <t>VI</t>
  </si>
  <si>
    <t>VII</t>
  </si>
  <si>
    <t>DUNG MOI VADV015</t>
  </si>
  <si>
    <t>IX</t>
  </si>
  <si>
    <t>PHỤ KIỆN</t>
  </si>
  <si>
    <t>NGUYÊN LIỆU TỒN</t>
  </si>
  <si>
    <t>BÌNH</t>
  </si>
  <si>
    <t xml:space="preserve">SL XUẤT KHO </t>
  </si>
  <si>
    <t>XUẤT</t>
  </si>
  <si>
    <t>FRIT VF1101N/A'!A1</t>
  </si>
  <si>
    <t>STTP HNP'!A1</t>
  </si>
  <si>
    <t>CAO LANH 1C'!A1</t>
  </si>
  <si>
    <t>FRIT PT02'!A1</t>
  </si>
  <si>
    <t>MAGIE OXIT'!A1</t>
  </si>
  <si>
    <t>CAO LANH P08'!A1</t>
  </si>
  <si>
    <t>BI TRUNG NHOM D60'!A1</t>
  </si>
  <si>
    <t>BI CAO NHOM D60'!A1</t>
  </si>
  <si>
    <t>FRIT FV 104/537'!A1</t>
  </si>
  <si>
    <t>MỰC CAM CI2200882</t>
  </si>
  <si>
    <t>MỰC XANH DƯƠNG CI3000876</t>
  </si>
  <si>
    <t>MỰC NÂU ĐỎ CI2300877</t>
  </si>
  <si>
    <t>MỰC HIỆU ỨNG CI1000521</t>
  </si>
  <si>
    <t>CAO LANH PHÚ THỌ'!A1</t>
  </si>
  <si>
    <t>CAO LANH GF 3005'!A1</t>
  </si>
  <si>
    <t>BỘT TALC'!A1</t>
  </si>
  <si>
    <t>HIFIL-1'!A1</t>
  </si>
  <si>
    <t>CAOL ANH YS09'!A1</t>
  </si>
  <si>
    <t>TĂNG CỨNG XƯƠNG'!A1</t>
  </si>
  <si>
    <t>SƠN CON LĂN TRÊN'!A1</t>
  </si>
  <si>
    <t>SƠN CON LĂN DƯỚI'!A1</t>
  </si>
  <si>
    <t>BỌ SẮT'!A1</t>
  </si>
  <si>
    <t>KÌM KẸP DÂY ĐAI'!A1</t>
  </si>
  <si>
    <t>TĂNG DÂY ĐAI'!A1</t>
  </si>
  <si>
    <t>DAO CẮT DÂN HOA'!A1</t>
  </si>
  <si>
    <t>VỎ THÙNG</t>
  </si>
  <si>
    <t>DÂY ĐAI</t>
  </si>
  <si>
    <t>PALLET GỖ VÀ NẸP GỖ</t>
  </si>
  <si>
    <t>X</t>
  </si>
  <si>
    <t>XI</t>
  </si>
  <si>
    <t xml:space="preserve">Từ ngày:  </t>
  </si>
  <si>
    <t>tháng</t>
  </si>
  <si>
    <t xml:space="preserve">năm </t>
  </si>
  <si>
    <t>Số ngày còn sử dụng</t>
  </si>
  <si>
    <t>STTP LTP</t>
  </si>
  <si>
    <t>MỰC VÀNG CI2000878</t>
  </si>
  <si>
    <t>HNP</t>
  </si>
  <si>
    <t>Mai Thúy Hoa</t>
  </si>
  <si>
    <t>ĐỘ ẨM</t>
  </si>
  <si>
    <t>VIII</t>
  </si>
  <si>
    <t>GHI CHÚ</t>
  </si>
  <si>
    <t>VỎ THÙNG GR 30X30</t>
  </si>
  <si>
    <t>nhập</t>
  </si>
  <si>
    <t>xuất</t>
  </si>
  <si>
    <t>MỰC IN KTS ESMALGLASS</t>
  </si>
  <si>
    <t>Không phát sinh</t>
  </si>
  <si>
    <t>Không phat sinh</t>
  </si>
  <si>
    <t>Bình</t>
  </si>
  <si>
    <t>SỐ NGÀY TỒN THEO SỬ DỤNG</t>
  </si>
  <si>
    <t>SỐ NGÀY TRUNG BÌNH CÒN SỬ DỤNG</t>
  </si>
  <si>
    <t>CÔNG TY CỐ PHẦN GẠCH MEN PHƯƠNG NAM</t>
  </si>
  <si>
    <t>MEN FP940'!A1</t>
  </si>
  <si>
    <t>BM. 03. 13</t>
  </si>
  <si>
    <t>Mã hàng:</t>
  </si>
  <si>
    <t>đến ngày</t>
  </si>
  <si>
    <t>Mã hàng</t>
  </si>
  <si>
    <t xml:space="preserve">VỎ THÙNG </t>
  </si>
  <si>
    <t>PP15</t>
  </si>
  <si>
    <t>1050X1050-GLP</t>
  </si>
  <si>
    <t xml:space="preserve">Mã hàng: </t>
  </si>
  <si>
    <t>CMC</t>
  </si>
  <si>
    <t>ZIRCON</t>
  </si>
  <si>
    <t>THẠCH ANH (QUARTZ)</t>
  </si>
  <si>
    <t>CAO LANH</t>
  </si>
  <si>
    <t>FRIT</t>
  </si>
  <si>
    <t>TRÀNG THẠCH</t>
  </si>
  <si>
    <t>STPP</t>
  </si>
  <si>
    <t>BI CAO NHÔM</t>
  </si>
  <si>
    <t>MEN</t>
  </si>
  <si>
    <t>ĐẤT SÉT</t>
  </si>
  <si>
    <t>Màu Be CIK-BG9454'!A1</t>
  </si>
  <si>
    <t>900x70x16-GLP</t>
  </si>
  <si>
    <t>VỎ KHÔNG IN ĐÓNG TAY</t>
  </si>
  <si>
    <t>BM. 03.14</t>
  </si>
  <si>
    <t>ALUMINA BALLS DIA 60MM 68%</t>
  </si>
  <si>
    <t>ALUMINA BALLS DIA 60MM 92%</t>
  </si>
  <si>
    <t>ALUMINA BALLS DIA 40MM 92%</t>
  </si>
  <si>
    <t>ALUMINA BALLS DIA 30MM 92%</t>
  </si>
  <si>
    <t>KÌM KẸP DÂY ĐAI BẰNG KHÍ NÉN</t>
  </si>
  <si>
    <t>KKDĐ-PRESAIR</t>
  </si>
  <si>
    <t>không phát sinh</t>
  </si>
  <si>
    <t>FRIT FO716'!Print_Titles</t>
  </si>
  <si>
    <t>Cuộn</t>
  </si>
  <si>
    <t>CMC-ND1B</t>
  </si>
  <si>
    <t>PALLET GỖ GLP</t>
  </si>
  <si>
    <t>PALLET ITC (MỚI)</t>
  </si>
  <si>
    <t>NẸP GỖ GLP</t>
  </si>
  <si>
    <t>FRIT A106</t>
  </si>
  <si>
    <t>THA1</t>
  </si>
  <si>
    <t>CMC FC3828</t>
  </si>
  <si>
    <t>Frit HT082</t>
  </si>
  <si>
    <t>Frit VG 443/658</t>
  </si>
  <si>
    <t>TCX T100</t>
  </si>
  <si>
    <t>1100X1100-GPH</t>
  </si>
  <si>
    <t>PALLET GỖ GIA PHÚC HÂN</t>
  </si>
  <si>
    <t>NHẬP</t>
  </si>
  <si>
    <t>NẸP GỖ PQ</t>
  </si>
  <si>
    <t>PALLET GỖ GIA KIM TÍN</t>
  </si>
  <si>
    <t>NẸP GỖ GIA KIM TÍN</t>
  </si>
  <si>
    <t>XIII</t>
  </si>
  <si>
    <t>TB4139</t>
  </si>
  <si>
    <t>TB3007</t>
  </si>
  <si>
    <t>S130</t>
  </si>
  <si>
    <t>M004</t>
  </si>
  <si>
    <t>GB1660</t>
  </si>
  <si>
    <t>NẸP GỖ ITC</t>
  </si>
  <si>
    <t>900x70x16-ITC</t>
  </si>
  <si>
    <t>a diệp</t>
  </si>
  <si>
    <t>thiên ân</t>
  </si>
  <si>
    <t>hà hiền phát</t>
  </si>
  <si>
    <t>bị trừ</t>
  </si>
  <si>
    <t>Thực nhận</t>
  </si>
  <si>
    <t>PHÒNG KẾ HOẠCH - VẬT TƯ</t>
  </si>
  <si>
    <t>CMC-NB1B-NĐ</t>
  </si>
  <si>
    <t>FRIT FO102-FHU</t>
  </si>
  <si>
    <t>ZIRCON K1#-</t>
  </si>
  <si>
    <t>FRIT FV090/540-FTA</t>
  </si>
  <si>
    <t>FRIT A106-ACV</t>
  </si>
  <si>
    <t>SILICA VH004-FTA</t>
  </si>
  <si>
    <t>FRIT VF1101N/A-VNF</t>
  </si>
  <si>
    <t>FRIT HGT03-FHG</t>
  </si>
  <si>
    <t>KAOLINOR 1C-VT</t>
  </si>
  <si>
    <t>ZIRCON ZS012-LGP</t>
  </si>
  <si>
    <t>CMC C20-TQ</t>
  </si>
  <si>
    <t>STTP-HNP</t>
  </si>
  <si>
    <t>FRIT PT02-PD</t>
  </si>
  <si>
    <t>BALL CLAY BC03-PV</t>
  </si>
  <si>
    <t>KAOLIN P08-KMD</t>
  </si>
  <si>
    <t>MAGIE OXIT MgO</t>
  </si>
  <si>
    <t>CHẤT DIỆT KHUẨN</t>
  </si>
  <si>
    <t>900x70x16-GKT</t>
  </si>
  <si>
    <t>900x70x16-PQ</t>
  </si>
  <si>
    <t>kg</t>
  </si>
  <si>
    <t>cái</t>
  </si>
  <si>
    <t>KHÔNG PHÁT SINH</t>
  </si>
  <si>
    <t>GRANDCERA TÍM-AH</t>
  </si>
  <si>
    <t>Tuấn Đức Gia</t>
  </si>
  <si>
    <t>Bị trừ</t>
  </si>
  <si>
    <t>KHÔNG XUẤT</t>
  </si>
  <si>
    <t>MT03VT- QĐ</t>
  </si>
  <si>
    <t>MT812- QĐ</t>
  </si>
  <si>
    <t>Y327- QĐ</t>
  </si>
  <si>
    <t>Y327-QĐ'!A1</t>
  </si>
  <si>
    <t>BF002A- QĐ</t>
  </si>
  <si>
    <t>PHÁT QUÝ</t>
  </si>
  <si>
    <t>BỊ TRỪ</t>
  </si>
  <si>
    <t>A DIỆP</t>
  </si>
  <si>
    <t>TUẤN ĐỨC GIA</t>
  </si>
  <si>
    <t>HHĐ</t>
  </si>
  <si>
    <t>ĐỨC HIỆP</t>
  </si>
  <si>
    <t>Không xuất</t>
  </si>
  <si>
    <t>MEN PANSON</t>
  </si>
  <si>
    <t>Phòng Kế hoạch - Vật tư</t>
  </si>
  <si>
    <t>Trần Ngọc Triển</t>
  </si>
  <si>
    <t>FRIT FV 090.540 - FTA'!A1</t>
  </si>
  <si>
    <t>FRIT HGE91-FHG'!A1</t>
  </si>
  <si>
    <t>E. GLAZE BF043A-PV'!A1</t>
  </si>
  <si>
    <t>FRIT 090/558 - FTA</t>
  </si>
  <si>
    <t>FRIT 090.558 - FTA'!A1</t>
  </si>
  <si>
    <t>P. FELDSPAR K200-TQ'!A1</t>
  </si>
  <si>
    <t>KHÔNG XỬ LÝ ĐƯỢC</t>
  </si>
  <si>
    <t>XỬ LÝ TRONG BÀI MEN TRONG</t>
  </si>
  <si>
    <t>Tên SP</t>
  </si>
  <si>
    <t xml:space="preserve">                                                     </t>
  </si>
  <si>
    <t xml:space="preserve">               </t>
  </si>
  <si>
    <t>SAHADO NEW-VH</t>
  </si>
  <si>
    <t>Người lập</t>
  </si>
  <si>
    <t xml:space="preserve">Mã kho: </t>
  </si>
  <si>
    <t>E05</t>
  </si>
  <si>
    <t>E04</t>
  </si>
  <si>
    <t>E03</t>
  </si>
  <si>
    <t>X19</t>
  </si>
  <si>
    <t>E01</t>
  </si>
  <si>
    <t>M01</t>
  </si>
  <si>
    <t>V02</t>
  </si>
  <si>
    <t>V06</t>
  </si>
  <si>
    <t>V08</t>
  </si>
  <si>
    <t>V13</t>
  </si>
  <si>
    <t>TỔNG</t>
  </si>
  <si>
    <t>ALUMINA BALLS DIA 40 MM 68%</t>
  </si>
  <si>
    <t>INTECO</t>
  </si>
  <si>
    <t>ĐẠI GN</t>
  </si>
  <si>
    <t>ĐGN</t>
  </si>
  <si>
    <t>DC2</t>
  </si>
  <si>
    <t>MÀU ĐEN -CIK NE6153</t>
  </si>
  <si>
    <t>Quy ẩm</t>
  </si>
  <si>
    <t>SỐ NGÀY CÒN SỬ DỤNG</t>
  </si>
  <si>
    <t>XUẤT TRUNG BÌNH</t>
  </si>
  <si>
    <t>XUẤT KHO</t>
  </si>
  <si>
    <t>NHẬP KHO</t>
  </si>
  <si>
    <t>E. GLAZE BF043-PV</t>
  </si>
  <si>
    <t>CAO LANH BF043</t>
  </si>
  <si>
    <t>TỒN KHO</t>
  </si>
  <si>
    <t>FRIT FO113</t>
  </si>
  <si>
    <t>FRIT HGE91-FHG</t>
  </si>
  <si>
    <t>FRIT HGE91</t>
  </si>
  <si>
    <t>FRIT A106 -ACV'!A1</t>
  </si>
  <si>
    <t>P. FELDSPAR K200-AD</t>
  </si>
  <si>
    <t>Tồn đầu kỳ</t>
  </si>
  <si>
    <t>Nhập trong kỳ</t>
  </si>
  <si>
    <t>FRIT FO113-FHU</t>
  </si>
  <si>
    <t>BALL CLAY BCO3-PV'!A1</t>
  </si>
  <si>
    <t>MÀU HỒNG-CIK-RO4118</t>
  </si>
  <si>
    <t>MÀU ĐEN CIK-NE6153</t>
  </si>
  <si>
    <t>XUẤT 
TRUNG BÌNH</t>
  </si>
  <si>
    <t>MÀU BE CIK-BG9454</t>
  </si>
  <si>
    <t>MÀU NÂU CIK-MA5455</t>
  </si>
  <si>
    <t>MÀU VÀNG CIK-AM5456</t>
  </si>
  <si>
    <t>DD RỬA MÁY IN PL 0101</t>
  </si>
  <si>
    <t>FRIT PGB 1288B</t>
  </si>
  <si>
    <t>FRIT TM2001</t>
  </si>
  <si>
    <t>FRIT TM2085</t>
  </si>
  <si>
    <t>ROCIMA 623-HVC</t>
  </si>
  <si>
    <t>Ma-giê Ôxit</t>
  </si>
  <si>
    <t>Xuất trong kỳ</t>
  </si>
  <si>
    <t>FRIT PGB 1288B'!A1</t>
  </si>
  <si>
    <t>FRIT TM2085'!A1</t>
  </si>
  <si>
    <t>MT812-QĐ '!A1</t>
  </si>
  <si>
    <t>MT03VT-QĐ'!A1</t>
  </si>
  <si>
    <t>FRIT 853-ACV'!A1</t>
  </si>
  <si>
    <t>BI CAO NHÔM D30</t>
  </si>
  <si>
    <t>BI TRUNG NHÔM D60</t>
  </si>
  <si>
    <t>DD RỬA ĐẦU IN PL 0115</t>
  </si>
  <si>
    <t>FRIT HGT03 - FHG</t>
  </si>
  <si>
    <t>Không nhập - xuất</t>
  </si>
  <si>
    <t>PALLET GỖ 1450X1450-NM</t>
  </si>
  <si>
    <t>FRIT HT082-FHU</t>
  </si>
  <si>
    <t>FRIT H082-FHU</t>
  </si>
  <si>
    <t>MT812VT-QĐ</t>
  </si>
  <si>
    <t xml:space="preserve"> BF002A-QĐ</t>
  </si>
  <si>
    <t>MT03VT-QĐ</t>
  </si>
  <si>
    <t>ĐVT: Kg</t>
  </si>
  <si>
    <t>ĐVT: Cái</t>
  </si>
  <si>
    <t>ĐVT: Cuộn</t>
  </si>
  <si>
    <t>BỌ SẮT-TPĐ</t>
  </si>
  <si>
    <t>CAO LANH F3005</t>
  </si>
  <si>
    <t>CAO LANH YS09</t>
  </si>
  <si>
    <t>BỘT HIFIL-1</t>
  </si>
  <si>
    <t>FRIT FP940</t>
  </si>
  <si>
    <t>FRIT TB3008</t>
  </si>
  <si>
    <t>FRIT TB3001</t>
  </si>
  <si>
    <t>FRIT FV104/537</t>
  </si>
  <si>
    <t>MEN Y327-QĐ</t>
  </si>
  <si>
    <t>BI TRUNG NHOM D40</t>
  </si>
  <si>
    <t>BI CAO NHOM D60</t>
  </si>
  <si>
    <t>MÀU NÂU MA5455'!A1</t>
  </si>
  <si>
    <t>MÀU VÀNG CIK-AM5456'!A1</t>
  </si>
  <si>
    <t>MÀU ĐEN NE6153'!A1</t>
  </si>
  <si>
    <t>TB3001'!A1</t>
  </si>
  <si>
    <t>TB4139'!A1</t>
  </si>
  <si>
    <t>TB3008'!A1</t>
  </si>
  <si>
    <t>S501'!A1</t>
  </si>
  <si>
    <t>KL S501</t>
  </si>
  <si>
    <t>KL S250</t>
  </si>
  <si>
    <t>S250'!A1</t>
  </si>
  <si>
    <t>M004'!A1</t>
  </si>
  <si>
    <t>GB1660'!A1</t>
  </si>
  <si>
    <t>TB3007'!A1</t>
  </si>
  <si>
    <t>S130'!A1</t>
  </si>
  <si>
    <t>FRIT FO113-FHU'!A1</t>
  </si>
  <si>
    <t>NHOM OXIT AL2O3-HNP'!A1</t>
  </si>
  <si>
    <t>NHÔM ÔXIT Al2O3-HNP</t>
  </si>
  <si>
    <t>FRIT HGT03-FHG'!A1</t>
  </si>
  <si>
    <t>ZIRCONE ZS012-LGP'!A1</t>
  </si>
  <si>
    <t>CMC C20-TQ'!A1</t>
  </si>
  <si>
    <t>ROCIMA 623-HVC'!A1</t>
  </si>
  <si>
    <t>CAO LANH PT KL2</t>
  </si>
  <si>
    <t>FFRIT FO716-FTA</t>
  </si>
  <si>
    <t xml:space="preserve">nhập </t>
  </si>
  <si>
    <t>CMC S50</t>
  </si>
  <si>
    <t>CMC S50'!A1</t>
  </si>
  <si>
    <t>Trừ</t>
  </si>
  <si>
    <t>Châu Thị Hoài Thương</t>
  </si>
  <si>
    <t xml:space="preserve"> xuất</t>
  </si>
  <si>
    <t>KAOLANH AA INDO'!A1</t>
  </si>
  <si>
    <t>ẩm kiễm</t>
  </si>
  <si>
    <t>ZIRCON ZRD5M</t>
  </si>
  <si>
    <t>ZIRCON ZRD5M'!A1</t>
  </si>
  <si>
    <t>PALLET 145'!A1</t>
  </si>
  <si>
    <t>KE NHUA 4080'!A1</t>
  </si>
  <si>
    <t>DC1</t>
  </si>
  <si>
    <t>CƠ ĐIỆN</t>
  </si>
  <si>
    <t>DC 1</t>
  </si>
  <si>
    <t>KINH DOANH</t>
  </si>
  <si>
    <t>E. KAO LANH AA INDO</t>
  </si>
  <si>
    <t xml:space="preserve"> nhập - xuất</t>
  </si>
  <si>
    <t>SAHADO 40x80 HA '!A1</t>
  </si>
  <si>
    <t xml:space="preserve"> nhập </t>
  </si>
  <si>
    <t>nhập - xuất</t>
  </si>
  <si>
    <t>THÁI BÌNH</t>
  </si>
  <si>
    <t xml:space="preserve"> nhập</t>
  </si>
  <si>
    <t>LONG HƯNG PHÁT</t>
  </si>
  <si>
    <t xml:space="preserve">THỜI GIAN VÀNG </t>
  </si>
  <si>
    <t xml:space="preserve">CTY VIDONA </t>
  </si>
  <si>
    <t>FRIT HT082'!A1</t>
  </si>
  <si>
    <t>FRIT FS459-FHU</t>
  </si>
  <si>
    <t>PHÒNG KHVT</t>
  </si>
  <si>
    <t>FRIT HGT05-FHG</t>
  </si>
  <si>
    <t>FRIT HGT05-FHG '!A1</t>
  </si>
  <si>
    <t>COMPOUD TRÁNG ĐẾ</t>
  </si>
  <si>
    <t>COMPOUD TRÁNG ĐẾ'!A1</t>
  </si>
  <si>
    <t xml:space="preserve">mới </t>
  </si>
  <si>
    <t>cũ</t>
  </si>
  <si>
    <t>CERAMIC HA'!A1</t>
  </si>
  <si>
    <t>GR XANH 30x60-TTP'!A1</t>
  </si>
  <si>
    <t>DEF-305</t>
  </si>
  <si>
    <t>DEF 305'!A1</t>
  </si>
  <si>
    <t>BANG KEO TRONG'!A1</t>
  </si>
  <si>
    <t>FRIT A608 ACV'!A1</t>
  </si>
  <si>
    <t>FRIT 853- ACV</t>
  </si>
  <si>
    <t>FRIT 1089-ACV</t>
  </si>
  <si>
    <t>FRIT 1089-ACV'!A1</t>
  </si>
  <si>
    <t>VỎ THÙNG 300 x 600 MM _HA</t>
  </si>
  <si>
    <t>VỎ THÙNG 400 x 800 MM_HA</t>
  </si>
  <si>
    <t>VỎ PHẾ-VH</t>
  </si>
  <si>
    <t>VỎ THÙNG 300 x 600 MM_TTP</t>
  </si>
  <si>
    <r>
      <t xml:space="preserve"> </t>
    </r>
    <r>
      <rPr>
        <b/>
        <sz val="10"/>
        <rFont val="Times New Roman"/>
        <family val="1"/>
      </rPr>
      <t>FRIT TM2001</t>
    </r>
  </si>
  <si>
    <t>HIỆU ỨNG NỔI LU 1217</t>
  </si>
  <si>
    <t>CÔNG TY CP GẠCH MEN PHƯƠNG NAM</t>
  </si>
  <si>
    <t>KE NHỰA 300 X 600 MM</t>
  </si>
  <si>
    <t>KE NHUA 8V 3060'!A1</t>
  </si>
  <si>
    <t>HU CHÌM RC1151'!A1</t>
  </si>
  <si>
    <t>FRIT A608 -ACV</t>
  </si>
  <si>
    <t>VỎ THÙNG 400 x 800 mm</t>
  </si>
  <si>
    <t>VỎ THÙNG 300 x 600 mm</t>
  </si>
  <si>
    <t>GR TIM 30x60-HA'!A1</t>
  </si>
  <si>
    <t>GRANDCERA TÍM 30x60-HA</t>
  </si>
  <si>
    <t>GRANDCERA TÍM 30x60-VH</t>
  </si>
  <si>
    <t>GRANDCERA TÍM 30x60-TTP</t>
  </si>
  <si>
    <t>VỎ PHẾ 30x60-HA</t>
  </si>
  <si>
    <t>VỎ PHẾ 40x80-HA</t>
  </si>
  <si>
    <t>CERAMIC 30x60-HA</t>
  </si>
  <si>
    <t>ESPANA 40x80-HA</t>
  </si>
  <si>
    <t>GRANDCERA XANH 30x60-HA</t>
  </si>
  <si>
    <t>GRANDCERA XANH 30x60-VH</t>
  </si>
  <si>
    <t>GRANDCERA XANH 30x60-TTP</t>
  </si>
  <si>
    <t>SAHADO NEW 30x60-VH</t>
  </si>
  <si>
    <t>SAHADO NEW 30x60-HA</t>
  </si>
  <si>
    <t>SAHADO 30x60-VH</t>
  </si>
  <si>
    <t>SAHADO 40x80-HA</t>
  </si>
  <si>
    <t>LUXURY 30x60-HA</t>
  </si>
  <si>
    <t>LUXURY 40x8-HA</t>
  </si>
  <si>
    <t>CROWN 30x60-HA</t>
  </si>
  <si>
    <t>CROWN 40x80-HA</t>
  </si>
  <si>
    <t>VO THUNG 400 x 800 mm</t>
  </si>
  <si>
    <t>ESPANA 30x60-VH</t>
  </si>
  <si>
    <t>ESPANA 30x60-HA</t>
  </si>
  <si>
    <t>VO HOP 300 x 600 mm</t>
  </si>
  <si>
    <t>GR XANH 30x60-HA'!A1</t>
  </si>
  <si>
    <t>SAHADO NEW 30x60-HA'!A1</t>
  </si>
  <si>
    <t>LUXURY 30x60-HA'!A1</t>
  </si>
  <si>
    <t>VO PHE 30x60'!A1</t>
  </si>
  <si>
    <t>CROWN 30x60-HA'!A1</t>
  </si>
  <si>
    <t>LUXURY 40x80-HA'!A1</t>
  </si>
  <si>
    <t>CROWN 40x80-HA'!A1</t>
  </si>
  <si>
    <t>VO PHE 40x80'!A1</t>
  </si>
  <si>
    <t>GR TIM 30x60-VH'!A1</t>
  </si>
  <si>
    <t>GR XANH 30X60-VH'!A1</t>
  </si>
  <si>
    <t>SAHADO NEW 30x60-VH'!A1</t>
  </si>
  <si>
    <t>GR TÍM 30x60-TTP'!A1</t>
  </si>
  <si>
    <t>NEP GO 400 x 800 mm</t>
  </si>
  <si>
    <t>DÂY ĐAI HỘP</t>
  </si>
  <si>
    <t>DÂY ĐAI PP-LHP</t>
  </si>
  <si>
    <t>DÂY ĐAI PET-LHP</t>
  </si>
  <si>
    <t>DÂY ĐAI PALLET</t>
  </si>
  <si>
    <t>DAY DAI PP'!A1</t>
  </si>
  <si>
    <t>DAY DAI PET'!A1</t>
  </si>
  <si>
    <t>NEP GO 30x60 NM'!A1</t>
  </si>
  <si>
    <t>NEP GO 30x60 TH'!A1</t>
  </si>
  <si>
    <t>NẸP GỖ 30x60 TH</t>
  </si>
  <si>
    <t>NEP GO 300 x 600 mm</t>
  </si>
  <si>
    <t>NEP GO 300 x 600 mm-NM</t>
  </si>
  <si>
    <t>NẸP GỖ 30x60-NM</t>
  </si>
  <si>
    <t>NẸP GỖ 40x80 TH</t>
  </si>
  <si>
    <t xml:space="preserve">                                                                                                            </t>
  </si>
  <si>
    <t>Lượng dùng TB/ngày</t>
  </si>
  <si>
    <t>ESPANA -HA'!A1</t>
  </si>
  <si>
    <t>TĂNG DÂY ĐAI-HHD</t>
  </si>
  <si>
    <t>KÌM KẸP DÂY ĐAI-M</t>
  </si>
  <si>
    <t>BĂNG KEO TRONG-HHD</t>
  </si>
  <si>
    <t>DAO CẮT-HHD</t>
  </si>
  <si>
    <t>ESPANA 30x60-VH'!A1</t>
  </si>
  <si>
    <t>SAHADO 30x60-VH'!A1</t>
  </si>
  <si>
    <t>HU NỔI LU 1217'!A1</t>
  </si>
  <si>
    <t>DD RỬA MÁY IN PL0101'!A1</t>
  </si>
  <si>
    <t>DD RỬA ĐẦU IN PL0115'!A1</t>
  </si>
  <si>
    <t>BF-002A-QĐ '!A1</t>
  </si>
  <si>
    <t>VỎ THÙNG 300*600</t>
  </si>
  <si>
    <t>NEP GO 40x80 TH'!A1</t>
  </si>
  <si>
    <t>FRIT FS459 FHU'!Print_Titles</t>
  </si>
  <si>
    <t>CMC G30</t>
  </si>
  <si>
    <t>CMC G30'!A1</t>
  </si>
  <si>
    <t>SƠN CON LĂN TRÊN ( bao đỏ )</t>
  </si>
  <si>
    <t>SƠN CON LĂN DƯỚI ( bao xanh )</t>
  </si>
  <si>
    <t>ESPANA 40x80-HA '!Print_Titles</t>
  </si>
  <si>
    <t>HAVIRA 30x60-HA</t>
  </si>
  <si>
    <t>HAVIRA!A1</t>
  </si>
  <si>
    <t>MÀUÀU HỒNG RO4118'!A1</t>
  </si>
  <si>
    <t>ADONIS 30x60-HA</t>
  </si>
  <si>
    <t>ADONIS!Print_Titles</t>
  </si>
  <si>
    <t>MÀU XANH CIK-AZ1476</t>
  </si>
  <si>
    <t>CMC T26 (VISCOLOSE 2000)</t>
  </si>
  <si>
    <t>CMC T26'!A1</t>
  </si>
  <si>
    <t>MÀU XANH AZ1476'!Print_Titles</t>
  </si>
  <si>
    <t>MT616-QĐ</t>
  </si>
  <si>
    <t>MT616-QĐ'!A1</t>
  </si>
  <si>
    <t>FRIT VFT03</t>
  </si>
  <si>
    <t>FRIT VFT03'!A1</t>
  </si>
  <si>
    <t>MATT VM01</t>
  </si>
  <si>
    <t>VM01'!A1</t>
  </si>
  <si>
    <t>MATT VM06</t>
  </si>
  <si>
    <t>VM06'!A1</t>
  </si>
  <si>
    <t>FRIT A528ACV</t>
  </si>
  <si>
    <t>FRIT A528'!A1</t>
  </si>
  <si>
    <t>ADONIS 40x80-HA</t>
  </si>
  <si>
    <t>ADONIS 40x80-HA'!Print_Titles</t>
  </si>
  <si>
    <t>LUXURY 30x60-TTP</t>
  </si>
  <si>
    <t>VỎ THÙNG 300 x 600 MM_VH-TTP</t>
  </si>
  <si>
    <t>LUXURY 30x60-TTP'!A1</t>
  </si>
  <si>
    <t>TỔNG HỢP XUẤT THÁNG 05</t>
  </si>
  <si>
    <t>Kho: KHO NVL MEN; Tháng 5 năm 2023</t>
  </si>
  <si>
    <t>Tên hàng</t>
  </si>
  <si>
    <t>NVLKM01.001</t>
  </si>
  <si>
    <t>Cao lanh (Phú Thọ) A2</t>
  </si>
  <si>
    <t>NVLKM01.003</t>
  </si>
  <si>
    <t>FV090/540 FRIT TITAN</t>
  </si>
  <si>
    <t>NVLKM01.005</t>
  </si>
  <si>
    <t>Nhôm oxit (AL2O3)</t>
  </si>
  <si>
    <t>NVLKM01.008</t>
  </si>
  <si>
    <t>Cao lanh P0255 (Cao lanh 1C)</t>
  </si>
  <si>
    <t>NVLKM01.010</t>
  </si>
  <si>
    <t>FO 716</t>
  </si>
  <si>
    <t>NVLKM01.011</t>
  </si>
  <si>
    <t>VF1101N/A (Frit trong cho ốp)</t>
  </si>
  <si>
    <t>NVLKM01.012</t>
  </si>
  <si>
    <t>BF043A+</t>
  </si>
  <si>
    <t>NVLKM01.015</t>
  </si>
  <si>
    <t>Men gốm sứ FO113</t>
  </si>
  <si>
    <t>NVLKM01.016</t>
  </si>
  <si>
    <t>Tràng thạch Ấn Độ (PNG-AD) Feldspar</t>
  </si>
  <si>
    <t>NVLKM01.019</t>
  </si>
  <si>
    <t>Bột tan S220</t>
  </si>
  <si>
    <t>NVLKM01.021</t>
  </si>
  <si>
    <t>Cao lanh P08</t>
  </si>
  <si>
    <t>NVLKM01.023</t>
  </si>
  <si>
    <t>CLAY GF3005</t>
  </si>
  <si>
    <t>NVLKM01.024</t>
  </si>
  <si>
    <t>Men HIFIL1</t>
  </si>
  <si>
    <t>NVLKM01.035</t>
  </si>
  <si>
    <t>Men Frit PT02</t>
  </si>
  <si>
    <t>NVLKM01.036</t>
  </si>
  <si>
    <t>Men in FP940</t>
  </si>
  <si>
    <t>NVLKM01.037</t>
  </si>
  <si>
    <t>Frit A106</t>
  </si>
  <si>
    <t>NVLKM01.039</t>
  </si>
  <si>
    <t>PGB1288B</t>
  </si>
  <si>
    <t>NVLKM01.041</t>
  </si>
  <si>
    <t>TM2085</t>
  </si>
  <si>
    <t>NVLKM01.042</t>
  </si>
  <si>
    <t>B3001</t>
  </si>
  <si>
    <t>NVLKM01.044</t>
  </si>
  <si>
    <t>BT4139</t>
  </si>
  <si>
    <t>NVLKM01.045</t>
  </si>
  <si>
    <t>NVLKM01.046</t>
  </si>
  <si>
    <t>BT3008</t>
  </si>
  <si>
    <t>NVLKM01.047</t>
  </si>
  <si>
    <t>NVLKM01.048</t>
  </si>
  <si>
    <t>S501</t>
  </si>
  <si>
    <t>NVLKM01.049</t>
  </si>
  <si>
    <t>S250</t>
  </si>
  <si>
    <t>NVLKM01.051</t>
  </si>
  <si>
    <t>NVLKM01.052</t>
  </si>
  <si>
    <t>NVLKM01.054</t>
  </si>
  <si>
    <t>Men Frit HGE91</t>
  </si>
  <si>
    <t>NVLKM01.055</t>
  </si>
  <si>
    <t>Men lót HGQ03</t>
  </si>
  <si>
    <t>NVLKM01.056</t>
  </si>
  <si>
    <t>Men matt Glaze (MT-03VT)</t>
  </si>
  <si>
    <t>NVLKM01.057</t>
  </si>
  <si>
    <t>Men Frit Y-327</t>
  </si>
  <si>
    <t>NVLKM01.058</t>
  </si>
  <si>
    <t>Men matt Frit (MT-812)</t>
  </si>
  <si>
    <t>NVLKM01.059</t>
  </si>
  <si>
    <t>BF002A</t>
  </si>
  <si>
    <t>NVLKM01.061</t>
  </si>
  <si>
    <t>FV090/558</t>
  </si>
  <si>
    <t>NVLKM01.063</t>
  </si>
  <si>
    <t>HGS82</t>
  </si>
  <si>
    <t>NVLKM01.064</t>
  </si>
  <si>
    <t>NVLKM01.065</t>
  </si>
  <si>
    <t>NVLKM01.068</t>
  </si>
  <si>
    <t>Men Frit MT-616</t>
  </si>
  <si>
    <t>NVLKM01.075</t>
  </si>
  <si>
    <t>Phụ gia điện giải cho men- DEF 305</t>
  </si>
  <si>
    <t>NVLKM01.076</t>
  </si>
  <si>
    <t>Frit 1089</t>
  </si>
  <si>
    <t>NVLKM01.077</t>
  </si>
  <si>
    <t>Frit A608</t>
  </si>
  <si>
    <t>NVLKM01.078</t>
  </si>
  <si>
    <t>Frit 568</t>
  </si>
  <si>
    <t>NVLKM01.080</t>
  </si>
  <si>
    <t>Frit bán đục FS-459 M1</t>
  </si>
  <si>
    <t>NVLKM02.001</t>
  </si>
  <si>
    <t>Men STPP (trung quốc)</t>
  </si>
  <si>
    <t>NVLKM02.005</t>
  </si>
  <si>
    <t>Rocima 623</t>
  </si>
  <si>
    <t>NVLKM02.006</t>
  </si>
  <si>
    <t>Zircon Silicate ZS-012 (Zircone 5)</t>
  </si>
  <si>
    <t>NVLKM02.009</t>
  </si>
  <si>
    <t>Frit HGT 03</t>
  </si>
  <si>
    <t>NVLKM02.015</t>
  </si>
  <si>
    <t>CMC T26</t>
  </si>
  <si>
    <t>NVLKM02.018</t>
  </si>
  <si>
    <t>Frit HGT 05</t>
  </si>
  <si>
    <t>NVLKM02.019</t>
  </si>
  <si>
    <t>Men chống dính con lăn</t>
  </si>
  <si>
    <t>NVLKM02.027</t>
  </si>
  <si>
    <t>Cao lanh men BF043 PV</t>
  </si>
  <si>
    <t>NVLKM02.028</t>
  </si>
  <si>
    <t>Men FV104/537</t>
  </si>
  <si>
    <t>NVLKM02.029</t>
  </si>
  <si>
    <t>Đất sét BC03</t>
  </si>
  <si>
    <t>NVLKM02.030</t>
  </si>
  <si>
    <t>Đất sét YS09</t>
  </si>
  <si>
    <t>NVLKM02.053</t>
  </si>
  <si>
    <t>Cao lanh AA Indo</t>
  </si>
  <si>
    <t>NVLKM02.069</t>
  </si>
  <si>
    <t>Frit trong VFT03</t>
  </si>
  <si>
    <t>NVLKM03.008</t>
  </si>
  <si>
    <t>Mực màu be</t>
  </si>
  <si>
    <t>NVLKM03.009</t>
  </si>
  <si>
    <t>Dung dịch rửa đầu in</t>
  </si>
  <si>
    <t>NVLKM03.010</t>
  </si>
  <si>
    <t>Dung dịch rửa máy in</t>
  </si>
  <si>
    <t>NVLKM03.011</t>
  </si>
  <si>
    <t>Mực xanh dương ESM</t>
  </si>
  <si>
    <t>NVLKM03.012</t>
  </si>
  <si>
    <t>Mực màu vàng ESM</t>
  </si>
  <si>
    <t>NVLKM03.013</t>
  </si>
  <si>
    <t>Mực nâu đỏ ESM</t>
  </si>
  <si>
    <t>NVLKM03.014</t>
  </si>
  <si>
    <t>Men in chìm ESM</t>
  </si>
  <si>
    <t>NVLKM03.015</t>
  </si>
  <si>
    <t>Mực hồng ESM</t>
  </si>
  <si>
    <t>NVLKM03.016</t>
  </si>
  <si>
    <t>Mực đen ESM</t>
  </si>
  <si>
    <t>NVLKM03.018</t>
  </si>
  <si>
    <t>Men in nổi - LU</t>
  </si>
  <si>
    <t>NVLKM04.005</t>
  </si>
  <si>
    <t>Vỏ thùng gạch phế 30x60 (nâu)</t>
  </si>
  <si>
    <t>Cái</t>
  </si>
  <si>
    <t>NVLKM04.011</t>
  </si>
  <si>
    <t>Băng keo trong 5P 80Ya (TQ) BBL</t>
  </si>
  <si>
    <t>NVLKM04.014</t>
  </si>
  <si>
    <t>Bi cao nhôm 60mmx92</t>
  </si>
  <si>
    <t>NVLKM04.023</t>
  </si>
  <si>
    <t>Dây đai PET</t>
  </si>
  <si>
    <t>NVLKM04.025</t>
  </si>
  <si>
    <t>Bọ sắt PET</t>
  </si>
  <si>
    <t>NVLKM04.026</t>
  </si>
  <si>
    <t>Pallet 1100x1100 cũ</t>
  </si>
  <si>
    <t>NVLKM04.028</t>
  </si>
  <si>
    <t>Tăng cứng xương T100</t>
  </si>
  <si>
    <t>NVLKM04.030</t>
  </si>
  <si>
    <t>Vữa xây lò nung nhiệt độ cao (chất bảo hộ con lăn trên)</t>
  </si>
  <si>
    <t>NVLKM04.031</t>
  </si>
  <si>
    <t>Vữa xây lò nung nhiệt độ cao (chất bảo hộ con lăn dưới)</t>
  </si>
  <si>
    <t>NVLKM04.032</t>
  </si>
  <si>
    <t>Dao cắt dân hoa(size 5cm)</t>
  </si>
  <si>
    <t>NVLKM04.034</t>
  </si>
  <si>
    <t>Kìm bấm dây đai</t>
  </si>
  <si>
    <t>NVLKM04.037</t>
  </si>
  <si>
    <t>Thanh nẹp góc gỗ</t>
  </si>
  <si>
    <t>NVLKM04.038</t>
  </si>
  <si>
    <t>Bi trung nhôm D60</t>
  </si>
  <si>
    <t>NVLKM04.045</t>
  </si>
  <si>
    <t>Pallet 145x145x100cm</t>
  </si>
  <si>
    <t>NVLKM04.048</t>
  </si>
  <si>
    <t>Đồ tăng dây đai - Tốt</t>
  </si>
  <si>
    <t>NVLKM04.051</t>
  </si>
  <si>
    <t>Ke góc nhựa 30x60x8v</t>
  </si>
  <si>
    <t>NVLKM04.052</t>
  </si>
  <si>
    <t>Pallet 1100x1100x90</t>
  </si>
  <si>
    <t>NVLKM04.053</t>
  </si>
  <si>
    <t>Vỏ hộp Grandcera màu tím (t/8v)</t>
  </si>
  <si>
    <t>NVLKM04.054</t>
  </si>
  <si>
    <t>Vỏ hộp Grandcera xanh lá (8v)</t>
  </si>
  <si>
    <t>NVLKM04.055</t>
  </si>
  <si>
    <t>Dây đai máy (8v)</t>
  </si>
  <si>
    <t>NVLKM04.066</t>
  </si>
  <si>
    <t>Vỏ hộp Grandcera Luxury Xanh Vàng (8v)</t>
  </si>
  <si>
    <t>NVLKM04.068</t>
  </si>
  <si>
    <t>Vỏ hộp Sahado xanh dương nhạt (8v)</t>
  </si>
  <si>
    <t>NVLKM04.069</t>
  </si>
  <si>
    <t>Vỏ hộp ESP (8v)</t>
  </si>
  <si>
    <t>NVLKM04.070</t>
  </si>
  <si>
    <t>Vỏ hộp Crown (8v)</t>
  </si>
  <si>
    <t>NVLKM04.075</t>
  </si>
  <si>
    <t>Vỏ hộp Havira 30x60 (8v)</t>
  </si>
  <si>
    <t>NVLKM04.078</t>
  </si>
  <si>
    <t>Vỏ hộp Luxury 40x80 (4v)</t>
  </si>
  <si>
    <t>NVLKM04.079</t>
  </si>
  <si>
    <t>Ke góc nhựa 40x80</t>
  </si>
  <si>
    <t>NVLKM04.080</t>
  </si>
  <si>
    <t>Thanh nẹp góc gỗ 40x80</t>
  </si>
  <si>
    <t>NVLKM04.081</t>
  </si>
  <si>
    <t>Vỏ thùng gạch phế 40x80</t>
  </si>
  <si>
    <t>NVLKM04.082</t>
  </si>
  <si>
    <t>Vỏ hộp Sahado 40x80 (4v)</t>
  </si>
  <si>
    <t>NVLKM04.083</t>
  </si>
  <si>
    <t>Vỏ hộp Crown 40x80 (4v)</t>
  </si>
  <si>
    <t>NVLKM04.088</t>
  </si>
  <si>
    <t>Vỏ hộp ESP 40x80 (4v)</t>
  </si>
  <si>
    <t>NVLKM04.089</t>
  </si>
  <si>
    <t>Vỏ hộp Grand Ceramic 8v 30x60</t>
  </si>
  <si>
    <t>NVLKM04.090</t>
  </si>
  <si>
    <t>Vỏ hộp Adonis 30x60 (8v)</t>
  </si>
  <si>
    <t>Đồng nai , ngày 31 tháng 05 năm 2023</t>
  </si>
  <si>
    <t>PX SẢN XUẤT</t>
  </si>
  <si>
    <t xml:space="preserve">THỦ KHO </t>
  </si>
  <si>
    <t>KẾ TOÁN</t>
  </si>
  <si>
    <t>Stt</t>
  </si>
  <si>
    <t>Đvt</t>
  </si>
  <si>
    <t>Số lượng</t>
  </si>
  <si>
    <t>( ký , ghi rỏ họ tên )</t>
  </si>
  <si>
    <t>PXSX</t>
  </si>
  <si>
    <t xml:space="preserve">Bán hàng </t>
  </si>
  <si>
    <t>FRIT A608-2 ACV</t>
  </si>
  <si>
    <t>FRIT A608-2 ACV'!A1</t>
  </si>
  <si>
    <t>Tồn đầu</t>
  </si>
  <si>
    <t>Nhập</t>
  </si>
  <si>
    <t>Tồn cuối</t>
  </si>
  <si>
    <t>NVLKM01.069</t>
  </si>
  <si>
    <t>Frit VM06</t>
  </si>
  <si>
    <t>NVLKM01.070</t>
  </si>
  <si>
    <t>Frit VM01 DC</t>
  </si>
  <si>
    <t>NVLKM01.079</t>
  </si>
  <si>
    <t>Frit A528</t>
  </si>
  <si>
    <t>NVLKM04.091</t>
  </si>
  <si>
    <t>Vỏ hộp Adonis 40x80 (4v)</t>
  </si>
  <si>
    <t>Tổng cộng :</t>
  </si>
  <si>
    <t>THỦ KHO KHVT</t>
  </si>
  <si>
    <t>THỐNG KÊ PXSX</t>
  </si>
  <si>
    <t>CÔNG TY CỔ PHẦN GẠCH MEN PHƯƠNG NAM</t>
  </si>
  <si>
    <t xml:space="preserve">   + Ông/Bà: Nguyễn Danh Định</t>
  </si>
  <si>
    <t>Đại diện: P.KTCN</t>
  </si>
  <si>
    <t xml:space="preserve">Thành viên </t>
  </si>
  <si>
    <t xml:space="preserve">   + Ông/Bà: Lê Nguyễn Hoàng Yến</t>
  </si>
  <si>
    <t>Đại diện: P.Kế Toán</t>
  </si>
  <si>
    <t xml:space="preserve">   + Ông/Bà: Phạm Thị Thu Hiền</t>
  </si>
  <si>
    <t xml:space="preserve">   + Ông/Bà: Huỳnh Xuân Nhân</t>
  </si>
  <si>
    <t>Đại diện: PXSX</t>
  </si>
  <si>
    <t xml:space="preserve">   + Ông/Bà: Nguyễn Đức Trọng</t>
  </si>
  <si>
    <t xml:space="preserve">   + Ông/Bà: Châu Thị Hoài Thương</t>
  </si>
  <si>
    <t xml:space="preserve">   + Ông/Bà: Nguyễn Yên</t>
  </si>
  <si>
    <t xml:space="preserve">   + Ông/Bà: Nguyễn Văn Ơn </t>
  </si>
  <si>
    <t>S
T
T</t>
  </si>
  <si>
    <t>Tên, nhãn hiệu, quy
cách vật tư, dụng cụ…</t>
  </si>
  <si>
    <t>Mã
số</t>
  </si>
  <si>
    <t>Đơn
vị
tính</t>
  </si>
  <si>
    <t>Theo sô sách</t>
  </si>
  <si>
    <t>Theo kiểm kê</t>
  </si>
  <si>
    <t>Chênh lệch</t>
  </si>
  <si>
    <t>Số bao</t>
  </si>
  <si>
    <t>Khối lượng bao (kg)</t>
  </si>
  <si>
    <t>Độ ẩm (%)</t>
  </si>
  <si>
    <t>Tổ trưởng</t>
  </si>
  <si>
    <t>Thành viên kiểm kê</t>
  </si>
  <si>
    <t>(Ký, họ tên)</t>
  </si>
  <si>
    <t>Nguyễn Danh Định</t>
  </si>
  <si>
    <t xml:space="preserve">Lê Nguyễn Hoàng Yến </t>
  </si>
  <si>
    <t>Phạm Thị Thu Hiền</t>
  </si>
  <si>
    <t>Nguyễn Đức Trọng</t>
  </si>
  <si>
    <t>Huỳnh Xuân Nhân</t>
  </si>
  <si>
    <t>Nguyễn Yên</t>
  </si>
  <si>
    <t xml:space="preserve">Châu Thị Hoài Thương </t>
  </si>
  <si>
    <t>FRIT 320</t>
  </si>
  <si>
    <t>FRIT 320'!A1</t>
  </si>
  <si>
    <t>NVLKM02.083</t>
  </si>
  <si>
    <t>Frit 320</t>
  </si>
  <si>
    <t>NVLKM02.084</t>
  </si>
  <si>
    <t>Frit 515</t>
  </si>
  <si>
    <t>NVLKM02.085</t>
  </si>
  <si>
    <t>Frit 213</t>
  </si>
  <si>
    <t>NVLKM02.086</t>
  </si>
  <si>
    <t>Frit 089</t>
  </si>
  <si>
    <t>FRIT 515</t>
  </si>
  <si>
    <t>FRIT 089</t>
  </si>
  <si>
    <t>FRIT 515'!A1</t>
  </si>
  <si>
    <t>FRIT 089'!A1</t>
  </si>
  <si>
    <t>FRIT 356</t>
  </si>
  <si>
    <t>FRIT 356'!A1</t>
  </si>
  <si>
    <t>NVLKM02.087</t>
  </si>
  <si>
    <t>Frit 356</t>
  </si>
  <si>
    <t>PHÒNG KẾ TOÁN</t>
  </si>
  <si>
    <t>SẢN XUẤT</t>
  </si>
  <si>
    <t>GREEN ERA 30x60-HA</t>
  </si>
  <si>
    <t>GREEN ERA'!Print_Titles</t>
  </si>
  <si>
    <t>E.Cao lanh N2A QĐ</t>
  </si>
  <si>
    <t>Cao lanh N2A'!A1</t>
  </si>
  <si>
    <t>GREEN ERA 40x80-HA</t>
  </si>
  <si>
    <t>GREEN ERA 4080'!A1</t>
  </si>
  <si>
    <t>BÁO CÁO NHẬP- XUẤT- TỒN NGUYÊN LIỆU MEN - VẬT TƯ SẢN XUẤT
 Tháng 11 năm 2023</t>
  </si>
  <si>
    <t>Đồng nai , ngày 30 tháng 11 năm 2023</t>
  </si>
  <si>
    <t>Vỏ hộp Green Era 40x80 (4v)</t>
  </si>
  <si>
    <t>NVLKM04.092</t>
  </si>
  <si>
    <t>Vỏ hộp Green Era (8v)</t>
  </si>
  <si>
    <t>NVLKM04.084</t>
  </si>
  <si>
    <t>NVLKM01.0121</t>
  </si>
  <si>
    <t>Cao lanh N2A</t>
  </si>
  <si>
    <t xml:space="preserve">QUẢNG CÁO </t>
  </si>
  <si>
    <t xml:space="preserve">CÔNG NGHIỆP </t>
  </si>
  <si>
    <t>MATT VFM41</t>
  </si>
  <si>
    <t>VFM41'!A1</t>
  </si>
  <si>
    <t>NVLKM01.082</t>
  </si>
  <si>
    <t>Frit matt VFM41</t>
  </si>
  <si>
    <t>Đồng nai , ngày 31 tháng 01 năm 2024</t>
  </si>
  <si>
    <t>TỔNG HỢP XUẤT THÁNG 01</t>
  </si>
  <si>
    <t>Kho: KHO NVL MEN; Tháng 01 năm 2024</t>
  </si>
  <si>
    <t>HIỆU ỨNG CHÌM CIK-RC116</t>
  </si>
  <si>
    <t>FIT FO118</t>
  </si>
  <si>
    <t>FIT FO102</t>
  </si>
  <si>
    <t>FIT VF1205</t>
  </si>
  <si>
    <t>FO118'!A1</t>
  </si>
  <si>
    <t>FO102'!A1</t>
  </si>
  <si>
    <t>VF1205'!A1</t>
  </si>
  <si>
    <t>MEN LÁT</t>
  </si>
  <si>
    <t>XIV</t>
  </si>
  <si>
    <t>XANH LÁ 1236</t>
  </si>
  <si>
    <t>XANH LÁ 1236'!A1</t>
  </si>
  <si>
    <t>MEN LÓT SUGAR</t>
  </si>
  <si>
    <t>MEN SUGAR</t>
  </si>
  <si>
    <t>SUGAR!A1</t>
  </si>
  <si>
    <t>VỎ PHẾ 50x50-HA</t>
  </si>
  <si>
    <t>VO PHE  5050'!A1</t>
  </si>
  <si>
    <t>VO PHE  4060'!A1</t>
  </si>
  <si>
    <t>MEN BÓNG GẠCH LÁT</t>
  </si>
  <si>
    <t>FRIT 288</t>
  </si>
  <si>
    <t>FRIT 288'!A1</t>
  </si>
  <si>
    <t>XV</t>
  </si>
  <si>
    <t>NVLKM01.014</t>
  </si>
  <si>
    <t>Men gốm sứ FO102</t>
  </si>
  <si>
    <t>NVLKM01.066</t>
  </si>
  <si>
    <t>Men gốm sứ FO118</t>
  </si>
  <si>
    <t>NVLKM01.083</t>
  </si>
  <si>
    <t>Frit VF1205</t>
  </si>
  <si>
    <t>NVLKM03.019</t>
  </si>
  <si>
    <t>Mực xanh lá ESM</t>
  </si>
  <si>
    <t>NVLKM04.071</t>
  </si>
  <si>
    <t>NVLKM04.072</t>
  </si>
  <si>
    <t>Vỏ thùng gạch phế 400*600</t>
  </si>
  <si>
    <t>NVLKM01.067</t>
  </si>
  <si>
    <t>Men lót SUGAR</t>
  </si>
  <si>
    <t>Vỏ thùng gạch phế 500*500</t>
  </si>
  <si>
    <t xml:space="preserve">   + Ông/Bà: Đặng Thanh Tùng </t>
  </si>
  <si>
    <t>Đặng Thanh Tùng</t>
  </si>
  <si>
    <t>KE NHỰA 500 X 500 MM</t>
  </si>
  <si>
    <t>KE NHUA 6V 5050'!A1</t>
  </si>
  <si>
    <t>KE NHỰA 400 X 600 MM</t>
  </si>
  <si>
    <t>KE NHUA 5V 4060'!A1</t>
  </si>
  <si>
    <t>KHTH</t>
  </si>
  <si>
    <t>GRANDCERA TÍM 50x50-HA</t>
  </si>
  <si>
    <t>GR TIM 5050-HA '!A1</t>
  </si>
  <si>
    <t>NCC (hế hạn )</t>
  </si>
  <si>
    <t>LUXURY 500*500-HA</t>
  </si>
  <si>
    <t>LUXURY 5050-HA '!Print_Titles</t>
  </si>
  <si>
    <t>LUXURY 5050-HA '!A1</t>
  </si>
  <si>
    <t>CROWN 500x500-HA</t>
  </si>
  <si>
    <t>CROWN 50x50-HA'!A1</t>
  </si>
  <si>
    <t>FRIT VS28</t>
  </si>
  <si>
    <t>FRIT VS28'!A1</t>
  </si>
  <si>
    <t>FRIT VS68'!A1</t>
  </si>
  <si>
    <t>FRIT VS68</t>
  </si>
  <si>
    <t>HAVIRA 5050'!A1</t>
  </si>
  <si>
    <t>ESPANA 50x50-HA'!Print_Titles</t>
  </si>
  <si>
    <t>ESPANA 50x50-HA'!A1</t>
  </si>
  <si>
    <t>NVLKM01.017</t>
  </si>
  <si>
    <t>MAGNESIUM OXIDE (Magie oxit)</t>
  </si>
  <si>
    <t>NVLKM01.071</t>
  </si>
  <si>
    <t>Frit 288</t>
  </si>
  <si>
    <t>NVLKM01.072</t>
  </si>
  <si>
    <t>Cao lanh N1A</t>
  </si>
  <si>
    <t>NVLKM01.073</t>
  </si>
  <si>
    <t>Frit VS28</t>
  </si>
  <si>
    <t>NVLKM01.074</t>
  </si>
  <si>
    <t>Frit VS68</t>
  </si>
  <si>
    <t>NVLKM04.060</t>
  </si>
  <si>
    <t>Pallet (sửa)</t>
  </si>
  <si>
    <t>NVLKM04.073</t>
  </si>
  <si>
    <t>Vỏ hộp màu xanh tím 50x50 (6v)</t>
  </si>
  <si>
    <t>NVLKM04.074</t>
  </si>
  <si>
    <t>Vỏ hộp Luxury 50x50 (6v)</t>
  </si>
  <si>
    <t>NVLKM04.076</t>
  </si>
  <si>
    <t>Vỏ hộp Crown 50x50 (6v)</t>
  </si>
  <si>
    <t>NVLKM04.077</t>
  </si>
  <si>
    <t>Vỏ hộp Havira 50x50 (6v)</t>
  </si>
  <si>
    <t>NVLKM04.085</t>
  </si>
  <si>
    <t>Vỏ hộp Espana 50x50 (6v)</t>
  </si>
  <si>
    <t>NVLKM04.093</t>
  </si>
  <si>
    <t xml:space="preserve">CƠ ĐIỆN </t>
  </si>
  <si>
    <t>VỎ THÙNG 400*600 HA</t>
  </si>
  <si>
    <t>VỎ THÙNG 500 x 500  HA</t>
  </si>
  <si>
    <t>LUXURY 4060-HA '!A1</t>
  </si>
  <si>
    <t>GRANDCERA TÍM 30x60-HA giấy nâu</t>
  </si>
  <si>
    <t>GR TIM 30x60-HA  NÂU'!Print_Titles</t>
  </si>
  <si>
    <t>LUXURY 30x60-HA giấy nâu</t>
  </si>
  <si>
    <t>LUXURY 30x60-HA nâu'!Print_Titles</t>
  </si>
  <si>
    <t>LUXURY 500*500-HA giấy nâu</t>
  </si>
  <si>
    <t>LUXURY 5050-HA giấy nâu'!Print_Titles</t>
  </si>
  <si>
    <t>HAVIRA 50*50-HA giấy nâu</t>
  </si>
  <si>
    <t>ESPANA 50x50-HA giấy nâu</t>
  </si>
  <si>
    <t>GR TIM 30x60-HA  NÂU'!A1</t>
  </si>
  <si>
    <t>LUXURY 30x60-HA nâu'!A1</t>
  </si>
  <si>
    <t xml:space="preserve">VỎ PHẾ 40x60-HA giấy nâu </t>
  </si>
  <si>
    <t>LUXURY 400*600-HA giấy nâu</t>
  </si>
  <si>
    <t xml:space="preserve">GREEN ERA 30x60-HA giấy nâu </t>
  </si>
  <si>
    <t>GREEN ERA nâu'!Print_Titles</t>
  </si>
  <si>
    <t>GREEN ERA nâu'!A1</t>
  </si>
  <si>
    <t>NVLKM04.098</t>
  </si>
  <si>
    <t>Vỏ hộp Luxury 50x50 (6v)- Giấy nâu</t>
  </si>
  <si>
    <t>NVLKM04.099</t>
  </si>
  <si>
    <t>Vỏ hộp Luxury 40x60 (5v)- Giấy nâu</t>
  </si>
  <si>
    <t>NVLKM04.101</t>
  </si>
  <si>
    <t>Vỏ hộp màu xanh tím 30x60 (8v)- Giấy nâu</t>
  </si>
  <si>
    <t>NVLKM04.102</t>
  </si>
  <si>
    <t>Vỏ hộp Luxury 30x60 (8v)- Giấy nâu</t>
  </si>
  <si>
    <t>SAHADO NEW 30x60-HA giấy nâu</t>
  </si>
  <si>
    <t>SAHADO NEW 30x60-HA nâu'!A1</t>
  </si>
  <si>
    <t>CROWN 40*60-HA</t>
  </si>
  <si>
    <t>CROWN 40x60-HA'!A1</t>
  </si>
  <si>
    <t>HAVIRA 30x60-HA giấy nâu</t>
  </si>
  <si>
    <t>HAVIRA nâu'!A1</t>
  </si>
  <si>
    <t>CROWN 40x60-HA'!Print_Titles</t>
  </si>
  <si>
    <t>GRANDCERA XANH 30x60-HA nâu</t>
  </si>
  <si>
    <t>GR XANH 30x60-HA nâu'!A1</t>
  </si>
  <si>
    <t>NCC</t>
  </si>
  <si>
    <t>ESPANA 30x60-HA nâu</t>
  </si>
  <si>
    <t>ESPANA 30x60-HA nâu'!A1</t>
  </si>
  <si>
    <t>FRIT 856</t>
  </si>
  <si>
    <t>FRIT 856'!A1</t>
  </si>
  <si>
    <t>FRIT VO22 - VITTO</t>
  </si>
  <si>
    <t>FRIT VO22'!A1</t>
  </si>
  <si>
    <t>Frit 856</t>
  </si>
  <si>
    <t>NVLKM01.089</t>
  </si>
  <si>
    <t>NVLKM01.090</t>
  </si>
  <si>
    <t>Frit VO22</t>
  </si>
  <si>
    <t>NVLKM04.086</t>
  </si>
  <si>
    <t>Vỏ hộp Sahado 30x60 (8v)- Giấy nâu</t>
  </si>
  <si>
    <t>NVLKM04.087</t>
  </si>
  <si>
    <t>Vỏ hộp Crown 40x60 (5v)- Giấy nâu</t>
  </si>
  <si>
    <t>Ke góc nhựa 50x50 -40x60</t>
  </si>
  <si>
    <t>NVLKM04.094</t>
  </si>
  <si>
    <t>Vỏ hộp Havira 30x60 (8v)- Giấy nâu</t>
  </si>
  <si>
    <t>NVLKM04.095</t>
  </si>
  <si>
    <t>Vỏ hộp Grandcera xanh lá 30x60 (8v)- Giấy nâu</t>
  </si>
  <si>
    <t>NVLKM04.096</t>
  </si>
  <si>
    <t>Vỏ hộp Espana 30x60 (8v)- Giấy nâu</t>
  </si>
  <si>
    <t>NVLKM04.103</t>
  </si>
  <si>
    <t>Vỏ hộp Green Era 30x60 (8v)- Giấy nâu</t>
  </si>
  <si>
    <t xml:space="preserve">THÀNH PHẦM </t>
  </si>
  <si>
    <t>THÀNH PHẨM</t>
  </si>
  <si>
    <t>MEN SUGAR PNSG-02 (05)</t>
  </si>
  <si>
    <t>MEN SUGAR PNSG-02 (01)</t>
  </si>
  <si>
    <t>SUGAR PNSG02 -01'!A1</t>
  </si>
  <si>
    <t>SUGAR PNSG02 - 05'!A1</t>
  </si>
  <si>
    <t>VỎ THÙNG 600*600 HA</t>
  </si>
  <si>
    <t xml:space="preserve">VỎ PHẾ 60x60-HA giấy nâu </t>
  </si>
  <si>
    <t>VO PHE  6060'!Print_Titles</t>
  </si>
  <si>
    <t>LUXURY 600*600-HA giấy nâu</t>
  </si>
  <si>
    <t>LUXURY 6060-HA '!A1</t>
  </si>
  <si>
    <t>VO PHE  6060'!A1</t>
  </si>
  <si>
    <t>LUXURY 6060-HA '!Print_Titles</t>
  </si>
  <si>
    <t>CROWN 60*60-HA</t>
  </si>
  <si>
    <t>CROWN 60x60-HA '!A1</t>
  </si>
  <si>
    <t>CROWN 60x60-HA '!Print_Titles</t>
  </si>
  <si>
    <t>HAVIRA 60*60-HA giấy nâu</t>
  </si>
  <si>
    <t>ESPANA 60x60-HA'!Print_Titles</t>
  </si>
  <si>
    <t>HAVIRA 6060'!Print_Titles</t>
  </si>
  <si>
    <t>ESPANA 60*60-HA giấy nâu</t>
  </si>
  <si>
    <t xml:space="preserve">GREEN HOME 30x60-HA </t>
  </si>
  <si>
    <t>GREEN HOME'!Print_Titles</t>
  </si>
  <si>
    <t xml:space="preserve">GREEN HOME 60*60-HA </t>
  </si>
  <si>
    <t>GREEN HOME 6060'!A1</t>
  </si>
  <si>
    <t>GREEN HOME 6060'!Print_Titles</t>
  </si>
  <si>
    <t>Men Sugar PNSG-02 (01)</t>
  </si>
  <si>
    <t>Men Sugar PNSG-02 (05)</t>
  </si>
  <si>
    <t>FRIT VS55</t>
  </si>
  <si>
    <t>FRIT VS55'!A1</t>
  </si>
  <si>
    <t xml:space="preserve">GREEN HOME 50*50-HA </t>
  </si>
  <si>
    <t>GREEN HOME 5050'!A1</t>
  </si>
  <si>
    <t>NVLKM04.104</t>
  </si>
  <si>
    <t>Vỏ thùng gạch phế 600*600</t>
  </si>
  <si>
    <t>NVLKM04.105</t>
  </si>
  <si>
    <t>Vỏ hộp luxury 600*600 (t/6v) nâu</t>
  </si>
  <si>
    <t>NVLKM04.106</t>
  </si>
  <si>
    <t>Vỏ hộp Crown 600*600 (t/5v)</t>
  </si>
  <si>
    <t>NVLKM04.107</t>
  </si>
  <si>
    <t>Vỏ hộp Espana 600*600 (t/5v)</t>
  </si>
  <si>
    <t>NVLKM04.108</t>
  </si>
  <si>
    <t>Vỏ hộp Havira 600*600 (t/5v)</t>
  </si>
  <si>
    <t>NVLKM04.109</t>
  </si>
  <si>
    <t>NVLKM04.110</t>
  </si>
  <si>
    <t>Vỏ hộp Green home 500*500 (t/6v)</t>
  </si>
  <si>
    <t>NVLKM04.111</t>
  </si>
  <si>
    <t>NVLKM01.091</t>
  </si>
  <si>
    <t>Frit VS55</t>
  </si>
  <si>
    <t xml:space="preserve">LUSTILE 30*60-HA </t>
  </si>
  <si>
    <t>LUSTILE!Print_Titles</t>
  </si>
  <si>
    <t>LUXURY nâu 40x8-HA</t>
  </si>
  <si>
    <t>LUXURY 40x80-HA nâu'!Print_Titles</t>
  </si>
  <si>
    <t>NVLKM04.112</t>
  </si>
  <si>
    <t>Vỏ hộp Lustile 30x60 (8v)</t>
  </si>
  <si>
    <t>NVLKM04.113</t>
  </si>
  <si>
    <t>Vỏ hộp Luxury 40x80 (4v) nâu</t>
  </si>
  <si>
    <t>LUXURY 40x80-HA nâu'!A1</t>
  </si>
  <si>
    <t>GREEN ERA nâu 40x80-HA</t>
  </si>
  <si>
    <t>GREEN ERA 4080 nâu'!A1</t>
  </si>
  <si>
    <t xml:space="preserve">LUSTILE 40*80 nâu-HA </t>
  </si>
  <si>
    <t xml:space="preserve">GREEN HOME nâu 40*80-HA </t>
  </si>
  <si>
    <t>LUSTILE 4080 nâu'!A1</t>
  </si>
  <si>
    <t>GREEN HOME 4080'!A1</t>
  </si>
  <si>
    <t>GREEN ERA 4080 nâu'!Print_Titles</t>
  </si>
  <si>
    <t>GREEN HOME 4080'!Print_Titles</t>
  </si>
  <si>
    <t xml:space="preserve">UNITILE nâu 40*80-HA </t>
  </si>
  <si>
    <t>UNITILE 4080 '!A1</t>
  </si>
  <si>
    <t>NVLKM04.114</t>
  </si>
  <si>
    <t>Vỏ hộp Green home nâu 40x80 (4v)</t>
  </si>
  <si>
    <t>NVLKM04.115</t>
  </si>
  <si>
    <t>NVLKM04.116</t>
  </si>
  <si>
    <t>Vỏ hộp Green Era nâu 40x80 (4v)</t>
  </si>
  <si>
    <t>Vỏ hộp Lustile nâu 40x80 (4v)</t>
  </si>
  <si>
    <t>NVLKM04.117</t>
  </si>
  <si>
    <t>Vỏ hộp Unitile nâu 40x80 (4v)</t>
  </si>
  <si>
    <t>HAVIRA 40*80-HA giấy nâu</t>
  </si>
  <si>
    <t>HAVIRA 4080'!Print_Titles</t>
  </si>
  <si>
    <t xml:space="preserve">PANA TILES 40*80 nâu-HA </t>
  </si>
  <si>
    <t>PANA TILES 4080 nâu '!Print_Titles</t>
  </si>
  <si>
    <t>PHÒNG KHTT</t>
  </si>
  <si>
    <t xml:space="preserve">PANA TILES 30*60 nâu-HA </t>
  </si>
  <si>
    <t>PANA TILES 3060 nâu '!Print_Titles</t>
  </si>
  <si>
    <t>NVLKM04.118</t>
  </si>
  <si>
    <t>NVLKM04.119</t>
  </si>
  <si>
    <t>NVLKM04.120</t>
  </si>
  <si>
    <t>Vỏ hộp Havira nâu 40x80 (4v)</t>
  </si>
  <si>
    <t>Vỏ hộp Pana tiles nâu 40x80 (4v)</t>
  </si>
  <si>
    <t>Vỏ hộp Pana tiles nâu 30x60 (8v)</t>
  </si>
  <si>
    <t>FRIT FT3'!A1</t>
  </si>
  <si>
    <t>ZIRCON ZS08'!A1</t>
  </si>
  <si>
    <t>CMC USK 60 THT</t>
  </si>
  <si>
    <t>CMC USK 60 THT'!A1</t>
  </si>
  <si>
    <t>NVLKM02.020</t>
  </si>
  <si>
    <t>NVLKM02.021</t>
  </si>
  <si>
    <t>NVLKM01.092</t>
  </si>
  <si>
    <t>E. KAO LANH VCT04A</t>
  </si>
  <si>
    <t>KAOLANHVCT04A!A1</t>
  </si>
  <si>
    <t>NVLKM02.024</t>
  </si>
  <si>
    <t>PXSX DC 1</t>
  </si>
  <si>
    <t>PXSX DC1</t>
  </si>
  <si>
    <t>ZIRCON ZS08 (0016)</t>
  </si>
  <si>
    <t>Nhóm trưởng</t>
  </si>
  <si>
    <t>Đại diện: KHTH</t>
  </si>
  <si>
    <t>Đại diện:  KHTH</t>
  </si>
  <si>
    <t xml:space="preserve">   + Ông/Bà: Dương Thuý Việt</t>
  </si>
  <si>
    <t>Đại diện: TP KTCN</t>
  </si>
  <si>
    <t>BIÊN BẢN KIỂM KÊ VẬT TƯ SẢN XUẤT</t>
  </si>
  <si>
    <t>Dương Thuý Việt</t>
  </si>
  <si>
    <t>HẾT HẠN TRẢ NCC</t>
  </si>
  <si>
    <t xml:space="preserve">TOP ONE 40*80 nâu-HA </t>
  </si>
  <si>
    <t>TOP ONE 4080 nâu '!Print_Titles</t>
  </si>
  <si>
    <t xml:space="preserve">TOP ONE 30*60 nâu-HA </t>
  </si>
  <si>
    <t>TOP ONE 3060 nâu  '!Print_Titles</t>
  </si>
  <si>
    <t>E. KAO LANH 168</t>
  </si>
  <si>
    <t>KAOLANH 168'!Print_Titles</t>
  </si>
  <si>
    <t>NVLKM02.060</t>
  </si>
  <si>
    <t>Kao lanh 168</t>
  </si>
  <si>
    <t>NVLKM04.122</t>
  </si>
  <si>
    <t>NVLKM04.123</t>
  </si>
  <si>
    <t>Vỏ hộp Top One 40x80 (4v)- Giấy nâu</t>
  </si>
  <si>
    <t>Vỏ hộp Top One 30x60 (8v)- Giấy nâu</t>
  </si>
  <si>
    <t xml:space="preserve"> FT3</t>
  </si>
  <si>
    <t>FRIT FV150/521</t>
  </si>
  <si>
    <t>VF150521'!Print_Titles</t>
  </si>
  <si>
    <t>ESPANA 40x80-HA giấy nâu</t>
  </si>
  <si>
    <t>ESPANA 40x80-HA nâu'!Print_Titles</t>
  </si>
  <si>
    <t xml:space="preserve">TOP ONE 50*50 nâu-HA </t>
  </si>
  <si>
    <t>TOP ONE 5050 nâu '!Print_Titles</t>
  </si>
  <si>
    <t>TOP ONE 5050 nâu '!A1</t>
  </si>
  <si>
    <t>NVLKM04.124</t>
  </si>
  <si>
    <t>Vỏ hộp ESP 40x80 (4v) nâu</t>
  </si>
  <si>
    <t>NVLKM04.125</t>
  </si>
  <si>
    <t>Vỏ hộp Top one 500*500 (t/6v) nâu</t>
  </si>
  <si>
    <t>NVLKM01.022</t>
  </si>
  <si>
    <t>Men FV150/521</t>
  </si>
  <si>
    <t>KE NHỰA 4080 và 6060 MM</t>
  </si>
  <si>
    <t>KE NHỰA 4080 và 6060 MM 5V</t>
  </si>
  <si>
    <t>KE NHUA 5V 4080'!A1</t>
  </si>
  <si>
    <t>GREEN HOME 60*60 5V nâu</t>
  </si>
  <si>
    <t>GREEN HOME 6060 5V'!Print_Titles</t>
  </si>
  <si>
    <t>LUXURY 60x60 5V nâu</t>
  </si>
  <si>
    <t>LUXURY 6060-HA  5V'!Print_Titles</t>
  </si>
  <si>
    <t>ESPANA 60x60 5V nâu</t>
  </si>
  <si>
    <t>ESPANA 60x60-HA 5V'!Print_Titles</t>
  </si>
  <si>
    <t>HAVIRA 60x60 5V nâu</t>
  </si>
  <si>
    <t>HAVIRA 6060 5V'!Print_Titles</t>
  </si>
  <si>
    <t>CROWN 60x60 5V nâu</t>
  </si>
  <si>
    <t>CROWN 60x60-HA 5V'!Print_Titles</t>
  </si>
  <si>
    <t>HAVIRA 6060 5V'!A1</t>
  </si>
  <si>
    <t>NVLKM04.100</t>
  </si>
  <si>
    <t>Ke góc nhựa 40x80-60x60 (5v)</t>
  </si>
  <si>
    <t>NVLKM04.126</t>
  </si>
  <si>
    <t>NVLKM04.127</t>
  </si>
  <si>
    <t>NVLKM04.128</t>
  </si>
  <si>
    <t>NVLKM04.129</t>
  </si>
  <si>
    <t>NVLKM04.130</t>
  </si>
  <si>
    <t>Vỏ hộp Green home 60x60 ( 5v) nâu</t>
  </si>
  <si>
    <t>Vỏ hộp luxury 60x60 ( 5v) nâu</t>
  </si>
  <si>
    <t>Vỏ hộp espana 60x60 ( 5v) nâu</t>
  </si>
  <si>
    <t>Vỏ hộp havira 60x60 ( 5v) nâu</t>
  </si>
  <si>
    <t>Vỏ hộp crown 60x60 ( 5v) nâu</t>
  </si>
  <si>
    <t>LUXURY nâu 40x8 5V-HA</t>
  </si>
  <si>
    <t>LUXURY 40x80 5V-HA nâu '!A1</t>
  </si>
  <si>
    <t>CROWN 40x80 5V-HA</t>
  </si>
  <si>
    <t>CROWN 40x80-5V HA '!Print_Titles</t>
  </si>
  <si>
    <t>GREEN ERA nâu 40x80 5V-HA</t>
  </si>
  <si>
    <t>GREEN ERA 4080 5V nâu '!Print_Titles</t>
  </si>
  <si>
    <t xml:space="preserve">GREEN HOME nâu 40*80 5V-HA </t>
  </si>
  <si>
    <t>GREEN HOME 4080 5V'!Print_Titles</t>
  </si>
  <si>
    <t>ESPANA 40x80-5V HA giấy nâu</t>
  </si>
  <si>
    <t>ESPANA 40x80-5V HA nâu '!Print_Titles</t>
  </si>
  <si>
    <t>HAVIRA 40*80 5V-HA giấy nâu</t>
  </si>
  <si>
    <t>HAVIRA 4080 5V'!Print_Titles</t>
  </si>
  <si>
    <t xml:space="preserve">TOP ONE 40*80 5V nâu-HA </t>
  </si>
  <si>
    <t>TOP ONE 4080 5V nâu '!Print_Titles</t>
  </si>
  <si>
    <t>LUXURY 40x80 5V-HA nâu '!Print_Titles</t>
  </si>
  <si>
    <t>NVLKM04.131</t>
  </si>
  <si>
    <t>NVLKM04.132</t>
  </si>
  <si>
    <t>NVLKM04.133</t>
  </si>
  <si>
    <t>NVLKM04.134</t>
  </si>
  <si>
    <t>NVLKM04.135</t>
  </si>
  <si>
    <t>NVLKM04.136</t>
  </si>
  <si>
    <t>NVLKM04.137</t>
  </si>
  <si>
    <t>Vỏ hộp Luxury 40x80 (5v) nâu</t>
  </si>
  <si>
    <t>Vỏ hộp crown 40x80 (5v) nâu</t>
  </si>
  <si>
    <t>Vỏ hộp green era 40x80 (5v) nâu</t>
  </si>
  <si>
    <t>Vỏ hộp green home 40x80 (5v) nâu</t>
  </si>
  <si>
    <t>Vỏ hộp espana 40x80 (5v) nâu</t>
  </si>
  <si>
    <t>Vỏ hộp havira 40x80 (5v) nâu</t>
  </si>
  <si>
    <t>Vỏ hộp top one 40x80 (5v) nâu</t>
  </si>
  <si>
    <t>xuất chuyển đổi 5V</t>
  </si>
  <si>
    <t xml:space="preserve">PANA TILES 40*80 5V nâu-HA </t>
  </si>
  <si>
    <t>PANA TILES 4080 nâu  5V'!Print_Titles</t>
  </si>
  <si>
    <t>FRIT 356 L</t>
  </si>
  <si>
    <t>FRIT 356 L'!Print_Titles</t>
  </si>
  <si>
    <t>Frit 356 L</t>
  </si>
  <si>
    <t>NVLKM02.088</t>
  </si>
  <si>
    <t>Vỏ hộp pana tile 40x80 (5v) nâu</t>
  </si>
  <si>
    <t>NVLKM04.138</t>
  </si>
  <si>
    <t>KINH DONAH</t>
  </si>
  <si>
    <t>NVLKM01.094</t>
  </si>
  <si>
    <t>NVLKM01.093</t>
  </si>
  <si>
    <t>BẢ MEN</t>
  </si>
  <si>
    <t>BẢ MEN'!Print_Titles</t>
  </si>
  <si>
    <t>FRIT A103-ACV</t>
  </si>
  <si>
    <t>FRIT A103 -ACV'!A1</t>
  </si>
  <si>
    <t>NVLKM01.095</t>
  </si>
  <si>
    <t>Frit A103</t>
  </si>
  <si>
    <t xml:space="preserve">LUSTILE 40*80 5V nâu-HA </t>
  </si>
  <si>
    <t>LUSTILE 4080 nâu 5V'!Print_Titles</t>
  </si>
  <si>
    <t>FRIT A609</t>
  </si>
  <si>
    <t>FRIT A609'!A1</t>
  </si>
  <si>
    <t>FRIT 502-ACV</t>
  </si>
  <si>
    <t>FRIT 502-ACV'!Print_Titles</t>
  </si>
  <si>
    <t>Frit A609</t>
  </si>
  <si>
    <t>NVLKM01.096</t>
  </si>
  <si>
    <t>NVLKM01.097</t>
  </si>
  <si>
    <t>Frit 502</t>
  </si>
  <si>
    <t xml:space="preserve">CROVINA 30*60 nâu-HA </t>
  </si>
  <si>
    <t>CROVINA 3060'!Print_Titles</t>
  </si>
  <si>
    <t>GRANDCERA XANH 30x60-HA nâu MỚI</t>
  </si>
  <si>
    <t>GR XANH 30x60-HA nâu MỚI'!A1</t>
  </si>
  <si>
    <t xml:space="preserve">CROVINA 50*50 nâu-HA </t>
  </si>
  <si>
    <t>CROVINA 50'!Print_Titles</t>
  </si>
  <si>
    <t xml:space="preserve">CROVINA 60*60 nâu-HA </t>
  </si>
  <si>
    <t>CROVINA 60'!Print_Titles</t>
  </si>
  <si>
    <t>BMEN</t>
  </si>
  <si>
    <t>NVLKM04.140</t>
  </si>
  <si>
    <t>Vỏ hộp lustile 40x80 (5v) nâu</t>
  </si>
  <si>
    <t>Vỏ hộp Crovina 30x60 (8v)</t>
  </si>
  <si>
    <t>NVLKM04.141</t>
  </si>
  <si>
    <t>NVLKM04.143</t>
  </si>
  <si>
    <t>Vỏ hộp Crovina 500*500 (t/6v) nâu</t>
  </si>
  <si>
    <t>NVLKM04.144</t>
  </si>
  <si>
    <t>Vỏ hộp Crovina 60x60 (5v)</t>
  </si>
  <si>
    <t xml:space="preserve">CROVINA 40*80 5v nâu-HA </t>
  </si>
  <si>
    <t>CROVINA 4080 5v'!Print_Titles</t>
  </si>
  <si>
    <t xml:space="preserve">TRANG HOÀNG PHƯƠNG 30*60 nâu-HA </t>
  </si>
  <si>
    <t>T H PHƯƠNG 3060'!Print_Titles</t>
  </si>
  <si>
    <t>Vỏ hộp crovina 40x80 (5v) nâu</t>
  </si>
  <si>
    <t>NVLKM04.145</t>
  </si>
  <si>
    <t>Vỏ hộp Trang Hoàng Phương nâu  30x60 (8v)</t>
  </si>
  <si>
    <t>NVLKM04.146</t>
  </si>
  <si>
    <t>Thời điểm kiểm kê 08 giờ 00 ngày 17 tháng 01 năm 2026</t>
  </si>
  <si>
    <t>Đồng Nai, ngày 19 tháng 01 năm 2026</t>
  </si>
  <si>
    <t>Kết quả kiểm kê đến ngày 19 tháng 01 năm 2026</t>
  </si>
  <si>
    <t xml:space="preserve">   + Ông/Bà: Trần Văn Chung</t>
  </si>
  <si>
    <t>Đại diện: ĐC TBTM</t>
  </si>
  <si>
    <t>Đại diện: QĐ PXSX</t>
  </si>
  <si>
    <t>Đại diện: ĐC nghiền men</t>
  </si>
  <si>
    <t>Phụ trách tổ 4</t>
  </si>
  <si>
    <t>BIÊN BẢN KIỂM KÊ NGUYÊN LIỆU MEN - MỰC IN - PHỤ GIA MEN</t>
  </si>
  <si>
    <t>Thời điểm kiểm kê 08 giờ 00 ngày 22 tháng 01 năm 2026</t>
  </si>
  <si>
    <t>Kết quả kiểm kê đến ngày 22 tháng 01 năm 2026</t>
  </si>
  <si>
    <t>Đồng Nai, ngày 22 tháng 01 năm 2026</t>
  </si>
  <si>
    <t>Trần Văn Chung</t>
  </si>
  <si>
    <t>số sổ sách</t>
  </si>
  <si>
    <t>chênh lệch</t>
  </si>
  <si>
    <t>MGO/ Men lót chân ( EG-02 )</t>
  </si>
  <si>
    <t>MGO- Men lót chân'!Print_Titles</t>
  </si>
  <si>
    <t>NVLKM02.011</t>
  </si>
  <si>
    <t>MGO/Men lót chân ( EG-02 )</t>
  </si>
  <si>
    <t xml:space="preserve">KARPO 50*50 nâu-HA </t>
  </si>
  <si>
    <t>KARPO 50'!Print_Titles</t>
  </si>
  <si>
    <t xml:space="preserve">VIDONA 50*50 nâu-HA </t>
  </si>
  <si>
    <t>VIDONA 50'!Print_Titles</t>
  </si>
  <si>
    <t xml:space="preserve">KARPO 30*60 nâu-HA </t>
  </si>
  <si>
    <t>KARPO 3060'!Print_Titles</t>
  </si>
  <si>
    <t xml:space="preserve">VIDONA 30*60 nâu-HA </t>
  </si>
  <si>
    <t>VIDONA 3060'!Print_Titles</t>
  </si>
  <si>
    <t>FIT A117</t>
  </si>
  <si>
    <t>A117'!Print_Titles</t>
  </si>
  <si>
    <t>TRÀNG THẠCH KALI K200</t>
  </si>
  <si>
    <t>TT KALI K200'!A1</t>
  </si>
  <si>
    <t xml:space="preserve">T H PHƯƠNG 40*80 5v nâu-HA </t>
  </si>
  <si>
    <t>T H PHUONG 4080 5v '!A1</t>
  </si>
  <si>
    <t xml:space="preserve">VINA PHACON 30*60 nâu-HA </t>
  </si>
  <si>
    <t>VINA PHACON 36'!Print_Titles</t>
  </si>
  <si>
    <t xml:space="preserve">VINA PHACON 40*80 5v nâu-HA </t>
  </si>
  <si>
    <t>VINA PHACON 48'!Print_Titles</t>
  </si>
  <si>
    <t>NVLKM04.147</t>
  </si>
  <si>
    <t>NVLKM04.148</t>
  </si>
  <si>
    <t>NVLKM04.149</t>
  </si>
  <si>
    <t>Vỏ hộp Karpo 500*500 (t/6v) nâu</t>
  </si>
  <si>
    <t>Vỏ hộp Vidona 500*500 (t/6v) nâu</t>
  </si>
  <si>
    <t>Pallet cũ 1 mặt -  loại 2</t>
  </si>
  <si>
    <t>NVLKM04.150</t>
  </si>
  <si>
    <t>NVLKM04.151</t>
  </si>
  <si>
    <t>Vỏ hộp Karpo 30x60 (8v) nâu</t>
  </si>
  <si>
    <t>Vỏ hộp Vidona 30x60 (8v) nâu</t>
  </si>
  <si>
    <t>NVLKM01.099</t>
  </si>
  <si>
    <t>Frit A117</t>
  </si>
  <si>
    <t>NVLKM01.060</t>
  </si>
  <si>
    <t>Tràng thạch Kali K200</t>
  </si>
  <si>
    <t>NVLKM04.152</t>
  </si>
  <si>
    <t>NVLKM04.153</t>
  </si>
  <si>
    <t>NVLKM04.154</t>
  </si>
  <si>
    <t>Vỏ hộp trang hoàng phương 40x80 (5v) nâu</t>
  </si>
  <si>
    <t>Vỏ hộp Vina phacon (8v) nâu</t>
  </si>
  <si>
    <t>Vỏ hộp Vina phacon 40x80 (5v) nâu</t>
  </si>
  <si>
    <t>PROMEX CHS4</t>
  </si>
  <si>
    <t>PROMEX CHS4'!Print_Titles</t>
  </si>
  <si>
    <t>PALLET cũ L2'!Print_Titles</t>
  </si>
  <si>
    <t>PALLET 1100x1100 cũ L1'!Print_Titles</t>
  </si>
  <si>
    <t>PALLET GỖ 1100X1100 (Cũ loại 1)</t>
  </si>
  <si>
    <t>PALLET 1 MẶT cũ ( loại 2 )</t>
  </si>
  <si>
    <t>VIDONA 48'!Print_Titles</t>
  </si>
  <si>
    <t xml:space="preserve">VIDONA 40*80 5v nâu-HA </t>
  </si>
  <si>
    <t>T H PHUONG 4080 5v '!Print_Titles</t>
  </si>
  <si>
    <t>NVLKM02.012</t>
  </si>
  <si>
    <t>Pallet 1100x1100 cũ loại 1</t>
  </si>
  <si>
    <t>NVLKM04.155</t>
  </si>
  <si>
    <t>Vỏ hộp vidona 40x80 (5v) nâu</t>
  </si>
  <si>
    <t>THIÊN QIANG</t>
  </si>
  <si>
    <t xml:space="preserve">PADOVA 40*80 5v nâu-HA </t>
  </si>
  <si>
    <t>PADOVA 48 '!Print_Titles</t>
  </si>
  <si>
    <t>PALLET GỖ 1100x1100x60</t>
  </si>
  <si>
    <t>PALLET GỖ 1100x1100x85</t>
  </si>
  <si>
    <t>PALLET 1100x1100x85'!Print_Titles</t>
  </si>
  <si>
    <t>PALLET 1100x1100x60'!Print_Titles</t>
  </si>
  <si>
    <t xml:space="preserve">PADOVA 30*60 nâu-HA </t>
  </si>
  <si>
    <t>PADOVA 36'!Print_Titles</t>
  </si>
  <si>
    <t>VINA PHACON 36'!A1</t>
  </si>
  <si>
    <t>NVLKM04.156</t>
  </si>
  <si>
    <t>NVLKM04.157</t>
  </si>
  <si>
    <t>Vỏ hộp Padova 30x60 (8v) nâu</t>
  </si>
  <si>
    <t>Vỏ hộp Padova 40x80 (5v) nâu</t>
  </si>
  <si>
    <t>Pallet 1100x1100x60 mm</t>
  </si>
  <si>
    <t>NVLKM04.158</t>
  </si>
  <si>
    <t>Pallet 1100x1100x85</t>
  </si>
  <si>
    <t xml:space="preserve">TRANG HOÀNG PHƯƠNG 50*50 nâu-HA </t>
  </si>
  <si>
    <t>T H PHƯƠNG 5050'!Print_Titles</t>
  </si>
  <si>
    <t>PADOVA 50'!Print_Titles</t>
  </si>
  <si>
    <t>NVLKM04.159</t>
  </si>
  <si>
    <t>NVLKM04.160</t>
  </si>
  <si>
    <t>Vỏ hộp Trang hoàng phương 500*500 (t/6v) nâu</t>
  </si>
  <si>
    <t>Vỏ hộp padova 500*500 (t/6v) nâu</t>
  </si>
  <si>
    <t>BÁO CÁO TỔNG HỢP NHẬP XUẤT TỒN NGUYÊN LIỆU MEN - PHỤ KIỆN
 Tháng 08 NĂM 2026 (Trích xuất vào ngày 25 hàng tháng)</t>
  </si>
  <si>
    <t>Đồng Nai, ngày 31 tháng 08 năm 2026</t>
  </si>
  <si>
    <t>BÁO CÁO NHẬP- XUẤT- TỒN NGUYÊN LIỆU MEN - VẬT TƯ SẢN XUẤT
 Tháng 08 năm 2026</t>
  </si>
  <si>
    <t>Đồng nai , ngày 31 tháng 08 năm 2026</t>
  </si>
  <si>
    <t>E.Cao lanh BF046A QĐ</t>
  </si>
  <si>
    <t>Cao lanh BF046A'!A1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</si>
</sst>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(* #,##0.00_);_(* \(#,##0.00\);_(* &quot;-&quot;??_);_(@_)"/>
    <numFmt numFmtId="164" formatCode="_-* #,##0.00\ _₫_-;\-* #,##0.00\ _₫_-;_-* &quot;-&quot;??\ _₫_-;_-@_-"/>
    <numFmt numFmtId="165" formatCode="0.0"/>
    <numFmt numFmtId="166" formatCode="[$-1010000]d/m/yy;@"/>
    <numFmt numFmtId="167" formatCode="_-* #,##0.0\ _₫_-;\-* #,##0.0\ _₫_-;_-* &quot;-&quot;??\ _₫_-;_-@_-"/>
    <numFmt numFmtId="168" formatCode="_-* #,##0\ _₫_-;\-* #,##0\ _₫_-;_-* &quot;-&quot;??\ _₫_-;_-@_-"/>
    <numFmt numFmtId="169" formatCode="#,##0.0"/>
    <numFmt numFmtId="170" formatCode="#.#"/>
    <numFmt numFmtId="171" formatCode="_-* #\ _₫_-;\-* #\ _₫_-;_-* &quot;-&quot;??\ _₫_-;_-@_-"/>
    <numFmt numFmtId="172" formatCode="_-* #.##0.0\ _₫_-;\-* #.##0.0\ _₫_-;_-* &quot;-&quot;??\ _₫_-;_-@_-"/>
    <numFmt numFmtId="173" formatCode="_-* #.##0.\ _₫_-;\-* #.##0.\ _₫_-;_-* &quot;-&quot;??\ _₫_-;_-@_-"/>
    <numFmt numFmtId="174" formatCode="0.0%"/>
    <numFmt numFmtId="175" formatCode="_-* #.#.\ _₫_-;\-* #.#.\ _₫_-;_-* &quot;-&quot;??\ _₫_-;_-@_ⴆ"/>
    <numFmt numFmtId="176" formatCode="_-* #,##0.000\ _₫_-;\-* #,##0.000\ _₫_-;_-* &quot;-&quot;??\ _₫_-;_-@_-"/>
    <numFmt numFmtId="177" formatCode="0.0_ ;\-0.0\ "/>
    <numFmt numFmtId="178" formatCode="#.00"/>
    <numFmt numFmtId="179" formatCode="_-* #.##.\ _₫_-;\-* #.##.\ _₫_-;_-* &quot;-&quot;??\ _₫_-;_-@_ⴆ"/>
    <numFmt numFmtId="180" formatCode="_-* #.0._₫_-;\-* #.0._₫_-;_-* &quot;-&quot;??\ _₫_-;_-@_ⴆ"/>
    <numFmt numFmtId="181" formatCode="#.##0.0"/>
    <numFmt numFmtId="182" formatCode="_-* #._₫_-;\-* #._₫_-;_-* &quot;-&quot;??\ _₫_-;_-@_ⴆ"/>
    <numFmt numFmtId="183" formatCode="#.##"/>
    <numFmt numFmtId="184" formatCode="#,##0.000_);[Red]\(#,##0.000\)"/>
    <numFmt numFmtId="185" formatCode="0.000_ ;\-0.000\ "/>
    <numFmt numFmtId="186" formatCode="_(* #,##0.000_);_(* \(#,##0.000\);_(* &quot;-&quot;???_);_(@_)"/>
    <numFmt numFmtId="187" formatCode="_-* #,##0_-;\-* #,##0_-;_-* &quot;-&quot;_-;_-@_-"/>
  </numFmts>
  <fonts count="86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name val="Times New Roman"/>
      <family val="1"/>
    </font>
    <font>
      <sz val="12"/>
      <name val="宋体"/>
      <charset val="134"/>
    </font>
    <font>
      <b/>
      <sz val="13"/>
      <name val="Times New Roman"/>
      <family val="1"/>
    </font>
    <font>
      <sz val="13"/>
      <name val="Times New Roman"/>
      <family val="1"/>
      <charset val="163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3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FFFF00"/>
      <name val="Times New Roman"/>
      <family val="1"/>
    </font>
    <font>
      <b/>
      <sz val="12.5"/>
      <name val="Times New Roman"/>
      <family val="1"/>
    </font>
    <font>
      <b/>
      <sz val="12.5"/>
      <color rgb="FFFFFF00"/>
      <name val="Times New Roman"/>
      <family val="1"/>
    </font>
    <font>
      <sz val="12"/>
      <name val="Times New Roman"/>
      <family val="1"/>
      <charset val="163"/>
    </font>
    <font>
      <sz val="12"/>
      <name val="Calibri"/>
      <family val="2"/>
      <scheme val="minor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FF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FF00"/>
      <name val="Times New Roman"/>
      <family val="1"/>
    </font>
    <font>
      <sz val="12"/>
      <color rgb="FFFF0000"/>
      <name val="Times New Roman"/>
      <family val="1"/>
    </font>
    <font>
      <b/>
      <u/>
      <sz val="11"/>
      <color rgb="FFFF0000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FF00"/>
      <name val="Times New Roman"/>
      <family val="1"/>
    </font>
    <font>
      <b/>
      <sz val="12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theme="10"/>
      <name val="Calibri"/>
      <family val="2"/>
      <scheme val="minor"/>
    </font>
    <font>
      <b/>
      <sz val="11"/>
      <color rgb="FFFFFF00"/>
      <name val="Times New Roman"/>
      <family val="1"/>
    </font>
    <font>
      <sz val="11"/>
      <color rgb="FFFFFF00"/>
      <name val="Times New Roman"/>
      <family val="1"/>
    </font>
    <font>
      <u/>
      <sz val="11"/>
      <color theme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9"/>
      <name val="Times New Roman"/>
      <family val="1"/>
      <charset val="163"/>
    </font>
    <font>
      <b/>
      <sz val="9"/>
      <color rgb="FFFFFF00"/>
      <name val="Times New Roman"/>
      <family val="1"/>
      <charset val="163"/>
    </font>
    <font>
      <b/>
      <sz val="11"/>
      <color rgb="FFFFFF00"/>
      <name val="Calibri"/>
      <family val="2"/>
      <scheme val="minor"/>
    </font>
    <font>
      <b/>
      <sz val="10"/>
      <color theme="1"/>
      <name val="Times New Roman"/>
      <family val="1"/>
      <charset val="163"/>
    </font>
    <font>
      <b/>
      <sz val="10"/>
      <color rgb="FFFFFF00"/>
      <name val="Times New Roman"/>
      <family val="1"/>
      <charset val="163"/>
    </font>
    <font>
      <sz val="12"/>
      <color rgb="FF2A24A4"/>
      <name val="Arial"/>
      <family val="2"/>
    </font>
    <font>
      <sz val="11"/>
      <color theme="10"/>
      <name val="Arial"/>
      <family val="2"/>
    </font>
    <font>
      <sz val="12"/>
      <color rgb="FF3366FF"/>
      <name val="Arial"/>
      <family val="2"/>
    </font>
    <font>
      <sz val="10"/>
      <color rgb="FFFFFF00"/>
      <name val="Times New Roman"/>
      <family val="1"/>
      <charset val="163"/>
    </font>
    <font>
      <sz val="10"/>
      <color rgb="FFFFFF00"/>
      <name val="Times New Roman"/>
      <family val="1"/>
    </font>
    <font>
      <sz val="11"/>
      <color rgb="FFFFFF00"/>
      <name val="Calibri"/>
      <family val="2"/>
      <scheme val="minor"/>
    </font>
    <font>
      <sz val="10"/>
      <color theme="1"/>
      <name val="Times New Roman"/>
      <family val="1"/>
      <charset val="163"/>
    </font>
    <font>
      <b/>
      <sz val="10"/>
      <color rgb="FFFFFF00"/>
      <name val="Calibri"/>
      <family val="2"/>
      <scheme val="minor"/>
    </font>
    <font>
      <b/>
      <sz val="10"/>
      <color theme="0"/>
      <name val="Times New Roman"/>
      <family val="1"/>
    </font>
    <font>
      <u/>
      <sz val="12"/>
      <color theme="10"/>
      <name val="Times New Roman"/>
      <family val="1"/>
    </font>
    <font>
      <i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b/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indexed="8"/>
      <name val="Times New Roman"/>
      <family val="1"/>
    </font>
    <font>
      <b/>
      <sz val="10"/>
      <color rgb="FFFF0000"/>
      <name val="Times New Roman"/>
      <family val="1"/>
      <charset val="163"/>
    </font>
    <font>
      <sz val="16"/>
      <name val="Times New Roman"/>
      <family val="1"/>
    </font>
    <font>
      <u/>
      <sz val="1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u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Times New Roman"/>
      <family val="1"/>
    </font>
    <font>
      <sz val="10"/>
      <color rgb="FF000000"/>
      <name val="Times New Roman"/>
      <charset val="134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0"/>
      <name val="VNI-Times"/>
    </font>
    <font>
      <sz val="12"/>
      <name val="VNI-Times"/>
    </font>
    <font>
      <sz val="12"/>
      <color rgb="FF000000"/>
      <name val="Times New Roman"/>
      <family val="1"/>
    </font>
    <font>
      <sz val="9"/>
      <color indexed="81"/>
      <name val="Tahoma"/>
    </font>
    <font>
      <b/>
      <sz val="9"/>
      <color indexed="81"/>
      <name val="Tahoma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6705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/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auto="1"/>
      </left>
      <right/>
      <top/>
      <bottom/>
      <diagonal/>
    </border>
    <border>
      <left style="thin">
        <color rgb="FFE3E3E3"/>
      </left>
      <right/>
      <top style="thin">
        <color rgb="FFE3E3E3"/>
      </top>
      <bottom style="thin">
        <color rgb="FFE3E3E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0" fontId="3" fillId="0" borderId="0"/>
    <xf numFmtId="0" fontId="3" fillId="0" borderId="0"/>
    <xf numFmtId="0" fontId="6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6" fillId="0" borderId="0"/>
    <xf numFmtId="164" fontId="79" fillId="0" borderId="0" applyFont="0" applyFill="0" applyBorder="0" applyAlignment="0" applyProtection="0"/>
    <xf numFmtId="0" fontId="7" fillId="0" borderId="0"/>
    <xf numFmtId="0" fontId="26" fillId="0" borderId="0"/>
    <xf numFmtId="0" fontId="79" fillId="0" borderId="0"/>
    <xf numFmtId="0" fontId="78" fillId="0" borderId="0">
      <alignment vertical="top"/>
    </xf>
    <xf numFmtId="0" fontId="79" fillId="0" borderId="0"/>
    <xf numFmtId="0" fontId="78" fillId="0" borderId="0">
      <alignment vertical="top"/>
    </xf>
    <xf numFmtId="164" fontId="26" fillId="0" borderId="0" applyFont="0" applyFill="0" applyBorder="0" applyAlignment="0" applyProtection="0"/>
    <xf numFmtId="0" fontId="78" fillId="0" borderId="0">
      <alignment vertical="top"/>
    </xf>
    <xf numFmtId="0" fontId="7" fillId="0" borderId="0"/>
    <xf numFmtId="0" fontId="78" fillId="0" borderId="0"/>
    <xf numFmtId="0" fontId="7" fillId="0" borderId="0"/>
    <xf numFmtId="0" fontId="7" fillId="0" borderId="0"/>
    <xf numFmtId="164" fontId="77" fillId="0" borderId="0" applyFont="0" applyFill="0" applyBorder="0" applyAlignment="0" applyProtection="0"/>
    <xf numFmtId="0" fontId="7" fillId="0" borderId="0"/>
    <xf numFmtId="0" fontId="7" fillId="0" borderId="0"/>
    <xf numFmtId="0" fontId="81" fillId="0" borderId="0"/>
    <xf numFmtId="0" fontId="7" fillId="0" borderId="0"/>
    <xf numFmtId="0" fontId="7" fillId="0" borderId="0"/>
    <xf numFmtId="0" fontId="82" fillId="0" borderId="0"/>
    <xf numFmtId="0" fontId="80" fillId="0" borderId="0"/>
    <xf numFmtId="0" fontId="7" fillId="0" borderId="0"/>
    <xf numFmtId="0" fontId="78" fillId="0" borderId="0"/>
    <xf numFmtId="0" fontId="78" fillId="0" borderId="0"/>
    <xf numFmtId="0" fontId="78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9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8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9" fillId="0" borderId="0" applyFont="0" applyFill="0" applyBorder="0" applyAlignment="0" applyProtection="0"/>
    <xf numFmtId="164" fontId="79" fillId="0" borderId="0" applyFont="0" applyFill="0" applyBorder="0" applyAlignment="0" applyProtection="0"/>
  </cellStyleXfs>
  <cellXfs count="166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0" fontId="11" fillId="3" borderId="0" xfId="3" applyFont="1" applyFill="1" applyAlignment="1">
      <alignment vertical="center"/>
    </xf>
    <xf numFmtId="1" fontId="2" fillId="2" borderId="7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 wrapText="1"/>
    </xf>
    <xf numFmtId="167" fontId="9" fillId="2" borderId="1" xfId="4" applyNumberFormat="1" applyFont="1" applyFill="1" applyBorder="1" applyAlignment="1">
      <alignment horizontal="right" vertical="center" wrapText="1"/>
    </xf>
    <xf numFmtId="167" fontId="9" fillId="7" borderId="1" xfId="4" applyNumberFormat="1" applyFont="1" applyFill="1" applyBorder="1" applyAlignment="1">
      <alignment horizontal="right" vertical="center" wrapText="1"/>
    </xf>
    <xf numFmtId="167" fontId="9" fillId="3" borderId="1" xfId="4" applyNumberFormat="1" applyFont="1" applyFill="1" applyBorder="1" applyAlignment="1">
      <alignment horizontal="right" vertical="center" wrapText="1"/>
    </xf>
    <xf numFmtId="167" fontId="9" fillId="2" borderId="1" xfId="4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 wrapText="1"/>
    </xf>
    <xf numFmtId="167" fontId="10" fillId="2" borderId="1" xfId="4" applyNumberFormat="1" applyFont="1" applyFill="1" applyBorder="1" applyAlignment="1">
      <alignment horizontal="right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7" fontId="10" fillId="3" borderId="1" xfId="4" applyNumberFormat="1" applyFont="1" applyFill="1" applyBorder="1" applyAlignment="1">
      <alignment horizontal="right" vertical="center" wrapText="1"/>
    </xf>
    <xf numFmtId="0" fontId="10" fillId="2" borderId="0" xfId="0" applyFont="1" applyFill="1" applyAlignment="1">
      <alignment horizontal="center" vertical="center"/>
    </xf>
    <xf numFmtId="1" fontId="10" fillId="2" borderId="0" xfId="0" applyNumberFormat="1" applyFont="1" applyFill="1" applyBorder="1" applyAlignment="1">
      <alignment horizontal="center" vertical="center"/>
    </xf>
    <xf numFmtId="168" fontId="9" fillId="3" borderId="1" xfId="4" applyNumberFormat="1" applyFont="1" applyFill="1" applyBorder="1" applyAlignment="1">
      <alignment horizontal="right" vertical="center" wrapText="1"/>
    </xf>
    <xf numFmtId="168" fontId="9" fillId="2" borderId="1" xfId="4" applyNumberFormat="1" applyFont="1" applyFill="1" applyBorder="1" applyAlignment="1">
      <alignment horizontal="right" vertical="center" wrapText="1"/>
    </xf>
    <xf numFmtId="166" fontId="10" fillId="5" borderId="1" xfId="0" applyNumberFormat="1" applyFont="1" applyFill="1" applyBorder="1" applyAlignment="1">
      <alignment horizontal="center" vertical="center" wrapText="1"/>
    </xf>
    <xf numFmtId="167" fontId="14" fillId="8" borderId="1" xfId="4" applyNumberFormat="1" applyFont="1" applyFill="1" applyBorder="1" applyAlignment="1">
      <alignment horizontal="right" vertical="center" wrapText="1"/>
    </xf>
    <xf numFmtId="168" fontId="14" fillId="3" borderId="1" xfId="4" applyNumberFormat="1" applyFont="1" applyFill="1" applyBorder="1" applyAlignment="1">
      <alignment horizontal="right" vertical="center" wrapText="1"/>
    </xf>
    <xf numFmtId="167" fontId="14" fillId="3" borderId="1" xfId="4" applyNumberFormat="1" applyFont="1" applyFill="1" applyBorder="1" applyAlignment="1">
      <alignment horizontal="right" vertical="center" wrapText="1"/>
    </xf>
    <xf numFmtId="167" fontId="14" fillId="2" borderId="1" xfId="4" applyNumberFormat="1" applyFont="1" applyFill="1" applyBorder="1" applyAlignment="1">
      <alignment horizontal="right" vertical="center" wrapText="1"/>
    </xf>
    <xf numFmtId="0" fontId="14" fillId="2" borderId="0" xfId="0" applyFont="1" applyFill="1" applyAlignment="1">
      <alignment horizontal="center" vertical="center"/>
    </xf>
    <xf numFmtId="167" fontId="15" fillId="4" borderId="1" xfId="4" applyNumberFormat="1" applyFont="1" applyFill="1" applyBorder="1" applyAlignment="1">
      <alignment horizontal="right" vertical="center" wrapText="1"/>
    </xf>
    <xf numFmtId="1" fontId="9" fillId="8" borderId="1" xfId="0" applyNumberFormat="1" applyFont="1" applyFill="1" applyBorder="1" applyAlignment="1">
      <alignment horizontal="center" vertical="center" wrapText="1"/>
    </xf>
    <xf numFmtId="0" fontId="11" fillId="3" borderId="0" xfId="3" applyFont="1" applyFill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67" fontId="10" fillId="2" borderId="1" xfId="0" applyNumberFormat="1" applyFont="1" applyFill="1" applyBorder="1" applyAlignment="1">
      <alignment horizontal="center" vertical="center" wrapText="1"/>
    </xf>
    <xf numFmtId="2" fontId="10" fillId="10" borderId="1" xfId="0" applyNumberFormat="1" applyFont="1" applyFill="1" applyBorder="1" applyAlignment="1">
      <alignment horizontal="center" vertical="center" wrapText="1"/>
    </xf>
    <xf numFmtId="2" fontId="10" fillId="8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7" fontId="9" fillId="2" borderId="1" xfId="4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164" fontId="14" fillId="3" borderId="1" xfId="4" applyNumberFormat="1" applyFont="1" applyFill="1" applyBorder="1" applyAlignment="1">
      <alignment horizontal="right" vertical="center" wrapText="1"/>
    </xf>
    <xf numFmtId="167" fontId="16" fillId="2" borderId="1" xfId="0" applyNumberFormat="1" applyFont="1" applyFill="1" applyBorder="1" applyAlignment="1">
      <alignment horizontal="center" vertical="center" wrapText="1"/>
    </xf>
    <xf numFmtId="167" fontId="17" fillId="2" borderId="0" xfId="0" applyNumberFormat="1" applyFont="1" applyFill="1" applyAlignment="1">
      <alignment horizontal="center"/>
    </xf>
    <xf numFmtId="0" fontId="18" fillId="11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 wrapText="1"/>
    </xf>
    <xf numFmtId="1" fontId="18" fillId="11" borderId="4" xfId="0" applyNumberFormat="1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164" fontId="9" fillId="3" borderId="1" xfId="4" applyNumberFormat="1" applyFont="1" applyFill="1" applyBorder="1" applyAlignment="1">
      <alignment horizontal="right" vertical="center" wrapText="1"/>
    </xf>
    <xf numFmtId="164" fontId="9" fillId="5" borderId="1" xfId="4" applyNumberFormat="1" applyFont="1" applyFill="1" applyBorder="1" applyAlignment="1">
      <alignment horizontal="right" vertical="center" wrapText="1"/>
    </xf>
    <xf numFmtId="164" fontId="10" fillId="3" borderId="1" xfId="4" applyNumberFormat="1" applyFont="1" applyFill="1" applyBorder="1" applyAlignment="1">
      <alignment horizontal="right" vertical="center" wrapText="1"/>
    </xf>
    <xf numFmtId="164" fontId="15" fillId="4" borderId="1" xfId="4" applyNumberFormat="1" applyFont="1" applyFill="1" applyBorder="1" applyAlignment="1">
      <alignment horizontal="right" vertical="center" wrapText="1"/>
    </xf>
    <xf numFmtId="164" fontId="14" fillId="8" borderId="1" xfId="4" applyNumberFormat="1" applyFont="1" applyFill="1" applyBorder="1" applyAlignment="1">
      <alignment horizontal="right" vertical="center" wrapText="1"/>
    </xf>
    <xf numFmtId="167" fontId="9" fillId="2" borderId="1" xfId="4" applyNumberFormat="1" applyFont="1" applyFill="1" applyBorder="1" applyAlignment="1">
      <alignment horizontal="center" vertical="center"/>
    </xf>
    <xf numFmtId="167" fontId="14" fillId="2" borderId="1" xfId="4" applyNumberFormat="1" applyFont="1" applyFill="1" applyBorder="1" applyAlignment="1">
      <alignment horizontal="center" vertical="center" wrapText="1"/>
    </xf>
    <xf numFmtId="168" fontId="14" fillId="8" borderId="1" xfId="4" applyNumberFormat="1" applyFont="1" applyFill="1" applyBorder="1" applyAlignment="1">
      <alignment horizontal="right" vertical="center" wrapText="1"/>
    </xf>
    <xf numFmtId="168" fontId="15" fillId="4" borderId="1" xfId="4" applyNumberFormat="1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168" fontId="9" fillId="2" borderId="1" xfId="4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168" fontId="9" fillId="2" borderId="0" xfId="0" applyNumberFormat="1" applyFont="1" applyFill="1" applyAlignment="1">
      <alignment horizontal="center" vertical="center" wrapText="1"/>
    </xf>
    <xf numFmtId="164" fontId="9" fillId="2" borderId="1" xfId="4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8" fontId="10" fillId="2" borderId="1" xfId="4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7" fontId="10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 wrapText="1"/>
    </xf>
    <xf numFmtId="164" fontId="14" fillId="3" borderId="1" xfId="4" applyFont="1" applyFill="1" applyBorder="1" applyAlignment="1">
      <alignment horizontal="right" vertical="center" wrapText="1"/>
    </xf>
    <xf numFmtId="164" fontId="2" fillId="2" borderId="0" xfId="4" applyFont="1" applyFill="1" applyAlignment="1">
      <alignment horizontal="center" vertical="center"/>
    </xf>
    <xf numFmtId="164" fontId="9" fillId="3" borderId="1" xfId="4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1" fontId="18" fillId="11" borderId="2" xfId="0" applyNumberFormat="1" applyFont="1" applyFill="1" applyBorder="1" applyAlignment="1">
      <alignment horizontal="center" vertical="center" wrapText="1"/>
    </xf>
    <xf numFmtId="164" fontId="9" fillId="3" borderId="1" xfId="4" applyNumberFormat="1" applyFont="1" applyFill="1" applyBorder="1" applyAlignment="1">
      <alignment horizontal="center" vertical="center" wrapText="1"/>
    </xf>
    <xf numFmtId="164" fontId="10" fillId="3" borderId="1" xfId="4" applyNumberFormat="1" applyFont="1" applyFill="1" applyBorder="1" applyAlignment="1">
      <alignment horizontal="center" vertical="center" wrapText="1"/>
    </xf>
    <xf numFmtId="1" fontId="4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/>
    <xf numFmtId="169" fontId="12" fillId="2" borderId="0" xfId="0" applyNumberFormat="1" applyFont="1" applyFill="1" applyAlignment="1">
      <alignment horizontal="right" vertical="center"/>
    </xf>
    <xf numFmtId="169" fontId="10" fillId="2" borderId="0" xfId="0" applyNumberFormat="1" applyFont="1" applyFill="1" applyAlignment="1">
      <alignment horizontal="right" vertical="center"/>
    </xf>
    <xf numFmtId="169" fontId="12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69" fontId="21" fillId="2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right" wrapText="1"/>
    </xf>
    <xf numFmtId="164" fontId="4" fillId="2" borderId="1" xfId="0" applyNumberFormat="1" applyFont="1" applyFill="1" applyBorder="1" applyAlignment="1">
      <alignment horizontal="center" wrapText="1"/>
    </xf>
    <xf numFmtId="164" fontId="15" fillId="3" borderId="1" xfId="4" applyNumberFormat="1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10" fontId="10" fillId="2" borderId="8" xfId="0" applyNumberFormat="1" applyFont="1" applyFill="1" applyBorder="1" applyAlignment="1">
      <alignment horizontal="center" vertical="center" wrapText="1"/>
    </xf>
    <xf numFmtId="165" fontId="10" fillId="3" borderId="8" xfId="0" applyNumberFormat="1" applyFont="1" applyFill="1" applyBorder="1" applyAlignment="1">
      <alignment horizontal="center" vertical="center" wrapText="1"/>
    </xf>
    <xf numFmtId="167" fontId="21" fillId="2" borderId="1" xfId="4" applyNumberFormat="1" applyFont="1" applyFill="1" applyBorder="1" applyAlignment="1">
      <alignment horizontal="center" vertical="center" wrapText="1"/>
    </xf>
    <xf numFmtId="167" fontId="10" fillId="10" borderId="1" xfId="4" applyNumberFormat="1" applyFont="1" applyFill="1" applyBorder="1" applyAlignment="1">
      <alignment horizontal="center" vertical="center" wrapText="1"/>
    </xf>
    <xf numFmtId="167" fontId="10" fillId="8" borderId="1" xfId="4" applyNumberFormat="1" applyFont="1" applyFill="1" applyBorder="1" applyAlignment="1">
      <alignment horizontal="center" vertical="center" wrapText="1"/>
    </xf>
    <xf numFmtId="1" fontId="9" fillId="10" borderId="8" xfId="0" applyNumberFormat="1" applyFont="1" applyFill="1" applyBorder="1" applyAlignment="1">
      <alignment horizontal="center" vertical="center" wrapText="1"/>
    </xf>
    <xf numFmtId="1" fontId="9" fillId="8" borderId="8" xfId="0" applyNumberFormat="1" applyFont="1" applyFill="1" applyBorder="1" applyAlignment="1">
      <alignment horizontal="center" vertical="center" wrapText="1"/>
    </xf>
    <xf numFmtId="166" fontId="2" fillId="2" borderId="8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167" fontId="9" fillId="8" borderId="1" xfId="4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167" fontId="4" fillId="8" borderId="1" xfId="4" applyNumberFormat="1" applyFont="1" applyFill="1" applyBorder="1" applyAlignment="1">
      <alignment horizontal="center" vertical="center" wrapText="1"/>
    </xf>
    <xf numFmtId="167" fontId="4" fillId="3" borderId="1" xfId="4" applyNumberFormat="1" applyFont="1" applyFill="1" applyBorder="1" applyAlignment="1">
      <alignment horizontal="right" vertical="center" wrapText="1"/>
    </xf>
    <xf numFmtId="167" fontId="22" fillId="4" borderId="1" xfId="4" applyNumberFormat="1" applyFont="1" applyFill="1" applyBorder="1" applyAlignment="1">
      <alignment horizontal="right" vertical="center" wrapText="1"/>
    </xf>
    <xf numFmtId="167" fontId="4" fillId="2" borderId="1" xfId="4" applyNumberFormat="1" applyFont="1" applyFill="1" applyBorder="1" applyAlignment="1">
      <alignment horizontal="right" vertical="center" wrapText="1"/>
    </xf>
    <xf numFmtId="165" fontId="4" fillId="2" borderId="8" xfId="0" applyNumberFormat="1" applyFont="1" applyFill="1" applyBorder="1" applyAlignment="1">
      <alignment horizontal="center" vertical="center"/>
    </xf>
    <xf numFmtId="167" fontId="10" fillId="3" borderId="1" xfId="4" applyNumberFormat="1" applyFont="1" applyFill="1" applyBorder="1" applyAlignment="1">
      <alignment horizontal="center" vertical="center" wrapText="1"/>
    </xf>
    <xf numFmtId="2" fontId="10" fillId="3" borderId="1" xfId="0" applyNumberFormat="1" applyFont="1" applyFill="1" applyBorder="1" applyAlignment="1">
      <alignment horizontal="center" vertical="center" wrapText="1"/>
    </xf>
    <xf numFmtId="167" fontId="23" fillId="2" borderId="1" xfId="0" applyNumberFormat="1" applyFont="1" applyFill="1" applyBorder="1" applyAlignment="1">
      <alignment horizontal="center" vertical="center" wrapText="1"/>
    </xf>
    <xf numFmtId="167" fontId="23" fillId="8" borderId="1" xfId="4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169" fontId="12" fillId="2" borderId="0" xfId="0" applyNumberFormat="1" applyFont="1" applyFill="1" applyAlignment="1">
      <alignment horizontal="left" vertical="center"/>
    </xf>
    <xf numFmtId="169" fontId="10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4" fillId="3" borderId="0" xfId="3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5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1" fontId="25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" fontId="27" fillId="2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vertical="center" wrapText="1"/>
    </xf>
    <xf numFmtId="0" fontId="27" fillId="2" borderId="0" xfId="0" applyFont="1" applyFill="1" applyAlignment="1">
      <alignment vertical="center"/>
    </xf>
    <xf numFmtId="0" fontId="25" fillId="2" borderId="0" xfId="0" applyNumberFormat="1" applyFont="1" applyFill="1" applyAlignment="1">
      <alignment horizontal="center" vertical="center"/>
    </xf>
    <xf numFmtId="1" fontId="25" fillId="2" borderId="7" xfId="0" applyNumberFormat="1" applyFont="1" applyFill="1" applyBorder="1" applyAlignment="1">
      <alignment horizontal="center" vertical="center"/>
    </xf>
    <xf numFmtId="1" fontId="25" fillId="2" borderId="7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1" fontId="25" fillId="2" borderId="0" xfId="0" applyNumberFormat="1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169" fontId="28" fillId="2" borderId="0" xfId="0" applyNumberFormat="1" applyFont="1" applyFill="1" applyAlignment="1">
      <alignment horizontal="center" vertical="center"/>
    </xf>
    <xf numFmtId="169" fontId="26" fillId="2" borderId="0" xfId="0" applyNumberFormat="1" applyFont="1" applyFill="1" applyAlignment="1">
      <alignment horizontal="right" vertical="center"/>
    </xf>
    <xf numFmtId="1" fontId="29" fillId="10" borderId="8" xfId="0" applyNumberFormat="1" applyFont="1" applyFill="1" applyBorder="1" applyAlignment="1">
      <alignment horizontal="center" vertical="center" wrapText="1"/>
    </xf>
    <xf numFmtId="1" fontId="29" fillId="8" borderId="8" xfId="0" applyNumberFormat="1" applyFont="1" applyFill="1" applyBorder="1" applyAlignment="1">
      <alignment horizontal="center" vertical="center" wrapText="1"/>
    </xf>
    <xf numFmtId="1" fontId="29" fillId="8" borderId="1" xfId="0" applyNumberFormat="1" applyFont="1" applyFill="1" applyBorder="1" applyAlignment="1">
      <alignment horizontal="center" vertical="center" wrapText="1"/>
    </xf>
    <xf numFmtId="1" fontId="29" fillId="10" borderId="1" xfId="0" applyNumberFormat="1" applyFont="1" applyFill="1" applyBorder="1" applyAlignment="1">
      <alignment horizontal="center" vertical="center" wrapText="1"/>
    </xf>
    <xf numFmtId="167" fontId="29" fillId="2" borderId="1" xfId="4" applyNumberFormat="1" applyFont="1" applyFill="1" applyBorder="1" applyAlignment="1">
      <alignment horizontal="center" vertical="center" wrapText="1"/>
    </xf>
    <xf numFmtId="167" fontId="29" fillId="8" borderId="1" xfId="4" applyNumberFormat="1" applyFont="1" applyFill="1" applyBorder="1" applyAlignment="1">
      <alignment horizontal="center" vertical="center" wrapText="1"/>
    </xf>
    <xf numFmtId="167" fontId="29" fillId="2" borderId="1" xfId="4" applyNumberFormat="1" applyFont="1" applyFill="1" applyBorder="1" applyAlignment="1">
      <alignment horizontal="right" vertical="center" wrapText="1"/>
    </xf>
    <xf numFmtId="167" fontId="29" fillId="7" borderId="1" xfId="4" applyNumberFormat="1" applyFont="1" applyFill="1" applyBorder="1" applyAlignment="1">
      <alignment horizontal="right" vertical="center" wrapText="1"/>
    </xf>
    <xf numFmtId="167" fontId="29" fillId="3" borderId="1" xfId="4" applyNumberFormat="1" applyFont="1" applyFill="1" applyBorder="1" applyAlignment="1">
      <alignment horizontal="right" vertical="center" wrapText="1"/>
    </xf>
    <xf numFmtId="0" fontId="29" fillId="2" borderId="1" xfId="0" applyFont="1" applyFill="1" applyBorder="1" applyAlignment="1">
      <alignment horizontal="center" vertical="center" wrapText="1"/>
    </xf>
    <xf numFmtId="167" fontId="29" fillId="2" borderId="1" xfId="4" applyNumberFormat="1" applyFont="1" applyFill="1" applyBorder="1" applyAlignment="1">
      <alignment horizontal="right" vertical="center"/>
    </xf>
    <xf numFmtId="10" fontId="30" fillId="2" borderId="8" xfId="0" applyNumberFormat="1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/>
    </xf>
    <xf numFmtId="166" fontId="30" fillId="2" borderId="8" xfId="0" applyNumberFormat="1" applyFont="1" applyFill="1" applyBorder="1" applyAlignment="1">
      <alignment horizontal="center" vertical="center" wrapText="1"/>
    </xf>
    <xf numFmtId="167" fontId="31" fillId="2" borderId="1" xfId="4" applyNumberFormat="1" applyFont="1" applyFill="1" applyBorder="1" applyAlignment="1">
      <alignment horizontal="center" vertical="center" wrapText="1"/>
    </xf>
    <xf numFmtId="167" fontId="30" fillId="2" borderId="1" xfId="0" applyNumberFormat="1" applyFont="1" applyFill="1" applyBorder="1" applyAlignment="1">
      <alignment horizontal="center" vertical="center" wrapText="1"/>
    </xf>
    <xf numFmtId="167" fontId="30" fillId="8" borderId="1" xfId="4" applyNumberFormat="1" applyFont="1" applyFill="1" applyBorder="1" applyAlignment="1">
      <alignment horizontal="center" vertical="center" wrapText="1"/>
    </xf>
    <xf numFmtId="167" fontId="30" fillId="10" borderId="1" xfId="4" applyNumberFormat="1" applyFont="1" applyFill="1" applyBorder="1" applyAlignment="1">
      <alignment horizontal="center" vertical="center" wrapText="1"/>
    </xf>
    <xf numFmtId="167" fontId="30" fillId="2" borderId="1" xfId="4" applyNumberFormat="1" applyFont="1" applyFill="1" applyBorder="1" applyAlignment="1">
      <alignment horizontal="right" vertical="center" wrapText="1"/>
    </xf>
    <xf numFmtId="167" fontId="30" fillId="3" borderId="1" xfId="4" applyNumberFormat="1" applyFont="1" applyFill="1" applyBorder="1" applyAlignment="1">
      <alignment horizontal="right" vertical="center" wrapText="1"/>
    </xf>
    <xf numFmtId="167" fontId="30" fillId="2" borderId="1" xfId="4" applyNumberFormat="1" applyFont="1" applyFill="1" applyBorder="1" applyAlignment="1">
      <alignment horizontal="center" vertical="center" wrapText="1"/>
    </xf>
    <xf numFmtId="171" fontId="31" fillId="2" borderId="1" xfId="4" applyNumberFormat="1" applyFont="1" applyFill="1" applyBorder="1" applyAlignment="1">
      <alignment horizontal="center" vertical="center" wrapText="1"/>
    </xf>
    <xf numFmtId="167" fontId="30" fillId="3" borderId="1" xfId="4" applyNumberFormat="1" applyFont="1" applyFill="1" applyBorder="1" applyAlignment="1">
      <alignment horizontal="center" vertical="center" wrapText="1"/>
    </xf>
    <xf numFmtId="168" fontId="29" fillId="8" borderId="1" xfId="4" applyNumberFormat="1" applyFont="1" applyFill="1" applyBorder="1" applyAlignment="1">
      <alignment horizontal="center" vertical="center" wrapText="1"/>
    </xf>
    <xf numFmtId="168" fontId="29" fillId="3" borderId="1" xfId="4" applyNumberFormat="1" applyFont="1" applyFill="1" applyBorder="1" applyAlignment="1">
      <alignment horizontal="right" vertical="center" wrapText="1"/>
    </xf>
    <xf numFmtId="168" fontId="32" fillId="4" borderId="1" xfId="4" applyNumberFormat="1" applyFont="1" applyFill="1" applyBorder="1" applyAlignment="1">
      <alignment horizontal="right" vertical="center" wrapText="1"/>
    </xf>
    <xf numFmtId="0" fontId="29" fillId="2" borderId="8" xfId="0" applyFont="1" applyFill="1" applyBorder="1" applyAlignment="1">
      <alignment horizontal="center" vertical="center"/>
    </xf>
    <xf numFmtId="1" fontId="27" fillId="2" borderId="0" xfId="0" applyNumberFormat="1" applyFont="1" applyFill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 wrapText="1"/>
    </xf>
    <xf numFmtId="167" fontId="30" fillId="2" borderId="8" xfId="0" applyNumberFormat="1" applyFont="1" applyFill="1" applyBorder="1" applyAlignment="1">
      <alignment horizontal="center" vertical="center" wrapText="1"/>
    </xf>
    <xf numFmtId="167" fontId="30" fillId="8" borderId="8" xfId="4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1" fontId="18" fillId="11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vertical="center"/>
    </xf>
    <xf numFmtId="0" fontId="34" fillId="3" borderId="0" xfId="3" applyFont="1" applyFill="1" applyAlignment="1">
      <alignment horizontal="center" vertical="center"/>
    </xf>
    <xf numFmtId="1" fontId="27" fillId="2" borderId="8" xfId="0" applyNumberFormat="1" applyFont="1" applyFill="1" applyBorder="1" applyAlignment="1">
      <alignment horizontal="center" vertical="center"/>
    </xf>
    <xf numFmtId="169" fontId="28" fillId="2" borderId="8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 wrapText="1"/>
    </xf>
    <xf numFmtId="172" fontId="29" fillId="3" borderId="1" xfId="4" applyNumberFormat="1" applyFont="1" applyFill="1" applyBorder="1" applyAlignment="1">
      <alignment horizontal="right" vertical="center" wrapText="1"/>
    </xf>
    <xf numFmtId="172" fontId="29" fillId="8" borderId="1" xfId="4" applyNumberFormat="1" applyFont="1" applyFill="1" applyBorder="1" applyAlignment="1">
      <alignment horizontal="center" vertical="center" wrapText="1"/>
    </xf>
    <xf numFmtId="172" fontId="32" fillId="4" borderId="1" xfId="4" applyNumberFormat="1" applyFont="1" applyFill="1" applyBorder="1" applyAlignment="1">
      <alignment horizontal="right" vertical="center" wrapText="1"/>
    </xf>
    <xf numFmtId="173" fontId="29" fillId="3" borderId="1" xfId="4" applyNumberFormat="1" applyFont="1" applyFill="1" applyBorder="1" applyAlignment="1">
      <alignment horizontal="right" vertical="center" wrapText="1"/>
    </xf>
    <xf numFmtId="165" fontId="25" fillId="2" borderId="0" xfId="0" applyNumberFormat="1" applyFont="1" applyFill="1" applyAlignment="1">
      <alignment horizontal="center" vertical="center"/>
    </xf>
    <xf numFmtId="16" fontId="10" fillId="2" borderId="0" xfId="0" applyNumberFormat="1" applyFont="1" applyFill="1" applyAlignment="1">
      <alignment horizontal="center" vertical="center" wrapText="1"/>
    </xf>
    <xf numFmtId="16" fontId="10" fillId="2" borderId="0" xfId="0" applyNumberFormat="1" applyFont="1" applyFill="1" applyAlignment="1">
      <alignment horizontal="center" vertical="center"/>
    </xf>
    <xf numFmtId="168" fontId="2" fillId="2" borderId="0" xfId="0" applyNumberFormat="1" applyFont="1" applyFill="1" applyAlignment="1">
      <alignment horizontal="center" vertical="center"/>
    </xf>
    <xf numFmtId="0" fontId="35" fillId="2" borderId="8" xfId="0" applyFont="1" applyFill="1" applyBorder="1" applyAlignment="1">
      <alignment horizontal="center" vertical="center" wrapText="1"/>
    </xf>
    <xf numFmtId="0" fontId="6" fillId="0" borderId="0" xfId="3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0" fontId="6" fillId="3" borderId="0" xfId="3" applyFill="1" applyAlignment="1">
      <alignment horizontal="center" vertical="center"/>
    </xf>
    <xf numFmtId="0" fontId="37" fillId="2" borderId="1" xfId="0" applyFont="1" applyFill="1" applyBorder="1" applyAlignment="1">
      <alignment horizontal="center" wrapText="1"/>
    </xf>
    <xf numFmtId="167" fontId="29" fillId="9" borderId="1" xfId="4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/>
    </xf>
    <xf numFmtId="174" fontId="30" fillId="2" borderId="8" xfId="0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right" vertical="center"/>
    </xf>
    <xf numFmtId="167" fontId="29" fillId="9" borderId="1" xfId="4" applyNumberFormat="1" applyFont="1" applyFill="1" applyBorder="1" applyAlignment="1">
      <alignment horizontal="right" vertical="center" wrapText="1"/>
    </xf>
    <xf numFmtId="167" fontId="32" fillId="4" borderId="1" xfId="4" applyNumberFormat="1" applyFont="1" applyFill="1" applyBorder="1" applyAlignment="1">
      <alignment horizontal="right" vertical="center" wrapText="1"/>
    </xf>
    <xf numFmtId="167" fontId="29" fillId="8" borderId="8" xfId="4" applyNumberFormat="1" applyFont="1" applyFill="1" applyBorder="1" applyAlignment="1">
      <alignment horizontal="center" vertical="center" wrapText="1"/>
    </xf>
    <xf numFmtId="167" fontId="31" fillId="2" borderId="8" xfId="4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" fontId="10" fillId="2" borderId="8" xfId="0" applyNumberFormat="1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7" borderId="4" xfId="0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center" vertical="center" wrapText="1"/>
    </xf>
    <xf numFmtId="0" fontId="29" fillId="7" borderId="6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left" vertical="center"/>
    </xf>
    <xf numFmtId="0" fontId="29" fillId="2" borderId="5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left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169" fontId="21" fillId="2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167" fontId="32" fillId="16" borderId="1" xfId="4" applyNumberFormat="1" applyFont="1" applyFill="1" applyBorder="1" applyAlignment="1">
      <alignment horizontal="center" vertical="center" wrapText="1"/>
    </xf>
    <xf numFmtId="166" fontId="32" fillId="16" borderId="8" xfId="0" applyNumberFormat="1" applyFont="1" applyFill="1" applyBorder="1" applyAlignment="1">
      <alignment horizontal="center" vertical="center" wrapText="1"/>
    </xf>
    <xf numFmtId="0" fontId="38" fillId="0" borderId="0" xfId="3" applyFont="1" applyAlignment="1">
      <alignment horizontal="center" vertical="top"/>
    </xf>
    <xf numFmtId="167" fontId="32" fillId="15" borderId="1" xfId="4" applyNumberFormat="1" applyFont="1" applyFill="1" applyBorder="1" applyAlignment="1">
      <alignment horizontal="center" vertical="center" wrapText="1"/>
    </xf>
    <xf numFmtId="166" fontId="32" fillId="15" borderId="8" xfId="0" applyNumberFormat="1" applyFont="1" applyFill="1" applyBorder="1" applyAlignment="1">
      <alignment horizontal="center" vertical="center" wrapText="1"/>
    </xf>
    <xf numFmtId="174" fontId="29" fillId="2" borderId="8" xfId="0" applyNumberFormat="1" applyFont="1" applyFill="1" applyBorder="1" applyAlignment="1">
      <alignment horizontal="center" vertical="center"/>
    </xf>
    <xf numFmtId="169" fontId="21" fillId="2" borderId="0" xfId="0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166" fontId="13" fillId="16" borderId="1" xfId="0" applyNumberFormat="1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166" fontId="13" fillId="15" borderId="1" xfId="0" applyNumberFormat="1" applyFont="1" applyFill="1" applyBorder="1" applyAlignment="1">
      <alignment horizontal="center" vertical="center" wrapText="1"/>
    </xf>
    <xf numFmtId="168" fontId="27" fillId="2" borderId="1" xfId="4" applyNumberFormat="1" applyFont="1" applyFill="1" applyBorder="1" applyAlignment="1">
      <alignment horizontal="center" vertical="center" wrapText="1"/>
    </xf>
    <xf numFmtId="168" fontId="27" fillId="3" borderId="1" xfId="4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/>
    </xf>
    <xf numFmtId="166" fontId="25" fillId="2" borderId="1" xfId="0" applyNumberFormat="1" applyFont="1" applyFill="1" applyBorder="1" applyAlignment="1">
      <alignment horizontal="center" vertical="center" wrapText="1"/>
    </xf>
    <xf numFmtId="168" fontId="25" fillId="2" borderId="1" xfId="4" applyNumberFormat="1" applyFont="1" applyFill="1" applyBorder="1" applyAlignment="1">
      <alignment horizontal="center" vertical="center" wrapText="1"/>
    </xf>
    <xf numFmtId="2" fontId="25" fillId="12" borderId="1" xfId="0" applyNumberFormat="1" applyFont="1" applyFill="1" applyBorder="1" applyAlignment="1">
      <alignment horizontal="center" vertical="center" wrapText="1"/>
    </xf>
    <xf numFmtId="0" fontId="40" fillId="15" borderId="3" xfId="0" applyFont="1" applyFill="1" applyBorder="1" applyAlignment="1">
      <alignment horizontal="center" vertical="center"/>
    </xf>
    <xf numFmtId="166" fontId="40" fillId="15" borderId="1" xfId="0" applyNumberFormat="1" applyFont="1" applyFill="1" applyBorder="1" applyAlignment="1">
      <alignment horizontal="center" vertical="center" wrapText="1"/>
    </xf>
    <xf numFmtId="0" fontId="40" fillId="16" borderId="3" xfId="0" applyFont="1" applyFill="1" applyBorder="1" applyAlignment="1">
      <alignment horizontal="center" vertical="center"/>
    </xf>
    <xf numFmtId="166" fontId="40" fillId="16" borderId="1" xfId="0" applyNumberFormat="1" applyFont="1" applyFill="1" applyBorder="1" applyAlignment="1">
      <alignment horizontal="center" vertical="center" wrapText="1"/>
    </xf>
    <xf numFmtId="168" fontId="27" fillId="13" borderId="1" xfId="4" applyNumberFormat="1" applyFont="1" applyFill="1" applyBorder="1" applyAlignment="1">
      <alignment horizontal="right" vertical="center" wrapText="1"/>
    </xf>
    <xf numFmtId="168" fontId="27" fillId="3" borderId="1" xfId="4" applyNumberFormat="1" applyFont="1" applyFill="1" applyBorder="1" applyAlignment="1">
      <alignment horizontal="right" vertical="center" wrapText="1"/>
    </xf>
    <xf numFmtId="164" fontId="25" fillId="2" borderId="1" xfId="0" applyNumberFormat="1" applyFont="1" applyFill="1" applyBorder="1" applyAlignment="1">
      <alignment horizontal="center" vertical="center" wrapText="1"/>
    </xf>
    <xf numFmtId="164" fontId="25" fillId="2" borderId="1" xfId="4" applyNumberFormat="1" applyFont="1" applyFill="1" applyBorder="1" applyAlignment="1">
      <alignment horizontal="right" vertical="center" wrapText="1"/>
    </xf>
    <xf numFmtId="0" fontId="27" fillId="2" borderId="0" xfId="0" applyFont="1" applyFill="1" applyAlignment="1">
      <alignment horizontal="center" vertical="center" wrapText="1"/>
    </xf>
    <xf numFmtId="168" fontId="39" fillId="16" borderId="1" xfId="4" applyNumberFormat="1" applyFont="1" applyFill="1" applyBorder="1" applyAlignment="1">
      <alignment horizontal="right" vertical="center" wrapText="1"/>
    </xf>
    <xf numFmtId="168" fontId="40" fillId="15" borderId="1" xfId="0" applyNumberFormat="1" applyFont="1" applyFill="1" applyBorder="1" applyAlignment="1">
      <alignment horizontal="center" vertical="center" wrapText="1"/>
    </xf>
    <xf numFmtId="168" fontId="25" fillId="2" borderId="1" xfId="0" applyNumberFormat="1" applyFont="1" applyFill="1" applyBorder="1" applyAlignment="1">
      <alignment horizontal="center" vertical="center" wrapText="1"/>
    </xf>
    <xf numFmtId="168" fontId="40" fillId="16" borderId="1" xfId="0" applyNumberFormat="1" applyFont="1" applyFill="1" applyBorder="1" applyAlignment="1">
      <alignment horizontal="center" vertical="center" wrapText="1"/>
    </xf>
    <xf numFmtId="164" fontId="13" fillId="15" borderId="1" xfId="4" applyNumberFormat="1" applyFont="1" applyFill="1" applyBorder="1" applyAlignment="1">
      <alignment horizontal="center" vertical="center" wrapText="1"/>
    </xf>
    <xf numFmtId="164" fontId="13" fillId="16" borderId="1" xfId="4" applyNumberFormat="1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41" fillId="0" borderId="0" xfId="3" quotePrefix="1" applyFont="1"/>
    <xf numFmtId="169" fontId="19" fillId="2" borderId="0" xfId="0" applyNumberFormat="1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 wrapText="1"/>
    </xf>
    <xf numFmtId="0" fontId="42" fillId="2" borderId="8" xfId="0" applyFont="1" applyFill="1" applyBorder="1" applyAlignment="1">
      <alignment horizontal="center" vertical="center" wrapText="1"/>
    </xf>
    <xf numFmtId="0" fontId="43" fillId="2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168" fontId="25" fillId="0" borderId="1" xfId="4" applyNumberFormat="1" applyFont="1" applyFill="1" applyBorder="1" applyAlignment="1">
      <alignment horizontal="center" vertical="center" wrapText="1"/>
    </xf>
    <xf numFmtId="1" fontId="44" fillId="10" borderId="8" xfId="0" applyNumberFormat="1" applyFont="1" applyFill="1" applyBorder="1" applyAlignment="1">
      <alignment horizontal="center" vertical="center" wrapText="1"/>
    </xf>
    <xf numFmtId="1" fontId="44" fillId="8" borderId="8" xfId="0" applyNumberFormat="1" applyFont="1" applyFill="1" applyBorder="1" applyAlignment="1">
      <alignment horizontal="center" vertical="center" wrapText="1"/>
    </xf>
    <xf numFmtId="1" fontId="44" fillId="8" borderId="1" xfId="0" applyNumberFormat="1" applyFont="1" applyFill="1" applyBorder="1" applyAlignment="1">
      <alignment horizontal="center" vertical="center" wrapText="1"/>
    </xf>
    <xf numFmtId="1" fontId="44" fillId="10" borderId="1" xfId="0" applyNumberFormat="1" applyFont="1" applyFill="1" applyBorder="1" applyAlignment="1">
      <alignment horizontal="center" vertical="center" wrapText="1"/>
    </xf>
    <xf numFmtId="167" fontId="44" fillId="2" borderId="1" xfId="4" applyNumberFormat="1" applyFont="1" applyFill="1" applyBorder="1" applyAlignment="1">
      <alignment horizontal="center" vertical="center" wrapText="1"/>
    </xf>
    <xf numFmtId="167" fontId="44" fillId="8" borderId="1" xfId="4" applyNumberFormat="1" applyFont="1" applyFill="1" applyBorder="1" applyAlignment="1">
      <alignment horizontal="center" vertical="center" wrapText="1"/>
    </xf>
    <xf numFmtId="167" fontId="44" fillId="2" borderId="1" xfId="4" applyNumberFormat="1" applyFont="1" applyFill="1" applyBorder="1" applyAlignment="1">
      <alignment horizontal="right" vertical="center" wrapText="1"/>
    </xf>
    <xf numFmtId="0" fontId="44" fillId="2" borderId="1" xfId="0" applyFont="1" applyFill="1" applyBorder="1" applyAlignment="1">
      <alignment horizontal="center" vertical="center" wrapText="1"/>
    </xf>
    <xf numFmtId="167" fontId="44" fillId="2" borderId="1" xfId="4" applyNumberFormat="1" applyFont="1" applyFill="1" applyBorder="1" applyAlignment="1">
      <alignment horizontal="right" vertical="center"/>
    </xf>
    <xf numFmtId="0" fontId="44" fillId="2" borderId="0" xfId="0" applyFont="1" applyFill="1" applyAlignment="1">
      <alignment horizontal="center" vertical="center" wrapText="1"/>
    </xf>
    <xf numFmtId="164" fontId="44" fillId="2" borderId="1" xfId="0" applyNumberFormat="1" applyFont="1" applyFill="1" applyBorder="1" applyAlignment="1">
      <alignment horizontal="center" vertical="center" wrapText="1"/>
    </xf>
    <xf numFmtId="164" fontId="44" fillId="3" borderId="1" xfId="4" applyNumberFormat="1" applyFont="1" applyFill="1" applyBorder="1" applyAlignment="1">
      <alignment horizontal="center" vertical="center" wrapText="1"/>
    </xf>
    <xf numFmtId="167" fontId="44" fillId="2" borderId="1" xfId="4" applyNumberFormat="1" applyFont="1" applyFill="1" applyBorder="1" applyAlignment="1">
      <alignment horizontal="center" vertical="center"/>
    </xf>
    <xf numFmtId="168" fontId="44" fillId="2" borderId="1" xfId="4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wrapText="1"/>
    </xf>
    <xf numFmtId="2" fontId="44" fillId="8" borderId="1" xfId="0" applyNumberFormat="1" applyFont="1" applyFill="1" applyBorder="1" applyAlignment="1">
      <alignment horizontal="center" vertical="center" wrapText="1"/>
    </xf>
    <xf numFmtId="0" fontId="44" fillId="2" borderId="1" xfId="0" applyNumberFormat="1" applyFont="1" applyFill="1" applyBorder="1" applyAlignment="1">
      <alignment horizontal="center" vertical="center" wrapText="1"/>
    </xf>
    <xf numFmtId="0" fontId="44" fillId="2" borderId="8" xfId="0" applyFont="1" applyFill="1" applyBorder="1" applyAlignment="1">
      <alignment horizontal="center" vertical="center" wrapText="1"/>
    </xf>
    <xf numFmtId="0" fontId="44" fillId="12" borderId="8" xfId="0" applyFont="1" applyFill="1" applyBorder="1" applyAlignment="1">
      <alignment horizontal="center" vertical="center" wrapText="1"/>
    </xf>
    <xf numFmtId="168" fontId="44" fillId="3" borderId="1" xfId="4" applyNumberFormat="1" applyFont="1" applyFill="1" applyBorder="1" applyAlignment="1">
      <alignment horizontal="center" vertical="center" wrapText="1"/>
    </xf>
    <xf numFmtId="1" fontId="29" fillId="2" borderId="0" xfId="0" applyNumberFormat="1" applyFont="1" applyFill="1" applyAlignment="1">
      <alignment horizontal="left" vertical="center"/>
    </xf>
    <xf numFmtId="1" fontId="30" fillId="2" borderId="0" xfId="0" applyNumberFormat="1" applyFont="1" applyFill="1" applyAlignment="1">
      <alignment horizontal="center" vertical="center"/>
    </xf>
    <xf numFmtId="0" fontId="29" fillId="2" borderId="0" xfId="0" applyFont="1" applyFill="1" applyAlignment="1">
      <alignment vertical="center"/>
    </xf>
    <xf numFmtId="0" fontId="29" fillId="2" borderId="0" xfId="0" applyFont="1" applyFill="1" applyAlignment="1">
      <alignment vertical="center" wrapText="1"/>
    </xf>
    <xf numFmtId="0" fontId="30" fillId="2" borderId="0" xfId="0" applyFont="1" applyFill="1" applyAlignment="1">
      <alignment horizontal="center" vertical="center"/>
    </xf>
    <xf numFmtId="1" fontId="30" fillId="2" borderId="7" xfId="0" applyNumberFormat="1" applyFont="1" applyFill="1" applyBorder="1" applyAlignment="1">
      <alignment horizontal="center" vertical="center"/>
    </xf>
    <xf numFmtId="1" fontId="30" fillId="2" borderId="7" xfId="0" applyNumberFormat="1" applyFont="1" applyFill="1" applyBorder="1" applyAlignment="1">
      <alignment horizontal="right" vertical="center"/>
    </xf>
    <xf numFmtId="0" fontId="29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169" fontId="31" fillId="2" borderId="0" xfId="0" applyNumberFormat="1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1" fontId="10" fillId="2" borderId="7" xfId="0" applyNumberFormat="1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166" fontId="43" fillId="2" borderId="1" xfId="0" applyNumberFormat="1" applyFont="1" applyFill="1" applyBorder="1" applyAlignment="1">
      <alignment horizontal="center" vertical="center" wrapText="1"/>
    </xf>
    <xf numFmtId="2" fontId="43" fillId="12" borderId="1" xfId="0" applyNumberFormat="1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43" fillId="2" borderId="1" xfId="0" applyFont="1" applyFill="1" applyBorder="1" applyAlignment="1">
      <alignment horizontal="center" wrapText="1"/>
    </xf>
    <xf numFmtId="2" fontId="43" fillId="8" borderId="1" xfId="0" applyNumberFormat="1" applyFont="1" applyFill="1" applyBorder="1" applyAlignment="1">
      <alignment horizontal="center" vertical="center" wrapText="1"/>
    </xf>
    <xf numFmtId="164" fontId="43" fillId="3" borderId="1" xfId="4" applyNumberFormat="1" applyFont="1" applyFill="1" applyBorder="1" applyAlignment="1">
      <alignment horizontal="center" vertical="center" wrapText="1"/>
    </xf>
    <xf numFmtId="0" fontId="43" fillId="2" borderId="1" xfId="0" applyNumberFormat="1" applyFont="1" applyFill="1" applyBorder="1" applyAlignment="1">
      <alignment horizontal="center" vertical="center" wrapText="1"/>
    </xf>
    <xf numFmtId="167" fontId="43" fillId="2" borderId="1" xfId="4" applyNumberFormat="1" applyFont="1" applyFill="1" applyBorder="1" applyAlignment="1">
      <alignment horizontal="center" vertical="center" wrapText="1"/>
    </xf>
    <xf numFmtId="0" fontId="43" fillId="12" borderId="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1" fontId="29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1" fontId="30" fillId="2" borderId="0" xfId="0" applyNumberFormat="1" applyFont="1" applyFill="1" applyAlignment="1">
      <alignment horizontal="center" vertical="center"/>
    </xf>
    <xf numFmtId="0" fontId="44" fillId="2" borderId="3" xfId="0" applyFont="1" applyFill="1" applyBorder="1" applyAlignment="1">
      <alignment vertical="center" wrapText="1"/>
    </xf>
    <xf numFmtId="0" fontId="30" fillId="2" borderId="0" xfId="0" applyFont="1" applyFill="1" applyAlignment="1">
      <alignment horizontal="center" vertical="center"/>
    </xf>
    <xf numFmtId="1" fontId="30" fillId="2" borderId="0" xfId="0" applyNumberFormat="1" applyFont="1" applyFill="1" applyAlignment="1">
      <alignment horizontal="center" vertical="center"/>
    </xf>
    <xf numFmtId="168" fontId="44" fillId="8" borderId="1" xfId="4" applyNumberFormat="1" applyFont="1" applyFill="1" applyBorder="1" applyAlignment="1">
      <alignment horizontal="center" vertical="center" wrapText="1"/>
    </xf>
    <xf numFmtId="168" fontId="44" fillId="3" borderId="1" xfId="4" applyNumberFormat="1" applyFont="1" applyFill="1" applyBorder="1" applyAlignment="1">
      <alignment horizontal="right" vertical="center" wrapText="1"/>
    </xf>
    <xf numFmtId="1" fontId="45" fillId="10" borderId="8" xfId="0" applyNumberFormat="1" applyFont="1" applyFill="1" applyBorder="1" applyAlignment="1">
      <alignment horizontal="center" vertical="center" wrapText="1"/>
    </xf>
    <xf numFmtId="1" fontId="45" fillId="8" borderId="8" xfId="0" applyNumberFormat="1" applyFont="1" applyFill="1" applyBorder="1" applyAlignment="1">
      <alignment horizontal="center" vertical="center" wrapText="1"/>
    </xf>
    <xf numFmtId="1" fontId="45" fillId="8" borderId="1" xfId="0" applyNumberFormat="1" applyFont="1" applyFill="1" applyBorder="1" applyAlignment="1">
      <alignment horizontal="center" vertical="center" wrapText="1"/>
    </xf>
    <xf numFmtId="1" fontId="45" fillId="10" borderId="1" xfId="0" applyNumberFormat="1" applyFont="1" applyFill="1" applyBorder="1" applyAlignment="1">
      <alignment horizontal="center" vertical="center" wrapText="1"/>
    </xf>
    <xf numFmtId="0" fontId="45" fillId="2" borderId="0" xfId="0" applyFont="1" applyFill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vertical="center" wrapText="1"/>
    </xf>
    <xf numFmtId="169" fontId="20" fillId="14" borderId="8" xfId="0" applyNumberFormat="1" applyFont="1" applyFill="1" applyBorder="1" applyAlignment="1">
      <alignment horizontal="center" vertical="center"/>
    </xf>
    <xf numFmtId="170" fontId="33" fillId="3" borderId="8" xfId="0" applyNumberFormat="1" applyFont="1" applyFill="1" applyBorder="1" applyAlignment="1">
      <alignment horizontal="center" vertical="center" wrapText="1"/>
    </xf>
    <xf numFmtId="169" fontId="9" fillId="3" borderId="8" xfId="0" applyNumberFormat="1" applyFont="1" applyFill="1" applyBorder="1" applyAlignment="1">
      <alignment horizontal="center" vertical="center" wrapText="1"/>
    </xf>
    <xf numFmtId="169" fontId="33" fillId="3" borderId="8" xfId="0" applyNumberFormat="1" applyFont="1" applyFill="1" applyBorder="1" applyAlignment="1">
      <alignment horizontal="center" vertical="center" wrapText="1"/>
    </xf>
    <xf numFmtId="0" fontId="36" fillId="8" borderId="8" xfId="0" applyFont="1" applyFill="1" applyBorder="1" applyAlignment="1">
      <alignment vertical="center"/>
    </xf>
    <xf numFmtId="0" fontId="12" fillId="8" borderId="8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166" fontId="43" fillId="2" borderId="8" xfId="0" applyNumberFormat="1" applyFont="1" applyFill="1" applyBorder="1" applyAlignment="1">
      <alignment horizontal="center" vertical="center" wrapText="1"/>
    </xf>
    <xf numFmtId="174" fontId="43" fillId="2" borderId="8" xfId="0" applyNumberFormat="1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/>
    </xf>
    <xf numFmtId="167" fontId="49" fillId="15" borderId="1" xfId="4" applyNumberFormat="1" applyFont="1" applyFill="1" applyBorder="1" applyAlignment="1">
      <alignment horizontal="center" vertical="center" wrapText="1"/>
    </xf>
    <xf numFmtId="167" fontId="49" fillId="16" borderId="1" xfId="4" applyNumberFormat="1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168" fontId="49" fillId="4" borderId="1" xfId="4" applyNumberFormat="1" applyFont="1" applyFill="1" applyBorder="1" applyAlignment="1">
      <alignment horizontal="right" vertical="center" wrapText="1"/>
    </xf>
    <xf numFmtId="0" fontId="44" fillId="2" borderId="0" xfId="0" applyFont="1" applyFill="1" applyAlignment="1">
      <alignment horizontal="center" vertical="center"/>
    </xf>
    <xf numFmtId="0" fontId="47" fillId="15" borderId="0" xfId="3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44" fillId="7" borderId="5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" fontId="30" fillId="2" borderId="0" xfId="0" applyNumberFormat="1" applyFont="1" applyFill="1" applyAlignment="1">
      <alignment horizontal="center" vertical="center"/>
    </xf>
    <xf numFmtId="0" fontId="50" fillId="2" borderId="0" xfId="0" applyFont="1" applyFill="1" applyAlignment="1"/>
    <xf numFmtId="0" fontId="51" fillId="0" borderId="0" xfId="3" quotePrefix="1" applyFont="1" applyAlignment="1"/>
    <xf numFmtId="0" fontId="52" fillId="0" borderId="0" xfId="3" quotePrefix="1" applyFont="1" applyAlignment="1"/>
    <xf numFmtId="168" fontId="44" fillId="2" borderId="1" xfId="4" applyNumberFormat="1" applyFont="1" applyFill="1" applyBorder="1" applyAlignment="1">
      <alignment vertical="center" wrapText="1"/>
    </xf>
    <xf numFmtId="168" fontId="44" fillId="8" borderId="1" xfId="4" applyNumberFormat="1" applyFont="1" applyFill="1" applyBorder="1" applyAlignment="1">
      <alignment vertical="center" wrapText="1"/>
    </xf>
    <xf numFmtId="168" fontId="44" fillId="3" borderId="1" xfId="4" applyNumberFormat="1" applyFont="1" applyFill="1" applyBorder="1" applyAlignment="1">
      <alignment vertical="center" wrapText="1"/>
    </xf>
    <xf numFmtId="168" fontId="44" fillId="7" borderId="1" xfId="4" applyNumberFormat="1" applyFont="1" applyFill="1" applyBorder="1" applyAlignment="1">
      <alignment vertical="center" wrapText="1"/>
    </xf>
    <xf numFmtId="168" fontId="44" fillId="2" borderId="1" xfId="0" applyNumberFormat="1" applyFont="1" applyFill="1" applyBorder="1" applyAlignment="1">
      <alignment vertical="center" wrapText="1"/>
    </xf>
    <xf numFmtId="168" fontId="44" fillId="2" borderId="1" xfId="4" applyNumberFormat="1" applyFont="1" applyFill="1" applyBorder="1" applyAlignment="1">
      <alignment vertical="center"/>
    </xf>
    <xf numFmtId="168" fontId="30" fillId="2" borderId="1" xfId="0" applyNumberFormat="1" applyFont="1" applyFill="1" applyBorder="1" applyAlignment="1">
      <alignment vertical="center" wrapText="1"/>
    </xf>
    <xf numFmtId="168" fontId="30" fillId="10" borderId="1" xfId="4" applyNumberFormat="1" applyFont="1" applyFill="1" applyBorder="1" applyAlignment="1">
      <alignment vertical="center" wrapText="1"/>
    </xf>
    <xf numFmtId="168" fontId="30" fillId="8" borderId="1" xfId="4" applyNumberFormat="1" applyFont="1" applyFill="1" applyBorder="1" applyAlignment="1">
      <alignment vertical="center" wrapText="1"/>
    </xf>
    <xf numFmtId="168" fontId="30" fillId="2" borderId="1" xfId="4" applyNumberFormat="1" applyFont="1" applyFill="1" applyBorder="1" applyAlignment="1">
      <alignment vertical="center" wrapText="1"/>
    </xf>
    <xf numFmtId="168" fontId="30" fillId="3" borderId="1" xfId="4" applyNumberFormat="1" applyFont="1" applyFill="1" applyBorder="1" applyAlignment="1">
      <alignment vertical="center" wrapText="1"/>
    </xf>
    <xf numFmtId="168" fontId="44" fillId="3" borderId="8" xfId="4" applyNumberFormat="1" applyFont="1" applyFill="1" applyBorder="1" applyAlignment="1">
      <alignment horizontal="left" vertical="center" wrapText="1"/>
    </xf>
    <xf numFmtId="167" fontId="44" fillId="2" borderId="8" xfId="4" applyNumberFormat="1" applyFont="1" applyFill="1" applyBorder="1" applyAlignment="1">
      <alignment horizontal="center" vertical="center"/>
    </xf>
    <xf numFmtId="164" fontId="43" fillId="2" borderId="8" xfId="0" applyNumberFormat="1" applyFont="1" applyFill="1" applyBorder="1" applyAlignment="1">
      <alignment horizontal="center" vertical="center" wrapText="1"/>
    </xf>
    <xf numFmtId="0" fontId="53" fillId="15" borderId="8" xfId="0" applyFont="1" applyFill="1" applyBorder="1" applyAlignment="1">
      <alignment horizontal="center" vertical="center"/>
    </xf>
    <xf numFmtId="0" fontId="53" fillId="16" borderId="8" xfId="0" applyFont="1" applyFill="1" applyBorder="1" applyAlignment="1">
      <alignment horizontal="center" vertical="center"/>
    </xf>
    <xf numFmtId="168" fontId="44" fillId="8" borderId="8" xfId="4" applyNumberFormat="1" applyFont="1" applyFill="1" applyBorder="1" applyAlignment="1">
      <alignment horizontal="left" vertical="center" wrapText="1"/>
    </xf>
    <xf numFmtId="168" fontId="44" fillId="9" borderId="8" xfId="4" applyNumberFormat="1" applyFont="1" applyFill="1" applyBorder="1" applyAlignment="1">
      <alignment horizontal="left" vertical="center" wrapText="1"/>
    </xf>
    <xf numFmtId="168" fontId="49" fillId="4" borderId="8" xfId="4" applyNumberFormat="1" applyFont="1" applyFill="1" applyBorder="1" applyAlignment="1">
      <alignment horizontal="left" vertical="center" wrapText="1"/>
    </xf>
    <xf numFmtId="167" fontId="44" fillId="2" borderId="8" xfId="4" applyNumberFormat="1" applyFont="1" applyFill="1" applyBorder="1" applyAlignment="1">
      <alignment horizontal="left" vertical="center" wrapText="1"/>
    </xf>
    <xf numFmtId="1" fontId="46" fillId="11" borderId="8" xfId="0" applyNumberFormat="1" applyFont="1" applyFill="1" applyBorder="1" applyAlignment="1">
      <alignment horizontal="center" vertical="center" wrapText="1"/>
    </xf>
    <xf numFmtId="164" fontId="30" fillId="2" borderId="1" xfId="4" applyNumberFormat="1" applyFont="1" applyFill="1" applyBorder="1" applyAlignment="1">
      <alignment horizontal="right" vertical="center" wrapText="1"/>
    </xf>
    <xf numFmtId="164" fontId="30" fillId="3" borderId="1" xfId="4" applyNumberFormat="1" applyFont="1" applyFill="1" applyBorder="1" applyAlignment="1">
      <alignment horizontal="right" vertical="center" wrapText="1"/>
    </xf>
    <xf numFmtId="164" fontId="30" fillId="5" borderId="1" xfId="4" applyNumberFormat="1" applyFont="1" applyFill="1" applyBorder="1" applyAlignment="1">
      <alignment horizontal="right" vertical="center" wrapText="1"/>
    </xf>
    <xf numFmtId="167" fontId="30" fillId="2" borderId="1" xfId="4" applyNumberFormat="1" applyFont="1" applyFill="1" applyBorder="1" applyAlignment="1">
      <alignment horizontal="right" vertical="center"/>
    </xf>
    <xf numFmtId="0" fontId="30" fillId="2" borderId="0" xfId="0" applyFont="1" applyFill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center" vertical="center"/>
    </xf>
    <xf numFmtId="0" fontId="54" fillId="15" borderId="3" xfId="0" applyFont="1" applyFill="1" applyBorder="1" applyAlignment="1">
      <alignment horizontal="center" vertical="center"/>
    </xf>
    <xf numFmtId="0" fontId="54" fillId="16" borderId="3" xfId="0" applyFont="1" applyFill="1" applyBorder="1" applyAlignment="1">
      <alignment horizontal="center" vertical="center"/>
    </xf>
    <xf numFmtId="164" fontId="30" fillId="2" borderId="8" xfId="0" applyNumberFormat="1" applyFont="1" applyFill="1" applyBorder="1" applyAlignment="1">
      <alignment horizontal="center" vertical="center" wrapText="1"/>
    </xf>
    <xf numFmtId="164" fontId="30" fillId="2" borderId="8" xfId="4" applyNumberFormat="1" applyFont="1" applyFill="1" applyBorder="1" applyAlignment="1">
      <alignment horizontal="right" vertical="center" wrapText="1"/>
    </xf>
    <xf numFmtId="164" fontId="29" fillId="8" borderId="1" xfId="4" applyNumberFormat="1" applyFont="1" applyFill="1" applyBorder="1" applyAlignment="1">
      <alignment horizontal="right" vertical="center" wrapText="1"/>
    </xf>
    <xf numFmtId="164" fontId="29" fillId="9" borderId="1" xfId="4" applyNumberFormat="1" applyFont="1" applyFill="1" applyBorder="1" applyAlignment="1">
      <alignment horizontal="right" vertical="center" wrapText="1"/>
    </xf>
    <xf numFmtId="164" fontId="32" fillId="4" borderId="1" xfId="4" applyNumberFormat="1" applyFont="1" applyFill="1" applyBorder="1" applyAlignment="1">
      <alignment horizontal="right" vertical="center" wrapText="1"/>
    </xf>
    <xf numFmtId="167" fontId="44" fillId="3" borderId="1" xfId="4" applyNumberFormat="1" applyFont="1" applyFill="1" applyBorder="1" applyAlignment="1">
      <alignment horizontal="center" vertical="center" wrapText="1"/>
    </xf>
    <xf numFmtId="167" fontId="44" fillId="5" borderId="1" xfId="4" applyNumberFormat="1" applyFont="1" applyFill="1" applyBorder="1" applyAlignment="1">
      <alignment horizontal="center" vertical="center" wrapText="1"/>
    </xf>
    <xf numFmtId="164" fontId="43" fillId="2" borderId="1" xfId="0" applyNumberFormat="1" applyFont="1" applyFill="1" applyBorder="1" applyAlignment="1">
      <alignment horizontal="center" vertical="center" wrapText="1"/>
    </xf>
    <xf numFmtId="0" fontId="53" fillId="15" borderId="3" xfId="0" applyFont="1" applyFill="1" applyBorder="1" applyAlignment="1">
      <alignment horizontal="center" vertical="center"/>
    </xf>
    <xf numFmtId="0" fontId="53" fillId="16" borderId="3" xfId="0" applyFont="1" applyFill="1" applyBorder="1" applyAlignment="1">
      <alignment horizontal="center" vertical="center"/>
    </xf>
    <xf numFmtId="0" fontId="44" fillId="2" borderId="8" xfId="0" applyFont="1" applyFill="1" applyBorder="1" applyAlignment="1">
      <alignment horizontal="center" vertical="center"/>
    </xf>
    <xf numFmtId="167" fontId="43" fillId="2" borderId="1" xfId="0" applyNumberFormat="1" applyFont="1" applyFill="1" applyBorder="1" applyAlignment="1">
      <alignment horizontal="center" vertical="center" wrapText="1"/>
    </xf>
    <xf numFmtId="167" fontId="43" fillId="8" borderId="1" xfId="0" applyNumberFormat="1" applyFont="1" applyFill="1" applyBorder="1" applyAlignment="1">
      <alignment horizontal="center" vertical="center" wrapText="1"/>
    </xf>
    <xf numFmtId="167" fontId="53" fillId="15" borderId="1" xfId="0" applyNumberFormat="1" applyFont="1" applyFill="1" applyBorder="1" applyAlignment="1">
      <alignment horizontal="center" vertical="center" wrapText="1"/>
    </xf>
    <xf numFmtId="167" fontId="53" fillId="16" borderId="3" xfId="0" applyNumberFormat="1" applyFont="1" applyFill="1" applyBorder="1" applyAlignment="1">
      <alignment horizontal="center" vertical="center"/>
    </xf>
    <xf numFmtId="167" fontId="43" fillId="2" borderId="8" xfId="0" applyNumberFormat="1" applyFont="1" applyFill="1" applyBorder="1" applyAlignment="1">
      <alignment horizontal="center" vertical="center" wrapText="1"/>
    </xf>
    <xf numFmtId="167" fontId="43" fillId="3" borderId="1" xfId="4" applyNumberFormat="1" applyFont="1" applyFill="1" applyBorder="1" applyAlignment="1">
      <alignment horizontal="center" vertical="center" wrapText="1"/>
    </xf>
    <xf numFmtId="167" fontId="43" fillId="5" borderId="1" xfId="4" applyNumberFormat="1" applyFont="1" applyFill="1" applyBorder="1" applyAlignment="1">
      <alignment horizontal="center" vertical="center" wrapText="1"/>
    </xf>
    <xf numFmtId="167" fontId="53" fillId="15" borderId="1" xfId="4" applyNumberFormat="1" applyFont="1" applyFill="1" applyBorder="1" applyAlignment="1">
      <alignment horizontal="center" vertical="center" wrapText="1"/>
    </xf>
    <xf numFmtId="167" fontId="53" fillId="16" borderId="1" xfId="4" applyNumberFormat="1" applyFont="1" applyFill="1" applyBorder="1" applyAlignment="1">
      <alignment horizontal="center" vertical="center" wrapText="1"/>
    </xf>
    <xf numFmtId="167" fontId="43" fillId="2" borderId="8" xfId="4" applyNumberFormat="1" applyFont="1" applyFill="1" applyBorder="1" applyAlignment="1">
      <alignment horizontal="center" vertical="center" wrapText="1"/>
    </xf>
    <xf numFmtId="167" fontId="44" fillId="9" borderId="1" xfId="4" applyNumberFormat="1" applyFont="1" applyFill="1" applyBorder="1" applyAlignment="1">
      <alignment horizontal="center" vertical="center" wrapText="1"/>
    </xf>
    <xf numFmtId="167" fontId="49" fillId="4" borderId="1" xfId="4" applyNumberFormat="1" applyFont="1" applyFill="1" applyBorder="1" applyAlignment="1">
      <alignment horizontal="center" vertical="center" wrapText="1"/>
    </xf>
    <xf numFmtId="1" fontId="30" fillId="2" borderId="0" xfId="0" applyNumberFormat="1" applyFont="1" applyFill="1" applyAlignment="1">
      <alignment horizontal="left" vertical="center"/>
    </xf>
    <xf numFmtId="1" fontId="30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vertical="center" wrapText="1"/>
    </xf>
    <xf numFmtId="168" fontId="43" fillId="2" borderId="1" xfId="4" applyNumberFormat="1" applyFont="1" applyFill="1" applyBorder="1" applyAlignment="1">
      <alignment vertical="center" wrapText="1"/>
    </xf>
    <xf numFmtId="164" fontId="43" fillId="2" borderId="1" xfId="0" applyNumberFormat="1" applyFont="1" applyFill="1" applyBorder="1" applyAlignment="1">
      <alignment vertical="center" wrapText="1"/>
    </xf>
    <xf numFmtId="168" fontId="53" fillId="15" borderId="1" xfId="0" applyNumberFormat="1" applyFont="1" applyFill="1" applyBorder="1" applyAlignment="1">
      <alignment vertical="center" wrapText="1"/>
    </xf>
    <xf numFmtId="168" fontId="43" fillId="2" borderId="1" xfId="0" applyNumberFormat="1" applyFont="1" applyFill="1" applyBorder="1" applyAlignment="1">
      <alignment vertical="center" wrapText="1"/>
    </xf>
    <xf numFmtId="168" fontId="53" fillId="16" borderId="1" xfId="0" applyNumberFormat="1" applyFont="1" applyFill="1" applyBorder="1" applyAlignment="1">
      <alignment vertical="center" wrapText="1"/>
    </xf>
    <xf numFmtId="168" fontId="49" fillId="16" borderId="1" xfId="4" applyNumberFormat="1" applyFont="1" applyFill="1" applyBorder="1" applyAlignment="1">
      <alignment vertical="center" wrapText="1"/>
    </xf>
    <xf numFmtId="168" fontId="44" fillId="13" borderId="1" xfId="4" applyNumberFormat="1" applyFont="1" applyFill="1" applyBorder="1" applyAlignment="1">
      <alignment vertical="center" wrapText="1"/>
    </xf>
    <xf numFmtId="168" fontId="29" fillId="2" borderId="1" xfId="4" applyNumberFormat="1" applyFont="1" applyFill="1" applyBorder="1" applyAlignment="1">
      <alignment horizontal="center" vertical="center" wrapText="1"/>
    </xf>
    <xf numFmtId="2" fontId="30" fillId="12" borderId="1" xfId="0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41" fillId="0" borderId="0" xfId="3" quotePrefix="1" applyFont="1" applyAlignment="1">
      <alignment vertical="center"/>
    </xf>
    <xf numFmtId="165" fontId="43" fillId="2" borderId="1" xfId="0" applyNumberFormat="1" applyFont="1" applyFill="1" applyBorder="1" applyAlignment="1">
      <alignment horizontal="center" vertical="center" wrapText="1"/>
    </xf>
    <xf numFmtId="168" fontId="44" fillId="8" borderId="1" xfId="4" applyNumberFormat="1" applyFont="1" applyFill="1" applyBorder="1" applyAlignment="1">
      <alignment horizontal="right" vertical="center" wrapText="1"/>
    </xf>
    <xf numFmtId="168" fontId="43" fillId="2" borderId="1" xfId="0" applyNumberFormat="1" applyFont="1" applyFill="1" applyBorder="1" applyAlignment="1">
      <alignment wrapText="1"/>
    </xf>
    <xf numFmtId="168" fontId="43" fillId="8" borderId="1" xfId="0" applyNumberFormat="1" applyFont="1" applyFill="1" applyBorder="1" applyAlignment="1">
      <alignment vertical="center" wrapText="1"/>
    </xf>
    <xf numFmtId="168" fontId="43" fillId="3" borderId="1" xfId="4" applyNumberFormat="1" applyFont="1" applyFill="1" applyBorder="1" applyAlignment="1">
      <alignment vertical="center" wrapText="1"/>
    </xf>
    <xf numFmtId="168" fontId="53" fillId="16" borderId="1" xfId="4" applyNumberFormat="1" applyFont="1" applyFill="1" applyBorder="1" applyAlignment="1">
      <alignment vertical="center" wrapText="1"/>
    </xf>
    <xf numFmtId="168" fontId="49" fillId="4" borderId="1" xfId="4" applyNumberFormat="1" applyFont="1" applyFill="1" applyBorder="1" applyAlignment="1">
      <alignment vertical="center" wrapText="1"/>
    </xf>
    <xf numFmtId="0" fontId="44" fillId="2" borderId="1" xfId="0" applyFont="1" applyFill="1" applyBorder="1" applyAlignment="1">
      <alignment vertical="center" wrapText="1"/>
    </xf>
    <xf numFmtId="167" fontId="44" fillId="2" borderId="1" xfId="4" applyNumberFormat="1" applyFont="1" applyFill="1" applyBorder="1" applyAlignment="1">
      <alignment vertical="center"/>
    </xf>
    <xf numFmtId="167" fontId="44" fillId="2" borderId="1" xfId="4" applyNumberFormat="1" applyFont="1" applyFill="1" applyBorder="1" applyAlignment="1">
      <alignment vertical="center" wrapText="1"/>
    </xf>
    <xf numFmtId="168" fontId="49" fillId="4" borderId="1" xfId="4" applyNumberFormat="1" applyFont="1" applyFill="1" applyBorder="1" applyAlignment="1">
      <alignment horizontal="center" vertical="center" wrapText="1"/>
    </xf>
    <xf numFmtId="1" fontId="29" fillId="2" borderId="0" xfId="0" applyNumberFormat="1" applyFont="1" applyFill="1" applyAlignment="1">
      <alignment vertical="center"/>
    </xf>
    <xf numFmtId="2" fontId="43" fillId="2" borderId="1" xfId="0" applyNumberFormat="1" applyFont="1" applyFill="1" applyBorder="1" applyAlignment="1">
      <alignment horizontal="center" vertical="center" wrapText="1"/>
    </xf>
    <xf numFmtId="164" fontId="53" fillId="15" borderId="1" xfId="4" applyNumberFormat="1" applyFont="1" applyFill="1" applyBorder="1" applyAlignment="1">
      <alignment horizontal="center" vertical="center" wrapText="1"/>
    </xf>
    <xf numFmtId="164" fontId="53" fillId="16" borderId="1" xfId="4" applyNumberFormat="1" applyFont="1" applyFill="1" applyBorder="1" applyAlignment="1">
      <alignment horizontal="center" vertical="center" wrapText="1"/>
    </xf>
    <xf numFmtId="0" fontId="43" fillId="18" borderId="8" xfId="0" applyFont="1" applyFill="1" applyBorder="1" applyAlignment="1">
      <alignment horizontal="center" vertical="center" wrapText="1"/>
    </xf>
    <xf numFmtId="0" fontId="44" fillId="19" borderId="8" xfId="0" applyFont="1" applyFill="1" applyBorder="1" applyAlignment="1">
      <alignment horizontal="center" vertical="center"/>
    </xf>
    <xf numFmtId="0" fontId="44" fillId="20" borderId="8" xfId="0" applyFont="1" applyFill="1" applyBorder="1" applyAlignment="1">
      <alignment horizontal="center" vertical="center"/>
    </xf>
    <xf numFmtId="0" fontId="44" fillId="21" borderId="8" xfId="0" applyFont="1" applyFill="1" applyBorder="1" applyAlignment="1">
      <alignment horizontal="center" vertical="center"/>
    </xf>
    <xf numFmtId="0" fontId="44" fillId="17" borderId="8" xfId="0" applyFont="1" applyFill="1" applyBorder="1" applyAlignment="1">
      <alignment horizontal="center" vertical="center"/>
    </xf>
    <xf numFmtId="167" fontId="44" fillId="2" borderId="1" xfId="0" applyNumberFormat="1" applyFont="1" applyFill="1" applyBorder="1" applyAlignment="1">
      <alignment horizontal="center" vertical="center" wrapText="1"/>
    </xf>
    <xf numFmtId="168" fontId="44" fillId="2" borderId="1" xfId="0" applyNumberFormat="1" applyFont="1" applyFill="1" applyBorder="1" applyAlignment="1">
      <alignment horizontal="center" vertical="center" wrapText="1"/>
    </xf>
    <xf numFmtId="0" fontId="44" fillId="2" borderId="0" xfId="0" applyFont="1" applyFill="1" applyAlignment="1">
      <alignment horizontal="center" wrapText="1"/>
    </xf>
    <xf numFmtId="167" fontId="44" fillId="2" borderId="1" xfId="4" applyNumberFormat="1" applyFont="1" applyFill="1" applyBorder="1" applyAlignment="1">
      <alignment horizontal="center"/>
    </xf>
    <xf numFmtId="0" fontId="43" fillId="2" borderId="3" xfId="0" applyFont="1" applyFill="1" applyBorder="1" applyAlignment="1">
      <alignment horizontal="center"/>
    </xf>
    <xf numFmtId="165" fontId="43" fillId="2" borderId="1" xfId="0" applyNumberFormat="1" applyFont="1" applyFill="1" applyBorder="1" applyAlignment="1">
      <alignment horizontal="center" wrapText="1"/>
    </xf>
    <xf numFmtId="0" fontId="43" fillId="2" borderId="0" xfId="0" applyFont="1" applyFill="1" applyAlignment="1">
      <alignment horizontal="center" wrapText="1"/>
    </xf>
    <xf numFmtId="0" fontId="43" fillId="2" borderId="0" xfId="0" applyFont="1" applyFill="1" applyAlignment="1">
      <alignment horizontal="center"/>
    </xf>
    <xf numFmtId="0" fontId="53" fillId="15" borderId="3" xfId="0" applyFont="1" applyFill="1" applyBorder="1" applyAlignment="1">
      <alignment horizontal="center"/>
    </xf>
    <xf numFmtId="0" fontId="53" fillId="16" borderId="3" xfId="0" applyFont="1" applyFill="1" applyBorder="1" applyAlignment="1">
      <alignment horizontal="center"/>
    </xf>
    <xf numFmtId="167" fontId="44" fillId="2" borderId="1" xfId="4" applyNumberFormat="1" applyFont="1" applyFill="1" applyBorder="1" applyAlignment="1">
      <alignment horizontal="center" wrapText="1"/>
    </xf>
    <xf numFmtId="0" fontId="44" fillId="2" borderId="0" xfId="0" applyFont="1" applyFill="1" applyAlignment="1">
      <alignment horizontal="center"/>
    </xf>
    <xf numFmtId="168" fontId="44" fillId="3" borderId="1" xfId="4" applyNumberFormat="1" applyFont="1" applyFill="1" applyBorder="1" applyAlignment="1">
      <alignment horizontal="right" wrapText="1"/>
    </xf>
    <xf numFmtId="166" fontId="43" fillId="2" borderId="8" xfId="0" applyNumberFormat="1" applyFont="1" applyFill="1" applyBorder="1" applyAlignment="1">
      <alignment horizontal="center" wrapText="1"/>
    </xf>
    <xf numFmtId="168" fontId="49" fillId="4" borderId="1" xfId="4" applyNumberFormat="1" applyFont="1" applyFill="1" applyBorder="1" applyAlignment="1">
      <alignment horizontal="right" wrapText="1"/>
    </xf>
    <xf numFmtId="168" fontId="42" fillId="2" borderId="1" xfId="4" applyNumberFormat="1" applyFont="1" applyFill="1" applyBorder="1" applyAlignment="1">
      <alignment vertical="center" wrapText="1"/>
    </xf>
    <xf numFmtId="168" fontId="30" fillId="9" borderId="1" xfId="4" applyNumberFormat="1" applyFont="1" applyFill="1" applyBorder="1" applyAlignment="1">
      <alignment vertical="center" wrapText="1"/>
    </xf>
    <xf numFmtId="168" fontId="54" fillId="15" borderId="1" xfId="4" applyNumberFormat="1" applyFont="1" applyFill="1" applyBorder="1" applyAlignment="1">
      <alignment vertical="center" wrapText="1"/>
    </xf>
    <xf numFmtId="168" fontId="54" fillId="16" borderId="1" xfId="4" applyNumberFormat="1" applyFont="1" applyFill="1" applyBorder="1" applyAlignment="1">
      <alignment vertical="center" wrapText="1"/>
    </xf>
    <xf numFmtId="168" fontId="42" fillId="2" borderId="8" xfId="4" applyNumberFormat="1" applyFont="1" applyFill="1" applyBorder="1" applyAlignment="1">
      <alignment vertical="center" wrapText="1"/>
    </xf>
    <xf numFmtId="167" fontId="43" fillId="2" borderId="1" xfId="4" applyNumberFormat="1" applyFont="1" applyFill="1" applyBorder="1" applyAlignment="1">
      <alignment vertical="center" wrapText="1"/>
    </xf>
    <xf numFmtId="168" fontId="44" fillId="9" borderId="1" xfId="4" applyNumberFormat="1" applyFont="1" applyFill="1" applyBorder="1" applyAlignment="1">
      <alignment vertical="center" wrapText="1"/>
    </xf>
    <xf numFmtId="168" fontId="48" fillId="2" borderId="1" xfId="4" applyNumberFormat="1" applyFont="1" applyFill="1" applyBorder="1" applyAlignment="1">
      <alignment vertical="center" wrapText="1"/>
    </xf>
    <xf numFmtId="168" fontId="43" fillId="10" borderId="1" xfId="4" applyNumberFormat="1" applyFont="1" applyFill="1" applyBorder="1" applyAlignment="1">
      <alignment vertical="center" wrapText="1"/>
    </xf>
    <xf numFmtId="168" fontId="43" fillId="8" borderId="1" xfId="4" applyNumberFormat="1" applyFont="1" applyFill="1" applyBorder="1" applyAlignment="1">
      <alignment vertical="center" wrapText="1"/>
    </xf>
    <xf numFmtId="168" fontId="49" fillId="15" borderId="1" xfId="4" applyNumberFormat="1" applyFont="1" applyFill="1" applyBorder="1" applyAlignment="1">
      <alignment vertical="center" wrapText="1"/>
    </xf>
    <xf numFmtId="168" fontId="48" fillId="2" borderId="8" xfId="4" applyNumberFormat="1" applyFont="1" applyFill="1" applyBorder="1" applyAlignment="1">
      <alignment vertical="center" wrapText="1"/>
    </xf>
    <xf numFmtId="168" fontId="56" fillId="2" borderId="1" xfId="4" applyNumberFormat="1" applyFont="1" applyFill="1" applyBorder="1" applyAlignment="1">
      <alignment vertical="center" wrapText="1"/>
    </xf>
    <xf numFmtId="168" fontId="43" fillId="9" borderId="1" xfId="4" applyNumberFormat="1" applyFont="1" applyFill="1" applyBorder="1" applyAlignment="1">
      <alignment vertical="center" wrapText="1"/>
    </xf>
    <xf numFmtId="168" fontId="53" fillId="15" borderId="1" xfId="4" applyNumberFormat="1" applyFont="1" applyFill="1" applyBorder="1" applyAlignment="1">
      <alignment vertical="center" wrapText="1"/>
    </xf>
    <xf numFmtId="167" fontId="53" fillId="15" borderId="1" xfId="4" applyNumberFormat="1" applyFont="1" applyFill="1" applyBorder="1" applyAlignment="1">
      <alignment vertical="center" wrapText="1"/>
    </xf>
    <xf numFmtId="167" fontId="53" fillId="16" borderId="1" xfId="4" applyNumberFormat="1" applyFont="1" applyFill="1" applyBorder="1" applyAlignment="1">
      <alignment vertical="center" wrapText="1"/>
    </xf>
    <xf numFmtId="174" fontId="43" fillId="2" borderId="8" xfId="0" applyNumberFormat="1" applyFont="1" applyFill="1" applyBorder="1" applyAlignment="1">
      <alignment horizontal="center" vertical="center"/>
    </xf>
    <xf numFmtId="1" fontId="29" fillId="2" borderId="7" xfId="0" applyNumberFormat="1" applyFont="1" applyFill="1" applyBorder="1" applyAlignment="1">
      <alignment horizontal="right" vertical="center"/>
    </xf>
    <xf numFmtId="167" fontId="44" fillId="3" borderId="8" xfId="4" applyNumberFormat="1" applyFont="1" applyFill="1" applyBorder="1" applyAlignment="1">
      <alignment horizontal="left" vertical="center" wrapText="1"/>
    </xf>
    <xf numFmtId="167" fontId="44" fillId="5" borderId="8" xfId="4" applyNumberFormat="1" applyFont="1" applyFill="1" applyBorder="1" applyAlignment="1">
      <alignment horizontal="left" vertical="center" wrapText="1"/>
    </xf>
    <xf numFmtId="167" fontId="43" fillId="2" borderId="8" xfId="0" applyNumberFormat="1" applyFont="1" applyFill="1" applyBorder="1" applyAlignment="1">
      <alignment horizontal="left" vertical="center" wrapText="1"/>
    </xf>
    <xf numFmtId="167" fontId="43" fillId="2" borderId="8" xfId="4" applyNumberFormat="1" applyFont="1" applyFill="1" applyBorder="1" applyAlignment="1">
      <alignment horizontal="left" vertical="center" wrapText="1"/>
    </xf>
    <xf numFmtId="167" fontId="43" fillId="8" borderId="8" xfId="0" applyNumberFormat="1" applyFont="1" applyFill="1" applyBorder="1" applyAlignment="1">
      <alignment horizontal="left" vertical="center" wrapText="1"/>
    </xf>
    <xf numFmtId="167" fontId="43" fillId="3" borderId="8" xfId="4" applyNumberFormat="1" applyFont="1" applyFill="1" applyBorder="1" applyAlignment="1">
      <alignment horizontal="left" vertical="center" wrapText="1"/>
    </xf>
    <xf numFmtId="167" fontId="43" fillId="5" borderId="8" xfId="4" applyNumberFormat="1" applyFont="1" applyFill="1" applyBorder="1" applyAlignment="1">
      <alignment horizontal="left" vertical="center" wrapText="1"/>
    </xf>
    <xf numFmtId="167" fontId="53" fillId="15" borderId="8" xfId="0" applyNumberFormat="1" applyFont="1" applyFill="1" applyBorder="1" applyAlignment="1">
      <alignment horizontal="left" vertical="center" wrapText="1"/>
    </xf>
    <xf numFmtId="167" fontId="53" fillId="15" borderId="8" xfId="4" applyNumberFormat="1" applyFont="1" applyFill="1" applyBorder="1" applyAlignment="1">
      <alignment horizontal="left" vertical="center" wrapText="1"/>
    </xf>
    <xf numFmtId="167" fontId="53" fillId="16" borderId="8" xfId="0" applyNumberFormat="1" applyFont="1" applyFill="1" applyBorder="1" applyAlignment="1">
      <alignment horizontal="left" vertical="center"/>
    </xf>
    <xf numFmtId="167" fontId="53" fillId="16" borderId="8" xfId="4" applyNumberFormat="1" applyFont="1" applyFill="1" applyBorder="1" applyAlignment="1">
      <alignment horizontal="left" vertical="center" wrapText="1"/>
    </xf>
    <xf numFmtId="167" fontId="44" fillId="8" borderId="8" xfId="4" applyNumberFormat="1" applyFont="1" applyFill="1" applyBorder="1" applyAlignment="1">
      <alignment horizontal="left" vertical="center" wrapText="1"/>
    </xf>
    <xf numFmtId="167" fontId="44" fillId="9" borderId="8" xfId="4" applyNumberFormat="1" applyFont="1" applyFill="1" applyBorder="1" applyAlignment="1">
      <alignment horizontal="left" vertical="center" wrapText="1"/>
    </xf>
    <xf numFmtId="167" fontId="49" fillId="4" borderId="8" xfId="4" applyNumberFormat="1" applyFont="1" applyFill="1" applyBorder="1" applyAlignment="1">
      <alignment horizontal="left" vertical="center" wrapText="1"/>
    </xf>
    <xf numFmtId="168" fontId="43" fillId="2" borderId="8" xfId="4" applyNumberFormat="1" applyFont="1" applyFill="1" applyBorder="1" applyAlignment="1">
      <alignment horizontal="left" vertical="center" wrapText="1"/>
    </xf>
    <xf numFmtId="168" fontId="43" fillId="3" borderId="8" xfId="4" applyNumberFormat="1" applyFont="1" applyFill="1" applyBorder="1" applyAlignment="1">
      <alignment horizontal="left" vertical="center" wrapText="1"/>
    </xf>
    <xf numFmtId="168" fontId="43" fillId="5" borderId="8" xfId="4" applyNumberFormat="1" applyFont="1" applyFill="1" applyBorder="1" applyAlignment="1">
      <alignment horizontal="left" vertical="center" wrapText="1"/>
    </xf>
    <xf numFmtId="168" fontId="43" fillId="2" borderId="8" xfId="0" applyNumberFormat="1" applyFont="1" applyFill="1" applyBorder="1" applyAlignment="1">
      <alignment horizontal="left" vertical="center" wrapText="1"/>
    </xf>
    <xf numFmtId="168" fontId="43" fillId="8" borderId="8" xfId="0" applyNumberFormat="1" applyFont="1" applyFill="1" applyBorder="1" applyAlignment="1">
      <alignment horizontal="left" vertical="center" wrapText="1"/>
    </xf>
    <xf numFmtId="168" fontId="53" fillId="15" borderId="8" xfId="0" applyNumberFormat="1" applyFont="1" applyFill="1" applyBorder="1" applyAlignment="1">
      <alignment horizontal="left" vertical="center" wrapText="1"/>
    </xf>
    <xf numFmtId="168" fontId="53" fillId="15" borderId="8" xfId="4" applyNumberFormat="1" applyFont="1" applyFill="1" applyBorder="1" applyAlignment="1">
      <alignment horizontal="left" vertical="center" wrapText="1"/>
    </xf>
    <xf numFmtId="168" fontId="53" fillId="16" borderId="8" xfId="0" applyNumberFormat="1" applyFont="1" applyFill="1" applyBorder="1" applyAlignment="1">
      <alignment horizontal="left" vertical="center"/>
    </xf>
    <xf numFmtId="168" fontId="53" fillId="16" borderId="8" xfId="4" applyNumberFormat="1" applyFont="1" applyFill="1" applyBorder="1" applyAlignment="1">
      <alignment horizontal="left" vertical="center" wrapText="1"/>
    </xf>
    <xf numFmtId="3" fontId="44" fillId="2" borderId="8" xfId="4" applyNumberFormat="1" applyFont="1" applyFill="1" applyBorder="1" applyAlignment="1">
      <alignment horizontal="center" vertical="center" wrapText="1"/>
    </xf>
    <xf numFmtId="3" fontId="44" fillId="3" borderId="8" xfId="4" applyNumberFormat="1" applyFont="1" applyFill="1" applyBorder="1" applyAlignment="1">
      <alignment horizontal="center" vertical="center" wrapText="1"/>
    </xf>
    <xf numFmtId="3" fontId="44" fillId="5" borderId="8" xfId="4" applyNumberFormat="1" applyFont="1" applyFill="1" applyBorder="1" applyAlignment="1">
      <alignment horizontal="center" vertical="center" wrapText="1"/>
    </xf>
    <xf numFmtId="3" fontId="44" fillId="2" borderId="8" xfId="4" applyNumberFormat="1" applyFont="1" applyFill="1" applyBorder="1" applyAlignment="1">
      <alignment horizontal="center" vertical="center"/>
    </xf>
    <xf numFmtId="3" fontId="43" fillId="2" borderId="8" xfId="0" applyNumberFormat="1" applyFont="1" applyFill="1" applyBorder="1" applyAlignment="1">
      <alignment horizontal="center" vertical="center" wrapText="1"/>
    </xf>
    <xf numFmtId="3" fontId="43" fillId="2" borderId="8" xfId="4" applyNumberFormat="1" applyFont="1" applyFill="1" applyBorder="1" applyAlignment="1">
      <alignment horizontal="center" vertical="center" wrapText="1"/>
    </xf>
    <xf numFmtId="3" fontId="43" fillId="8" borderId="8" xfId="0" applyNumberFormat="1" applyFont="1" applyFill="1" applyBorder="1" applyAlignment="1">
      <alignment horizontal="center" vertical="center" wrapText="1"/>
    </xf>
    <xf numFmtId="3" fontId="43" fillId="3" borderId="8" xfId="4" applyNumberFormat="1" applyFont="1" applyFill="1" applyBorder="1" applyAlignment="1">
      <alignment horizontal="center" vertical="center" wrapText="1"/>
    </xf>
    <xf numFmtId="3" fontId="43" fillId="5" borderId="8" xfId="4" applyNumberFormat="1" applyFont="1" applyFill="1" applyBorder="1" applyAlignment="1">
      <alignment horizontal="center" vertical="center" wrapText="1"/>
    </xf>
    <xf numFmtId="3" fontId="53" fillId="15" borderId="8" xfId="0" applyNumberFormat="1" applyFont="1" applyFill="1" applyBorder="1" applyAlignment="1">
      <alignment horizontal="center" vertical="center" wrapText="1"/>
    </xf>
    <xf numFmtId="3" fontId="53" fillId="15" borderId="8" xfId="4" applyNumberFormat="1" applyFont="1" applyFill="1" applyBorder="1" applyAlignment="1">
      <alignment horizontal="center" vertical="center" wrapText="1"/>
    </xf>
    <xf numFmtId="3" fontId="53" fillId="16" borderId="8" xfId="0" applyNumberFormat="1" applyFont="1" applyFill="1" applyBorder="1" applyAlignment="1">
      <alignment horizontal="center" vertical="center"/>
    </xf>
    <xf numFmtId="3" fontId="53" fillId="16" borderId="8" xfId="4" applyNumberFormat="1" applyFont="1" applyFill="1" applyBorder="1" applyAlignment="1">
      <alignment horizontal="center" vertical="center" wrapText="1"/>
    </xf>
    <xf numFmtId="3" fontId="44" fillId="8" borderId="8" xfId="4" applyNumberFormat="1" applyFont="1" applyFill="1" applyBorder="1" applyAlignment="1">
      <alignment horizontal="center" vertical="center" wrapText="1"/>
    </xf>
    <xf numFmtId="3" fontId="44" fillId="9" borderId="8" xfId="4" applyNumberFormat="1" applyFont="1" applyFill="1" applyBorder="1" applyAlignment="1">
      <alignment horizontal="center" vertical="center" wrapText="1"/>
    </xf>
    <xf numFmtId="3" fontId="49" fillId="4" borderId="8" xfId="4" applyNumberFormat="1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/>
    </xf>
    <xf numFmtId="1" fontId="30" fillId="2" borderId="0" xfId="0" applyNumberFormat="1" applyFont="1" applyFill="1" applyAlignment="1">
      <alignment horizontal="center"/>
    </xf>
    <xf numFmtId="1" fontId="30" fillId="2" borderId="0" xfId="0" applyNumberFormat="1" applyFont="1" applyFill="1" applyAlignment="1">
      <alignment horizontal="right"/>
    </xf>
    <xf numFmtId="1" fontId="29" fillId="2" borderId="0" xfId="0" applyNumberFormat="1" applyFont="1" applyFill="1" applyAlignment="1">
      <alignment horizontal="left"/>
    </xf>
    <xf numFmtId="1" fontId="30" fillId="2" borderId="7" xfId="0" applyNumberFormat="1" applyFont="1" applyFill="1" applyBorder="1" applyAlignment="1">
      <alignment horizontal="right"/>
    </xf>
    <xf numFmtId="0" fontId="47" fillId="15" borderId="0" xfId="3" applyFont="1" applyFill="1" applyAlignment="1">
      <alignment horizontal="center"/>
    </xf>
    <xf numFmtId="0" fontId="43" fillId="12" borderId="8" xfId="0" applyFont="1" applyFill="1" applyBorder="1" applyAlignment="1">
      <alignment vertical="center"/>
    </xf>
    <xf numFmtId="164" fontId="44" fillId="2" borderId="1" xfId="0" applyNumberFormat="1" applyFont="1" applyFill="1" applyBorder="1" applyAlignment="1">
      <alignment horizontal="center" wrapText="1"/>
    </xf>
    <xf numFmtId="164" fontId="44" fillId="3" borderId="1" xfId="4" applyNumberFormat="1" applyFont="1" applyFill="1" applyBorder="1" applyAlignment="1">
      <alignment horizontal="center" wrapText="1"/>
    </xf>
    <xf numFmtId="3" fontId="43" fillId="2" borderId="1" xfId="4" applyNumberFormat="1" applyFont="1" applyFill="1" applyBorder="1" applyAlignment="1">
      <alignment horizontal="center" wrapText="1"/>
    </xf>
    <xf numFmtId="164" fontId="43" fillId="3" borderId="1" xfId="4" applyNumberFormat="1" applyFont="1" applyFill="1" applyBorder="1" applyAlignment="1">
      <alignment horizontal="center" wrapText="1"/>
    </xf>
    <xf numFmtId="0" fontId="43" fillId="2" borderId="1" xfId="0" applyNumberFormat="1" applyFont="1" applyFill="1" applyBorder="1" applyAlignment="1">
      <alignment horizontal="center" wrapText="1"/>
    </xf>
    <xf numFmtId="2" fontId="43" fillId="2" borderId="1" xfId="0" applyNumberFormat="1" applyFont="1" applyFill="1" applyBorder="1" applyAlignment="1">
      <alignment horizontal="center" wrapText="1"/>
    </xf>
    <xf numFmtId="164" fontId="53" fillId="15" borderId="1" xfId="4" applyNumberFormat="1" applyFont="1" applyFill="1" applyBorder="1" applyAlignment="1">
      <alignment horizontal="center" wrapText="1"/>
    </xf>
    <xf numFmtId="164" fontId="53" fillId="16" borderId="1" xfId="4" applyNumberFormat="1" applyFont="1" applyFill="1" applyBorder="1" applyAlignment="1">
      <alignment horizontal="center" wrapText="1"/>
    </xf>
    <xf numFmtId="168" fontId="44" fillId="8" borderId="1" xfId="4" applyNumberFormat="1" applyFont="1" applyFill="1" applyBorder="1" applyAlignment="1">
      <alignment horizontal="right" wrapText="1"/>
    </xf>
    <xf numFmtId="0" fontId="10" fillId="2" borderId="0" xfId="0" applyFont="1" applyFill="1" applyBorder="1" applyAlignment="1">
      <alignment vertical="center"/>
    </xf>
    <xf numFmtId="1" fontId="43" fillId="8" borderId="1" xfId="0" applyNumberFormat="1" applyFont="1" applyFill="1" applyBorder="1" applyAlignment="1">
      <alignment horizontal="center" vertical="center" wrapText="1"/>
    </xf>
    <xf numFmtId="1" fontId="43" fillId="3" borderId="1" xfId="4" applyNumberFormat="1" applyFont="1" applyFill="1" applyBorder="1" applyAlignment="1">
      <alignment horizontal="center" vertical="center" wrapText="1"/>
    </xf>
    <xf numFmtId="165" fontId="43" fillId="8" borderId="1" xfId="0" applyNumberFormat="1" applyFont="1" applyFill="1" applyBorder="1" applyAlignment="1">
      <alignment horizontal="center" vertical="center" wrapText="1"/>
    </xf>
    <xf numFmtId="0" fontId="44" fillId="7" borderId="4" xfId="0" applyFont="1" applyFill="1" applyBorder="1" applyAlignment="1">
      <alignment horizontal="left" vertical="center"/>
    </xf>
    <xf numFmtId="0" fontId="57" fillId="15" borderId="0" xfId="3" applyFont="1" applyFill="1" applyAlignment="1">
      <alignment horizontal="center" vertical="top"/>
    </xf>
    <xf numFmtId="164" fontId="43" fillId="3" borderId="1" xfId="4" applyNumberFormat="1" applyFont="1" applyFill="1" applyBorder="1" applyAlignment="1">
      <alignment vertical="center" wrapText="1"/>
    </xf>
    <xf numFmtId="164" fontId="53" fillId="15" borderId="1" xfId="4" applyNumberFormat="1" applyFont="1" applyFill="1" applyBorder="1" applyAlignment="1">
      <alignment vertical="center" wrapText="1"/>
    </xf>
    <xf numFmtId="164" fontId="53" fillId="16" borderId="1" xfId="4" applyNumberFormat="1" applyFont="1" applyFill="1" applyBorder="1" applyAlignment="1">
      <alignment vertical="center" wrapText="1"/>
    </xf>
    <xf numFmtId="168" fontId="44" fillId="2" borderId="1" xfId="0" applyNumberFormat="1" applyFont="1" applyFill="1" applyBorder="1" applyAlignment="1">
      <alignment wrapText="1"/>
    </xf>
    <xf numFmtId="168" fontId="44" fillId="8" borderId="1" xfId="0" applyNumberFormat="1" applyFont="1" applyFill="1" applyBorder="1" applyAlignment="1">
      <alignment vertical="center" wrapText="1"/>
    </xf>
    <xf numFmtId="167" fontId="44" fillId="2" borderId="1" xfId="0" applyNumberFormat="1" applyFont="1" applyFill="1" applyBorder="1" applyAlignment="1">
      <alignment horizontal="center" wrapText="1"/>
    </xf>
    <xf numFmtId="167" fontId="44" fillId="8" borderId="1" xfId="0" applyNumberFormat="1" applyFont="1" applyFill="1" applyBorder="1" applyAlignment="1">
      <alignment horizontal="center" vertical="center" wrapText="1"/>
    </xf>
    <xf numFmtId="0" fontId="6" fillId="15" borderId="0" xfId="3" applyFill="1" applyAlignment="1">
      <alignment horizontal="center"/>
    </xf>
    <xf numFmtId="0" fontId="6" fillId="15" borderId="0" xfId="3" applyFill="1" applyAlignment="1">
      <alignment horizontal="center" vertical="top"/>
    </xf>
    <xf numFmtId="0" fontId="55" fillId="15" borderId="0" xfId="3" applyFont="1" applyFill="1" applyAlignment="1">
      <alignment horizontal="center" vertical="top"/>
    </xf>
    <xf numFmtId="0" fontId="55" fillId="15" borderId="0" xfId="3" applyFont="1" applyFill="1" applyAlignment="1">
      <alignment horizontal="center"/>
    </xf>
    <xf numFmtId="164" fontId="44" fillId="2" borderId="1" xfId="4" applyNumberFormat="1" applyFont="1" applyFill="1" applyBorder="1" applyAlignment="1">
      <alignment horizontal="center" vertical="center"/>
    </xf>
    <xf numFmtId="169" fontId="12" fillId="17" borderId="8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vertical="center"/>
    </xf>
    <xf numFmtId="1" fontId="12" fillId="2" borderId="8" xfId="0" applyNumberFormat="1" applyFont="1" applyFill="1" applyBorder="1" applyAlignment="1">
      <alignment vertical="center"/>
    </xf>
    <xf numFmtId="169" fontId="19" fillId="13" borderId="8" xfId="0" applyNumberFormat="1" applyFont="1" applyFill="1" applyBorder="1" applyAlignment="1">
      <alignment horizontal="center" vertical="center"/>
    </xf>
    <xf numFmtId="167" fontId="43" fillId="2" borderId="1" xfId="0" applyNumberFormat="1" applyFont="1" applyFill="1" applyBorder="1" applyAlignment="1">
      <alignment vertical="center" wrapText="1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176" fontId="44" fillId="3" borderId="1" xfId="4" applyNumberFormat="1" applyFont="1" applyFill="1" applyBorder="1" applyAlignment="1">
      <alignment vertical="center" wrapText="1"/>
    </xf>
    <xf numFmtId="176" fontId="44" fillId="7" borderId="1" xfId="4" applyNumberFormat="1" applyFont="1" applyFill="1" applyBorder="1" applyAlignment="1">
      <alignment vertical="center" wrapText="1"/>
    </xf>
    <xf numFmtId="0" fontId="29" fillId="22" borderId="0" xfId="0" applyFont="1" applyFill="1" applyAlignment="1">
      <alignment horizontal="center" vertical="center"/>
    </xf>
    <xf numFmtId="1" fontId="29" fillId="22" borderId="0" xfId="0" applyNumberFormat="1" applyFont="1" applyFill="1" applyAlignment="1">
      <alignment horizontal="center" vertical="center"/>
    </xf>
    <xf numFmtId="0" fontId="43" fillId="2" borderId="0" xfId="0" applyFont="1" applyFill="1" applyBorder="1" applyAlignment="1">
      <alignment horizontal="center" vertical="center"/>
    </xf>
    <xf numFmtId="0" fontId="43" fillId="2" borderId="0" xfId="0" applyFont="1" applyFill="1" applyBorder="1" applyAlignment="1">
      <alignment horizontal="center" vertical="center" wrapText="1"/>
    </xf>
    <xf numFmtId="165" fontId="43" fillId="3" borderId="1" xfId="4" applyNumberFormat="1" applyFont="1" applyFill="1" applyBorder="1" applyAlignment="1">
      <alignment vertical="center" wrapText="1"/>
    </xf>
    <xf numFmtId="177" fontId="44" fillId="3" borderId="1" xfId="4" applyNumberFormat="1" applyFont="1" applyFill="1" applyBorder="1" applyAlignment="1">
      <alignment vertical="center" wrapText="1"/>
    </xf>
    <xf numFmtId="177" fontId="44" fillId="8" borderId="1" xfId="4" applyNumberFormat="1" applyFont="1" applyFill="1" applyBorder="1" applyAlignment="1">
      <alignment vertical="center" wrapText="1"/>
    </xf>
    <xf numFmtId="178" fontId="44" fillId="3" borderId="1" xfId="4" applyNumberFormat="1" applyFont="1" applyFill="1" applyBorder="1" applyAlignment="1">
      <alignment vertical="center" wrapText="1"/>
    </xf>
    <xf numFmtId="178" fontId="44" fillId="8" borderId="1" xfId="4" applyNumberFormat="1" applyFont="1" applyFill="1" applyBorder="1" applyAlignment="1">
      <alignment vertical="center" wrapText="1"/>
    </xf>
    <xf numFmtId="165" fontId="44" fillId="2" borderId="1" xfId="4" applyNumberFormat="1" applyFont="1" applyFill="1" applyBorder="1" applyAlignment="1">
      <alignment vertical="center" wrapText="1"/>
    </xf>
    <xf numFmtId="165" fontId="44" fillId="8" borderId="1" xfId="4" applyNumberFormat="1" applyFont="1" applyFill="1" applyBorder="1" applyAlignment="1">
      <alignment vertical="center" wrapText="1"/>
    </xf>
    <xf numFmtId="165" fontId="44" fillId="3" borderId="1" xfId="4" applyNumberFormat="1" applyFont="1" applyFill="1" applyBorder="1" applyAlignment="1">
      <alignment vertical="center" wrapText="1"/>
    </xf>
    <xf numFmtId="177" fontId="43" fillId="2" borderId="1" xfId="4" applyNumberFormat="1" applyFont="1" applyFill="1" applyBorder="1" applyAlignment="1">
      <alignment vertical="center" wrapText="1"/>
    </xf>
    <xf numFmtId="177" fontId="43" fillId="3" borderId="1" xfId="4" applyNumberFormat="1" applyFont="1" applyFill="1" applyBorder="1" applyAlignment="1">
      <alignment vertical="center" wrapText="1"/>
    </xf>
    <xf numFmtId="177" fontId="53" fillId="15" borderId="1" xfId="4" applyNumberFormat="1" applyFont="1" applyFill="1" applyBorder="1" applyAlignment="1">
      <alignment vertical="center" wrapText="1"/>
    </xf>
    <xf numFmtId="177" fontId="53" fillId="16" borderId="1" xfId="4" applyNumberFormat="1" applyFont="1" applyFill="1" applyBorder="1" applyAlignment="1">
      <alignment vertical="center" wrapText="1"/>
    </xf>
    <xf numFmtId="165" fontId="43" fillId="2" borderId="1" xfId="4" applyNumberFormat="1" applyFont="1" applyFill="1" applyBorder="1" applyAlignment="1">
      <alignment vertical="center" wrapText="1"/>
    </xf>
    <xf numFmtId="165" fontId="53" fillId="15" borderId="1" xfId="4" applyNumberFormat="1" applyFont="1" applyFill="1" applyBorder="1" applyAlignment="1">
      <alignment vertical="center" wrapText="1"/>
    </xf>
    <xf numFmtId="165" fontId="53" fillId="16" borderId="1" xfId="4" applyNumberFormat="1" applyFont="1" applyFill="1" applyBorder="1" applyAlignment="1">
      <alignment vertical="center" wrapText="1"/>
    </xf>
    <xf numFmtId="2" fontId="44" fillId="2" borderId="1" xfId="4" applyNumberFormat="1" applyFont="1" applyFill="1" applyBorder="1" applyAlignment="1">
      <alignment vertical="center" wrapText="1"/>
    </xf>
    <xf numFmtId="2" fontId="44" fillId="8" borderId="1" xfId="4" applyNumberFormat="1" applyFont="1" applyFill="1" applyBorder="1" applyAlignment="1">
      <alignment vertical="center" wrapText="1"/>
    </xf>
    <xf numFmtId="2" fontId="44" fillId="3" borderId="1" xfId="4" applyNumberFormat="1" applyFont="1" applyFill="1" applyBorder="1" applyAlignment="1">
      <alignment vertical="center" wrapText="1"/>
    </xf>
    <xf numFmtId="169" fontId="12" fillId="3" borderId="8" xfId="0" applyNumberFormat="1" applyFont="1" applyFill="1" applyBorder="1" applyAlignment="1">
      <alignment horizontal="right" vertical="center"/>
    </xf>
    <xf numFmtId="169" fontId="12" fillId="17" borderId="8" xfId="0" applyNumberFormat="1" applyFont="1" applyFill="1" applyBorder="1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167" fontId="30" fillId="2" borderId="8" xfId="0" applyNumberFormat="1" applyFont="1" applyFill="1" applyBorder="1" applyAlignment="1">
      <alignment horizontal="left" vertical="center" wrapText="1"/>
    </xf>
    <xf numFmtId="167" fontId="30" fillId="2" borderId="8" xfId="4" applyNumberFormat="1" applyFont="1" applyFill="1" applyBorder="1" applyAlignment="1">
      <alignment horizontal="left" vertical="center" wrapText="1"/>
    </xf>
    <xf numFmtId="168" fontId="49" fillId="23" borderId="1" xfId="4" applyNumberFormat="1" applyFont="1" applyFill="1" applyBorder="1" applyAlignment="1">
      <alignment vertical="center" wrapText="1"/>
    </xf>
    <xf numFmtId="164" fontId="49" fillId="23" borderId="1" xfId="4" applyNumberFormat="1" applyFont="1" applyFill="1" applyBorder="1" applyAlignment="1">
      <alignment horizontal="center" vertical="center" wrapText="1"/>
    </xf>
    <xf numFmtId="167" fontId="49" fillId="23" borderId="1" xfId="4" applyNumberFormat="1" applyFont="1" applyFill="1" applyBorder="1" applyAlignment="1">
      <alignment horizontal="center" vertical="center" wrapText="1"/>
    </xf>
    <xf numFmtId="164" fontId="32" fillId="23" borderId="1" xfId="4" applyNumberFormat="1" applyFont="1" applyFill="1" applyBorder="1" applyAlignment="1">
      <alignment horizontal="right" vertical="center" wrapText="1"/>
    </xf>
    <xf numFmtId="167" fontId="49" fillId="23" borderId="8" xfId="4" applyNumberFormat="1" applyFont="1" applyFill="1" applyBorder="1" applyAlignment="1">
      <alignment horizontal="left" vertical="center" wrapText="1"/>
    </xf>
    <xf numFmtId="168" fontId="53" fillId="23" borderId="8" xfId="4" applyNumberFormat="1" applyFont="1" applyFill="1" applyBorder="1" applyAlignment="1">
      <alignment horizontal="left" vertical="center" wrapText="1"/>
    </xf>
    <xf numFmtId="168" fontId="32" fillId="23" borderId="8" xfId="4" applyNumberFormat="1" applyFont="1" applyFill="1" applyBorder="1" applyAlignment="1">
      <alignment horizontal="left" vertical="center" wrapText="1"/>
    </xf>
    <xf numFmtId="3" fontId="49" fillId="23" borderId="8" xfId="4" applyNumberFormat="1" applyFont="1" applyFill="1" applyBorder="1" applyAlignment="1">
      <alignment horizontal="center" vertical="center" wrapText="1"/>
    </xf>
    <xf numFmtId="1" fontId="32" fillId="23" borderId="0" xfId="0" applyNumberFormat="1" applyFont="1" applyFill="1" applyAlignment="1">
      <alignment horizontal="center" vertical="center"/>
    </xf>
    <xf numFmtId="168" fontId="32" fillId="23" borderId="1" xfId="4" applyNumberFormat="1" applyFont="1" applyFill="1" applyBorder="1" applyAlignment="1">
      <alignment vertical="center" wrapText="1"/>
    </xf>
    <xf numFmtId="176" fontId="49" fillId="23" borderId="1" xfId="4" applyNumberFormat="1" applyFont="1" applyFill="1" applyBorder="1" applyAlignment="1">
      <alignment vertical="center" wrapText="1"/>
    </xf>
    <xf numFmtId="1" fontId="49" fillId="23" borderId="0" xfId="0" applyNumberFormat="1" applyFont="1" applyFill="1" applyAlignment="1">
      <alignment horizontal="center" vertical="center"/>
    </xf>
    <xf numFmtId="2" fontId="49" fillId="23" borderId="1" xfId="4" applyNumberFormat="1" applyFont="1" applyFill="1" applyBorder="1" applyAlignment="1">
      <alignment vertical="center" wrapText="1"/>
    </xf>
    <xf numFmtId="165" fontId="49" fillId="23" borderId="1" xfId="4" applyNumberFormat="1" applyFont="1" applyFill="1" applyBorder="1" applyAlignment="1">
      <alignment vertical="center" wrapText="1"/>
    </xf>
    <xf numFmtId="165" fontId="49" fillId="23" borderId="0" xfId="0" applyNumberFormat="1" applyFont="1" applyFill="1" applyAlignment="1">
      <alignment horizontal="center" vertical="center"/>
    </xf>
    <xf numFmtId="1" fontId="30" fillId="5" borderId="0" xfId="0" applyNumberFormat="1" applyFont="1" applyFill="1" applyAlignment="1">
      <alignment horizontal="center" vertical="center"/>
    </xf>
    <xf numFmtId="164" fontId="44" fillId="5" borderId="1" xfId="4" applyNumberFormat="1" applyFont="1" applyFill="1" applyBorder="1" applyAlignment="1">
      <alignment horizontal="center" vertical="center" wrapText="1"/>
    </xf>
    <xf numFmtId="167" fontId="44" fillId="3" borderId="1" xfId="4" applyNumberFormat="1" applyFont="1" applyFill="1" applyBorder="1" applyAlignment="1">
      <alignment vertical="center" wrapText="1"/>
    </xf>
    <xf numFmtId="167" fontId="49" fillId="4" borderId="1" xfId="4" applyNumberFormat="1" applyFont="1" applyFill="1" applyBorder="1" applyAlignment="1">
      <alignment vertical="center" wrapText="1"/>
    </xf>
    <xf numFmtId="164" fontId="44" fillId="3" borderId="1" xfId="4" applyNumberFormat="1" applyFont="1" applyFill="1" applyBorder="1" applyAlignment="1">
      <alignment vertical="center" wrapText="1"/>
    </xf>
    <xf numFmtId="168" fontId="49" fillId="23" borderId="0" xfId="4" applyNumberFormat="1" applyFont="1" applyFill="1" applyAlignment="1">
      <alignment horizontal="center" vertical="center"/>
    </xf>
    <xf numFmtId="175" fontId="44" fillId="3" borderId="1" xfId="4" applyNumberFormat="1" applyFont="1" applyFill="1" applyBorder="1" applyAlignment="1">
      <alignment vertical="center" wrapText="1"/>
    </xf>
    <xf numFmtId="175" fontId="49" fillId="4" borderId="1" xfId="4" applyNumberFormat="1" applyFont="1" applyFill="1" applyBorder="1" applyAlignment="1">
      <alignment vertical="center" wrapText="1"/>
    </xf>
    <xf numFmtId="180" fontId="25" fillId="2" borderId="0" xfId="0" applyNumberFormat="1" applyFont="1" applyFill="1" applyAlignment="1">
      <alignment horizontal="center" vertical="center"/>
    </xf>
    <xf numFmtId="179" fontId="43" fillId="2" borderId="0" xfId="0" applyNumberFormat="1" applyFont="1" applyFill="1" applyAlignment="1">
      <alignment horizontal="center" vertical="center"/>
    </xf>
    <xf numFmtId="175" fontId="43" fillId="2" borderId="0" xfId="0" applyNumberFormat="1" applyFont="1" applyFill="1" applyAlignment="1">
      <alignment horizontal="center" vertical="center"/>
    </xf>
    <xf numFmtId="175" fontId="25" fillId="2" borderId="0" xfId="0" applyNumberFormat="1" applyFont="1" applyFill="1" applyAlignment="1">
      <alignment horizontal="center" vertical="center"/>
    </xf>
    <xf numFmtId="0" fontId="45" fillId="2" borderId="0" xfId="0" applyFont="1" applyFill="1" applyBorder="1" applyAlignment="1">
      <alignment horizontal="center" vertical="center" wrapText="1"/>
    </xf>
    <xf numFmtId="174" fontId="43" fillId="2" borderId="0" xfId="0" applyNumberFormat="1" applyFont="1" applyFill="1" applyBorder="1" applyAlignment="1">
      <alignment horizontal="center" vertical="center" wrapText="1"/>
    </xf>
    <xf numFmtId="174" fontId="43" fillId="2" borderId="0" xfId="0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10" fontId="43" fillId="2" borderId="8" xfId="0" applyNumberFormat="1" applyFont="1" applyFill="1" applyBorder="1" applyAlignment="1">
      <alignment horizontal="center" vertical="center" wrapText="1"/>
    </xf>
    <xf numFmtId="172" fontId="44" fillId="3" borderId="1" xfId="4" applyNumberFormat="1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172" fontId="44" fillId="3" borderId="1" xfId="4" applyNumberFormat="1" applyFont="1" applyFill="1" applyBorder="1" applyAlignment="1">
      <alignment horizontal="right" wrapText="1"/>
    </xf>
    <xf numFmtId="172" fontId="44" fillId="9" borderId="1" xfId="4" applyNumberFormat="1" applyFont="1" applyFill="1" applyBorder="1" applyAlignment="1">
      <alignment vertical="center" wrapText="1"/>
    </xf>
    <xf numFmtId="173" fontId="44" fillId="8" borderId="1" xfId="4" applyNumberFormat="1" applyFont="1" applyFill="1" applyBorder="1" applyAlignment="1">
      <alignment horizontal="right" wrapText="1"/>
    </xf>
    <xf numFmtId="1" fontId="12" fillId="2" borderId="8" xfId="0" quotePrefix="1" applyNumberFormat="1" applyFont="1" applyFill="1" applyBorder="1" applyAlignment="1">
      <alignment vertical="center"/>
    </xf>
    <xf numFmtId="173" fontId="44" fillId="3" borderId="1" xfId="4" applyNumberFormat="1" applyFont="1" applyFill="1" applyBorder="1" applyAlignment="1">
      <alignment vertical="center" wrapText="1"/>
    </xf>
    <xf numFmtId="168" fontId="44" fillId="4" borderId="1" xfId="4" applyNumberFormat="1" applyFont="1" applyFill="1" applyBorder="1" applyAlignment="1">
      <alignment vertical="center" wrapText="1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181" fontId="29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44" fillId="7" borderId="5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1" fontId="46" fillId="11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  <xf numFmtId="0" fontId="30" fillId="2" borderId="0" xfId="0" applyFont="1" applyFill="1" applyAlignment="1">
      <alignment horizontal="center"/>
    </xf>
    <xf numFmtId="1" fontId="44" fillId="2" borderId="8" xfId="0" applyNumberFormat="1" applyFont="1" applyFill="1" applyBorder="1" applyAlignment="1">
      <alignment horizontal="center" vertical="center" wrapText="1"/>
    </xf>
    <xf numFmtId="168" fontId="44" fillId="2" borderId="8" xfId="4" applyNumberFormat="1" applyFont="1" applyFill="1" applyBorder="1" applyAlignment="1">
      <alignment horizontal="center" vertical="center" wrapText="1"/>
    </xf>
    <xf numFmtId="168" fontId="43" fillId="2" borderId="8" xfId="4" applyNumberFormat="1" applyFont="1" applyFill="1" applyBorder="1" applyAlignment="1">
      <alignment horizontal="center" vertical="center" wrapText="1"/>
    </xf>
    <xf numFmtId="1" fontId="44" fillId="2" borderId="8" xfId="4" applyNumberFormat="1" applyFont="1" applyFill="1" applyBorder="1" applyAlignment="1">
      <alignment horizontal="center" vertical="center" wrapText="1"/>
    </xf>
    <xf numFmtId="1" fontId="43" fillId="2" borderId="8" xfId="0" applyNumberFormat="1" applyFont="1" applyFill="1" applyBorder="1" applyAlignment="1">
      <alignment horizontal="center" vertical="center" wrapText="1"/>
    </xf>
    <xf numFmtId="1" fontId="43" fillId="2" borderId="8" xfId="0" applyNumberFormat="1" applyFont="1" applyFill="1" applyBorder="1" applyAlignment="1">
      <alignment horizontal="center" vertical="center"/>
    </xf>
    <xf numFmtId="1" fontId="44" fillId="2" borderId="8" xfId="0" applyNumberFormat="1" applyFont="1" applyFill="1" applyBorder="1" applyAlignment="1">
      <alignment horizontal="center" vertical="center"/>
    </xf>
    <xf numFmtId="168" fontId="43" fillId="2" borderId="1" xfId="0" applyNumberFormat="1" applyFont="1" applyFill="1" applyBorder="1" applyAlignment="1">
      <alignment horizontal="center" wrapText="1"/>
    </xf>
    <xf numFmtId="168" fontId="44" fillId="2" borderId="1" xfId="0" applyNumberFormat="1" applyFont="1" applyFill="1" applyBorder="1" applyAlignment="1">
      <alignment horizontal="center" wrapText="1"/>
    </xf>
    <xf numFmtId="1" fontId="49" fillId="24" borderId="8" xfId="0" applyNumberFormat="1" applyFont="1" applyFill="1" applyBorder="1" applyAlignment="1">
      <alignment horizontal="center" vertical="center" wrapText="1"/>
    </xf>
    <xf numFmtId="0" fontId="49" fillId="24" borderId="2" xfId="0" applyFont="1" applyFill="1" applyBorder="1" applyAlignment="1">
      <alignment horizontal="center" vertical="center" wrapText="1"/>
    </xf>
    <xf numFmtId="0" fontId="44" fillId="11" borderId="8" xfId="0" applyFont="1" applyFill="1" applyBorder="1" applyAlignment="1">
      <alignment horizontal="center" vertical="center"/>
    </xf>
    <xf numFmtId="2" fontId="43" fillId="2" borderId="8" xfId="0" applyNumberFormat="1" applyFont="1" applyFill="1" applyBorder="1" applyAlignment="1">
      <alignment horizontal="center" vertical="center" wrapText="1"/>
    </xf>
    <xf numFmtId="0" fontId="45" fillId="19" borderId="2" xfId="0" applyFont="1" applyFill="1" applyBorder="1" applyAlignment="1">
      <alignment horizontal="center" vertical="center" wrapText="1"/>
    </xf>
    <xf numFmtId="166" fontId="43" fillId="19" borderId="8" xfId="0" applyNumberFormat="1" applyFont="1" applyFill="1" applyBorder="1" applyAlignment="1">
      <alignment horizontal="center" vertical="center" wrapText="1"/>
    </xf>
    <xf numFmtId="16" fontId="43" fillId="19" borderId="8" xfId="0" applyNumberFormat="1" applyFont="1" applyFill="1" applyBorder="1" applyAlignment="1">
      <alignment horizontal="center" vertical="center" wrapText="1"/>
    </xf>
    <xf numFmtId="167" fontId="44" fillId="19" borderId="1" xfId="4" applyNumberFormat="1" applyFont="1" applyFill="1" applyBorder="1" applyAlignment="1">
      <alignment horizontal="center" vertical="center" wrapText="1"/>
    </xf>
    <xf numFmtId="177" fontId="43" fillId="3" borderId="1" xfId="0" applyNumberFormat="1" applyFont="1" applyFill="1" applyBorder="1" applyAlignment="1">
      <alignment vertical="center" wrapText="1"/>
    </xf>
    <xf numFmtId="177" fontId="43" fillId="9" borderId="1" xfId="0" applyNumberFormat="1" applyFont="1" applyFill="1" applyBorder="1" applyAlignment="1">
      <alignment vertical="center" wrapText="1"/>
    </xf>
    <xf numFmtId="168" fontId="43" fillId="11" borderId="1" xfId="4" applyNumberFormat="1" applyFont="1" applyFill="1" applyBorder="1" applyAlignment="1">
      <alignment vertical="center" wrapText="1"/>
    </xf>
    <xf numFmtId="168" fontId="43" fillId="16" borderId="1" xfId="4" applyNumberFormat="1" applyFont="1" applyFill="1" applyBorder="1" applyAlignment="1">
      <alignment vertical="center" wrapText="1"/>
    </xf>
    <xf numFmtId="168" fontId="43" fillId="15" borderId="1" xfId="4" applyNumberFormat="1" applyFont="1" applyFill="1" applyBorder="1" applyAlignment="1">
      <alignment vertical="center" wrapText="1"/>
    </xf>
    <xf numFmtId="164" fontId="43" fillId="9" borderId="8" xfId="0" applyNumberFormat="1" applyFont="1" applyFill="1" applyBorder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  <xf numFmtId="1" fontId="44" fillId="2" borderId="4" xfId="4" applyNumberFormat="1" applyFont="1" applyFill="1" applyBorder="1" applyAlignment="1">
      <alignment horizontal="center" vertical="center" wrapText="1"/>
    </xf>
    <xf numFmtId="1" fontId="44" fillId="10" borderId="14" xfId="0" applyNumberFormat="1" applyFont="1" applyFill="1" applyBorder="1" applyAlignment="1">
      <alignment horizontal="center" vertical="center" wrapText="1"/>
    </xf>
    <xf numFmtId="1" fontId="44" fillId="8" borderId="15" xfId="0" applyNumberFormat="1" applyFont="1" applyFill="1" applyBorder="1" applyAlignment="1">
      <alignment horizontal="center" vertical="center" wrapText="1"/>
    </xf>
    <xf numFmtId="1" fontId="43" fillId="2" borderId="14" xfId="0" applyNumberFormat="1" applyFont="1" applyFill="1" applyBorder="1" applyAlignment="1">
      <alignment horizontal="center" vertical="center" wrapText="1"/>
    </xf>
    <xf numFmtId="1" fontId="43" fillId="2" borderId="15" xfId="0" applyNumberFormat="1" applyFont="1" applyFill="1" applyBorder="1" applyAlignment="1">
      <alignment horizontal="center" vertical="center" wrapText="1"/>
    </xf>
    <xf numFmtId="168" fontId="43" fillId="6" borderId="8" xfId="0" applyNumberFormat="1" applyFont="1" applyFill="1" applyBorder="1" applyAlignment="1">
      <alignment vertical="center" wrapText="1"/>
    </xf>
    <xf numFmtId="168" fontId="43" fillId="6" borderId="15" xfId="0" applyNumberFormat="1" applyFont="1" applyFill="1" applyBorder="1" applyAlignment="1">
      <alignment vertical="center" wrapText="1"/>
    </xf>
    <xf numFmtId="168" fontId="43" fillId="2" borderId="14" xfId="0" applyNumberFormat="1" applyFont="1" applyFill="1" applyBorder="1" applyAlignment="1">
      <alignment wrapText="1"/>
    </xf>
    <xf numFmtId="1" fontId="44" fillId="2" borderId="16" xfId="4" applyNumberFormat="1" applyFont="1" applyFill="1" applyBorder="1" applyAlignment="1">
      <alignment horizontal="center" vertical="center" wrapText="1"/>
    </xf>
    <xf numFmtId="1" fontId="44" fillId="2" borderId="17" xfId="4" applyNumberFormat="1" applyFont="1" applyFill="1" applyBorder="1" applyAlignment="1">
      <alignment horizontal="center" vertical="center" wrapText="1"/>
    </xf>
    <xf numFmtId="1" fontId="44" fillId="2" borderId="18" xfId="4" applyNumberFormat="1" applyFont="1" applyFill="1" applyBorder="1" applyAlignment="1">
      <alignment horizontal="center" vertical="center" wrapText="1"/>
    </xf>
    <xf numFmtId="173" fontId="43" fillId="2" borderId="1" xfId="0" applyNumberFormat="1" applyFont="1" applyFill="1" applyBorder="1" applyAlignment="1">
      <alignment vertical="center" wrapText="1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wrapText="1"/>
    </xf>
    <xf numFmtId="0" fontId="30" fillId="2" borderId="0" xfId="0" applyFont="1" applyFill="1" applyAlignment="1">
      <alignment horizontal="center" vertical="center"/>
    </xf>
    <xf numFmtId="1" fontId="46" fillId="11" borderId="8" xfId="0" applyNumberFormat="1" applyFont="1" applyFill="1" applyBorder="1" applyAlignment="1">
      <alignment horizontal="center" vertical="center" wrapText="1"/>
    </xf>
    <xf numFmtId="1" fontId="44" fillId="2" borderId="8" xfId="0" applyNumberFormat="1" applyFont="1" applyFill="1" applyBorder="1" applyAlignment="1">
      <alignment horizontal="center" vertical="center" wrapText="1"/>
    </xf>
    <xf numFmtId="0" fontId="32" fillId="23" borderId="8" xfId="0" applyFont="1" applyFill="1" applyBorder="1" applyAlignment="1">
      <alignment horizontal="center" vertical="center"/>
    </xf>
    <xf numFmtId="165" fontId="44" fillId="2" borderId="8" xfId="4" applyNumberFormat="1" applyFont="1" applyFill="1" applyBorder="1" applyAlignment="1">
      <alignment horizontal="center" vertical="center" wrapText="1"/>
    </xf>
    <xf numFmtId="169" fontId="10" fillId="3" borderId="8" xfId="0" applyNumberFormat="1" applyFont="1" applyFill="1" applyBorder="1" applyAlignment="1">
      <alignment horizontal="right" vertical="center"/>
    </xf>
    <xf numFmtId="0" fontId="30" fillId="2" borderId="0" xfId="0" applyFont="1" applyFill="1" applyAlignment="1">
      <alignment horizontal="center"/>
    </xf>
    <xf numFmtId="2" fontId="44" fillId="2" borderId="8" xfId="4" applyNumberFormat="1" applyFont="1" applyFill="1" applyBorder="1" applyAlignment="1">
      <alignment horizontal="center" vertical="center" wrapText="1"/>
    </xf>
    <xf numFmtId="173" fontId="49" fillId="4" borderId="8" xfId="4" applyNumberFormat="1" applyFont="1" applyFill="1" applyBorder="1" applyAlignment="1">
      <alignment horizontal="left" vertical="center" wrapText="1"/>
    </xf>
    <xf numFmtId="182" fontId="49" fillId="4" borderId="8" xfId="4" applyNumberFormat="1" applyFont="1" applyFill="1" applyBorder="1" applyAlignment="1">
      <alignment horizontal="left" vertical="center" wrapText="1"/>
    </xf>
    <xf numFmtId="183" fontId="29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/>
    </xf>
    <xf numFmtId="168" fontId="42" fillId="2" borderId="8" xfId="4" applyNumberFormat="1" applyFont="1" applyFill="1" applyBorder="1" applyAlignment="1">
      <alignment horizontal="center" vertical="center" wrapText="1"/>
    </xf>
    <xf numFmtId="164" fontId="30" fillId="2" borderId="1" xfId="0" applyNumberFormat="1" applyFont="1" applyFill="1" applyBorder="1" applyAlignment="1">
      <alignment vertical="center" wrapText="1"/>
    </xf>
    <xf numFmtId="168" fontId="54" fillId="15" borderId="1" xfId="0" applyNumberFormat="1" applyFont="1" applyFill="1" applyBorder="1" applyAlignment="1">
      <alignment vertical="center" wrapText="1"/>
    </xf>
    <xf numFmtId="168" fontId="54" fillId="16" borderId="1" xfId="0" applyNumberFormat="1" applyFont="1" applyFill="1" applyBorder="1" applyAlignment="1">
      <alignment vertical="center" wrapText="1"/>
    </xf>
    <xf numFmtId="168" fontId="29" fillId="2" borderId="1" xfId="4" applyNumberFormat="1" applyFont="1" applyFill="1" applyBorder="1" applyAlignment="1">
      <alignment vertical="center" wrapText="1"/>
    </xf>
    <xf numFmtId="168" fontId="31" fillId="2" borderId="8" xfId="4" applyNumberFormat="1" applyFont="1" applyFill="1" applyBorder="1" applyAlignment="1">
      <alignment horizontal="center" vertical="center" wrapText="1"/>
    </xf>
    <xf numFmtId="168" fontId="44" fillId="2" borderId="4" xfId="4" applyNumberFormat="1" applyFont="1" applyFill="1" applyBorder="1" applyAlignment="1">
      <alignment horizontal="center" vertical="center" wrapText="1"/>
    </xf>
    <xf numFmtId="168" fontId="29" fillId="5" borderId="0" xfId="4" applyNumberFormat="1" applyFont="1" applyFill="1" applyAlignment="1">
      <alignment horizontal="center"/>
    </xf>
    <xf numFmtId="169" fontId="9" fillId="8" borderId="8" xfId="0" applyNumberFormat="1" applyFont="1" applyFill="1" applyBorder="1" applyAlignment="1">
      <alignment horizontal="center" vertical="center" wrapText="1"/>
    </xf>
    <xf numFmtId="0" fontId="42" fillId="2" borderId="8" xfId="0" applyFont="1" applyFill="1" applyBorder="1" applyAlignment="1">
      <alignment horizontal="left" vertical="center" wrapText="1"/>
    </xf>
    <xf numFmtId="169" fontId="1" fillId="13" borderId="8" xfId="0" applyNumberFormat="1" applyFont="1" applyFill="1" applyBorder="1" applyAlignment="1">
      <alignment horizontal="center" vertical="center" wrapText="1"/>
    </xf>
    <xf numFmtId="0" fontId="33" fillId="3" borderId="8" xfId="0" applyFont="1" applyFill="1" applyBorder="1" applyAlignment="1">
      <alignment horizontal="center" vertical="center" wrapText="1"/>
    </xf>
    <xf numFmtId="169" fontId="18" fillId="16" borderId="8" xfId="0" applyNumberFormat="1" applyFont="1" applyFill="1" applyBorder="1" applyAlignment="1">
      <alignment horizontal="center" vertical="center"/>
    </xf>
    <xf numFmtId="0" fontId="59" fillId="0" borderId="0" xfId="3" quotePrefix="1" applyFont="1"/>
    <xf numFmtId="0" fontId="19" fillId="2" borderId="0" xfId="0" applyFont="1" applyFill="1" applyAlignment="1">
      <alignment horizontal="center" vertical="center"/>
    </xf>
    <xf numFmtId="0" fontId="60" fillId="0" borderId="0" xfId="3" applyFont="1" applyAlignment="1">
      <alignment horizontal="center" vertical="center"/>
    </xf>
    <xf numFmtId="170" fontId="33" fillId="3" borderId="8" xfId="0" applyNumberFormat="1" applyFont="1" applyFill="1" applyBorder="1" applyAlignment="1">
      <alignment horizontal="center" vertical="center" wrapText="1"/>
    </xf>
    <xf numFmtId="0" fontId="6" fillId="0" borderId="0" xfId="3" quotePrefix="1" applyAlignment="1"/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1" fontId="44" fillId="2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  <xf numFmtId="0" fontId="30" fillId="2" borderId="0" xfId="0" applyFont="1" applyFill="1" applyAlignment="1">
      <alignment horizontal="center"/>
    </xf>
    <xf numFmtId="1" fontId="44" fillId="2" borderId="0" xfId="0" applyNumberFormat="1" applyFont="1" applyFill="1" applyBorder="1" applyAlignment="1">
      <alignment horizontal="center" vertical="center" wrapText="1"/>
    </xf>
    <xf numFmtId="1" fontId="49" fillId="24" borderId="2" xfId="0" applyNumberFormat="1" applyFont="1" applyFill="1" applyBorder="1" applyAlignment="1">
      <alignment horizontal="center" vertical="center" wrapText="1"/>
    </xf>
    <xf numFmtId="168" fontId="44" fillId="2" borderId="0" xfId="4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27" fillId="2" borderId="0" xfId="0" applyFont="1" applyFill="1" applyAlignment="1">
      <alignment horizontal="left" vertical="center"/>
    </xf>
    <xf numFmtId="0" fontId="25" fillId="0" borderId="8" xfId="0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84" fontId="25" fillId="0" borderId="8" xfId="0" applyNumberFormat="1" applyFont="1" applyBorder="1" applyAlignment="1">
      <alignment horizontal="right" vertical="center"/>
    </xf>
    <xf numFmtId="0" fontId="28" fillId="0" borderId="0" xfId="0" applyFont="1"/>
    <xf numFmtId="184" fontId="62" fillId="13" borderId="8" xfId="0" applyNumberFormat="1" applyFont="1" applyFill="1" applyBorder="1" applyAlignment="1">
      <alignment horizontal="center" vertical="center" wrapText="1"/>
    </xf>
    <xf numFmtId="38" fontId="62" fillId="13" borderId="8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61" fillId="0" borderId="0" xfId="0" applyFont="1" applyAlignment="1"/>
    <xf numFmtId="0" fontId="28" fillId="0" borderId="0" xfId="0" applyFont="1" applyAlignment="1"/>
    <xf numFmtId="0" fontId="60" fillId="0" borderId="0" xfId="0" applyFont="1" applyAlignment="1">
      <alignment horizontal="left" indent="1"/>
    </xf>
    <xf numFmtId="0" fontId="26" fillId="0" borderId="0" xfId="0" applyFont="1" applyAlignment="1">
      <alignment horizontal="left" indent="1"/>
    </xf>
    <xf numFmtId="0" fontId="63" fillId="0" borderId="0" xfId="0" applyFont="1"/>
    <xf numFmtId="0" fontId="28" fillId="0" borderId="0" xfId="0" applyFont="1" applyAlignment="1">
      <alignment horizontal="center"/>
    </xf>
    <xf numFmtId="1" fontId="44" fillId="2" borderId="4" xfId="0" applyNumberFormat="1" applyFont="1" applyFill="1" applyBorder="1" applyAlignment="1">
      <alignment horizontal="center" vertical="center" wrapText="1"/>
    </xf>
    <xf numFmtId="1" fontId="44" fillId="2" borderId="8" xfId="0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184" fontId="25" fillId="0" borderId="3" xfId="0" applyNumberFormat="1" applyFont="1" applyBorder="1" applyAlignment="1">
      <alignment horizontal="right" vertical="center"/>
    </xf>
    <xf numFmtId="184" fontId="25" fillId="2" borderId="3" xfId="0" applyNumberFormat="1" applyFont="1" applyFill="1" applyBorder="1" applyAlignment="1">
      <alignment horizontal="right" vertical="center"/>
    </xf>
    <xf numFmtId="0" fontId="25" fillId="2" borderId="0" xfId="0" applyFont="1" applyFill="1" applyAlignment="1">
      <alignment horizontal="center"/>
    </xf>
    <xf numFmtId="1" fontId="25" fillId="2" borderId="0" xfId="0" applyNumberFormat="1" applyFont="1" applyFill="1" applyAlignment="1">
      <alignment horizontal="center"/>
    </xf>
    <xf numFmtId="0" fontId="31" fillId="0" borderId="7" xfId="0" applyFont="1" applyBorder="1" applyAlignment="1">
      <alignment horizontal="center"/>
    </xf>
    <xf numFmtId="0" fontId="25" fillId="2" borderId="8" xfId="0" applyFont="1" applyFill="1" applyBorder="1" applyAlignment="1">
      <alignment horizontal="left" vertical="center"/>
    </xf>
    <xf numFmtId="184" fontId="25" fillId="2" borderId="8" xfId="0" applyNumberFormat="1" applyFont="1" applyFill="1" applyBorder="1" applyAlignment="1">
      <alignment horizontal="right" vertical="center"/>
    </xf>
    <xf numFmtId="184" fontId="25" fillId="19" borderId="8" xfId="0" applyNumberFormat="1" applyFont="1" applyFill="1" applyBorder="1" applyAlignment="1">
      <alignment horizontal="right" vertical="center"/>
    </xf>
    <xf numFmtId="0" fontId="26" fillId="2" borderId="0" xfId="0" applyFont="1" applyFill="1"/>
    <xf numFmtId="0" fontId="64" fillId="0" borderId="0" xfId="5" applyFont="1" applyAlignment="1">
      <alignment vertical="center"/>
    </xf>
    <xf numFmtId="0" fontId="64" fillId="0" borderId="0" xfId="5" applyFont="1" applyAlignment="1"/>
    <xf numFmtId="0" fontId="64" fillId="2" borderId="0" xfId="5" applyFont="1" applyFill="1" applyAlignment="1"/>
    <xf numFmtId="0" fontId="64" fillId="0" borderId="0" xfId="5" applyFont="1"/>
    <xf numFmtId="0" fontId="64" fillId="0" borderId="0" xfId="5" applyNumberFormat="1" applyFont="1"/>
    <xf numFmtId="174" fontId="64" fillId="0" borderId="0" xfId="5" applyNumberFormat="1" applyFont="1"/>
    <xf numFmtId="0" fontId="64" fillId="0" borderId="0" xfId="5" applyFont="1" applyBorder="1"/>
    <xf numFmtId="0" fontId="65" fillId="0" borderId="0" xfId="0" applyFont="1"/>
    <xf numFmtId="0" fontId="64" fillId="0" borderId="0" xfId="5" applyFont="1" applyAlignment="1">
      <alignment wrapText="1"/>
    </xf>
    <xf numFmtId="0" fontId="64" fillId="2" borderId="0" xfId="5" applyFont="1" applyFill="1"/>
    <xf numFmtId="0" fontId="65" fillId="0" borderId="0" xfId="5" applyFont="1"/>
    <xf numFmtId="0" fontId="65" fillId="0" borderId="0" xfId="5" applyFont="1" applyBorder="1"/>
    <xf numFmtId="0" fontId="26" fillId="0" borderId="0" xfId="5" applyFont="1" applyAlignment="1">
      <alignment vertical="center"/>
    </xf>
    <xf numFmtId="174" fontId="26" fillId="0" borderId="0" xfId="5" applyNumberFormat="1" applyFont="1" applyAlignment="1">
      <alignment vertical="center"/>
    </xf>
    <xf numFmtId="0" fontId="26" fillId="0" borderId="0" xfId="5" applyFont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5" applyFont="1"/>
    <xf numFmtId="174" fontId="26" fillId="0" borderId="0" xfId="5" applyNumberFormat="1" applyFont="1"/>
    <xf numFmtId="0" fontId="26" fillId="2" borderId="0" xfId="5" applyFont="1" applyFill="1" applyBorder="1"/>
    <xf numFmtId="0" fontId="26" fillId="2" borderId="0" xfId="5" applyFont="1" applyFill="1" applyBorder="1" applyAlignment="1"/>
    <xf numFmtId="0" fontId="28" fillId="0" borderId="0" xfId="5" applyFont="1" applyBorder="1"/>
    <xf numFmtId="0" fontId="28" fillId="0" borderId="8" xfId="5" applyFont="1" applyBorder="1" applyAlignment="1">
      <alignment horizontal="center" vertical="center" wrapText="1"/>
    </xf>
    <xf numFmtId="0" fontId="25" fillId="0" borderId="8" xfId="5" applyFont="1" applyBorder="1" applyAlignment="1">
      <alignment horizontal="center" vertical="center" wrapText="1"/>
    </xf>
    <xf numFmtId="164" fontId="25" fillId="2" borderId="8" xfId="4" applyFont="1" applyFill="1" applyBorder="1" applyAlignment="1">
      <alignment horizontal="right" vertical="center" wrapText="1"/>
    </xf>
    <xf numFmtId="2" fontId="26" fillId="0" borderId="8" xfId="5" applyNumberFormat="1" applyFont="1" applyBorder="1" applyAlignment="1">
      <alignment horizontal="center" vertical="center" wrapText="1"/>
    </xf>
    <xf numFmtId="0" fontId="26" fillId="0" borderId="8" xfId="5" applyNumberFormat="1" applyFont="1" applyBorder="1" applyAlignment="1">
      <alignment horizontal="center" vertical="center" wrapText="1"/>
    </xf>
    <xf numFmtId="0" fontId="26" fillId="0" borderId="8" xfId="5" applyFont="1" applyBorder="1" applyAlignment="1">
      <alignment horizontal="center" vertical="center" wrapText="1"/>
    </xf>
    <xf numFmtId="0" fontId="26" fillId="0" borderId="0" xfId="5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5" fillId="2" borderId="8" xfId="5" applyFont="1" applyFill="1" applyBorder="1" applyAlignment="1">
      <alignment horizontal="center" vertical="center" wrapText="1"/>
    </xf>
    <xf numFmtId="2" fontId="26" fillId="2" borderId="8" xfId="5" applyNumberFormat="1" applyFont="1" applyFill="1" applyBorder="1" applyAlignment="1">
      <alignment horizontal="center" vertical="center" wrapText="1"/>
    </xf>
    <xf numFmtId="0" fontId="26" fillId="2" borderId="8" xfId="5" applyNumberFormat="1" applyFont="1" applyFill="1" applyBorder="1" applyAlignment="1">
      <alignment horizontal="center" vertical="center" wrapText="1"/>
    </xf>
    <xf numFmtId="174" fontId="26" fillId="2" borderId="8" xfId="5" applyNumberFormat="1" applyFont="1" applyFill="1" applyBorder="1" applyAlignment="1">
      <alignment horizontal="center" vertical="center" wrapText="1"/>
    </xf>
    <xf numFmtId="0" fontId="26" fillId="2" borderId="8" xfId="5" applyFont="1" applyFill="1" applyBorder="1" applyAlignment="1">
      <alignment horizontal="center" vertical="center" wrapText="1"/>
    </xf>
    <xf numFmtId="0" fontId="26" fillId="2" borderId="0" xfId="5" applyFont="1" applyFill="1" applyBorder="1" applyAlignment="1">
      <alignment horizontal="center" vertical="center" wrapText="1"/>
    </xf>
    <xf numFmtId="0" fontId="26" fillId="2" borderId="0" xfId="0" applyFont="1" applyFill="1" applyAlignment="1">
      <alignment vertical="center" wrapText="1"/>
    </xf>
    <xf numFmtId="0" fontId="27" fillId="0" borderId="0" xfId="5" applyFont="1" applyAlignment="1">
      <alignment horizontal="center"/>
    </xf>
    <xf numFmtId="0" fontId="28" fillId="0" borderId="0" xfId="5" applyFont="1" applyAlignment="1"/>
    <xf numFmtId="0" fontId="60" fillId="0" borderId="0" xfId="5" applyFont="1"/>
    <xf numFmtId="0" fontId="60" fillId="0" borderId="0" xfId="5" applyFont="1" applyAlignment="1">
      <alignment horizontal="center"/>
    </xf>
    <xf numFmtId="0" fontId="60" fillId="0" borderId="0" xfId="0" applyFont="1"/>
    <xf numFmtId="0" fontId="60" fillId="0" borderId="0" xfId="5" applyFont="1" applyAlignment="1"/>
    <xf numFmtId="0" fontId="28" fillId="0" borderId="0" xfId="5" applyFont="1"/>
    <xf numFmtId="174" fontId="28" fillId="0" borderId="0" xfId="5" applyNumberFormat="1" applyFont="1"/>
    <xf numFmtId="0" fontId="28" fillId="0" borderId="0" xfId="5" applyFont="1" applyAlignment="1">
      <alignment horizontal="center"/>
    </xf>
    <xf numFmtId="0" fontId="28" fillId="0" borderId="0" xfId="5" applyFont="1" applyAlignment="1">
      <alignment horizontal="right"/>
    </xf>
    <xf numFmtId="174" fontId="28" fillId="0" borderId="0" xfId="0" applyNumberFormat="1" applyFont="1"/>
    <xf numFmtId="174" fontId="26" fillId="0" borderId="0" xfId="0" applyNumberFormat="1" applyFont="1"/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43" fontId="25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167" fontId="56" fillId="2" borderId="1" xfId="4" applyNumberFormat="1" applyFont="1" applyFill="1" applyBorder="1" applyAlignment="1">
      <alignment vertical="center" wrapText="1"/>
    </xf>
    <xf numFmtId="167" fontId="43" fillId="8" borderId="1" xfId="4" applyNumberFormat="1" applyFont="1" applyFill="1" applyBorder="1" applyAlignment="1">
      <alignment vertical="center" wrapText="1"/>
    </xf>
    <xf numFmtId="167" fontId="44" fillId="8" borderId="1" xfId="4" applyNumberFormat="1" applyFont="1" applyFill="1" applyBorder="1" applyAlignment="1">
      <alignment vertical="center" wrapText="1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167" fontId="44" fillId="9" borderId="1" xfId="4" applyNumberFormat="1" applyFont="1" applyFill="1" applyBorder="1" applyAlignment="1">
      <alignment vertical="center" wrapText="1"/>
    </xf>
    <xf numFmtId="0" fontId="8" fillId="0" borderId="0" xfId="6" applyFont="1" applyAlignment="1">
      <alignment horizontal="centerContinuous" vertical="center" wrapText="1"/>
    </xf>
    <xf numFmtId="0" fontId="68" fillId="0" borderId="0" xfId="6" applyFont="1"/>
    <xf numFmtId="0" fontId="25" fillId="0" borderId="3" xfId="0" applyFont="1" applyBorder="1" applyAlignment="1">
      <alignment horizontal="center" vertical="center"/>
    </xf>
    <xf numFmtId="184" fontId="29" fillId="0" borderId="8" xfId="0" applyNumberFormat="1" applyFont="1" applyBorder="1" applyAlignment="1">
      <alignment horizontal="right" vertical="center"/>
    </xf>
    <xf numFmtId="1" fontId="44" fillId="2" borderId="8" xfId="0" applyNumberFormat="1" applyFont="1" applyFill="1" applyBorder="1" applyAlignment="1">
      <alignment horizontal="center" vertical="center" wrapText="1"/>
    </xf>
    <xf numFmtId="0" fontId="25" fillId="25" borderId="8" xfId="0" applyFont="1" applyFill="1" applyBorder="1" applyAlignment="1">
      <alignment horizontal="center" vertical="center"/>
    </xf>
    <xf numFmtId="1" fontId="25" fillId="25" borderId="8" xfId="0" applyNumberFormat="1" applyFont="1" applyFill="1" applyBorder="1" applyAlignment="1">
      <alignment horizontal="center" vertical="center"/>
    </xf>
    <xf numFmtId="184" fontId="25" fillId="25" borderId="8" xfId="0" applyNumberFormat="1" applyFont="1" applyFill="1" applyBorder="1" applyAlignment="1">
      <alignment horizontal="center" vertical="center"/>
    </xf>
    <xf numFmtId="167" fontId="49" fillId="23" borderId="1" xfId="4" applyNumberFormat="1" applyFont="1" applyFill="1" applyBorder="1" applyAlignment="1">
      <alignment vertical="center" wrapText="1"/>
    </xf>
    <xf numFmtId="1" fontId="44" fillId="2" borderId="8" xfId="0" applyNumberFormat="1" applyFont="1" applyFill="1" applyBorder="1" applyAlignment="1">
      <alignment horizontal="center" vertical="center" wrapText="1"/>
    </xf>
    <xf numFmtId="167" fontId="29" fillId="2" borderId="0" xfId="0" applyNumberFormat="1" applyFont="1" applyFill="1" applyAlignment="1">
      <alignment horizontal="center" vertical="center"/>
    </xf>
    <xf numFmtId="167" fontId="67" fillId="3" borderId="1" xfId="4" applyNumberFormat="1" applyFont="1" applyFill="1" applyBorder="1" applyAlignment="1">
      <alignment vertical="center" wrapText="1"/>
    </xf>
    <xf numFmtId="0" fontId="29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185" fontId="29" fillId="3" borderId="1" xfId="0" applyNumberFormat="1" applyFont="1" applyFill="1" applyBorder="1" applyAlignment="1">
      <alignment horizontal="left" vertical="center" wrapText="1" indent="2"/>
    </xf>
    <xf numFmtId="177" fontId="29" fillId="9" borderId="1" xfId="0" applyNumberFormat="1" applyFont="1" applyFill="1" applyBorder="1" applyAlignment="1">
      <alignment vertical="center" wrapText="1"/>
    </xf>
    <xf numFmtId="177" fontId="29" fillId="3" borderId="1" xfId="0" applyNumberFormat="1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25" fillId="2" borderId="0" xfId="0" applyFont="1" applyFill="1" applyAlignment="1">
      <alignment horizontal="left" indent="19"/>
    </xf>
    <xf numFmtId="0" fontId="29" fillId="0" borderId="6" xfId="0" applyFont="1" applyBorder="1" applyAlignment="1">
      <alignment horizontal="center" vertical="center"/>
    </xf>
    <xf numFmtId="1" fontId="25" fillId="2" borderId="0" xfId="0" applyNumberFormat="1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25" fillId="0" borderId="21" xfId="0" applyFont="1" applyBorder="1" applyAlignment="1">
      <alignment horizontal="left" vertical="center"/>
    </xf>
    <xf numFmtId="1" fontId="44" fillId="2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168" fontId="31" fillId="2" borderId="0" xfId="4" applyNumberFormat="1" applyFont="1" applyFill="1" applyBorder="1" applyAlignment="1">
      <alignment horizontal="center" vertical="center" wrapText="1"/>
    </xf>
    <xf numFmtId="168" fontId="31" fillId="17" borderId="8" xfId="4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25" fillId="0" borderId="8" xfId="0" applyFont="1" applyFill="1" applyBorder="1" applyAlignment="1">
      <alignment horizontal="left" vertical="center"/>
    </xf>
    <xf numFmtId="1" fontId="44" fillId="2" borderId="8" xfId="0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1" fontId="46" fillId="11" borderId="8" xfId="0" applyNumberFormat="1" applyFont="1" applyFill="1" applyBorder="1" applyAlignment="1">
      <alignment horizontal="center" vertical="center" wrapText="1"/>
    </xf>
    <xf numFmtId="1" fontId="44" fillId="2" borderId="8" xfId="0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44" fillId="7" borderId="5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1" fontId="44" fillId="2" borderId="8" xfId="0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12" fillId="2" borderId="8" xfId="0" applyFont="1" applyFill="1" applyBorder="1" applyAlignment="1">
      <alignment horizontal="center" vertical="center" wrapText="1"/>
    </xf>
    <xf numFmtId="1" fontId="10" fillId="2" borderId="8" xfId="0" applyNumberFormat="1" applyFont="1" applyFill="1" applyBorder="1" applyAlignment="1">
      <alignment vertical="center" wrapText="1"/>
    </xf>
    <xf numFmtId="169" fontId="12" fillId="3" borderId="8" xfId="0" applyNumberFormat="1" applyFont="1" applyFill="1" applyBorder="1" applyAlignment="1">
      <alignment horizontal="center" vertical="center"/>
    </xf>
    <xf numFmtId="0" fontId="6" fillId="2" borderId="0" xfId="3" quotePrefix="1" applyFill="1" applyAlignment="1"/>
    <xf numFmtId="0" fontId="30" fillId="2" borderId="8" xfId="0" applyFont="1" applyFill="1" applyBorder="1" applyAlignment="1">
      <alignment horizontal="center" vertical="center" wrapText="1"/>
    </xf>
    <xf numFmtId="0" fontId="69" fillId="2" borderId="0" xfId="3" quotePrefix="1" applyFont="1" applyFill="1"/>
    <xf numFmtId="0" fontId="10" fillId="2" borderId="0" xfId="0" applyFont="1" applyFill="1"/>
    <xf numFmtId="1" fontId="44" fillId="2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62" fillId="13" borderId="8" xfId="0" applyFont="1" applyFill="1" applyBorder="1" applyAlignment="1">
      <alignment horizontal="center" vertical="center" wrapText="1"/>
    </xf>
    <xf numFmtId="0" fontId="25" fillId="26" borderId="8" xfId="0" applyFont="1" applyFill="1" applyBorder="1" applyAlignment="1">
      <alignment horizontal="center" vertical="center"/>
    </xf>
    <xf numFmtId="184" fontId="25" fillId="26" borderId="8" xfId="0" applyNumberFormat="1" applyFont="1" applyFill="1" applyBorder="1" applyAlignment="1">
      <alignment horizontal="center" vertical="center"/>
    </xf>
    <xf numFmtId="184" fontId="70" fillId="0" borderId="8" xfId="0" applyNumberFormat="1" applyFont="1" applyBorder="1" applyAlignment="1">
      <alignment horizontal="right" vertical="center"/>
    </xf>
    <xf numFmtId="0" fontId="71" fillId="2" borderId="0" xfId="0" applyFont="1" applyFill="1" applyAlignment="1">
      <alignment horizontal="center" vertical="center"/>
    </xf>
    <xf numFmtId="179" fontId="43" fillId="2" borderId="8" xfId="0" applyNumberFormat="1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41" fillId="0" borderId="8" xfId="3" quotePrefix="1" applyFont="1" applyBorder="1"/>
    <xf numFmtId="0" fontId="72" fillId="2" borderId="8" xfId="3" quotePrefix="1" applyFont="1" applyFill="1" applyBorder="1"/>
    <xf numFmtId="1" fontId="72" fillId="2" borderId="8" xfId="3" quotePrefix="1" applyNumberFormat="1" applyFont="1" applyFill="1" applyBorder="1"/>
    <xf numFmtId="0" fontId="6" fillId="0" borderId="0" xfId="3" quotePrefix="1"/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1" fontId="44" fillId="2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168" fontId="31" fillId="2" borderId="3" xfId="4" applyNumberFormat="1" applyFont="1" applyFill="1" applyBorder="1" applyAlignment="1">
      <alignment horizontal="center" vertical="center" wrapText="1"/>
    </xf>
    <xf numFmtId="1" fontId="49" fillId="24" borderId="0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168" fontId="44" fillId="2" borderId="2" xfId="4" applyNumberFormat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25" fillId="0" borderId="24" xfId="0" applyFont="1" applyBorder="1" applyAlignment="1">
      <alignment horizontal="left" vertical="center"/>
    </xf>
    <xf numFmtId="1" fontId="44" fillId="2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25" fillId="0" borderId="0" xfId="5" applyFont="1" applyBorder="1" applyAlignment="1">
      <alignment horizontal="center" vertical="center" wrapText="1"/>
    </xf>
    <xf numFmtId="0" fontId="28" fillId="0" borderId="8" xfId="5" applyFont="1" applyBorder="1" applyAlignment="1">
      <alignment horizontal="center" vertical="center" wrapText="1"/>
    </xf>
    <xf numFmtId="0" fontId="26" fillId="2" borderId="0" xfId="5" applyFont="1" applyFill="1" applyBorder="1" applyAlignment="1">
      <alignment horizontal="center" vertical="center" wrapText="1"/>
    </xf>
    <xf numFmtId="0" fontId="28" fillId="0" borderId="0" xfId="5" applyFont="1" applyAlignment="1">
      <alignment horizontal="center"/>
    </xf>
    <xf numFmtId="0" fontId="60" fillId="0" borderId="0" xfId="5" applyFont="1" applyAlignment="1">
      <alignment horizontal="center"/>
    </xf>
    <xf numFmtId="0" fontId="66" fillId="0" borderId="0" xfId="5" applyNumberFormat="1" applyFont="1" applyFill="1" applyBorder="1" applyAlignment="1" applyProtection="1">
      <alignment vertical="center" wrapText="1" readingOrder="1"/>
    </xf>
    <xf numFmtId="1" fontId="44" fillId="2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75" fillId="0" borderId="8" xfId="0" applyFont="1" applyBorder="1" applyAlignment="1">
      <alignment vertic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44" fillId="7" borderId="5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169" fontId="12" fillId="3" borderId="2" xfId="0" applyNumberFormat="1" applyFont="1" applyFill="1" applyBorder="1" applyAlignment="1">
      <alignment horizontal="right" vertical="center"/>
    </xf>
    <xf numFmtId="169" fontId="12" fillId="17" borderId="2" xfId="0" applyNumberFormat="1" applyFont="1" applyFill="1" applyBorder="1" applyAlignment="1">
      <alignment horizontal="right" vertical="center"/>
    </xf>
    <xf numFmtId="169" fontId="12" fillId="17" borderId="2" xfId="0" applyNumberFormat="1" applyFont="1" applyFill="1" applyBorder="1" applyAlignment="1">
      <alignment horizontal="center" vertical="center"/>
    </xf>
    <xf numFmtId="169" fontId="1" fillId="13" borderId="2" xfId="0" applyNumberFormat="1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0" fontId="6" fillId="0" borderId="8" xfId="3" quotePrefix="1" applyBorder="1"/>
    <xf numFmtId="1" fontId="44" fillId="2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186" fontId="26" fillId="0" borderId="0" xfId="5" applyNumberFormat="1" applyFont="1" applyBorder="1" applyAlignment="1">
      <alignment horizontal="center" vertical="center" wrapText="1"/>
    </xf>
    <xf numFmtId="186" fontId="28" fillId="0" borderId="0" xfId="5" applyNumberFormat="1" applyFont="1" applyBorder="1"/>
    <xf numFmtId="184" fontId="25" fillId="19" borderId="3" xfId="0" applyNumberFormat="1" applyFont="1" applyFill="1" applyBorder="1" applyAlignment="1">
      <alignment horizontal="right" vertical="center"/>
    </xf>
    <xf numFmtId="0" fontId="28" fillId="0" borderId="8" xfId="5" applyFont="1" applyBorder="1" applyAlignment="1">
      <alignment horizontal="center"/>
    </xf>
    <xf numFmtId="186" fontId="26" fillId="0" borderId="8" xfId="5" applyNumberFormat="1" applyFont="1" applyBorder="1" applyAlignment="1">
      <alignment horizontal="center" vertical="center" wrapText="1"/>
    </xf>
    <xf numFmtId="0" fontId="26" fillId="2" borderId="0" xfId="5" applyFont="1" applyFill="1" applyBorder="1" applyAlignment="1">
      <alignment horizontal="center" vertical="center" wrapText="1"/>
    </xf>
    <xf numFmtId="0" fontId="26" fillId="2" borderId="0" xfId="5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186" fontId="26" fillId="2" borderId="8" xfId="5" applyNumberFormat="1" applyFont="1" applyFill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1" fontId="44" fillId="2" borderId="8" xfId="0" applyNumberFormat="1" applyFont="1" applyFill="1" applyBorder="1" applyAlignment="1">
      <alignment horizontal="center" vertical="center" wrapText="1"/>
    </xf>
    <xf numFmtId="1" fontId="44" fillId="2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wrapText="1"/>
    </xf>
    <xf numFmtId="0" fontId="30" fillId="2" borderId="0" xfId="0" applyFont="1" applyFill="1" applyAlignment="1">
      <alignment horizontal="center"/>
    </xf>
    <xf numFmtId="164" fontId="43" fillId="15" borderId="1" xfId="4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3" fillId="0" borderId="8" xfId="0" applyFont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1" fontId="44" fillId="2" borderId="8" xfId="0" applyNumberFormat="1" applyFont="1" applyFill="1" applyBorder="1" applyAlignment="1">
      <alignment horizontal="center" vertical="center" wrapText="1"/>
    </xf>
    <xf numFmtId="167" fontId="43" fillId="9" borderId="1" xfId="4" applyNumberFormat="1" applyFont="1" applyFill="1" applyBorder="1" applyAlignment="1">
      <alignment vertical="center" wrapText="1"/>
    </xf>
    <xf numFmtId="167" fontId="56" fillId="2" borderId="8" xfId="4" applyNumberFormat="1" applyFont="1" applyFill="1" applyBorder="1" applyAlignment="1">
      <alignment vertical="center" wrapText="1"/>
    </xf>
    <xf numFmtId="167" fontId="43" fillId="8" borderId="8" xfId="4" applyNumberFormat="1" applyFont="1" applyFill="1" applyBorder="1" applyAlignment="1">
      <alignment vertical="center" wrapText="1"/>
    </xf>
    <xf numFmtId="168" fontId="56" fillId="2" borderId="8" xfId="4" applyNumberFormat="1" applyFont="1" applyFill="1" applyBorder="1" applyAlignment="1">
      <alignment vertical="center" wrapText="1"/>
    </xf>
    <xf numFmtId="168" fontId="43" fillId="8" borderId="8" xfId="4" applyNumberFormat="1" applyFont="1" applyFill="1" applyBorder="1" applyAlignment="1">
      <alignment vertical="center" wrapText="1"/>
    </xf>
    <xf numFmtId="2" fontId="30" fillId="8" borderId="8" xfId="0" applyNumberFormat="1" applyFont="1" applyFill="1" applyBorder="1" applyAlignment="1">
      <alignment horizontal="center" vertical="center" wrapText="1"/>
    </xf>
    <xf numFmtId="164" fontId="30" fillId="3" borderId="8" xfId="4" applyNumberFormat="1" applyFont="1" applyFill="1" applyBorder="1" applyAlignment="1">
      <alignment horizontal="right" vertical="center" wrapText="1"/>
    </xf>
    <xf numFmtId="164" fontId="30" fillId="5" borderId="8" xfId="4" applyNumberFormat="1" applyFont="1" applyFill="1" applyBorder="1" applyAlignment="1">
      <alignment horizontal="right" vertical="center" wrapText="1"/>
    </xf>
    <xf numFmtId="2" fontId="54" fillId="15" borderId="8" xfId="0" applyNumberFormat="1" applyFont="1" applyFill="1" applyBorder="1" applyAlignment="1">
      <alignment horizontal="center" vertical="center" wrapText="1"/>
    </xf>
    <xf numFmtId="164" fontId="54" fillId="15" borderId="8" xfId="4" applyNumberFormat="1" applyFont="1" applyFill="1" applyBorder="1" applyAlignment="1">
      <alignment horizontal="right" vertical="center" wrapText="1"/>
    </xf>
    <xf numFmtId="164" fontId="54" fillId="16" borderId="8" xfId="4" applyNumberFormat="1" applyFont="1" applyFill="1" applyBorder="1" applyAlignment="1">
      <alignment horizontal="right" vertical="center" wrapText="1"/>
    </xf>
    <xf numFmtId="167" fontId="43" fillId="8" borderId="8" xfId="0" applyNumberFormat="1" applyFont="1" applyFill="1" applyBorder="1" applyAlignment="1">
      <alignment horizontal="center" vertical="center" wrapText="1"/>
    </xf>
    <xf numFmtId="167" fontId="43" fillId="3" borderId="8" xfId="4" applyNumberFormat="1" applyFont="1" applyFill="1" applyBorder="1" applyAlignment="1">
      <alignment horizontal="center" vertical="center" wrapText="1"/>
    </xf>
    <xf numFmtId="167" fontId="43" fillId="5" borderId="8" xfId="4" applyNumberFormat="1" applyFont="1" applyFill="1" applyBorder="1" applyAlignment="1">
      <alignment horizontal="center" vertical="center" wrapText="1"/>
    </xf>
    <xf numFmtId="167" fontId="53" fillId="15" borderId="8" xfId="0" applyNumberFormat="1" applyFont="1" applyFill="1" applyBorder="1" applyAlignment="1">
      <alignment horizontal="center" vertical="center" wrapText="1"/>
    </xf>
    <xf numFmtId="167" fontId="53" fillId="15" borderId="8" xfId="4" applyNumberFormat="1" applyFont="1" applyFill="1" applyBorder="1" applyAlignment="1">
      <alignment horizontal="center" vertical="center" wrapText="1"/>
    </xf>
    <xf numFmtId="167" fontId="53" fillId="16" borderId="8" xfId="4" applyNumberFormat="1" applyFont="1" applyFill="1" applyBorder="1" applyAlignment="1">
      <alignment horizontal="center" vertical="center" wrapText="1"/>
    </xf>
    <xf numFmtId="168" fontId="43" fillId="2" borderId="8" xfId="0" applyNumberFormat="1" applyFont="1" applyFill="1" applyBorder="1" applyAlignment="1">
      <alignment wrapText="1"/>
    </xf>
    <xf numFmtId="168" fontId="44" fillId="2" borderId="8" xfId="4" applyNumberFormat="1" applyFont="1" applyFill="1" applyBorder="1" applyAlignment="1">
      <alignment vertical="center" wrapText="1"/>
    </xf>
    <xf numFmtId="168" fontId="43" fillId="10" borderId="8" xfId="0" applyNumberFormat="1" applyFont="1" applyFill="1" applyBorder="1" applyAlignment="1">
      <alignment vertical="center" wrapText="1"/>
    </xf>
    <xf numFmtId="168" fontId="43" fillId="8" borderId="8" xfId="0" applyNumberFormat="1" applyFont="1" applyFill="1" applyBorder="1" applyAlignment="1">
      <alignment vertical="center" wrapText="1"/>
    </xf>
    <xf numFmtId="168" fontId="43" fillId="2" borderId="8" xfId="4" applyNumberFormat="1" applyFont="1" applyFill="1" applyBorder="1" applyAlignment="1">
      <alignment vertical="center" wrapText="1"/>
    </xf>
    <xf numFmtId="168" fontId="43" fillId="3" borderId="8" xfId="4" applyNumberFormat="1" applyFont="1" applyFill="1" applyBorder="1" applyAlignment="1">
      <alignment vertical="center" wrapText="1"/>
    </xf>
    <xf numFmtId="165" fontId="43" fillId="2" borderId="8" xfId="0" applyNumberFormat="1" applyFont="1" applyFill="1" applyBorder="1" applyAlignment="1">
      <alignment horizontal="center" vertical="center" wrapText="1"/>
    </xf>
    <xf numFmtId="168" fontId="53" fillId="15" borderId="8" xfId="0" applyNumberFormat="1" applyFont="1" applyFill="1" applyBorder="1" applyAlignment="1">
      <alignment vertical="center" wrapText="1"/>
    </xf>
    <xf numFmtId="168" fontId="53" fillId="16" borderId="8" xfId="0" applyNumberFormat="1" applyFont="1" applyFill="1" applyBorder="1" applyAlignment="1">
      <alignment vertical="center" wrapText="1"/>
    </xf>
    <xf numFmtId="168" fontId="53" fillId="16" borderId="8" xfId="4" applyNumberFormat="1" applyFont="1" applyFill="1" applyBorder="1" applyAlignment="1">
      <alignment vertical="center" wrapText="1"/>
    </xf>
    <xf numFmtId="168" fontId="30" fillId="2" borderId="8" xfId="4" applyNumberFormat="1" applyFont="1" applyFill="1" applyBorder="1" applyAlignment="1">
      <alignment vertical="center" wrapText="1"/>
    </xf>
    <xf numFmtId="2" fontId="30" fillId="12" borderId="8" xfId="0" applyNumberFormat="1" applyFont="1" applyFill="1" applyBorder="1" applyAlignment="1">
      <alignment horizontal="center" vertical="center" wrapText="1"/>
    </xf>
    <xf numFmtId="168" fontId="54" fillId="15" borderId="8" xfId="0" applyNumberFormat="1" applyFont="1" applyFill="1" applyBorder="1" applyAlignment="1">
      <alignment vertical="center" wrapText="1"/>
    </xf>
    <xf numFmtId="168" fontId="30" fillId="2" borderId="8" xfId="0" applyNumberFormat="1" applyFont="1" applyFill="1" applyBorder="1" applyAlignment="1">
      <alignment vertical="center" wrapText="1"/>
    </xf>
    <xf numFmtId="168" fontId="54" fillId="16" borderId="8" xfId="0" applyNumberFormat="1" applyFont="1" applyFill="1" applyBorder="1" applyAlignment="1">
      <alignment vertical="center" wrapText="1"/>
    </xf>
    <xf numFmtId="164" fontId="30" fillId="2" borderId="8" xfId="0" applyNumberFormat="1" applyFont="1" applyFill="1" applyBorder="1" applyAlignment="1">
      <alignment vertical="center" wrapText="1"/>
    </xf>
    <xf numFmtId="2" fontId="43" fillId="12" borderId="8" xfId="0" applyNumberFormat="1" applyFont="1" applyFill="1" applyBorder="1" applyAlignment="1">
      <alignment horizontal="center" vertical="center" wrapText="1"/>
    </xf>
    <xf numFmtId="168" fontId="43" fillId="2" borderId="8" xfId="0" applyNumberFormat="1" applyFont="1" applyFill="1" applyBorder="1" applyAlignment="1">
      <alignment vertical="center" wrapText="1"/>
    </xf>
    <xf numFmtId="0" fontId="43" fillId="2" borderId="8" xfId="0" applyFont="1" applyFill="1" applyBorder="1" applyAlignment="1">
      <alignment horizontal="center" wrapText="1"/>
    </xf>
    <xf numFmtId="168" fontId="43" fillId="2" borderId="8" xfId="0" applyNumberFormat="1" applyFont="1" applyFill="1" applyBorder="1" applyAlignment="1">
      <alignment horizontal="center" wrapText="1"/>
    </xf>
    <xf numFmtId="168" fontId="53" fillId="15" borderId="8" xfId="4" applyNumberFormat="1" applyFont="1" applyFill="1" applyBorder="1" applyAlignment="1">
      <alignment vertical="center" wrapText="1"/>
    </xf>
    <xf numFmtId="165" fontId="43" fillId="2" borderId="8" xfId="0" applyNumberFormat="1" applyFont="1" applyFill="1" applyBorder="1" applyAlignment="1">
      <alignment horizontal="center" wrapText="1"/>
    </xf>
    <xf numFmtId="165" fontId="43" fillId="8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  <xf numFmtId="1" fontId="44" fillId="2" borderId="8" xfId="0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30" fillId="2" borderId="0" xfId="0" applyFont="1" applyFill="1" applyAlignment="1">
      <alignment horizontal="center"/>
    </xf>
    <xf numFmtId="1" fontId="44" fillId="2" borderId="4" xfId="0" applyNumberFormat="1" applyFont="1" applyFill="1" applyBorder="1" applyAlignment="1">
      <alignment horizontal="center" vertical="center" wrapText="1"/>
    </xf>
    <xf numFmtId="1" fontId="44" fillId="2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/>
    </xf>
    <xf numFmtId="1" fontId="44" fillId="2" borderId="4" xfId="0" applyNumberFormat="1" applyFont="1" applyFill="1" applyBorder="1" applyAlignment="1">
      <alignment horizontal="center" vertical="center" wrapText="1"/>
    </xf>
    <xf numFmtId="1" fontId="44" fillId="2" borderId="8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29" fillId="2" borderId="4" xfId="0" applyNumberFormat="1" applyFont="1" applyFill="1" applyBorder="1" applyAlignment="1">
      <alignment horizontal="center" vertical="center" wrapText="1"/>
    </xf>
    <xf numFmtId="1" fontId="29" fillId="2" borderId="6" xfId="0" applyNumberFormat="1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left" vertical="center"/>
    </xf>
    <xf numFmtId="0" fontId="29" fillId="2" borderId="5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left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7" borderId="4" xfId="0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center" vertical="center" wrapText="1"/>
    </xf>
    <xf numFmtId="0" fontId="29" fillId="7" borderId="6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68" fontId="27" fillId="12" borderId="4" xfId="4" applyNumberFormat="1" applyFont="1" applyFill="1" applyBorder="1" applyAlignment="1">
      <alignment horizontal="center" vertical="center" wrapText="1"/>
    </xf>
    <xf numFmtId="168" fontId="27" fillId="12" borderId="5" xfId="4" applyNumberFormat="1" applyFont="1" applyFill="1" applyBorder="1" applyAlignment="1">
      <alignment horizontal="center" vertical="center" wrapText="1"/>
    </xf>
    <xf numFmtId="168" fontId="27" fillId="12" borderId="6" xfId="4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1" fontId="9" fillId="2" borderId="4" xfId="0" applyNumberFormat="1" applyFont="1" applyFill="1" applyBorder="1" applyAlignment="1">
      <alignment horizontal="center" vertical="center" wrapText="1"/>
    </xf>
    <xf numFmtId="1" fontId="9" fillId="2" borderId="6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1" fontId="9" fillId="2" borderId="8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58" fillId="16" borderId="8" xfId="0" applyFont="1" applyFill="1" applyBorder="1" applyAlignment="1">
      <alignment horizontal="center" vertical="center" wrapText="1"/>
    </xf>
    <xf numFmtId="0" fontId="18" fillId="16" borderId="8" xfId="0" applyFont="1" applyFill="1" applyBorder="1" applyAlignment="1">
      <alignment horizontal="center" vertical="center" wrapText="1"/>
    </xf>
    <xf numFmtId="169" fontId="18" fillId="16" borderId="8" xfId="0" applyNumberFormat="1" applyFont="1" applyFill="1" applyBorder="1" applyAlignment="1">
      <alignment horizontal="center" vertical="center" wrapText="1"/>
    </xf>
    <xf numFmtId="170" fontId="33" fillId="3" borderId="8" xfId="0" applyNumberFormat="1" applyFont="1" applyFill="1" applyBorder="1" applyAlignment="1">
      <alignment horizontal="center" vertical="center" wrapText="1"/>
    </xf>
    <xf numFmtId="0" fontId="62" fillId="13" borderId="8" xfId="0" applyFont="1" applyFill="1" applyBorder="1" applyAlignment="1">
      <alignment horizontal="center" vertical="center" wrapText="1"/>
    </xf>
    <xf numFmtId="0" fontId="62" fillId="13" borderId="4" xfId="0" applyFont="1" applyFill="1" applyBorder="1" applyAlignment="1">
      <alignment horizontal="center" vertical="center" wrapText="1"/>
    </xf>
    <xf numFmtId="0" fontId="62" fillId="13" borderId="6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5" fillId="2" borderId="0" xfId="0" applyFont="1" applyFill="1" applyAlignment="1">
      <alignment horizontal="left" indent="19"/>
    </xf>
    <xf numFmtId="1" fontId="25" fillId="2" borderId="0" xfId="0" applyNumberFormat="1" applyFont="1" applyFill="1" applyAlignment="1">
      <alignment horizontal="center"/>
    </xf>
    <xf numFmtId="0" fontId="28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0" fillId="0" borderId="19" xfId="0" applyFont="1" applyBorder="1" applyAlignment="1">
      <alignment horizontal="center"/>
    </xf>
    <xf numFmtId="0" fontId="25" fillId="25" borderId="2" xfId="0" applyFont="1" applyFill="1" applyBorder="1" applyAlignment="1">
      <alignment horizontal="center" vertical="center" wrapText="1"/>
    </xf>
    <xf numFmtId="0" fontId="25" fillId="25" borderId="3" xfId="0" applyFont="1" applyFill="1" applyBorder="1" applyAlignment="1">
      <alignment horizontal="center" vertical="center" wrapText="1"/>
    </xf>
    <xf numFmtId="0" fontId="63" fillId="0" borderId="0" xfId="0" applyFont="1" applyAlignment="1">
      <alignment horizontal="left" indent="11"/>
    </xf>
    <xf numFmtId="0" fontId="61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8" fillId="0" borderId="0" xfId="0" applyFont="1" applyAlignment="1">
      <alignment horizontal="left" indent="11"/>
    </xf>
    <xf numFmtId="0" fontId="66" fillId="0" borderId="0" xfId="5" applyNumberFormat="1" applyFont="1" applyFill="1" applyBorder="1" applyAlignment="1" applyProtection="1">
      <alignment horizontal="left" vertical="top" wrapText="1" readingOrder="1"/>
    </xf>
    <xf numFmtId="0" fontId="66" fillId="0" borderId="0" xfId="5" applyNumberFormat="1" applyFont="1" applyFill="1" applyBorder="1" applyAlignment="1" applyProtection="1">
      <alignment horizontal="left" vertical="center" wrapText="1" readingOrder="1"/>
    </xf>
    <xf numFmtId="0" fontId="28" fillId="0" borderId="0" xfId="5" applyFont="1" applyAlignment="1">
      <alignment horizontal="center" wrapText="1"/>
    </xf>
    <xf numFmtId="0" fontId="28" fillId="0" borderId="0" xfId="5" applyNumberFormat="1" applyFont="1" applyAlignment="1">
      <alignment horizontal="center"/>
    </xf>
    <xf numFmtId="0" fontId="28" fillId="0" borderId="0" xfId="5" applyFont="1" applyAlignment="1">
      <alignment horizontal="center"/>
    </xf>
    <xf numFmtId="0" fontId="28" fillId="0" borderId="8" xfId="5" applyFont="1" applyBorder="1" applyAlignment="1">
      <alignment horizontal="center" vertical="center"/>
    </xf>
    <xf numFmtId="0" fontId="60" fillId="0" borderId="0" xfId="5" applyFont="1" applyBorder="1" applyAlignment="1">
      <alignment horizontal="center"/>
    </xf>
    <xf numFmtId="0" fontId="60" fillId="0" borderId="0" xfId="5" applyFont="1" applyAlignment="1">
      <alignment horizontal="center"/>
    </xf>
    <xf numFmtId="174" fontId="28" fillId="0" borderId="8" xfId="5" applyNumberFormat="1" applyFont="1" applyBorder="1" applyAlignment="1">
      <alignment horizontal="center" vertical="center" wrapText="1"/>
    </xf>
    <xf numFmtId="0" fontId="28" fillId="0" borderId="8" xfId="5" applyFont="1" applyBorder="1" applyAlignment="1">
      <alignment horizontal="center" vertical="center" wrapText="1"/>
    </xf>
    <xf numFmtId="0" fontId="28" fillId="0" borderId="2" xfId="5" applyFont="1" applyBorder="1" applyAlignment="1">
      <alignment horizontal="center" vertical="center" wrapText="1"/>
    </xf>
    <xf numFmtId="0" fontId="28" fillId="0" borderId="20" xfId="5" applyFont="1" applyBorder="1" applyAlignment="1">
      <alignment horizontal="center" vertical="center" wrapText="1"/>
    </xf>
    <xf numFmtId="0" fontId="28" fillId="0" borderId="8" xfId="5" applyNumberFormat="1" applyFont="1" applyBorder="1" applyAlignment="1">
      <alignment horizontal="center" vertical="center" wrapText="1"/>
    </xf>
    <xf numFmtId="0" fontId="26" fillId="2" borderId="0" xfId="5" applyFont="1" applyFill="1" applyBorder="1" applyAlignment="1">
      <alignment horizontal="left" vertical="center"/>
    </xf>
    <xf numFmtId="0" fontId="26" fillId="2" borderId="0" xfId="5" applyFont="1" applyFill="1" applyBorder="1" applyAlignment="1">
      <alignment horizontal="center" vertical="center" wrapText="1"/>
    </xf>
    <xf numFmtId="0" fontId="26" fillId="2" borderId="0" xfId="5" applyFont="1" applyFill="1" applyBorder="1" applyAlignment="1">
      <alignment horizontal="center" vertical="center"/>
    </xf>
    <xf numFmtId="0" fontId="64" fillId="0" borderId="0" xfId="5" applyFont="1" applyAlignment="1">
      <alignment horizontal="center" vertical="center" wrapText="1"/>
    </xf>
    <xf numFmtId="0" fontId="28" fillId="0" borderId="8" xfId="5" applyFont="1" applyBorder="1" applyAlignment="1">
      <alignment vertical="center"/>
    </xf>
    <xf numFmtId="0" fontId="28" fillId="2" borderId="2" xfId="5" applyFont="1" applyFill="1" applyBorder="1" applyAlignment="1">
      <alignment horizontal="center" vertical="center" wrapText="1"/>
    </xf>
    <xf numFmtId="0" fontId="28" fillId="2" borderId="20" xfId="5" applyFont="1" applyFill="1" applyBorder="1" applyAlignment="1">
      <alignment horizontal="center" vertical="center" wrapText="1"/>
    </xf>
    <xf numFmtId="0" fontId="66" fillId="0" borderId="7" xfId="5" applyNumberFormat="1" applyFont="1" applyFill="1" applyBorder="1" applyAlignment="1" applyProtection="1">
      <alignment horizontal="left" vertical="center" wrapText="1" readingOrder="1"/>
    </xf>
    <xf numFmtId="0" fontId="26" fillId="2" borderId="0" xfId="5" applyFont="1" applyFill="1" applyBorder="1" applyAlignment="1">
      <alignment horizontal="center"/>
    </xf>
    <xf numFmtId="0" fontId="66" fillId="0" borderId="0" xfId="5" applyNumberFormat="1" applyFont="1" applyFill="1" applyBorder="1" applyAlignment="1" applyProtection="1">
      <alignment horizontal="center" vertical="center" wrapText="1" readingOrder="1"/>
    </xf>
    <xf numFmtId="0" fontId="60" fillId="0" borderId="19" xfId="5" applyFont="1" applyBorder="1" applyAlignment="1">
      <alignment horizontal="center"/>
    </xf>
    <xf numFmtId="0" fontId="25" fillId="26" borderId="2" xfId="0" applyFont="1" applyFill="1" applyBorder="1" applyAlignment="1">
      <alignment horizontal="center" vertical="center" wrapText="1"/>
    </xf>
    <xf numFmtId="0" fontId="25" fillId="26" borderId="3" xfId="0" applyFont="1" applyFill="1" applyBorder="1" applyAlignment="1">
      <alignment horizontal="center" vertical="center" wrapText="1"/>
    </xf>
    <xf numFmtId="0" fontId="25" fillId="26" borderId="8" xfId="0" applyFont="1" applyFill="1" applyBorder="1" applyAlignment="1">
      <alignment horizontal="center" vertical="center" wrapText="1"/>
    </xf>
    <xf numFmtId="0" fontId="70" fillId="0" borderId="8" xfId="0" applyFont="1" applyBorder="1" applyAlignment="1">
      <alignment horizontal="center" vertical="center"/>
    </xf>
    <xf numFmtId="0" fontId="45" fillId="2" borderId="10" xfId="0" applyFont="1" applyFill="1" applyBorder="1" applyAlignment="1">
      <alignment horizontal="center" vertical="center" wrapText="1"/>
    </xf>
    <xf numFmtId="0" fontId="45" fillId="2" borderId="25" xfId="0" applyFont="1" applyFill="1" applyBorder="1" applyAlignment="1">
      <alignment horizontal="center" vertical="center" wrapText="1"/>
    </xf>
    <xf numFmtId="0" fontId="45" fillId="2" borderId="9" xfId="0" applyFont="1" applyFill="1" applyBorder="1" applyAlignment="1">
      <alignment horizontal="center" vertical="center" wrapText="1"/>
    </xf>
    <xf numFmtId="0" fontId="45" fillId="2" borderId="26" xfId="0" applyFont="1" applyFill="1" applyBorder="1" applyAlignment="1">
      <alignment horizontal="center" vertical="center" wrapText="1"/>
    </xf>
    <xf numFmtId="0" fontId="44" fillId="7" borderId="4" xfId="0" applyFont="1" applyFill="1" applyBorder="1" applyAlignment="1">
      <alignment horizontal="center" vertical="center" wrapText="1"/>
    </xf>
    <xf numFmtId="0" fontId="44" fillId="7" borderId="5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1" fontId="45" fillId="2" borderId="4" xfId="0" applyNumberFormat="1" applyFont="1" applyFill="1" applyBorder="1" applyAlignment="1">
      <alignment horizontal="center" vertical="center" wrapText="1"/>
    </xf>
    <xf numFmtId="1" fontId="45" fillId="2" borderId="6" xfId="0" applyNumberFormat="1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vertical="center"/>
    </xf>
    <xf numFmtId="0" fontId="45" fillId="2" borderId="3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 wrapText="1"/>
    </xf>
    <xf numFmtId="0" fontId="45" fillId="2" borderId="3" xfId="0" applyFont="1" applyFill="1" applyBorder="1" applyAlignment="1">
      <alignment horizontal="center" vertical="center" wrapText="1"/>
    </xf>
    <xf numFmtId="1" fontId="44" fillId="2" borderId="4" xfId="0" applyNumberFormat="1" applyFont="1" applyFill="1" applyBorder="1" applyAlignment="1">
      <alignment horizontal="center" vertical="center" wrapText="1"/>
    </xf>
    <xf numFmtId="1" fontId="44" fillId="2" borderId="6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44" fillId="2" borderId="3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2" borderId="6" xfId="0" applyFont="1" applyFill="1" applyBorder="1" applyAlignment="1">
      <alignment horizontal="left" vertical="center"/>
    </xf>
    <xf numFmtId="0" fontId="46" fillId="11" borderId="2" xfId="0" applyFont="1" applyFill="1" applyBorder="1" applyAlignment="1">
      <alignment horizontal="center" vertical="center"/>
    </xf>
    <xf numFmtId="0" fontId="46" fillId="11" borderId="3" xfId="0" applyFont="1" applyFill="1" applyBorder="1" applyAlignment="1">
      <alignment horizontal="center" vertical="center"/>
    </xf>
    <xf numFmtId="0" fontId="46" fillId="11" borderId="2" xfId="0" applyFont="1" applyFill="1" applyBorder="1" applyAlignment="1">
      <alignment horizontal="center" vertical="center" wrapText="1"/>
    </xf>
    <xf numFmtId="0" fontId="46" fillId="11" borderId="3" xfId="0" applyFont="1" applyFill="1" applyBorder="1" applyAlignment="1">
      <alignment horizontal="center" vertical="center" wrapText="1"/>
    </xf>
    <xf numFmtId="1" fontId="46" fillId="24" borderId="2" xfId="0" applyNumberFormat="1" applyFont="1" applyFill="1" applyBorder="1" applyAlignment="1">
      <alignment horizontal="center" vertical="center" wrapText="1"/>
    </xf>
    <xf numFmtId="1" fontId="46" fillId="24" borderId="3" xfId="0" applyNumberFormat="1" applyFont="1" applyFill="1" applyBorder="1" applyAlignment="1">
      <alignment horizontal="center" vertical="center" wrapText="1"/>
    </xf>
    <xf numFmtId="1" fontId="46" fillId="11" borderId="4" xfId="0" applyNumberFormat="1" applyFont="1" applyFill="1" applyBorder="1" applyAlignment="1">
      <alignment horizontal="center" vertical="center" wrapText="1"/>
    </xf>
    <xf numFmtId="1" fontId="46" fillId="11" borderId="6" xfId="0" applyNumberFormat="1" applyFont="1" applyFill="1" applyBorder="1" applyAlignment="1">
      <alignment horizontal="center" vertical="center" wrapText="1"/>
    </xf>
    <xf numFmtId="1" fontId="46" fillId="11" borderId="2" xfId="0" applyNumberFormat="1" applyFont="1" applyFill="1" applyBorder="1" applyAlignment="1">
      <alignment horizontal="center" vertical="center" wrapText="1"/>
    </xf>
    <xf numFmtId="1" fontId="46" fillId="11" borderId="3" xfId="0" applyNumberFormat="1" applyFont="1" applyFill="1" applyBorder="1" applyAlignment="1">
      <alignment horizontal="center" vertical="center" wrapText="1"/>
    </xf>
    <xf numFmtId="1" fontId="46" fillId="24" borderId="23" xfId="0" applyNumberFormat="1" applyFont="1" applyFill="1" applyBorder="1" applyAlignment="1">
      <alignment horizontal="center" vertical="center" wrapText="1"/>
    </xf>
    <xf numFmtId="0" fontId="44" fillId="7" borderId="8" xfId="0" applyFont="1" applyFill="1" applyBorder="1" applyAlignment="1">
      <alignment horizontal="center" vertical="center" wrapText="1"/>
    </xf>
    <xf numFmtId="0" fontId="44" fillId="2" borderId="8" xfId="0" applyFont="1" applyFill="1" applyBorder="1" applyAlignment="1">
      <alignment horizontal="left" vertical="center"/>
    </xf>
    <xf numFmtId="1" fontId="46" fillId="11" borderId="8" xfId="0" applyNumberFormat="1" applyFont="1" applyFill="1" applyBorder="1" applyAlignment="1">
      <alignment horizontal="center" vertical="center" wrapText="1"/>
    </xf>
    <xf numFmtId="0" fontId="46" fillId="11" borderId="8" xfId="0" applyFont="1" applyFill="1" applyBorder="1" applyAlignment="1">
      <alignment horizontal="center" vertical="center"/>
    </xf>
    <xf numFmtId="0" fontId="46" fillId="11" borderId="8" xfId="0" applyFont="1" applyFill="1" applyBorder="1" applyAlignment="1">
      <alignment horizontal="center" vertical="center" wrapText="1"/>
    </xf>
    <xf numFmtId="1" fontId="46" fillId="24" borderId="8" xfId="0" applyNumberFormat="1" applyFont="1" applyFill="1" applyBorder="1" applyAlignment="1">
      <alignment horizontal="center" vertical="center" wrapText="1"/>
    </xf>
    <xf numFmtId="0" fontId="30" fillId="7" borderId="4" xfId="0" applyFont="1" applyFill="1" applyBorder="1" applyAlignment="1">
      <alignment horizontal="center" vertical="center" wrapText="1"/>
    </xf>
    <xf numFmtId="0" fontId="30" fillId="7" borderId="5" xfId="0" applyFont="1" applyFill="1" applyBorder="1" applyAlignment="1">
      <alignment horizontal="center" vertical="center" wrapText="1"/>
    </xf>
    <xf numFmtId="0" fontId="30" fillId="7" borderId="6" xfId="0" applyFont="1" applyFill="1" applyBorder="1" applyAlignment="1">
      <alignment horizontal="center" vertical="center" wrapText="1"/>
    </xf>
    <xf numFmtId="1" fontId="29" fillId="2" borderId="11" xfId="0" applyNumberFormat="1" applyFont="1" applyFill="1" applyBorder="1" applyAlignment="1">
      <alignment horizontal="center" vertical="center" wrapText="1"/>
    </xf>
    <xf numFmtId="1" fontId="29" fillId="2" borderId="12" xfId="0" applyNumberFormat="1" applyFont="1" applyFill="1" applyBorder="1" applyAlignment="1">
      <alignment horizontal="center" vertical="center" wrapText="1"/>
    </xf>
    <xf numFmtId="1" fontId="29" fillId="2" borderId="14" xfId="0" applyNumberFormat="1" applyFont="1" applyFill="1" applyBorder="1" applyAlignment="1">
      <alignment horizontal="center" vertical="center" wrapText="1"/>
    </xf>
    <xf numFmtId="1" fontId="29" fillId="2" borderId="8" xfId="0" applyNumberFormat="1" applyFont="1" applyFill="1" applyBorder="1" applyAlignment="1">
      <alignment horizontal="center" vertical="center" wrapText="1"/>
    </xf>
    <xf numFmtId="1" fontId="44" fillId="2" borderId="12" xfId="0" applyNumberFormat="1" applyFont="1" applyFill="1" applyBorder="1" applyAlignment="1">
      <alignment horizontal="center" vertical="center" wrapText="1"/>
    </xf>
    <xf numFmtId="1" fontId="44" fillId="2" borderId="13" xfId="0" applyNumberFormat="1" applyFont="1" applyFill="1" applyBorder="1" applyAlignment="1">
      <alignment horizontal="center" vertical="center" wrapText="1"/>
    </xf>
    <xf numFmtId="1" fontId="44" fillId="2" borderId="8" xfId="0" applyNumberFormat="1" applyFont="1" applyFill="1" applyBorder="1" applyAlignment="1">
      <alignment horizontal="center" vertical="center" wrapText="1"/>
    </xf>
    <xf numFmtId="1" fontId="44" fillId="2" borderId="15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  <xf numFmtId="1" fontId="46" fillId="24" borderId="10" xfId="0" applyNumberFormat="1" applyFont="1" applyFill="1" applyBorder="1" applyAlignment="1">
      <alignment horizontal="center" vertical="center" wrapText="1"/>
    </xf>
    <xf numFmtId="1" fontId="46" fillId="24" borderId="9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center"/>
    </xf>
    <xf numFmtId="0" fontId="29" fillId="17" borderId="8" xfId="0" applyFont="1" applyFill="1" applyBorder="1" applyAlignment="1">
      <alignment horizontal="center" vertical="center"/>
    </xf>
    <xf numFmtId="168" fontId="44" fillId="12" borderId="4" xfId="4" applyNumberFormat="1" applyFont="1" applyFill="1" applyBorder="1" applyAlignment="1">
      <alignment horizontal="center" vertical="center" wrapText="1"/>
    </xf>
    <xf numFmtId="168" fontId="44" fillId="12" borderId="5" xfId="4" applyNumberFormat="1" applyFont="1" applyFill="1" applyBorder="1" applyAlignment="1">
      <alignment horizontal="center" vertical="center" wrapText="1"/>
    </xf>
    <xf numFmtId="168" fontId="44" fillId="12" borderId="6" xfId="4" applyNumberFormat="1" applyFont="1" applyFill="1" applyBorder="1" applyAlignment="1">
      <alignment horizontal="center" vertical="center" wrapText="1"/>
    </xf>
    <xf numFmtId="0" fontId="29" fillId="17" borderId="2" xfId="0" applyFont="1" applyFill="1" applyBorder="1" applyAlignment="1">
      <alignment horizontal="center" vertical="center"/>
    </xf>
    <xf numFmtId="0" fontId="29" fillId="17" borderId="3" xfId="0" applyFont="1" applyFill="1" applyBorder="1" applyAlignment="1">
      <alignment horizontal="center" vertical="center"/>
    </xf>
    <xf numFmtId="0" fontId="44" fillId="2" borderId="9" xfId="0" applyFont="1" applyFill="1" applyBorder="1" applyAlignment="1">
      <alignment horizontal="center" vertical="center" wrapText="1"/>
    </xf>
    <xf numFmtId="0" fontId="44" fillId="2" borderId="7" xfId="0" applyFont="1" applyFill="1" applyBorder="1" applyAlignment="1">
      <alignment horizontal="center" vertical="center" wrapText="1"/>
    </xf>
    <xf numFmtId="0" fontId="44" fillId="2" borderId="19" xfId="0" applyFont="1" applyFill="1" applyBorder="1" applyAlignment="1">
      <alignment horizontal="center" vertical="center"/>
    </xf>
    <xf numFmtId="0" fontId="44" fillId="7" borderId="4" xfId="0" applyFont="1" applyFill="1" applyBorder="1" applyAlignment="1">
      <alignment horizontal="center" wrapText="1"/>
    </xf>
    <xf numFmtId="0" fontId="44" fillId="7" borderId="5" xfId="0" applyFont="1" applyFill="1" applyBorder="1" applyAlignment="1">
      <alignment horizontal="center" wrapText="1"/>
    </xf>
    <xf numFmtId="0" fontId="44" fillId="7" borderId="6" xfId="0" applyFont="1" applyFill="1" applyBorder="1" applyAlignment="1">
      <alignment horizontal="center" wrapText="1"/>
    </xf>
    <xf numFmtId="0" fontId="44" fillId="2" borderId="1" xfId="0" applyFont="1" applyFill="1" applyBorder="1" applyAlignment="1">
      <alignment horizontal="left"/>
    </xf>
    <xf numFmtId="0" fontId="28" fillId="13" borderId="2" xfId="0" applyFont="1" applyFill="1" applyBorder="1" applyAlignment="1">
      <alignment horizontal="center" vertical="center"/>
    </xf>
    <xf numFmtId="0" fontId="28" fillId="13" borderId="3" xfId="0" applyFont="1" applyFill="1" applyBorder="1" applyAlignment="1">
      <alignment horizontal="center" vertical="center"/>
    </xf>
    <xf numFmtId="0" fontId="28" fillId="0" borderId="0" xfId="0" applyFont="1" applyAlignment="1">
      <alignment horizontal="left" indent="10"/>
    </xf>
    <xf numFmtId="0" fontId="63" fillId="0" borderId="0" xfId="0" applyFont="1" applyAlignment="1">
      <alignment horizontal="left" indent="9"/>
    </xf>
  </cellXfs>
  <cellStyles count="62">
    <cellStyle name="Comma" xfId="4" builtinId="3"/>
    <cellStyle name="Comma [0] 2" xfId="41"/>
    <cellStyle name="Comma 2" xfId="15"/>
    <cellStyle name="Comma 3" xfId="21"/>
    <cellStyle name="Comma 4" xfId="34"/>
    <cellStyle name="Comma 4 2" xfId="37"/>
    <cellStyle name="Comma 4 2 2" xfId="59"/>
    <cellStyle name="Comma 4 3" xfId="55"/>
    <cellStyle name="Comma 5" xfId="35"/>
    <cellStyle name="Comma 5 2" xfId="57"/>
    <cellStyle name="Comma 6" xfId="40"/>
    <cellStyle name="Comma 7" xfId="43"/>
    <cellStyle name="Comma 8" xfId="8"/>
    <cellStyle name="Comma 9" xfId="61"/>
    <cellStyle name="Hyperlink" xfId="3" builtinId="8"/>
    <cellStyle name="Normal" xfId="0" builtinId="0"/>
    <cellStyle name="Normal 10" xfId="6"/>
    <cellStyle name="Normal 10 2" xfId="56"/>
    <cellStyle name="Normal 11" xfId="39"/>
    <cellStyle name="Normal 12" xfId="7"/>
    <cellStyle name="Normal 2" xfId="5"/>
    <cellStyle name="Normal 2 2" xfId="18"/>
    <cellStyle name="Normal 2 2 2" xfId="12"/>
    <cellStyle name="Normal 2 3" xfId="16"/>
    <cellStyle name="Normal 2 4" xfId="22"/>
    <cellStyle name="Normal 2 4 2" xfId="20"/>
    <cellStyle name="Normal 2 4 2 2" xfId="47"/>
    <cellStyle name="Normal 2 4 3" xfId="48"/>
    <cellStyle name="Normal 2 5" xfId="13"/>
    <cellStyle name="Normal 2 5 2 2" xfId="23"/>
    <cellStyle name="Normal 2 5 2 2 2" xfId="49"/>
    <cellStyle name="Normal 2 6" xfId="24"/>
    <cellStyle name="Normal 2 6 4" xfId="19"/>
    <cellStyle name="Normal 2 6 4 2" xfId="46"/>
    <cellStyle name="Normal 2 8" xfId="25"/>
    <cellStyle name="Normal 2 8 2" xfId="50"/>
    <cellStyle name="Normal 3" xfId="17"/>
    <cellStyle name="Normal 3 2" xfId="29"/>
    <cellStyle name="Normal 3 2 2" xfId="26"/>
    <cellStyle name="Normal 3 2 2 2" xfId="51"/>
    <cellStyle name="Normal 3 2 3" xfId="27"/>
    <cellStyle name="Normal 3 2 4" xfId="52"/>
    <cellStyle name="Normal 3 3" xfId="31"/>
    <cellStyle name="Normal 3 4" xfId="28"/>
    <cellStyle name="Normal 3 5" xfId="45"/>
    <cellStyle name="Normal 4" xfId="11"/>
    <cellStyle name="Normal 4 2" xfId="32"/>
    <cellStyle name="Normal 5" xfId="9"/>
    <cellStyle name="Normal 5 2" xfId="44"/>
    <cellStyle name="Normal 6" xfId="14"/>
    <cellStyle name="Normal 7" xfId="30"/>
    <cellStyle name="Normal 7 2" xfId="53"/>
    <cellStyle name="Normal 8" xfId="10"/>
    <cellStyle name="Normal 9" xfId="33"/>
    <cellStyle name="Normal 9 2" xfId="36"/>
    <cellStyle name="Normal 9 2 2" xfId="58"/>
    <cellStyle name="Normal 9 3" xfId="54"/>
    <cellStyle name="Percent 2" xfId="42"/>
    <cellStyle name="Percent 3" xfId="60"/>
    <cellStyle name="Percent 4" xfId="38"/>
    <cellStyle name="常规 2" xfId="2"/>
    <cellStyle name="常规 3" xfId="1"/>
  </cellStyles>
  <dxfs count="13042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FF"/>
      <color rgb="FF00CC66"/>
      <color rgb="FFFFFF00"/>
      <color rgb="FFCC99FF"/>
      <color rgb="FF008000"/>
      <color rgb="FFFF00FF"/>
      <color rgb="FF3366FF"/>
      <color rgb="FF66FFFF"/>
      <color rgb="FF9900FF"/>
      <color rgb="FFE67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79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calcChain" Target="calcChain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65" Type="http://schemas.openxmlformats.org/officeDocument/2006/relationships/worksheet" Target="worksheets/sheet265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71" Type="http://schemas.openxmlformats.org/officeDocument/2006/relationships/worksheet" Target="worksheets/sheet271.xml"/><Relationship Id="rId276" Type="http://schemas.openxmlformats.org/officeDocument/2006/relationships/externalLink" Target="externalLinks/externalLink3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worksheet" Target="worksheets/sheet261.xml"/><Relationship Id="rId266" Type="http://schemas.openxmlformats.org/officeDocument/2006/relationships/worksheet" Target="worksheets/sheet266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77" Type="http://schemas.openxmlformats.org/officeDocument/2006/relationships/theme" Target="theme/theme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72" Type="http://schemas.openxmlformats.org/officeDocument/2006/relationships/worksheet" Target="worksheets/sheet27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worksheet" Target="worksheets/sheet26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styles" Target="styles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externalLink" Target="externalLinks/externalLink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externalLink" Target="externalLinks/externalLink2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35719</xdr:rowOff>
    </xdr:from>
    <xdr:to>
      <xdr:col>12</xdr:col>
      <xdr:colOff>35718</xdr:colOff>
      <xdr:row>0</xdr:row>
      <xdr:rowOff>1393031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5719"/>
          <a:ext cx="8636793" cy="1357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</xdr:colOff>
      <xdr:row>0</xdr:row>
      <xdr:rowOff>54428</xdr:rowOff>
    </xdr:from>
    <xdr:to>
      <xdr:col>8</xdr:col>
      <xdr:colOff>880975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43" y="54428"/>
          <a:ext cx="8500975" cy="14015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340180</xdr:colOff>
      <xdr:row>0</xdr:row>
      <xdr:rowOff>0</xdr:rowOff>
    </xdr:from>
    <xdr:to>
      <xdr:col>8</xdr:col>
      <xdr:colOff>914994</xdr:colOff>
      <xdr:row>0</xdr:row>
      <xdr:rowOff>1299882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80" y="0"/>
          <a:ext cx="8507778" cy="12998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35719</xdr:rowOff>
    </xdr:from>
    <xdr:to>
      <xdr:col>12</xdr:col>
      <xdr:colOff>190499</xdr:colOff>
      <xdr:row>0</xdr:row>
      <xdr:rowOff>1393031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5719"/>
          <a:ext cx="8639174" cy="13573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0</xdr:row>
      <xdr:rowOff>27215</xdr:rowOff>
    </xdr:from>
    <xdr:to>
      <xdr:col>10</xdr:col>
      <xdr:colOff>704082</xdr:colOff>
      <xdr:row>0</xdr:row>
      <xdr:rowOff>1327097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9" y="27215"/>
          <a:ext cx="8487367" cy="12998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81643</xdr:colOff>
      <xdr:row>0</xdr:row>
      <xdr:rowOff>0</xdr:rowOff>
    </xdr:from>
    <xdr:to>
      <xdr:col>10</xdr:col>
      <xdr:colOff>622439</xdr:colOff>
      <xdr:row>0</xdr:row>
      <xdr:rowOff>1299882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036" y="0"/>
          <a:ext cx="8392117" cy="129988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13607</xdr:rowOff>
    </xdr:from>
    <xdr:to>
      <xdr:col>10</xdr:col>
      <xdr:colOff>731296</xdr:colOff>
      <xdr:row>0</xdr:row>
      <xdr:rowOff>1313489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93" y="13607"/>
          <a:ext cx="8392117" cy="129988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108857</xdr:colOff>
      <xdr:row>0</xdr:row>
      <xdr:rowOff>0</xdr:rowOff>
    </xdr:from>
    <xdr:to>
      <xdr:col>10</xdr:col>
      <xdr:colOff>744903</xdr:colOff>
      <xdr:row>0</xdr:row>
      <xdr:rowOff>1299882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0"/>
          <a:ext cx="8487367" cy="12998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149679</xdr:colOff>
      <xdr:row>0</xdr:row>
      <xdr:rowOff>13607</xdr:rowOff>
    </xdr:from>
    <xdr:to>
      <xdr:col>10</xdr:col>
      <xdr:colOff>690475</xdr:colOff>
      <xdr:row>0</xdr:row>
      <xdr:rowOff>1313489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072" y="13607"/>
          <a:ext cx="8392117" cy="129988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0</xdr:rowOff>
    </xdr:from>
    <xdr:to>
      <xdr:col>10</xdr:col>
      <xdr:colOff>680358</xdr:colOff>
      <xdr:row>0</xdr:row>
      <xdr:rowOff>1299882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93" y="0"/>
          <a:ext cx="8341179" cy="129988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0</xdr:row>
      <xdr:rowOff>27213</xdr:rowOff>
    </xdr:from>
    <xdr:to>
      <xdr:col>11</xdr:col>
      <xdr:colOff>554404</xdr:colOff>
      <xdr:row>0</xdr:row>
      <xdr:rowOff>1442356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1" y="27213"/>
          <a:ext cx="8364903" cy="14151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&#258;M%202023/TH&#193;NG%2005.23/B&#225;o%20c&#225;o%20NL%20Men%20-%20M&#224;u%20-%20VTSX%20ng&#224;y%2031.05.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~1\AppData\Local\Temp\Zalo%20Temp\TempDownloads\B&#225;o%20c&#225;o%20NL%20Men%20-%20M&#224;u%20-%20VTSX%20ng&#224;y%2024.01.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H&#193;NG%2007.24/MSS.KHO%20MEN%20ng&#224;y%2031.07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C-ND1B-NĐ"/>
      <sheetName val="QUARTZ VH004-FTA"/>
      <sheetName val="FRIT FO102-FHU"/>
      <sheetName val="ZIRCON K1#"/>
      <sheetName val="HT082"/>
      <sheetName val="STTP LTP"/>
      <sheetName val="CMC FC3828-TQ"/>
      <sheetName val="Bi cao nhôm D40"/>
      <sheetName val="VT GR TIM AN HA 30X60"/>
      <sheetName val="VO PHE DONG TAY 30X60"/>
      <sheetName val="VO 30X30 GR XANH"/>
      <sheetName val="VO 30X30 SAHADO"/>
      <sheetName val="DAY DAI TAY PP"/>
      <sheetName val=" PALLET GLP 105"/>
      <sheetName val="PALLET GPH110"/>
      <sheetName val="PALLET ITCO MỚI "/>
      <sheetName val="PALLET GIA KIM TÍN"/>
      <sheetName val="NEP GO PQ"/>
      <sheetName val="NEP GO GIA KIM TÍN"/>
      <sheetName val="NEP GO ITC"/>
      <sheetName val="NEP GO GLP"/>
      <sheetName val="KIM KEP DAI BANG HOI"/>
      <sheetName val="CAO LANH LOC BL"/>
      <sheetName val="DUNG MOI VADV 015"/>
      <sheetName val="MEN VG 443-658"/>
      <sheetName val="MUC XANH DUONG"/>
      <sheetName val="MUC VANG"/>
      <sheetName val="MUC CAM"/>
      <sheetName val="MUC NAU DO"/>
      <sheetName val="MUC HIEU UNG"/>
      <sheetName val="NUOC RUA"/>
      <sheetName val="FELDSPAR IDM"/>
      <sheetName val="TỔNG HỢP THÁNG"/>
      <sheetName val="BAO BÌ "/>
      <sheetName val="TH KT"/>
      <sheetName val="FRIT HGE91-FHG "/>
      <sheetName val="FRIT A106 -ACV"/>
      <sheetName val="FRIT FO113-FHU"/>
      <sheetName val="E. GLAZE BF043-PV"/>
      <sheetName val="E.GLAZE BF043A+QĐ"/>
      <sheetName val="KAOLANH AA INDO"/>
      <sheetName val="SILICA HGQ03-FHG"/>
      <sheetName val="P. FELDSPAR K200-AD"/>
      <sheetName val="NHÔM ÔXIT AL2O3-HNP"/>
      <sheetName val="FRIT 1089-ACV"/>
      <sheetName val="FRIT A528"/>
      <sheetName val="FRIT HGT03-FHG"/>
      <sheetName val="FRIT VFT03"/>
      <sheetName val="FRIT HGS82-FHU"/>
      <sheetName val="KAOLIN 1C-IMR"/>
      <sheetName val="ZIRCON ZS012-LGP"/>
      <sheetName val="ZIRCON ZRD5M"/>
      <sheetName val="FRIT 853-ACV"/>
      <sheetName val="FRIT 568-ACV"/>
      <sheetName val="FRIT FS459 FHU"/>
      <sheetName val="FRIT A608 ACV"/>
      <sheetName val="FRIT HGT05-FHG "/>
      <sheetName val="FRIT HT082"/>
      <sheetName val="FRIT PGB 1288B"/>
      <sheetName val="FRIT TM2001"/>
      <sheetName val="FRIT TM2085"/>
      <sheetName val="DEF 305"/>
      <sheetName val="CMC T26"/>
      <sheetName val="CMC S50"/>
      <sheetName val="CMC G30"/>
      <sheetName val="CMC C20"/>
      <sheetName val="STTP-HNP"/>
      <sheetName val="ROCIMA 623-HVC"/>
      <sheetName val="COMPOUD TRÁNG ĐẾ"/>
      <sheetName val="MAGIÊ ÔXIT MgO-HNP"/>
      <sheetName val="KAOLIN P08-KMD"/>
      <sheetName val="MT812-QĐ "/>
      <sheetName val="MT616-QĐ"/>
      <sheetName val="Y327-QĐ"/>
      <sheetName val="MT03VT-QĐ"/>
      <sheetName val="BF-002A-QĐ "/>
      <sheetName val="BALL CLAY BCO3-PV"/>
      <sheetName val="VM01"/>
      <sheetName val="VM06"/>
      <sheetName val="BI TRUNG NHÔM D60"/>
      <sheetName val="BI TRUNG NHÔM D40"/>
      <sheetName val="BI CAO NHÔM D60"/>
      <sheetName val="BI CAO NHÔM D30"/>
      <sheetName val="MÀU XANH AZ1476"/>
      <sheetName val="MÀU NÂU MA5455"/>
      <sheetName val="MÀU VÀNG CIK-AM5456"/>
      <sheetName val="MÀU BE BG9454"/>
      <sheetName val="MÀU ĐEN NE6153"/>
      <sheetName val="MÀUÀU HỒNG RO4118"/>
      <sheetName val="HU CHÌM RC1151"/>
      <sheetName val="HU NỔI LUS 1217"/>
      <sheetName val="DD RỬA MÁY IN PL0101"/>
      <sheetName val="DD RỬA ĐẦU IN PL0115"/>
      <sheetName val="DAY DAI PP"/>
      <sheetName val="DAY DAI PET"/>
      <sheetName val="GR TIM 30x60-HA "/>
      <sheetName val="GR TIM 30x60-VH"/>
      <sheetName val="GR TIM 30x60-TTP"/>
      <sheetName val="GR XANH 30x60-HA"/>
      <sheetName val="GR XANH 30X60-VH"/>
      <sheetName val="GR XANH 30x60-TTP"/>
      <sheetName val="SAHADO NEW 30x60-VH"/>
      <sheetName val="SAHADO NEW 30x60-HA"/>
      <sheetName val="SAHADO 30x60-VH"/>
      <sheetName val="SAHADO 40x80-HA "/>
      <sheetName val="LUXURY 30x60-TTP"/>
      <sheetName val="LUXURY 30x60-HA"/>
      <sheetName val="LUXURY 40x80-HA"/>
      <sheetName val="CROWN 30x60-HA "/>
      <sheetName val="CROWN 40x80-HA"/>
      <sheetName val="ESPANA 30x60-VH"/>
      <sheetName val="ESPANA 30x60-HA"/>
      <sheetName val="ESPANA 40x80-HA "/>
      <sheetName val="ADONIS 40x80-HA"/>
      <sheetName val="CERAMIC 30x60-HA"/>
      <sheetName val="HAVIRA"/>
      <sheetName val="ADONIS"/>
      <sheetName val="VO PHE 30x60"/>
      <sheetName val="VO PHE  40x80"/>
      <sheetName val="PALLET 1100x1100-TH "/>
      <sheetName val="PALLET 1100x1100-NM"/>
      <sheetName val="PALLET 1100x1100-TB (cu)"/>
      <sheetName val="PALLET 145"/>
      <sheetName val="NEP GO 30x60 TH"/>
      <sheetName val="NEP GO 30x60-NM"/>
      <sheetName val="NEP GO 40x80 TH"/>
      <sheetName val="KE NHUA 8V 3060"/>
      <sheetName val="KE NHUA 4V 4080"/>
      <sheetName val="BO SAT"/>
      <sheetName val="BANG KEO TRONG"/>
      <sheetName val="KIM KEP DAY DAI"/>
      <sheetName val="TANG DAY DAI"/>
      <sheetName val="DAO CAT DAN HOA"/>
      <sheetName val="CAO LANH PT"/>
      <sheetName val="FRIT FO716"/>
      <sheetName val="CAO LANH GF-3005"/>
      <sheetName val="CAO LANH YS 09"/>
      <sheetName val="Bot TALC"/>
      <sheetName val="HIFIL-1"/>
      <sheetName val="FP940"/>
      <sheetName val="TANG CUNG XUONG"/>
      <sheetName val="SON CON LAN TREN"/>
      <sheetName val="SON CON LAN DUOI"/>
      <sheetName val="TB3008"/>
      <sheetName val="TB3001"/>
      <sheetName val="S501"/>
      <sheetName val="S250"/>
      <sheetName val="M004"/>
      <sheetName val="GB1660"/>
      <sheetName val="TB4139"/>
      <sheetName val="TB3007"/>
      <sheetName val="S130"/>
      <sheetName val="FRIT FV 090.540 - FTA"/>
      <sheetName val="FRIT 090.558 - FTA"/>
      <sheetName val="FRIT VF1101N.A-VNF"/>
      <sheetName val="MEN FV104-537"/>
      <sheetName val="FRIT PT02-PĐ"/>
      <sheetName val="TỔNG HỢP"/>
      <sheetName val="TỔNG HỢP 104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4">
          <cell r="F14">
            <v>5000</v>
          </cell>
        </row>
        <row r="15">
          <cell r="E15">
            <v>10300</v>
          </cell>
        </row>
        <row r="16">
          <cell r="E16">
            <v>537.6</v>
          </cell>
        </row>
        <row r="34">
          <cell r="E34">
            <v>25</v>
          </cell>
        </row>
        <row r="44">
          <cell r="E44">
            <v>4305.8</v>
          </cell>
        </row>
        <row r="48">
          <cell r="G48">
            <v>0</v>
          </cell>
        </row>
        <row r="51">
          <cell r="E51">
            <v>12132.5</v>
          </cell>
        </row>
        <row r="57">
          <cell r="E57">
            <v>157.5</v>
          </cell>
        </row>
        <row r="60">
          <cell r="F60">
            <v>0</v>
          </cell>
        </row>
        <row r="125">
          <cell r="E125">
            <v>6180</v>
          </cell>
        </row>
        <row r="126">
          <cell r="E126">
            <v>8263</v>
          </cell>
        </row>
        <row r="127">
          <cell r="E127">
            <v>3222</v>
          </cell>
        </row>
        <row r="128">
          <cell r="E128">
            <v>4330</v>
          </cell>
        </row>
        <row r="130">
          <cell r="E130">
            <v>200</v>
          </cell>
        </row>
        <row r="131">
          <cell r="E131">
            <v>600</v>
          </cell>
        </row>
        <row r="132">
          <cell r="E132">
            <v>300</v>
          </cell>
        </row>
        <row r="133">
          <cell r="E133">
            <v>300</v>
          </cell>
        </row>
        <row r="134">
          <cell r="E134">
            <v>4764</v>
          </cell>
        </row>
        <row r="135">
          <cell r="E135">
            <v>950</v>
          </cell>
        </row>
        <row r="136">
          <cell r="E136">
            <v>500</v>
          </cell>
        </row>
        <row r="137">
          <cell r="E137">
            <v>1000</v>
          </cell>
        </row>
        <row r="138">
          <cell r="E138">
            <v>825</v>
          </cell>
        </row>
        <row r="139">
          <cell r="E139">
            <v>12200</v>
          </cell>
        </row>
        <row r="140">
          <cell r="E140">
            <v>7106.5990000000002</v>
          </cell>
        </row>
        <row r="141">
          <cell r="E141">
            <v>267</v>
          </cell>
        </row>
      </sheetData>
      <sheetData sheetId="33">
        <row r="29">
          <cell r="F29">
            <v>0</v>
          </cell>
        </row>
        <row r="30">
          <cell r="F30">
            <v>0</v>
          </cell>
        </row>
        <row r="32">
          <cell r="F32">
            <v>0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40">
          <cell r="F40">
            <v>0</v>
          </cell>
        </row>
      </sheetData>
      <sheetData sheetId="92">
        <row r="40">
          <cell r="F40">
            <v>0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40">
          <cell r="E40">
            <v>0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40">
          <cell r="F40">
            <v>0</v>
          </cell>
          <cell r="G40">
            <v>0</v>
          </cell>
        </row>
      </sheetData>
      <sheetData sheetId="153"/>
      <sheetData sheetId="154"/>
      <sheetData sheetId="155"/>
      <sheetData sheetId="156">
        <row r="40">
          <cell r="F40">
            <v>0</v>
          </cell>
          <cell r="G40">
            <v>0</v>
          </cell>
        </row>
      </sheetData>
      <sheetData sheetId="157"/>
      <sheetData sheetId="158"/>
      <sheetData sheetId="159"/>
      <sheetData sheetId="16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C-ND1B-NĐ"/>
      <sheetName val="QUARTZ VH004-FTA"/>
      <sheetName val="FRIT FO102-FHU"/>
      <sheetName val="ZIRCON K1#"/>
      <sheetName val="HT082"/>
      <sheetName val="STTP LTP"/>
      <sheetName val="CMC FC3828-TQ"/>
      <sheetName val="Bi cao nhôm D40"/>
      <sheetName val="VT GR TIM AN HA 30X60"/>
      <sheetName val="VO PHE DONG TAY 30X60"/>
      <sheetName val="VO 30X30 GR XANH"/>
      <sheetName val="VO 30X30 SAHADO"/>
      <sheetName val="DAY DAI TAY PP"/>
      <sheetName val=" PALLET GLP 105"/>
      <sheetName val="PALLET GPH110"/>
      <sheetName val="PALLET ITCO MỚI "/>
      <sheetName val="PALLET GIA KIM TÍN"/>
      <sheetName val="NEP GO PQ"/>
      <sheetName val="NEP GO GIA KIM TÍN"/>
      <sheetName val="NEP GO ITC"/>
      <sheetName val="NEP GO GLP"/>
      <sheetName val="KIM KEP DAI BANG HOI"/>
      <sheetName val="CAO LANH LOC BL"/>
      <sheetName val="DUNG MOI VADV 015"/>
      <sheetName val="MEN VG 443-658"/>
      <sheetName val="MUC XANH DUONG"/>
      <sheetName val="MUC VANG"/>
      <sheetName val="MUC CAM"/>
      <sheetName val="MUC NAU DO"/>
      <sheetName val="MUC HIEU UNG"/>
      <sheetName val="NUOC RUA"/>
      <sheetName val="FELDSPAR IDM"/>
      <sheetName val="TỔNG HỢP THÁNG"/>
      <sheetName val="SO SÁNH"/>
      <sheetName val="TH SX"/>
      <sheetName val="BAO BÌ "/>
      <sheetName val="KIỄM KÊ  T01.26 MEN"/>
      <sheetName val="KIỄM KÊ  T01.26 VẬT TƯ"/>
      <sheetName val="TH KẾ TOÁN"/>
      <sheetName val="FRIT HGE91-FHG"/>
      <sheetName val="FRIT A106 -ACV"/>
      <sheetName val="FRIT A103 -ACV"/>
      <sheetName val="FRIT FO113-FHU"/>
      <sheetName val="BF043 "/>
      <sheetName val="Cao lanh N2A"/>
      <sheetName val="Cao lanh N1A "/>
      <sheetName val="BẢ MEN"/>
      <sheetName val="KAOLANH AA INDO"/>
      <sheetName val="KAOLANHVCT04A"/>
      <sheetName val="KAOLANH 168"/>
      <sheetName val="SILICA HGQ03-FHG"/>
      <sheetName val="FRIT FT3"/>
      <sheetName val="P. FELDSPAR K200-AD"/>
      <sheetName val="NHÔM ÔXIT AL2O3-HNP"/>
      <sheetName val="FRIT 1089-ACV"/>
      <sheetName val="FRIT A528"/>
      <sheetName val="FRIT 856"/>
      <sheetName val="FRIT HGT03-FHG"/>
      <sheetName val="FRIT VFT03"/>
      <sheetName val="FRIT A609"/>
      <sheetName val="FRIT VO22"/>
      <sheetName val="KAOLIN 1C-IMR"/>
      <sheetName val="ZIRCON ZS012-LGP"/>
      <sheetName val="ZIRCON ZS08"/>
      <sheetName val="ZIRCON ZRD5M"/>
      <sheetName val="FRIT 853-ACV"/>
      <sheetName val="FRIT 502-ACV"/>
      <sheetName val="FRIT FS459 FHU"/>
      <sheetName val="FRIT A608 ACV"/>
      <sheetName val="FRIT A608-2 ACV"/>
      <sheetName val="FRIT HGT05-FHG "/>
      <sheetName val="FRIT HT082"/>
      <sheetName val="FRIT PGB 1288B"/>
      <sheetName val="FRIT TM2001"/>
      <sheetName val="Sheet1"/>
      <sheetName val="FRIT TM2085"/>
      <sheetName val="FRIT 356"/>
      <sheetName val="FRIT 356 L"/>
      <sheetName val="FRIT 320"/>
      <sheetName val="FRIT 515"/>
      <sheetName val="FRIT 089"/>
      <sheetName val="DEF 305"/>
      <sheetName val="CMC T26"/>
      <sheetName val="CMC USK 60 THT"/>
      <sheetName val="CMC S50"/>
      <sheetName val="CMC G30"/>
      <sheetName val="CMC C20"/>
      <sheetName val="STTP-HNP"/>
      <sheetName val="ROCIMA 623-HVC"/>
      <sheetName val="COMPOUD TRÁNG ĐẾ"/>
      <sheetName val="MAGIÊ ÔXIT MgO-HNP"/>
      <sheetName val="KAOLIN P08-KMD"/>
      <sheetName val="MT812-QĐ "/>
      <sheetName val="MT616-QĐ"/>
      <sheetName val="Y327-QĐ"/>
      <sheetName val="MT03VT-QĐ"/>
      <sheetName val="BF-002A-QĐ "/>
      <sheetName val="BALL CLAY BCO3-PV"/>
      <sheetName val="VM01"/>
      <sheetName val="VM06"/>
      <sheetName val="VFM41"/>
      <sheetName val="VF150521"/>
      <sheetName val="FO118"/>
      <sheetName val="FO102"/>
      <sheetName val="VF1205"/>
      <sheetName val="SUGAR"/>
      <sheetName val="SUGAR PNSG02 -01"/>
      <sheetName val="SUGAR PNSG02 - 05"/>
      <sheetName val="FRIT 288"/>
      <sheetName val="FRIT VS28"/>
      <sheetName val="FRIT VS68"/>
      <sheetName val="FRIT VS55"/>
      <sheetName val="BI TRUNG NHÔM D60"/>
      <sheetName val="BI TRUNG NHÔM D40"/>
      <sheetName val="BI CAO NHÔM D60"/>
      <sheetName val="BI CAO NHÔM D30"/>
      <sheetName val="MÀU XANH AZ1476"/>
      <sheetName val="MÀU NÂU MA5455"/>
      <sheetName val="MÀU VÀNG CIK-AM5456"/>
      <sheetName val="MÀU BE BG9454"/>
      <sheetName val="MÀU ĐEN NE6153"/>
      <sheetName val="MÀUÀU HỒNG RO4118"/>
      <sheetName val="HU CHÌM RC1151"/>
      <sheetName val="HU NỔI LUS 1217"/>
      <sheetName val="XANH LÁ 1236"/>
      <sheetName val="DD RỬA MÁY IN PL0101"/>
      <sheetName val="DD RỬA ĐẦU IN PL0115"/>
      <sheetName val="DAY DAI PP"/>
      <sheetName val="DAY DAI PET"/>
      <sheetName val="GR TIM 30x60-HA "/>
      <sheetName val="GR TIM 30x60-HA  NÂU"/>
      <sheetName val="GR TIM 5050-HA "/>
      <sheetName val="GR TIM 30x60-VH"/>
      <sheetName val="GR TIM 30x60-TTP"/>
      <sheetName val="GR XANH 30x60-HA"/>
      <sheetName val="GR XANH 30x60-HA nâu"/>
      <sheetName val="GR XANH 30x60-HA nâu MỚI"/>
      <sheetName val="GR XANH 30X60-VH"/>
      <sheetName val="GR XANH 30x60-TTP"/>
      <sheetName val="SAHADO NEW 30x60-VH"/>
      <sheetName val="SAHADO NEW 30x60-HA"/>
      <sheetName val="SAHADO NEW 30x60-HA nâu"/>
      <sheetName val="SAHADO 30x60-VH"/>
      <sheetName val="SAHADO 40x80-HA "/>
      <sheetName val="LUXURY 30x60-TTP"/>
      <sheetName val="LUXURY 30x60-HA"/>
      <sheetName val="LUXURY 30x60-HA nâu"/>
      <sheetName val="LUXURY 40x80-HA"/>
      <sheetName val="LUXURY 40x80-HA nâu"/>
      <sheetName val="LUXURY 40x80 5V-HA nâu "/>
      <sheetName val="LUXURY 5050-HA "/>
      <sheetName val="LUXURY 5050-HA giấy nâu"/>
      <sheetName val="LUXURY 4060-HA "/>
      <sheetName val="LUXURY 6060-HA "/>
      <sheetName val="LUXURY 6060-HA  5V"/>
      <sheetName val="CROWN 30x60-HA "/>
      <sheetName val="CROWN 40x80-HA"/>
      <sheetName val="CROWN 40x80-5V HA "/>
      <sheetName val="CROWN 50x50-HA"/>
      <sheetName val="CROWN 40x60-HA"/>
      <sheetName val="CROWN 60x60-HA "/>
      <sheetName val="CROWN 60x60-HA 5V"/>
      <sheetName val="ESPANA 30x60-VH"/>
      <sheetName val="ESPANA 30x60-HA"/>
      <sheetName val="ESPANA 30x60-HA nâu"/>
      <sheetName val="ESPANA 40x80-HA "/>
      <sheetName val="ESPANA 40x80-HA nâu"/>
      <sheetName val="ESPANA 40x80-5V HA nâu "/>
      <sheetName val="ESPANA 50x50-HA"/>
      <sheetName val="ESPANA 60x60-HA"/>
      <sheetName val="ESPANA 60x60-HA 5V"/>
      <sheetName val="ADONIS 40x80-HA"/>
      <sheetName val="GREEN ERA 4080"/>
      <sheetName val="GREEN ERA 4080 nâu"/>
      <sheetName val="GREEN ERA 4080 5V nâu "/>
      <sheetName val="CERAMIC 30x60-HA"/>
      <sheetName val="HAVIRA"/>
      <sheetName val="HAVIRA nâu"/>
      <sheetName val="HAVIRA 5050"/>
      <sheetName val="HAVIRA 6060"/>
      <sheetName val="HAVIRA 6060 5V"/>
      <sheetName val="HAVIRA 4080"/>
      <sheetName val="HAVIRA 4080 5V"/>
      <sheetName val="ADONIS"/>
      <sheetName val="GREEN ERA"/>
      <sheetName val="GREEN ERA nâu"/>
      <sheetName val="GREEN HOME"/>
      <sheetName val="GREEN HOME 6060"/>
      <sheetName val="GREEN HOME 6060 5V"/>
      <sheetName val="GREEN HOME 5050"/>
      <sheetName val="GREEN HOME 4080"/>
      <sheetName val="GREEN HOME 4080 5V"/>
      <sheetName val="UNITILE 4080 "/>
      <sheetName val="LUSTILE"/>
      <sheetName val="LUSTILE 4080 nâu"/>
      <sheetName val="LUSTILE 4080 nâu 5V"/>
      <sheetName val="PANA TILES 4080 nâu "/>
      <sheetName val="PANA TILES 4080 nâu  5V"/>
      <sheetName val="PANA TILES 3060 nâu "/>
      <sheetName val="TOP ONE 4080 nâu "/>
      <sheetName val="TOP ONE 4080 5V nâu "/>
      <sheetName val="TOP ONE 3060 nâu  "/>
      <sheetName val="TOP ONE 5050 nâu "/>
      <sheetName val="CROVINA 3060"/>
      <sheetName val="CROVINA 50"/>
      <sheetName val="CROVINA 60"/>
      <sheetName val="CROVINA 4080 5v"/>
      <sheetName val="T H PHƯƠNG 3060"/>
      <sheetName val="VO PHE 30x60"/>
      <sheetName val="VO PHE  40x80"/>
      <sheetName val="VO PHE  5050"/>
      <sheetName val="VO PHE  4060"/>
      <sheetName val="VO PHE  6060"/>
      <sheetName val="PALLET 1100x1100-TH "/>
      <sheetName val="PALLET 1100x1100-NM"/>
      <sheetName val="PALLET 1100x1100-TB (cu)"/>
      <sheetName val="PALLET 145"/>
      <sheetName val="NEP GO 30x60 TH"/>
      <sheetName val="NEP GO 30x60-NM"/>
      <sheetName val="NEP GO 40x80 TH"/>
      <sheetName val="KE NHUA 8V 3060"/>
      <sheetName val="KE NHUA 4V 4080"/>
      <sheetName val="KE NHUA 5V 4080"/>
      <sheetName val="KE NHUA 6V 5050"/>
      <sheetName val="KE NHUA 5V 4060"/>
      <sheetName val="BO SAT"/>
      <sheetName val="BANG KEO TRONG"/>
      <sheetName val="KIM KEP DAY DAI"/>
      <sheetName val="TANG DAY DAI"/>
      <sheetName val="DAO CAT DAN HOA"/>
      <sheetName val="CAO LANH PT"/>
      <sheetName val="FRIT FO716"/>
      <sheetName val="CAO LANH GF-3005"/>
      <sheetName val="CAO LANH YS 09"/>
      <sheetName val="Bot TALC"/>
      <sheetName val="HIFIL-1"/>
      <sheetName val="FP940"/>
      <sheetName val="TANG CUNG XUONG"/>
      <sheetName val="SON CON LAN TREN"/>
      <sheetName val="SON CON LAN DUOI"/>
      <sheetName val="TB3008"/>
      <sheetName val="TB3001"/>
      <sheetName val="S501"/>
      <sheetName val="S250"/>
      <sheetName val="M004"/>
      <sheetName val="GB1660"/>
      <sheetName val="TB4139"/>
      <sheetName val="TB3007"/>
      <sheetName val="S130"/>
      <sheetName val="FRIT FV 090.540 - FTA"/>
      <sheetName val="FRIT 090.558 - FTA"/>
      <sheetName val="FRIT VF1101N.A-VNF"/>
      <sheetName val="MEN FV104-537"/>
      <sheetName val="FRIT PT02-PĐ"/>
      <sheetName val="TỔNG HỢP (2)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02">
          <cell r="K102">
            <v>4000</v>
          </cell>
        </row>
        <row r="103">
          <cell r="K103">
            <v>576</v>
          </cell>
        </row>
        <row r="105">
          <cell r="K105">
            <v>2040</v>
          </cell>
        </row>
        <row r="106">
          <cell r="K106">
            <v>200</v>
          </cell>
        </row>
        <row r="107">
          <cell r="K107">
            <v>0</v>
          </cell>
        </row>
        <row r="111">
          <cell r="K111">
            <v>23</v>
          </cell>
        </row>
        <row r="112">
          <cell r="K112">
            <v>0</v>
          </cell>
        </row>
        <row r="115">
          <cell r="K115">
            <v>0</v>
          </cell>
        </row>
        <row r="116">
          <cell r="K116">
            <v>0</v>
          </cell>
        </row>
        <row r="117">
          <cell r="K117">
            <v>0</v>
          </cell>
        </row>
        <row r="119">
          <cell r="K119">
            <v>0</v>
          </cell>
        </row>
        <row r="120">
          <cell r="K120">
            <v>0</v>
          </cell>
        </row>
        <row r="121">
          <cell r="K121">
            <v>3150</v>
          </cell>
        </row>
        <row r="122">
          <cell r="K122">
            <v>0</v>
          </cell>
        </row>
        <row r="123">
          <cell r="K123">
            <v>0</v>
          </cell>
        </row>
        <row r="124">
          <cell r="K124">
            <v>0</v>
          </cell>
        </row>
        <row r="126">
          <cell r="K126">
            <v>0</v>
          </cell>
        </row>
        <row r="127">
          <cell r="K127">
            <v>5600</v>
          </cell>
        </row>
        <row r="128">
          <cell r="K128">
            <v>9080</v>
          </cell>
        </row>
        <row r="129">
          <cell r="K129">
            <v>0</v>
          </cell>
        </row>
        <row r="130">
          <cell r="K130">
            <v>0</v>
          </cell>
        </row>
        <row r="132">
          <cell r="K132">
            <v>0</v>
          </cell>
        </row>
        <row r="133">
          <cell r="K133">
            <v>0</v>
          </cell>
        </row>
        <row r="135">
          <cell r="K135">
            <v>215</v>
          </cell>
        </row>
        <row r="138">
          <cell r="K138">
            <v>2105</v>
          </cell>
        </row>
        <row r="140">
          <cell r="K140">
            <v>0</v>
          </cell>
        </row>
        <row r="141">
          <cell r="K141">
            <v>1040</v>
          </cell>
        </row>
        <row r="142">
          <cell r="K142">
            <v>1305</v>
          </cell>
        </row>
        <row r="143">
          <cell r="K143">
            <v>2210</v>
          </cell>
        </row>
        <row r="144">
          <cell r="K144">
            <v>14340</v>
          </cell>
        </row>
        <row r="145">
          <cell r="K145">
            <v>6700</v>
          </cell>
        </row>
        <row r="146">
          <cell r="K146">
            <v>2060</v>
          </cell>
        </row>
        <row r="148">
          <cell r="K148">
            <v>0</v>
          </cell>
        </row>
        <row r="149">
          <cell r="K149">
            <v>0</v>
          </cell>
        </row>
        <row r="150">
          <cell r="K150">
            <v>0</v>
          </cell>
        </row>
        <row r="151">
          <cell r="K151">
            <v>26815</v>
          </cell>
        </row>
        <row r="152">
          <cell r="K152">
            <v>0</v>
          </cell>
        </row>
        <row r="153">
          <cell r="K153">
            <v>4800</v>
          </cell>
        </row>
        <row r="154">
          <cell r="K154">
            <v>4200</v>
          </cell>
        </row>
        <row r="155">
          <cell r="K155">
            <v>0</v>
          </cell>
        </row>
        <row r="159">
          <cell r="K159">
            <v>1530</v>
          </cell>
        </row>
        <row r="160">
          <cell r="K160">
            <v>0</v>
          </cell>
        </row>
        <row r="163">
          <cell r="K163">
            <v>960</v>
          </cell>
        </row>
        <row r="165">
          <cell r="K165">
            <v>2980</v>
          </cell>
        </row>
        <row r="166">
          <cell r="K166">
            <v>600</v>
          </cell>
        </row>
        <row r="167">
          <cell r="K167">
            <v>8555</v>
          </cell>
        </row>
        <row r="168">
          <cell r="K168">
            <v>0</v>
          </cell>
        </row>
        <row r="169">
          <cell r="K169">
            <v>0</v>
          </cell>
        </row>
        <row r="170">
          <cell r="K170">
            <v>0</v>
          </cell>
        </row>
        <row r="171">
          <cell r="K171">
            <v>1920</v>
          </cell>
        </row>
        <row r="172">
          <cell r="K172">
            <v>0</v>
          </cell>
        </row>
        <row r="173">
          <cell r="K173">
            <v>0</v>
          </cell>
        </row>
        <row r="174">
          <cell r="K174">
            <v>0</v>
          </cell>
        </row>
        <row r="176">
          <cell r="K176">
            <v>0</v>
          </cell>
        </row>
        <row r="178">
          <cell r="K178">
            <v>0</v>
          </cell>
        </row>
        <row r="179">
          <cell r="K179">
            <v>1300</v>
          </cell>
        </row>
        <row r="180">
          <cell r="K180">
            <v>830</v>
          </cell>
        </row>
        <row r="181">
          <cell r="K181">
            <v>2070</v>
          </cell>
        </row>
        <row r="182">
          <cell r="K182">
            <v>1600</v>
          </cell>
        </row>
        <row r="183">
          <cell r="K183">
            <v>550</v>
          </cell>
        </row>
        <row r="184">
          <cell r="K184">
            <v>0</v>
          </cell>
        </row>
        <row r="185">
          <cell r="K185">
            <v>0</v>
          </cell>
        </row>
        <row r="186">
          <cell r="K186">
            <v>0</v>
          </cell>
        </row>
        <row r="187">
          <cell r="K187">
            <v>0</v>
          </cell>
        </row>
        <row r="188">
          <cell r="K188">
            <v>0</v>
          </cell>
        </row>
        <row r="189">
          <cell r="K189">
            <v>750</v>
          </cell>
        </row>
        <row r="190">
          <cell r="K190">
            <v>0</v>
          </cell>
        </row>
        <row r="191">
          <cell r="K191">
            <v>0</v>
          </cell>
        </row>
        <row r="192">
          <cell r="K192">
            <v>0</v>
          </cell>
        </row>
        <row r="194">
          <cell r="K194">
            <v>2675</v>
          </cell>
        </row>
        <row r="195">
          <cell r="K195">
            <v>0</v>
          </cell>
        </row>
        <row r="196">
          <cell r="K196">
            <v>3150</v>
          </cell>
        </row>
        <row r="197">
          <cell r="K197">
            <v>1300</v>
          </cell>
        </row>
        <row r="198">
          <cell r="K198">
            <v>25780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à cung ứng"/>
      <sheetName val="Danh mục CODE"/>
      <sheetName val="TONG HOP"/>
      <sheetName val="DMKH"/>
      <sheetName val="NHAP - NVL"/>
      <sheetName val="IN PHIEU NHAP XUONG"/>
      <sheetName val="IN PHIEU NHAP MEN"/>
      <sheetName val="IN PHIEU NHAP MEN demo"/>
      <sheetName val="IN PHIEU XUẤT MƯỢN"/>
      <sheetName val="XUAT - NVL"/>
      <sheetName val="IN PHIEU XUAT"/>
      <sheetName val="IN PHIEU XUAT khác"/>
      <sheetName val="DT1"/>
      <sheetName val="D12"/>
      <sheetName val="D13"/>
      <sheetName val="DB14"/>
      <sheetName val="F6"/>
      <sheetName val="F7"/>
      <sheetName val="F8"/>
      <sheetName val="F15"/>
      <sheetName val="H3"/>
      <sheetName val="H4"/>
      <sheetName val="K2"/>
      <sheetName val="T5"/>
      <sheetName val="L10"/>
      <sheetName val="TTLNAD"/>
      <sheetName val="TTLPG"/>
      <sheetName val="CGKHNP"/>
      <sheetName val="STPPHD"/>
      <sheetName val="BA VO DIEU"/>
      <sheetName val="THAN CUC 4A"/>
      <sheetName val="THAN DA"/>
      <sheetName val="THAN HTL"/>
      <sheetName val="THAN CUC 1C"/>
      <sheetName val="THAN CUC 4A GT"/>
      <sheetName val="THAN CUC 4 HG"/>
      <sheetName val="THAN DO 5"/>
      <sheetName val="THAM CÁM"/>
    </sheetNames>
    <sheetDataSet>
      <sheetData sheetId="0"/>
      <sheetData sheetId="1"/>
      <sheetData sheetId="2">
        <row r="8">
          <cell r="C8">
            <v>0</v>
          </cell>
          <cell r="D8">
            <v>0</v>
          </cell>
          <cell r="E8">
            <v>0</v>
          </cell>
        </row>
        <row r="9">
          <cell r="C9" t="str">
            <v>NVLKM01.054</v>
          </cell>
          <cell r="D9" t="str">
            <v>Men Frit HGE91</v>
          </cell>
          <cell r="E9" t="str">
            <v>NCC00915</v>
          </cell>
        </row>
        <row r="10">
          <cell r="C10" t="str">
            <v>NVLKM01.037</v>
          </cell>
          <cell r="D10" t="str">
            <v>Frit A106</v>
          </cell>
          <cell r="E10" t="str">
            <v>NCC00921</v>
          </cell>
        </row>
        <row r="11">
          <cell r="C11" t="str">
            <v>NVLKM01.015</v>
          </cell>
          <cell r="D11" t="str">
            <v>Men gốm sứ FO113</v>
          </cell>
          <cell r="E11" t="str">
            <v>NCC00480</v>
          </cell>
        </row>
        <row r="12">
          <cell r="C12" t="str">
            <v>NVLKM01.012</v>
          </cell>
          <cell r="D12" t="str">
            <v>BF043A+</v>
          </cell>
          <cell r="E12" t="str">
            <v>NCC01510</v>
          </cell>
        </row>
        <row r="13">
          <cell r="C13" t="str">
            <v>NVLKM01.0121</v>
          </cell>
          <cell r="D13" t="str">
            <v>Cao lanh N2A</v>
          </cell>
          <cell r="E13" t="str">
            <v>NCC01510</v>
          </cell>
        </row>
        <row r="14">
          <cell r="C14" t="str">
            <v>NVLKM01.072</v>
          </cell>
          <cell r="D14" t="str">
            <v>Cao lanh N1A</v>
          </cell>
          <cell r="E14" t="str">
            <v>NCC00487</v>
          </cell>
        </row>
        <row r="15">
          <cell r="C15" t="str">
            <v>NVLKM02.053</v>
          </cell>
          <cell r="D15" t="str">
            <v>Cao lanh AA Indo</v>
          </cell>
          <cell r="E15" t="str">
            <v>NCC00582</v>
          </cell>
        </row>
        <row r="16">
          <cell r="C16" t="str">
            <v>NVLKM01.055</v>
          </cell>
          <cell r="D16" t="str">
            <v>Men lót HGQ03</v>
          </cell>
          <cell r="E16" t="str">
            <v>NCC00915</v>
          </cell>
        </row>
        <row r="17">
          <cell r="C17" t="str">
            <v>NVLKM01.016</v>
          </cell>
          <cell r="D17" t="str">
            <v>Tràng thạch Ấn Độ (PNG-AD) Feldspar</v>
          </cell>
          <cell r="E17" t="str">
            <v>NCC00764</v>
          </cell>
        </row>
        <row r="18">
          <cell r="C18" t="str">
            <v>NVLKM01.005</v>
          </cell>
          <cell r="D18" t="str">
            <v>Nhôm oxit (AL2O3)</v>
          </cell>
          <cell r="E18" t="str">
            <v>NCC00839</v>
          </cell>
        </row>
        <row r="19">
          <cell r="C19" t="str">
            <v>NVLKM02.027</v>
          </cell>
          <cell r="D19" t="str">
            <v>Cao lanh men BF043 PV</v>
          </cell>
          <cell r="E19">
            <v>0</v>
          </cell>
        </row>
        <row r="20">
          <cell r="C20" t="str">
            <v>NVLKM01.003</v>
          </cell>
          <cell r="D20" t="str">
            <v>FV090/540 FRIT TITAN</v>
          </cell>
          <cell r="E20">
            <v>0</v>
          </cell>
        </row>
        <row r="21">
          <cell r="C21" t="str">
            <v>NVLKM01.061</v>
          </cell>
          <cell r="D21" t="str">
            <v>FV090/558</v>
          </cell>
          <cell r="E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</row>
        <row r="24">
          <cell r="C24" t="str">
            <v>NVLKM01.076</v>
          </cell>
          <cell r="D24" t="str">
            <v>Frit 1089</v>
          </cell>
          <cell r="E24" t="str">
            <v>NCC00921</v>
          </cell>
        </row>
        <row r="25">
          <cell r="C25" t="str">
            <v>NVLKM01.078</v>
          </cell>
          <cell r="D25" t="str">
            <v>Frit 568</v>
          </cell>
          <cell r="E25">
            <v>0</v>
          </cell>
        </row>
        <row r="26">
          <cell r="C26" t="str">
            <v>NVLKM01.079</v>
          </cell>
          <cell r="D26" t="str">
            <v>Frit A528</v>
          </cell>
          <cell r="E26" t="str">
            <v>NCC00921</v>
          </cell>
        </row>
        <row r="27">
          <cell r="C27" t="str">
            <v>NVLKM01.089</v>
          </cell>
          <cell r="D27" t="str">
            <v>Frit A856</v>
          </cell>
          <cell r="E27" t="str">
            <v>NCC00921</v>
          </cell>
        </row>
        <row r="28">
          <cell r="C28" t="str">
            <v>NVLKM02.069</v>
          </cell>
          <cell r="D28" t="str">
            <v>Frit trong VFT03</v>
          </cell>
          <cell r="E28" t="str">
            <v>NCC01769</v>
          </cell>
        </row>
        <row r="29">
          <cell r="C29" t="str">
            <v>NVLKM01.063</v>
          </cell>
          <cell r="D29" t="str">
            <v>HGS82</v>
          </cell>
          <cell r="E29" t="str">
            <v>NCC00915</v>
          </cell>
        </row>
        <row r="30">
          <cell r="C30" t="str">
            <v>NVLKM01.090</v>
          </cell>
          <cell r="D30" t="str">
            <v>Frit VO22</v>
          </cell>
          <cell r="E30" t="str">
            <v>NCC01773</v>
          </cell>
        </row>
        <row r="31">
          <cell r="C31" t="str">
            <v>NVLKM01.008</v>
          </cell>
          <cell r="D31" t="str">
            <v>Cao lanh P0255 (Cao lanh 1C)</v>
          </cell>
          <cell r="E31" t="str">
            <v>NCC00623</v>
          </cell>
        </row>
        <row r="32">
          <cell r="C32" t="str">
            <v>NVLKM02.006</v>
          </cell>
          <cell r="D32" t="str">
            <v>Zircon Silicate ZS-012 (Zircone 5)</v>
          </cell>
          <cell r="E32" t="str">
            <v>NCC00610</v>
          </cell>
        </row>
        <row r="33">
          <cell r="C33">
            <v>0</v>
          </cell>
          <cell r="D33" t="str">
            <v>CMC C20-TQ</v>
          </cell>
          <cell r="E33">
            <v>0</v>
          </cell>
        </row>
        <row r="34">
          <cell r="C34" t="str">
            <v>NVLKM02.001</v>
          </cell>
          <cell r="D34" t="str">
            <v>Men STPP (trung quốc)</v>
          </cell>
          <cell r="E34" t="str">
            <v>NCC00839</v>
          </cell>
        </row>
        <row r="35">
          <cell r="C35" t="str">
            <v>NVLKM02.005</v>
          </cell>
          <cell r="D35" t="str">
            <v>Rocima 623</v>
          </cell>
          <cell r="E35" t="str">
            <v>NCC01433</v>
          </cell>
        </row>
        <row r="36">
          <cell r="C36" t="str">
            <v>NVLKM01.075</v>
          </cell>
          <cell r="D36" t="str">
            <v>Phụ gia điện giải cho men- DEF 305</v>
          </cell>
          <cell r="E36" t="str">
            <v>NCC00839</v>
          </cell>
        </row>
        <row r="37">
          <cell r="C37" t="str">
            <v>NVLKM02.015</v>
          </cell>
          <cell r="D37" t="str">
            <v>CMC T26</v>
          </cell>
          <cell r="E37" t="str">
            <v>NCC00332</v>
          </cell>
        </row>
        <row r="38">
          <cell r="C38" t="str">
            <v>NVLKM01.064</v>
          </cell>
          <cell r="D38" t="str">
            <v>CMC S50</v>
          </cell>
          <cell r="E38" t="str">
            <v>NCC00582</v>
          </cell>
        </row>
        <row r="39">
          <cell r="C39" t="str">
            <v>NVLKM01.065</v>
          </cell>
          <cell r="D39" t="str">
            <v>CMC G30</v>
          </cell>
          <cell r="E39">
            <v>0</v>
          </cell>
        </row>
        <row r="40">
          <cell r="C40" t="str">
            <v>NVLKM02.022</v>
          </cell>
          <cell r="D40" t="str">
            <v>ZIRCON ZRD5M</v>
          </cell>
          <cell r="E40">
            <v>0</v>
          </cell>
        </row>
        <row r="41">
          <cell r="C41" t="str">
            <v>NVLKM01.011</v>
          </cell>
          <cell r="D41" t="str">
            <v>VF1101N/A (Frit trong cho ốp)</v>
          </cell>
          <cell r="E41">
            <v>0</v>
          </cell>
        </row>
        <row r="42">
          <cell r="C42" t="str">
            <v>NVLKM01.035</v>
          </cell>
          <cell r="D42" t="str">
            <v>Men Frit PT02</v>
          </cell>
          <cell r="E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</row>
        <row r="44">
          <cell r="C44" t="str">
            <v>NVLKM01.080</v>
          </cell>
          <cell r="D44" t="str">
            <v>Frit bán đục FS-459 M1</v>
          </cell>
          <cell r="E44" t="str">
            <v>NCC00480</v>
          </cell>
        </row>
        <row r="45">
          <cell r="C45" t="str">
            <v>NVLKM01.077</v>
          </cell>
          <cell r="D45" t="str">
            <v>Frit A608</v>
          </cell>
          <cell r="E45" t="str">
            <v>NCC00921</v>
          </cell>
        </row>
        <row r="46">
          <cell r="C46">
            <v>0</v>
          </cell>
          <cell r="D46" t="str">
            <v>Frit A608-2</v>
          </cell>
          <cell r="E46">
            <v>0</v>
          </cell>
        </row>
        <row r="47">
          <cell r="C47" t="str">
            <v>NVLKM02.018</v>
          </cell>
          <cell r="D47" t="str">
            <v>Frit HGT 05</v>
          </cell>
          <cell r="E47" t="str">
            <v>NCC00915</v>
          </cell>
        </row>
        <row r="48">
          <cell r="C48">
            <v>0</v>
          </cell>
          <cell r="D48" t="str">
            <v>FRIT HT082-FHU</v>
          </cell>
          <cell r="E48">
            <v>0</v>
          </cell>
        </row>
        <row r="49">
          <cell r="C49" t="str">
            <v>NVLKM01.039</v>
          </cell>
          <cell r="D49" t="str">
            <v>PGB1288B</v>
          </cell>
          <cell r="E49">
            <v>0</v>
          </cell>
        </row>
        <row r="50">
          <cell r="C50" t="str">
            <v>NVLKM01.041</v>
          </cell>
          <cell r="D50" t="str">
            <v>TM2085</v>
          </cell>
          <cell r="E50">
            <v>0</v>
          </cell>
        </row>
        <row r="51">
          <cell r="C51" t="str">
            <v>NVLKM02.087</v>
          </cell>
          <cell r="D51" t="str">
            <v>Frit 356</v>
          </cell>
          <cell r="E51" t="str">
            <v>NCC00583</v>
          </cell>
        </row>
        <row r="52">
          <cell r="C52" t="str">
            <v>NVLKM02.083</v>
          </cell>
          <cell r="D52" t="str">
            <v xml:space="preserve">Frit 320 </v>
          </cell>
          <cell r="E52" t="str">
            <v>NCC00583</v>
          </cell>
        </row>
        <row r="53">
          <cell r="C53" t="str">
            <v>NVLKM02.084</v>
          </cell>
          <cell r="D53" t="str">
            <v>Frit 515</v>
          </cell>
          <cell r="E53" t="str">
            <v>NCC00583</v>
          </cell>
        </row>
        <row r="54">
          <cell r="C54" t="str">
            <v>NVLKM02.086</v>
          </cell>
          <cell r="D54" t="str">
            <v>Frit 089</v>
          </cell>
          <cell r="E54" t="str">
            <v>NCC00583</v>
          </cell>
        </row>
        <row r="55">
          <cell r="C55">
            <v>0</v>
          </cell>
          <cell r="D55">
            <v>0</v>
          </cell>
          <cell r="E55">
            <v>0</v>
          </cell>
        </row>
        <row r="56">
          <cell r="C56" t="str">
            <v>NVLKM01.058</v>
          </cell>
          <cell r="D56" t="str">
            <v>Men matt Frit (MT-812)</v>
          </cell>
          <cell r="E56" t="str">
            <v>NCC00487</v>
          </cell>
        </row>
        <row r="57">
          <cell r="C57" t="str">
            <v>NVLKM01.068</v>
          </cell>
          <cell r="D57" t="str">
            <v>Men Frit MT-616</v>
          </cell>
          <cell r="E57" t="str">
            <v>NCC00487</v>
          </cell>
        </row>
        <row r="58">
          <cell r="C58" t="str">
            <v>NVLKM01.056</v>
          </cell>
          <cell r="D58" t="str">
            <v>Men matt Glaze (MT-03VT)</v>
          </cell>
          <cell r="E58" t="str">
            <v>NCC00487</v>
          </cell>
        </row>
        <row r="59">
          <cell r="C59" t="str">
            <v>NVLKM01.057</v>
          </cell>
          <cell r="D59" t="str">
            <v>Men Frit Y-327</v>
          </cell>
          <cell r="E59" t="str">
            <v>NCC00487</v>
          </cell>
        </row>
        <row r="60">
          <cell r="C60" t="str">
            <v>NVLKM01.059</v>
          </cell>
          <cell r="D60" t="str">
            <v>BF002A</v>
          </cell>
          <cell r="E60" t="str">
            <v>NCC00487</v>
          </cell>
        </row>
        <row r="61">
          <cell r="C61" t="str">
            <v>NVLKM02.029</v>
          </cell>
          <cell r="D61" t="str">
            <v>Đất sét BC03</v>
          </cell>
          <cell r="E61">
            <v>0</v>
          </cell>
        </row>
        <row r="62">
          <cell r="C62" t="str">
            <v>NVLKM01.070</v>
          </cell>
          <cell r="D62" t="str">
            <v>Frit VM01 DC</v>
          </cell>
          <cell r="E62" t="str">
            <v>NCC01772</v>
          </cell>
        </row>
        <row r="63">
          <cell r="C63" t="str">
            <v>NVLKM01.069</v>
          </cell>
          <cell r="D63" t="str">
            <v>Frit VM06</v>
          </cell>
          <cell r="E63" t="str">
            <v>NCC01772</v>
          </cell>
        </row>
        <row r="64">
          <cell r="C64" t="str">
            <v>NVLKM01.082</v>
          </cell>
          <cell r="D64" t="str">
            <v>Frit matt VFM41</v>
          </cell>
          <cell r="E64" t="str">
            <v>NCC01769</v>
          </cell>
        </row>
        <row r="65">
          <cell r="C65">
            <v>0</v>
          </cell>
          <cell r="D65">
            <v>0</v>
          </cell>
          <cell r="E65">
            <v>0</v>
          </cell>
        </row>
        <row r="66">
          <cell r="C66" t="str">
            <v>NVLKM01.017</v>
          </cell>
          <cell r="D66" t="str">
            <v>MAGNESIUM OXIDE (Magie oxit)</v>
          </cell>
          <cell r="E66" t="str">
            <v>NCC00839</v>
          </cell>
        </row>
        <row r="67">
          <cell r="C67" t="str">
            <v>NVLKM02.019</v>
          </cell>
          <cell r="D67" t="str">
            <v>Men chống dính con lăn</v>
          </cell>
          <cell r="E67" t="str">
            <v>NCC01568</v>
          </cell>
        </row>
        <row r="68">
          <cell r="C68" t="str">
            <v>NVLKM01.021</v>
          </cell>
          <cell r="D68" t="str">
            <v>Cao lanh P08</v>
          </cell>
          <cell r="E68">
            <v>0</v>
          </cell>
        </row>
        <row r="69">
          <cell r="C69">
            <v>0</v>
          </cell>
          <cell r="D69">
            <v>0</v>
          </cell>
          <cell r="E69" t="str">
            <v/>
          </cell>
        </row>
        <row r="70">
          <cell r="C70" t="str">
            <v>NVLKM01.066</v>
          </cell>
          <cell r="D70" t="str">
            <v>Frit FO118</v>
          </cell>
          <cell r="E70" t="str">
            <v>NCC00884</v>
          </cell>
        </row>
        <row r="71">
          <cell r="C71" t="str">
            <v>NVLKM01.014</v>
          </cell>
          <cell r="D71" t="str">
            <v>Frit FO102</v>
          </cell>
          <cell r="E71" t="str">
            <v>NCC00884</v>
          </cell>
        </row>
        <row r="72">
          <cell r="C72" t="str">
            <v>NVLKM01.083</v>
          </cell>
          <cell r="D72" t="str">
            <v>Frit VF1205</v>
          </cell>
          <cell r="E72" t="str">
            <v>NCC00523</v>
          </cell>
        </row>
        <row r="73">
          <cell r="C73">
            <v>0</v>
          </cell>
          <cell r="D73">
            <v>0</v>
          </cell>
          <cell r="E73" t="str">
            <v/>
          </cell>
        </row>
        <row r="74">
          <cell r="C74" t="str">
            <v>NVLKM01.067</v>
          </cell>
          <cell r="D74" t="str">
            <v>Men lót SUGAR</v>
          </cell>
          <cell r="E74" t="str">
            <v>NCC01510</v>
          </cell>
        </row>
        <row r="75">
          <cell r="C75" t="str">
            <v>NVLKM01.084</v>
          </cell>
          <cell r="D75" t="str">
            <v xml:space="preserve"> SUGAR PNSG-02 (01)</v>
          </cell>
          <cell r="E75" t="str">
            <v>NCC00487</v>
          </cell>
        </row>
        <row r="76">
          <cell r="C76" t="str">
            <v>NVLKM01.0841</v>
          </cell>
          <cell r="D76" t="str">
            <v xml:space="preserve"> SUGAR PNSG-02 (05)</v>
          </cell>
          <cell r="E76" t="str">
            <v>NCC00487</v>
          </cell>
        </row>
        <row r="77">
          <cell r="C77">
            <v>0</v>
          </cell>
          <cell r="D77">
            <v>0</v>
          </cell>
          <cell r="E77" t="str">
            <v/>
          </cell>
        </row>
        <row r="78">
          <cell r="C78" t="str">
            <v>NVLKM01.071</v>
          </cell>
          <cell r="D78" t="str">
            <v>Frit 288</v>
          </cell>
          <cell r="E78" t="str">
            <v>NCC00583</v>
          </cell>
        </row>
        <row r="79">
          <cell r="C79" t="str">
            <v>NVLKM01.073</v>
          </cell>
          <cell r="D79" t="str">
            <v>Frit VS28</v>
          </cell>
          <cell r="E79" t="str">
            <v>NCC01772</v>
          </cell>
        </row>
        <row r="80">
          <cell r="C80" t="str">
            <v>NVLKM01.074</v>
          </cell>
          <cell r="D80" t="str">
            <v>Frit VS68</v>
          </cell>
          <cell r="E80" t="str">
            <v>NCC01772</v>
          </cell>
        </row>
        <row r="81">
          <cell r="C81">
            <v>0</v>
          </cell>
          <cell r="D81">
            <v>0</v>
          </cell>
          <cell r="E81">
            <v>0</v>
          </cell>
        </row>
        <row r="82">
          <cell r="C82" t="str">
            <v>NVLKM04.038</v>
          </cell>
          <cell r="D82" t="str">
            <v>Bi trung nhôm D60</v>
          </cell>
          <cell r="E82" t="str">
            <v>NCC01771</v>
          </cell>
        </row>
        <row r="83">
          <cell r="C83" t="str">
            <v>NVLKM04.014</v>
          </cell>
          <cell r="D83" t="str">
            <v>Bi cao nhôm 60mmx92</v>
          </cell>
          <cell r="E83" t="str">
            <v>NCC01000</v>
          </cell>
        </row>
        <row r="84">
          <cell r="C84">
            <v>0</v>
          </cell>
          <cell r="D84">
            <v>0</v>
          </cell>
          <cell r="E84">
            <v>0</v>
          </cell>
        </row>
        <row r="85">
          <cell r="C85" t="str">
            <v>NVLKM03.011</v>
          </cell>
          <cell r="D85" t="str">
            <v>Mực xanh dương ESM</v>
          </cell>
          <cell r="E85" t="str">
            <v>NCC00272</v>
          </cell>
        </row>
        <row r="86">
          <cell r="C86" t="str">
            <v>NVLKM03.013</v>
          </cell>
          <cell r="D86" t="str">
            <v>Mực nâu đỏ ESM</v>
          </cell>
          <cell r="E86" t="str">
            <v>NCC00272</v>
          </cell>
        </row>
        <row r="87">
          <cell r="C87" t="str">
            <v>NVLKM03.012</v>
          </cell>
          <cell r="D87" t="str">
            <v>Mực màu vàng ESM</v>
          </cell>
          <cell r="E87" t="str">
            <v>NCC00272</v>
          </cell>
        </row>
        <row r="88">
          <cell r="C88" t="str">
            <v>NVLKM03.008</v>
          </cell>
          <cell r="D88" t="str">
            <v>Mực màu be</v>
          </cell>
          <cell r="E88" t="str">
            <v>NCC00272</v>
          </cell>
        </row>
        <row r="89">
          <cell r="C89" t="str">
            <v>NVLKM03.016</v>
          </cell>
          <cell r="D89" t="str">
            <v>Mực đen ESM</v>
          </cell>
          <cell r="E89" t="str">
            <v>NCC00272</v>
          </cell>
        </row>
        <row r="90">
          <cell r="C90" t="str">
            <v>NVLKM03.015</v>
          </cell>
          <cell r="D90" t="str">
            <v>Mực hồng ESM</v>
          </cell>
          <cell r="E90" t="str">
            <v>NCC00272</v>
          </cell>
        </row>
        <row r="91">
          <cell r="C91" t="str">
            <v>NVLKM03.014</v>
          </cell>
          <cell r="D91" t="str">
            <v>Men in chìm ESM</v>
          </cell>
          <cell r="E91" t="str">
            <v>NCC00272</v>
          </cell>
        </row>
        <row r="92">
          <cell r="C92" t="str">
            <v>NVLKM03.018</v>
          </cell>
          <cell r="D92" t="str">
            <v>Men in nổi - LU</v>
          </cell>
          <cell r="E92" t="str">
            <v>NCC00272</v>
          </cell>
        </row>
        <row r="93">
          <cell r="C93" t="str">
            <v>NVLKM03.019</v>
          </cell>
          <cell r="D93" t="str">
            <v>Mực xanh lá ESM</v>
          </cell>
          <cell r="E93" t="str">
            <v>NCC00272</v>
          </cell>
        </row>
        <row r="94">
          <cell r="C94" t="str">
            <v>NVLKM03.009</v>
          </cell>
          <cell r="D94" t="str">
            <v>Dung dịch rửa đầu in</v>
          </cell>
          <cell r="E94" t="str">
            <v>NCC00272</v>
          </cell>
        </row>
        <row r="95">
          <cell r="C95" t="str">
            <v>NVLKM03.010</v>
          </cell>
          <cell r="D95" t="str">
            <v>Dung dịch rửa máy in</v>
          </cell>
          <cell r="E95" t="str">
            <v>NCC00272</v>
          </cell>
        </row>
        <row r="96">
          <cell r="C96">
            <v>0</v>
          </cell>
          <cell r="D96">
            <v>0</v>
          </cell>
          <cell r="E96">
            <v>0</v>
          </cell>
        </row>
        <row r="97">
          <cell r="C97" t="str">
            <v>NVLKM04.0521</v>
          </cell>
          <cell r="D97" t="str">
            <v>Pallet 1100x1100x90</v>
          </cell>
          <cell r="E97" t="str">
            <v>NCC01491</v>
          </cell>
        </row>
        <row r="98">
          <cell r="C98" t="str">
            <v>NVLKM04.0522</v>
          </cell>
          <cell r="D98" t="str">
            <v>Pallet 1100x1100x90</v>
          </cell>
          <cell r="E98" t="str">
            <v>NCC00201</v>
          </cell>
        </row>
        <row r="99">
          <cell r="C99" t="str">
            <v>NVLKM04.0523</v>
          </cell>
          <cell r="D99" t="str">
            <v>Pallet 1100x1100x90</v>
          </cell>
          <cell r="E99" t="str">
            <v>NCC01346</v>
          </cell>
        </row>
        <row r="100">
          <cell r="C100" t="str">
            <v>NVLKM04.0371</v>
          </cell>
          <cell r="D100" t="str">
            <v>Thanh nẹp góc gỗ</v>
          </cell>
          <cell r="E100" t="str">
            <v>NCC01491</v>
          </cell>
        </row>
        <row r="101">
          <cell r="C101" t="str">
            <v>NVLKM04.0372</v>
          </cell>
          <cell r="D101" t="str">
            <v>Thanh nẹp góc gỗ</v>
          </cell>
          <cell r="E101" t="str">
            <v>NCC00201</v>
          </cell>
        </row>
        <row r="102">
          <cell r="C102" t="str">
            <v>NVLKM04.0373</v>
          </cell>
          <cell r="D102" t="str">
            <v>Thanh nẹp góc gỗ</v>
          </cell>
          <cell r="E102" t="str">
            <v>NCC01346</v>
          </cell>
        </row>
        <row r="103">
          <cell r="C103" t="str">
            <v>NVLKM04.0801</v>
          </cell>
          <cell r="D103" t="str">
            <v>Thanh nẹp góc gỗ 40x80</v>
          </cell>
          <cell r="E103" t="str">
            <v>NCC01491</v>
          </cell>
        </row>
        <row r="104">
          <cell r="C104" t="str">
            <v>NVLKM04.0802</v>
          </cell>
          <cell r="D104" t="str">
            <v>Thanh nẹp góc gỗ 40x80</v>
          </cell>
          <cell r="E104" t="str">
            <v>NCC01346</v>
          </cell>
        </row>
        <row r="105">
          <cell r="C105" t="str">
            <v>NVLKM04.026</v>
          </cell>
          <cell r="D105" t="str">
            <v>Pallet 1100x1100 cũ TB</v>
          </cell>
          <cell r="E105" t="str">
            <v>NCC01491</v>
          </cell>
        </row>
        <row r="106">
          <cell r="C106" t="str">
            <v>NVLKM04.060</v>
          </cell>
          <cell r="D106" t="str">
            <v>Pallet 1100x1100 cũ</v>
          </cell>
          <cell r="E106" t="str">
            <v>NCC00051</v>
          </cell>
        </row>
        <row r="107">
          <cell r="C107" t="str">
            <v>NVLKM04.045</v>
          </cell>
          <cell r="D107" t="str">
            <v>Pallet 145x145x100cm</v>
          </cell>
          <cell r="E107" t="str">
            <v>NCC00201</v>
          </cell>
        </row>
        <row r="108">
          <cell r="C108">
            <v>0</v>
          </cell>
          <cell r="D108">
            <v>0</v>
          </cell>
          <cell r="E108">
            <v>0</v>
          </cell>
        </row>
        <row r="109">
          <cell r="C109" t="str">
            <v>NVLKM04.0531</v>
          </cell>
          <cell r="D109" t="str">
            <v>Vỏ hộp Grandcera màu tím (t/8v)</v>
          </cell>
          <cell r="E109" t="str">
            <v>NCC01116</v>
          </cell>
        </row>
        <row r="110">
          <cell r="C110" t="str">
            <v>NVLKM04.101</v>
          </cell>
          <cell r="D110" t="str">
            <v>Vỏ hộp Grandcera màu tím (t/8v) nâu</v>
          </cell>
          <cell r="E110" t="str">
            <v>NCC01116</v>
          </cell>
        </row>
        <row r="111">
          <cell r="C111" t="str">
            <v>NVLKM04.0532</v>
          </cell>
          <cell r="D111" t="str">
            <v>Vỏ hộp Grandcera màu tím (t/8v)</v>
          </cell>
          <cell r="E111" t="str">
            <v>NCC01116</v>
          </cell>
        </row>
        <row r="112">
          <cell r="C112" t="str">
            <v>NVLKM04.054</v>
          </cell>
          <cell r="D112" t="str">
            <v>Vỏ hộp Grandcera xanh lá (8v)</v>
          </cell>
          <cell r="E112" t="str">
            <v>NCC01116</v>
          </cell>
        </row>
        <row r="113">
          <cell r="C113" t="str">
            <v>NVLKM04.095</v>
          </cell>
          <cell r="D113" t="str">
            <v>Vỏ hộp Grandcera xanh lá (8v) nâu</v>
          </cell>
          <cell r="E113" t="str">
            <v>NCC01116</v>
          </cell>
        </row>
        <row r="114">
          <cell r="C114" t="str">
            <v>NVLKM04.0541</v>
          </cell>
          <cell r="D114" t="str">
            <v>Vỏ hộp Grandcera xanh lá (8v)</v>
          </cell>
          <cell r="E114" t="str">
            <v>NCC011075</v>
          </cell>
        </row>
        <row r="115">
          <cell r="C115" t="str">
            <v>NVLKM04.068</v>
          </cell>
          <cell r="D115" t="str">
            <v>Vỏ hộp Sahado xanh dương nhạt (8v)</v>
          </cell>
          <cell r="E115" t="str">
            <v>NCC01116</v>
          </cell>
        </row>
        <row r="116">
          <cell r="C116" t="str">
            <v>NVLKM04.086</v>
          </cell>
          <cell r="D116" t="str">
            <v>Vỏ hộp Sahado xanh dương nhạt (8v) nâu</v>
          </cell>
          <cell r="E116" t="str">
            <v>NCC01116</v>
          </cell>
        </row>
        <row r="117">
          <cell r="C117" t="str">
            <v>NVLKM04.0661</v>
          </cell>
          <cell r="D117" t="str">
            <v>Vỏ hộp Sahado new-VH (8v)</v>
          </cell>
          <cell r="E117" t="str">
            <v>NCC011075</v>
          </cell>
        </row>
        <row r="118">
          <cell r="C118" t="str">
            <v>NVLKM04.0663</v>
          </cell>
          <cell r="D118" t="str">
            <v>Vỏ hộp Sahado (8v)</v>
          </cell>
          <cell r="E118" t="str">
            <v>NCC011075</v>
          </cell>
        </row>
        <row r="119">
          <cell r="C119" t="str">
            <v>NVLKM04.066</v>
          </cell>
          <cell r="D119" t="str">
            <v>Vỏ hộp Grandcera Luxury Xanh Vàng (8v)</v>
          </cell>
          <cell r="E119" t="str">
            <v>NCC01116</v>
          </cell>
        </row>
        <row r="120">
          <cell r="C120" t="str">
            <v>NVLKM04.102</v>
          </cell>
          <cell r="D120" t="str">
            <v>Vỏ hộp Grandcera Luxury Xanh Vàng (8v)</v>
          </cell>
          <cell r="E120" t="str">
            <v>NCC01116</v>
          </cell>
        </row>
        <row r="121">
          <cell r="C121" t="str">
            <v>NVLKM04.066</v>
          </cell>
          <cell r="D121" t="str">
            <v>Vỏ hộp Grandcera Luxury Xanh Vàng (8v)</v>
          </cell>
          <cell r="E121" t="str">
            <v>NCC011075</v>
          </cell>
        </row>
        <row r="122">
          <cell r="C122" t="str">
            <v>NVLKM04.069</v>
          </cell>
          <cell r="D122" t="str">
            <v>Vỏ hộp ESP (8v)</v>
          </cell>
          <cell r="E122" t="str">
            <v>NCC01116</v>
          </cell>
        </row>
        <row r="123">
          <cell r="C123" t="str">
            <v>NVLKM04.096</v>
          </cell>
          <cell r="D123" t="str">
            <v>Vỏ hộp ESP (8v) nâu</v>
          </cell>
          <cell r="E123" t="str">
            <v>NCC01116</v>
          </cell>
        </row>
        <row r="124">
          <cell r="C124" t="str">
            <v>NVLKM04.0662</v>
          </cell>
          <cell r="D124" t="str">
            <v>Vỏ hộp Espana (8v)</v>
          </cell>
          <cell r="E124" t="str">
            <v>NCC011075</v>
          </cell>
        </row>
        <row r="125">
          <cell r="C125" t="str">
            <v>NVLKM04.089</v>
          </cell>
          <cell r="D125" t="str">
            <v>Vỏ hộp Grand Ceramic 8v 30x60</v>
          </cell>
          <cell r="E125" t="str">
            <v>NCC01116</v>
          </cell>
        </row>
        <row r="126">
          <cell r="C126" t="str">
            <v>NVLKM04.089</v>
          </cell>
          <cell r="D126" t="str">
            <v>Vỏ hộp Grand Ceramic 8v 30x60</v>
          </cell>
          <cell r="E126" t="str">
            <v>NCC01116</v>
          </cell>
        </row>
        <row r="127">
          <cell r="C127" t="str">
            <v>NVLKM04.075</v>
          </cell>
          <cell r="D127" t="str">
            <v>Vỏ hộp Havira 30x60 (8v)</v>
          </cell>
          <cell r="E127" t="str">
            <v>NCC01116</v>
          </cell>
        </row>
        <row r="128">
          <cell r="C128" t="str">
            <v>NVLKM04.094</v>
          </cell>
          <cell r="D128" t="str">
            <v>Vỏ hộp Havira 30x60 (8v) nâu</v>
          </cell>
          <cell r="E128" t="str">
            <v>NCC01116</v>
          </cell>
        </row>
        <row r="129">
          <cell r="C129" t="str">
            <v>NVLKM04.070</v>
          </cell>
          <cell r="D129" t="str">
            <v>Vỏ hộp Crown (8v)</v>
          </cell>
          <cell r="E129" t="str">
            <v>NCC01116</v>
          </cell>
        </row>
        <row r="130">
          <cell r="C130" t="str">
            <v>NVLKM04.090</v>
          </cell>
          <cell r="D130" t="str">
            <v>Vỏ hộp Adonis 30x60 (8v)</v>
          </cell>
          <cell r="E130" t="str">
            <v>NCC01116</v>
          </cell>
        </row>
        <row r="131">
          <cell r="C131" t="str">
            <v>NVLKM04.084</v>
          </cell>
          <cell r="D131" t="str">
            <v>Vỏ hộp Green Era (8v)</v>
          </cell>
          <cell r="E131" t="str">
            <v>NCC01116</v>
          </cell>
        </row>
        <row r="132">
          <cell r="C132" t="str">
            <v>NVLKM04.0664</v>
          </cell>
          <cell r="D132" t="str">
            <v>Vỏ phế - VH (8v)</v>
          </cell>
          <cell r="E132" t="e">
            <v>#N/A</v>
          </cell>
        </row>
        <row r="133">
          <cell r="C133" t="str">
            <v>NVLKM04.103</v>
          </cell>
          <cell r="D133" t="str">
            <v>Vỏ hộp Green Era (8v) nâu</v>
          </cell>
          <cell r="E133" t="str">
            <v>NCC01116</v>
          </cell>
        </row>
        <row r="134">
          <cell r="C134" t="str">
            <v>NVLKM04.109</v>
          </cell>
          <cell r="D134" t="str">
            <v xml:space="preserve">Vỏ hộp Green home 30x60 (8v) </v>
          </cell>
          <cell r="E134" t="str">
            <v>NCC01116</v>
          </cell>
        </row>
        <row r="135">
          <cell r="C135" t="str">
            <v>NVLKM04.005</v>
          </cell>
          <cell r="D135" t="str">
            <v>Vỏ thùng gạch phế 30x60 (nâu)</v>
          </cell>
          <cell r="E135" t="str">
            <v>NCC01116</v>
          </cell>
        </row>
        <row r="136">
          <cell r="C136">
            <v>0</v>
          </cell>
          <cell r="D136">
            <v>0</v>
          </cell>
          <cell r="E136">
            <v>0</v>
          </cell>
        </row>
        <row r="137">
          <cell r="C137" t="str">
            <v>NVLKM04.082</v>
          </cell>
          <cell r="D137" t="str">
            <v>Vỏ hộp Sahado 40x80 (4v)</v>
          </cell>
          <cell r="E137" t="str">
            <v>NCC01116</v>
          </cell>
        </row>
        <row r="138">
          <cell r="C138" t="str">
            <v>NVLKM04.078</v>
          </cell>
          <cell r="D138" t="str">
            <v>Vỏ hộp Luxury 40x80 (4v)</v>
          </cell>
          <cell r="E138" t="str">
            <v>NCC01116</v>
          </cell>
        </row>
        <row r="139">
          <cell r="C139" t="str">
            <v>NVLKM04.083</v>
          </cell>
          <cell r="D139" t="str">
            <v>Vỏ hộp Crown 40x80 (4v)</v>
          </cell>
          <cell r="E139" t="str">
            <v>NCC01116</v>
          </cell>
        </row>
        <row r="140">
          <cell r="C140" t="str">
            <v>NVLKM04.088</v>
          </cell>
          <cell r="D140" t="str">
            <v>Vỏ hộp ESP 40x80 (4v)</v>
          </cell>
          <cell r="E140" t="str">
            <v>NCC01116</v>
          </cell>
        </row>
        <row r="141">
          <cell r="C141" t="str">
            <v>NVLKM04.091</v>
          </cell>
          <cell r="D141" t="str">
            <v>Vỏ hộp Adonis 40x80 (4v)</v>
          </cell>
          <cell r="E141" t="str">
            <v>NCC01116</v>
          </cell>
        </row>
        <row r="142">
          <cell r="C142" t="str">
            <v>NVLKM04.092</v>
          </cell>
          <cell r="D142" t="str">
            <v>Vỏ hộp Green Era 40x80 (4v)</v>
          </cell>
          <cell r="E142" t="str">
            <v>NCC01116</v>
          </cell>
        </row>
        <row r="143">
          <cell r="C143" t="str">
            <v>NVLKM04.0901</v>
          </cell>
          <cell r="D143" t="str">
            <v>Vỏ thùng gạch phế 40x80 (nâu)</v>
          </cell>
          <cell r="E143" t="str">
            <v>NCC01116</v>
          </cell>
        </row>
        <row r="144">
          <cell r="C144">
            <v>0</v>
          </cell>
          <cell r="D144">
            <v>0</v>
          </cell>
          <cell r="E144" t="str">
            <v/>
          </cell>
        </row>
        <row r="145">
          <cell r="C145" t="str">
            <v>NVLKM04.073</v>
          </cell>
          <cell r="D145" t="str">
            <v>Vỏ hộp Grandcera màu tím 500*500 (t/6v)</v>
          </cell>
          <cell r="E145" t="str">
            <v>NCC01116</v>
          </cell>
        </row>
        <row r="146">
          <cell r="C146" t="str">
            <v>NVLKM04.074</v>
          </cell>
          <cell r="D146" t="str">
            <v>Vỏ hộp luxury 500*500 (t/6v)</v>
          </cell>
          <cell r="E146" t="str">
            <v>NCC01116</v>
          </cell>
        </row>
        <row r="147">
          <cell r="C147" t="str">
            <v>NVLKM04.098</v>
          </cell>
          <cell r="D147" t="str">
            <v>Vỏ hộp luxury 500*500 (t/6v) nâu</v>
          </cell>
          <cell r="E147" t="str">
            <v>NCC01116</v>
          </cell>
        </row>
        <row r="148">
          <cell r="C148" t="str">
            <v>NVLKM04.076</v>
          </cell>
          <cell r="D148" t="str">
            <v>Vỏ hộp Crown 500*500 (t/6v)</v>
          </cell>
          <cell r="E148" t="str">
            <v>NCC01116</v>
          </cell>
        </row>
        <row r="149">
          <cell r="C149" t="str">
            <v>NVLKM04.077</v>
          </cell>
          <cell r="D149" t="str">
            <v>Vỏ hộp Havira 500*500 (t/6v)</v>
          </cell>
          <cell r="E149" t="str">
            <v>NCC01116</v>
          </cell>
        </row>
        <row r="150">
          <cell r="C150" t="str">
            <v>NVLKM04.085</v>
          </cell>
          <cell r="D150" t="str">
            <v>Vỏ hộp Espana 500*500 (t/6v)</v>
          </cell>
          <cell r="E150" t="str">
            <v>NCC01116</v>
          </cell>
        </row>
        <row r="151">
          <cell r="C151" t="str">
            <v>NVLKM04.071</v>
          </cell>
          <cell r="D151" t="str">
            <v>Vỏ thùng gạch phế 500*50</v>
          </cell>
          <cell r="E151" t="str">
            <v>NCC01116</v>
          </cell>
        </row>
        <row r="152">
          <cell r="C152">
            <v>0</v>
          </cell>
          <cell r="D152">
            <v>0</v>
          </cell>
          <cell r="E152" t="str">
            <v/>
          </cell>
        </row>
        <row r="153">
          <cell r="C153" t="str">
            <v>NVLKM04.072</v>
          </cell>
          <cell r="D153" t="str">
            <v>Vỏ thùng gạch phế 400*600</v>
          </cell>
          <cell r="E153" t="str">
            <v>NCC01116</v>
          </cell>
        </row>
        <row r="154">
          <cell r="C154" t="str">
            <v>NVLKM04.099</v>
          </cell>
          <cell r="D154" t="str">
            <v>Vỏ hộp luxury 400*600 (t/5v) nâu</v>
          </cell>
          <cell r="E154" t="str">
            <v>NCC01116</v>
          </cell>
        </row>
        <row r="155">
          <cell r="C155" t="str">
            <v>NVLKM04.087</v>
          </cell>
          <cell r="D155" t="str">
            <v>Vỏ hộp Crown 400*600 (t/5v)</v>
          </cell>
          <cell r="E155" t="str">
            <v>NCC01116</v>
          </cell>
        </row>
        <row r="156">
          <cell r="C156">
            <v>0</v>
          </cell>
          <cell r="D156">
            <v>0</v>
          </cell>
          <cell r="E156">
            <v>0</v>
          </cell>
        </row>
        <row r="157">
          <cell r="C157" t="str">
            <v>NVLKM04.104</v>
          </cell>
          <cell r="D157" t="str">
            <v>Vỏ thùng gạch phế 600*600</v>
          </cell>
          <cell r="E157" t="str">
            <v>NCC01116</v>
          </cell>
        </row>
        <row r="158">
          <cell r="C158" t="str">
            <v>NVLKM04.105</v>
          </cell>
          <cell r="D158" t="str">
            <v>Vỏ hộp luxury 600*600 (t/6v) nâu</v>
          </cell>
          <cell r="E158" t="str">
            <v>NCC01116</v>
          </cell>
        </row>
        <row r="159">
          <cell r="C159" t="str">
            <v>NVLKM04.106</v>
          </cell>
          <cell r="D159" t="str">
            <v>Vỏ hộp Crown 600*600 (t/5v)</v>
          </cell>
          <cell r="E159" t="str">
            <v>NCC01116</v>
          </cell>
        </row>
        <row r="160">
          <cell r="C160" t="str">
            <v>NVLKM04.107</v>
          </cell>
          <cell r="D160" t="str">
            <v>Vỏ hộp Espana 600*600 (t/5v)</v>
          </cell>
          <cell r="E160" t="str">
            <v>NCC01116</v>
          </cell>
        </row>
        <row r="161">
          <cell r="C161" t="str">
            <v>NVLKM04.108</v>
          </cell>
          <cell r="D161" t="str">
            <v>Vỏ hộp Havira 600*600 (t/5v)</v>
          </cell>
          <cell r="E161" t="str">
            <v>NCC01116</v>
          </cell>
        </row>
        <row r="162">
          <cell r="C162" t="str">
            <v>NVLKM04.110</v>
          </cell>
          <cell r="D162" t="str">
            <v>Vỏ hộp Green home 600*600 (t/5v)</v>
          </cell>
          <cell r="E162" t="str">
            <v>NCC01116</v>
          </cell>
        </row>
        <row r="163">
          <cell r="C163">
            <v>0</v>
          </cell>
          <cell r="D163">
            <v>0</v>
          </cell>
          <cell r="E163">
            <v>0</v>
          </cell>
        </row>
        <row r="164">
          <cell r="C164" t="str">
            <v>NVLKM04.055</v>
          </cell>
          <cell r="D164" t="str">
            <v>Dây đai máy (8v)</v>
          </cell>
          <cell r="E164" t="str">
            <v>NCC01503</v>
          </cell>
        </row>
        <row r="165">
          <cell r="C165" t="str">
            <v>NVLKM04.023</v>
          </cell>
          <cell r="D165" t="str">
            <v>Dây đai PET</v>
          </cell>
          <cell r="E165" t="str">
            <v>NCC01503</v>
          </cell>
        </row>
        <row r="166">
          <cell r="C166">
            <v>0</v>
          </cell>
          <cell r="D166">
            <v>0</v>
          </cell>
          <cell r="E166">
            <v>0</v>
          </cell>
        </row>
        <row r="167">
          <cell r="C167" t="str">
            <v>NVLKM04.051</v>
          </cell>
          <cell r="D167" t="str">
            <v>Ke góc nhựa 30x60x8v</v>
          </cell>
          <cell r="E167" t="str">
            <v>NCC00671</v>
          </cell>
        </row>
        <row r="168">
          <cell r="C168" t="str">
            <v>NVLKM04.079</v>
          </cell>
          <cell r="D168" t="str">
            <v>Ke góc nhựa 40x80</v>
          </cell>
          <cell r="E168" t="str">
            <v>NCC00671</v>
          </cell>
        </row>
        <row r="169">
          <cell r="C169" t="str">
            <v>NVLKM04.093</v>
          </cell>
          <cell r="D169" t="str">
            <v>Ke góc nhựa 50x50</v>
          </cell>
          <cell r="E169" t="str">
            <v>NCC00671</v>
          </cell>
        </row>
        <row r="170">
          <cell r="C170" t="str">
            <v>NVLKM04.094</v>
          </cell>
          <cell r="D170" t="str">
            <v>Ke góc nhựa 40x60</v>
          </cell>
          <cell r="E170" t="str">
            <v>NCC00671</v>
          </cell>
        </row>
        <row r="171">
          <cell r="C171" t="str">
            <v>NVLKM04.025</v>
          </cell>
          <cell r="D171" t="str">
            <v>Bọ sắt PET</v>
          </cell>
          <cell r="E171" t="str">
            <v>NCC00089</v>
          </cell>
        </row>
        <row r="172">
          <cell r="C172" t="str">
            <v>NVLKM04.011</v>
          </cell>
          <cell r="D172" t="str">
            <v>Băng keo trong 5P 80Ya (TQ) BBL</v>
          </cell>
          <cell r="E172" t="str">
            <v>NCC01503</v>
          </cell>
        </row>
        <row r="173">
          <cell r="C173" t="str">
            <v>NVLKM04.034</v>
          </cell>
          <cell r="D173" t="str">
            <v>Kìm bấm dây đai</v>
          </cell>
          <cell r="E173" t="str">
            <v>NCC00089</v>
          </cell>
        </row>
        <row r="174">
          <cell r="C174" t="str">
            <v>NVLKM04.048</v>
          </cell>
          <cell r="D174" t="str">
            <v>Đồ tăng dây đai - Tốt</v>
          </cell>
          <cell r="E174" t="str">
            <v>NCC00089</v>
          </cell>
        </row>
        <row r="175">
          <cell r="C175" t="str">
            <v>NVLKM04.032</v>
          </cell>
          <cell r="D175" t="str">
            <v>Dao cắt dân hoa(size 5cm)</v>
          </cell>
          <cell r="E175" t="str">
            <v>NCC00089</v>
          </cell>
        </row>
        <row r="176">
          <cell r="C176" t="str">
            <v>NVLKM04.030</v>
          </cell>
          <cell r="D176" t="str">
            <v>Sơn con lăn trên (bao đỏ)</v>
          </cell>
          <cell r="E176" t="str">
            <v>NCC00089</v>
          </cell>
        </row>
        <row r="177">
          <cell r="C177" t="str">
            <v>NVLKM04.031</v>
          </cell>
          <cell r="D177" t="str">
            <v>Sơn con lăn dưới (bao xanh)</v>
          </cell>
          <cell r="E177" t="str">
            <v>NCC00089</v>
          </cell>
        </row>
        <row r="178">
          <cell r="C178">
            <v>0</v>
          </cell>
          <cell r="D178">
            <v>0</v>
          </cell>
          <cell r="E178">
            <v>0</v>
          </cell>
        </row>
        <row r="179">
          <cell r="C179" t="str">
            <v>NVLKM02.028</v>
          </cell>
          <cell r="D179" t="str">
            <v>Men FV104/537</v>
          </cell>
          <cell r="E179">
            <v>0</v>
          </cell>
        </row>
        <row r="180">
          <cell r="C180" t="str">
            <v>NVLKM01.046</v>
          </cell>
          <cell r="D180" t="str">
            <v>BT3008</v>
          </cell>
          <cell r="E180">
            <v>0</v>
          </cell>
        </row>
        <row r="181">
          <cell r="C181" t="str">
            <v>NVLKM01.042</v>
          </cell>
          <cell r="D181" t="str">
            <v>B3001</v>
          </cell>
          <cell r="E181">
            <v>0</v>
          </cell>
        </row>
        <row r="182">
          <cell r="C182" t="str">
            <v>NVLKM01.048</v>
          </cell>
          <cell r="D182" t="str">
            <v>S501</v>
          </cell>
          <cell r="E182">
            <v>0</v>
          </cell>
        </row>
        <row r="183">
          <cell r="C183" t="str">
            <v>NVLKM01.049</v>
          </cell>
          <cell r="D183" t="str">
            <v>S250</v>
          </cell>
          <cell r="E183">
            <v>0</v>
          </cell>
        </row>
        <row r="184">
          <cell r="C184" t="str">
            <v>NVLKM01.051</v>
          </cell>
          <cell r="D184" t="str">
            <v>M004</v>
          </cell>
          <cell r="E184">
            <v>0</v>
          </cell>
        </row>
        <row r="185">
          <cell r="C185" t="str">
            <v>NVLKM01.047</v>
          </cell>
          <cell r="D185" t="str">
            <v>GB1660</v>
          </cell>
          <cell r="E185">
            <v>0</v>
          </cell>
        </row>
        <row r="186">
          <cell r="C186" t="str">
            <v>NVLKM01.044</v>
          </cell>
          <cell r="D186" t="str">
            <v>BT4139</v>
          </cell>
          <cell r="E186">
            <v>0</v>
          </cell>
        </row>
        <row r="187">
          <cell r="C187" t="str">
            <v>NVLKM01.045</v>
          </cell>
          <cell r="D187" t="str">
            <v>TB3007</v>
          </cell>
          <cell r="E187">
            <v>0</v>
          </cell>
        </row>
        <row r="188">
          <cell r="C188" t="str">
            <v>NVLKM01.052</v>
          </cell>
          <cell r="D188" t="str">
            <v>S130</v>
          </cell>
          <cell r="E188">
            <v>0</v>
          </cell>
        </row>
        <row r="189">
          <cell r="C189" t="str">
            <v>NVLKM01.035</v>
          </cell>
          <cell r="D189" t="str">
            <v>Men Frit PT02</v>
          </cell>
          <cell r="E189">
            <v>0</v>
          </cell>
        </row>
        <row r="190">
          <cell r="C190" t="str">
            <v>NVLKM01.023</v>
          </cell>
          <cell r="D190" t="str">
            <v>CLAY GF3005</v>
          </cell>
          <cell r="E190">
            <v>0</v>
          </cell>
        </row>
        <row r="191">
          <cell r="C191" t="str">
            <v>NVLKM02.030</v>
          </cell>
          <cell r="D191" t="str">
            <v>Đất sét YS09</v>
          </cell>
          <cell r="E191">
            <v>0</v>
          </cell>
        </row>
        <row r="192">
          <cell r="C192" t="str">
            <v>NVLKM04.028</v>
          </cell>
          <cell r="D192" t="str">
            <v>Tăng cứng xương T100</v>
          </cell>
          <cell r="E192">
            <v>0</v>
          </cell>
        </row>
        <row r="193">
          <cell r="C193" t="str">
            <v>NVLKM01.010</v>
          </cell>
          <cell r="D193" t="str">
            <v>FO 716</v>
          </cell>
          <cell r="E193">
            <v>0</v>
          </cell>
        </row>
        <row r="194">
          <cell r="C194" t="str">
            <v>NVLKM01.019</v>
          </cell>
          <cell r="D194" t="str">
            <v>Bột tan S220</v>
          </cell>
          <cell r="E194">
            <v>0</v>
          </cell>
        </row>
        <row r="195">
          <cell r="C195" t="str">
            <v>NVLKM01.024</v>
          </cell>
          <cell r="D195" t="str">
            <v>Men HIFIL1</v>
          </cell>
          <cell r="E195">
            <v>0</v>
          </cell>
        </row>
        <row r="196">
          <cell r="C196" t="str">
            <v>NVLKM01.036</v>
          </cell>
          <cell r="D196" t="str">
            <v>Men in FP940</v>
          </cell>
          <cell r="E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</row>
        <row r="198">
          <cell r="C198" t="str">
            <v>NVLKM01.083</v>
          </cell>
          <cell r="E198" t="str">
            <v>NCC00884</v>
          </cell>
        </row>
        <row r="199">
          <cell r="E199" t="str">
            <v>NCC00885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4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N51"/>
  <sheetViews>
    <sheetView zoomScale="80" zoomScaleNormal="80" workbookViewId="0">
      <pane ySplit="9" topLeftCell="A10" activePane="bottomLeft" state="frozen"/>
      <selection pane="bottomLeft" activeCell="F17" sqref="F17"/>
    </sheetView>
  </sheetViews>
  <sheetFormatPr defaultColWidth="9.28515625" defaultRowHeight="15"/>
  <cols>
    <col min="1" max="1" width="4.7109375" style="143" customWidth="1"/>
    <col min="2" max="2" width="9" style="143" customWidth="1"/>
    <col min="3" max="3" width="11.7109375" style="143" customWidth="1"/>
    <col min="4" max="11" width="10.7109375" style="142" customWidth="1"/>
    <col min="12" max="13" width="10" style="143" customWidth="1"/>
    <col min="14" max="14" width="8.28515625" style="143" customWidth="1"/>
    <col min="15" max="16384" width="9.28515625" style="143"/>
  </cols>
  <sheetData>
    <row r="1" spans="1:14" ht="18" customHeight="1">
      <c r="A1" s="146" t="e">
        <f>'FRIT FV 090.540 - FTA'!#REF!</f>
        <v>#REF!</v>
      </c>
      <c r="B1" s="146"/>
      <c r="C1" s="146"/>
      <c r="D1" s="146"/>
      <c r="E1" s="146"/>
      <c r="F1" s="146"/>
    </row>
    <row r="2" spans="1:14" ht="18" customHeight="1">
      <c r="A2" s="146" t="e">
        <f>'FRIT FV 090.540 - FTA'!#REF!</f>
        <v>#REF!</v>
      </c>
      <c r="B2" s="146"/>
      <c r="C2" s="146"/>
      <c r="D2" s="144"/>
      <c r="E2" s="144"/>
      <c r="F2" s="144"/>
      <c r="K2" s="197" t="e">
        <f>'FRIT FV 090.540 - FTA'!#REF!</f>
        <v>#REF!</v>
      </c>
      <c r="L2" s="142"/>
    </row>
    <row r="3" spans="1:14" ht="33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14" ht="18.75" customHeight="1">
      <c r="B4" s="145"/>
      <c r="C4" s="145"/>
      <c r="D4" s="224" t="s">
        <v>33</v>
      </c>
      <c r="E4" s="184" t="s">
        <v>144</v>
      </c>
      <c r="I4" s="142" t="s">
        <v>114</v>
      </c>
      <c r="J4" s="146" t="s">
        <v>174</v>
      </c>
      <c r="K4" s="145"/>
      <c r="L4" s="145"/>
      <c r="M4" s="145"/>
    </row>
    <row r="5" spans="1:14" ht="18.75" customHeight="1">
      <c r="B5" s="143" t="e">
        <f>'FRIT FV 090.540 - FTA'!#REF!</f>
        <v>#REF!</v>
      </c>
      <c r="C5" s="143" t="e">
        <f>'FRIT FV 090.540 - FTA'!#REF!</f>
        <v>#REF!</v>
      </c>
      <c r="D5" s="143" t="e">
        <f>'FRIT FV 090.540 - FTA'!#REF!</f>
        <v>#REF!</v>
      </c>
      <c r="E5" s="147">
        <v>18</v>
      </c>
      <c r="F5" s="143" t="e">
        <f>'FRIT FV 090.540 - FTA'!#REF!</f>
        <v>#REF!</v>
      </c>
      <c r="G5" s="143" t="e">
        <f>'FRIT FV 090.540 - FTA'!#REF!</f>
        <v>#REF!</v>
      </c>
      <c r="H5" s="143" t="e">
        <f>'FRIT FV 090.540 - FTA'!#REF!</f>
        <v>#REF!</v>
      </c>
      <c r="I5" s="143" t="e">
        <f>'FRIT FV 090.540 - FTA'!#REF!</f>
        <v>#REF!</v>
      </c>
      <c r="J5" s="143"/>
      <c r="K5" s="143"/>
    </row>
    <row r="6" spans="1:14" ht="18" customHeight="1">
      <c r="F6" s="148"/>
      <c r="G6" s="148"/>
      <c r="H6" s="148"/>
      <c r="I6" s="148"/>
      <c r="L6" s="149" t="s">
        <v>26</v>
      </c>
      <c r="M6" s="256" t="e">
        <f>'FRIT FV 090.540 - FTA'!#REF!</f>
        <v>#REF!</v>
      </c>
    </row>
    <row r="7" spans="1:14" s="150" customFormat="1" ht="40.5" customHeight="1">
      <c r="A7" s="241" t="s">
        <v>2</v>
      </c>
      <c r="B7" s="233" t="s">
        <v>1</v>
      </c>
      <c r="C7" s="233" t="s">
        <v>24</v>
      </c>
      <c r="D7" s="1501" t="s">
        <v>27</v>
      </c>
      <c r="E7" s="1502"/>
      <c r="F7" s="1501" t="s">
        <v>31</v>
      </c>
      <c r="G7" s="1502"/>
      <c r="H7" s="1501" t="s">
        <v>28</v>
      </c>
      <c r="I7" s="1502"/>
      <c r="J7" s="1501" t="s">
        <v>14</v>
      </c>
      <c r="K7" s="1502"/>
      <c r="L7" s="1501" t="s">
        <v>30</v>
      </c>
      <c r="M7" s="1502"/>
      <c r="N7" s="233" t="s">
        <v>99</v>
      </c>
    </row>
    <row r="8" spans="1:14" s="150" customFormat="1" ht="27.75" customHeight="1">
      <c r="A8" s="242"/>
      <c r="B8" s="234"/>
      <c r="C8" s="234"/>
      <c r="D8" s="157" t="s">
        <v>6</v>
      </c>
      <c r="E8" s="158" t="s">
        <v>25</v>
      </c>
      <c r="F8" s="157" t="s">
        <v>6</v>
      </c>
      <c r="G8" s="158" t="s">
        <v>12</v>
      </c>
      <c r="H8" s="157" t="s">
        <v>6</v>
      </c>
      <c r="I8" s="158" t="s">
        <v>12</v>
      </c>
      <c r="J8" s="157" t="s">
        <v>6</v>
      </c>
      <c r="K8" s="159" t="s">
        <v>12</v>
      </c>
      <c r="L8" s="160" t="s">
        <v>6</v>
      </c>
      <c r="M8" s="159" t="s">
        <v>12</v>
      </c>
      <c r="N8" s="234"/>
    </row>
    <row r="9" spans="1:14" s="150" customFormat="1" ht="25.5" customHeight="1">
      <c r="A9" s="235" t="s">
        <v>3</v>
      </c>
      <c r="B9" s="236"/>
      <c r="C9" s="237"/>
      <c r="D9" s="161">
        <f>J9</f>
        <v>0</v>
      </c>
      <c r="E9" s="162">
        <f>K9</f>
        <v>0</v>
      </c>
      <c r="F9" s="165">
        <f>F41</f>
        <v>0</v>
      </c>
      <c r="G9" s="162">
        <f>G41</f>
        <v>0</v>
      </c>
      <c r="H9" s="163"/>
      <c r="I9" s="162"/>
      <c r="J9" s="164">
        <f>K9-K9*N9</f>
        <v>0</v>
      </c>
      <c r="K9" s="165">
        <v>0</v>
      </c>
      <c r="L9" s="166"/>
      <c r="M9" s="167"/>
      <c r="N9" s="223"/>
    </row>
    <row r="10" spans="1:14" ht="16.5" customHeight="1">
      <c r="A10" s="169">
        <v>1</v>
      </c>
      <c r="B10" s="170">
        <f>'FRIT FV 090.540 - FTA'!B9</f>
        <v>46235</v>
      </c>
      <c r="C10" s="170" t="str">
        <f>'FRIT FV 090.540 - FTA'!C9</f>
        <v>Không nhập - xuất</v>
      </c>
      <c r="D10" s="171">
        <f t="shared" ref="D10:D40" si="0">E10</f>
        <v>0</v>
      </c>
      <c r="E10" s="162"/>
      <c r="F10" s="172"/>
      <c r="G10" s="219">
        <f>F10</f>
        <v>0</v>
      </c>
      <c r="H10" s="174">
        <f>SUM($F$10:F10)/A10</f>
        <v>0</v>
      </c>
      <c r="I10" s="173">
        <f>SUM($G$10:G10)/A10</f>
        <v>0</v>
      </c>
      <c r="J10" s="175">
        <f t="shared" ref="J10:K25" si="1">J9+D10-F10</f>
        <v>0</v>
      </c>
      <c r="K10" s="176">
        <f t="shared" si="1"/>
        <v>0</v>
      </c>
      <c r="L10" s="177" t="e">
        <f t="shared" ref="L10:M25" si="2">J10/H10</f>
        <v>#DIV/0!</v>
      </c>
      <c r="M10" s="161" t="e">
        <f t="shared" si="2"/>
        <v>#DIV/0!</v>
      </c>
      <c r="N10" s="223"/>
    </row>
    <row r="11" spans="1:14" ht="16.5" customHeight="1">
      <c r="A11" s="169">
        <v>2</v>
      </c>
      <c r="B11" s="170">
        <f>'FRIT FV 090.540 - FTA'!B10</f>
        <v>46236</v>
      </c>
      <c r="C11" s="170" t="str">
        <f>'FRIT FV 090.540 - FTA'!C10</f>
        <v>Không nhập - xuất</v>
      </c>
      <c r="D11" s="171">
        <f t="shared" si="0"/>
        <v>0</v>
      </c>
      <c r="E11" s="162"/>
      <c r="F11" s="172"/>
      <c r="G11" s="219">
        <f t="shared" ref="G11:G40" si="3">F11</f>
        <v>0</v>
      </c>
      <c r="H11" s="174">
        <f>SUM($F$10:F11)/A11</f>
        <v>0</v>
      </c>
      <c r="I11" s="173">
        <f>SUM($G$10:G11)/A11</f>
        <v>0</v>
      </c>
      <c r="J11" s="175">
        <f t="shared" si="1"/>
        <v>0</v>
      </c>
      <c r="K11" s="176">
        <f t="shared" si="1"/>
        <v>0</v>
      </c>
      <c r="L11" s="177" t="e">
        <f t="shared" si="2"/>
        <v>#DIV/0!</v>
      </c>
      <c r="M11" s="161" t="e">
        <f t="shared" si="2"/>
        <v>#DIV/0!</v>
      </c>
      <c r="N11" s="223"/>
    </row>
    <row r="12" spans="1:14" ht="16.5" customHeight="1">
      <c r="A12" s="169">
        <v>3</v>
      </c>
      <c r="B12" s="170">
        <f>'FRIT FV 090.540 - FTA'!B11</f>
        <v>46237</v>
      </c>
      <c r="C12" s="170" t="str">
        <f>'FRIT FV 090.540 - FTA'!C11</f>
        <v>Không nhập - xuất</v>
      </c>
      <c r="D12" s="171">
        <f t="shared" si="0"/>
        <v>0</v>
      </c>
      <c r="E12" s="162"/>
      <c r="F12" s="172"/>
      <c r="G12" s="219">
        <f t="shared" si="3"/>
        <v>0</v>
      </c>
      <c r="H12" s="174">
        <f>SUM($F$10:F12)/A12</f>
        <v>0</v>
      </c>
      <c r="I12" s="173">
        <f>SUM($G$10:G12)/A12</f>
        <v>0</v>
      </c>
      <c r="J12" s="175">
        <f t="shared" si="1"/>
        <v>0</v>
      </c>
      <c r="K12" s="176">
        <f t="shared" si="1"/>
        <v>0</v>
      </c>
      <c r="L12" s="177" t="e">
        <f t="shared" si="2"/>
        <v>#DIV/0!</v>
      </c>
      <c r="M12" s="161" t="e">
        <f t="shared" si="2"/>
        <v>#DIV/0!</v>
      </c>
      <c r="N12" s="223"/>
    </row>
    <row r="13" spans="1:14" ht="16.5" customHeight="1">
      <c r="A13" s="169">
        <v>4</v>
      </c>
      <c r="B13" s="170">
        <f>'FRIT FV 090.540 - FTA'!B12</f>
        <v>46238</v>
      </c>
      <c r="C13" s="170" t="str">
        <f>'FRIT FV 090.540 - FTA'!C12</f>
        <v>Không nhập - xuất</v>
      </c>
      <c r="D13" s="171">
        <f t="shared" si="0"/>
        <v>0</v>
      </c>
      <c r="E13" s="162"/>
      <c r="F13" s="172"/>
      <c r="G13" s="219">
        <f t="shared" si="3"/>
        <v>0</v>
      </c>
      <c r="H13" s="174">
        <f>SUM($F$10:F13)/A13</f>
        <v>0</v>
      </c>
      <c r="I13" s="173">
        <f>SUM($G$10:G13)/A13</f>
        <v>0</v>
      </c>
      <c r="J13" s="175">
        <f t="shared" si="1"/>
        <v>0</v>
      </c>
      <c r="K13" s="176">
        <f t="shared" si="1"/>
        <v>0</v>
      </c>
      <c r="L13" s="177" t="e">
        <f t="shared" si="2"/>
        <v>#DIV/0!</v>
      </c>
      <c r="M13" s="161" t="e">
        <f t="shared" si="2"/>
        <v>#DIV/0!</v>
      </c>
      <c r="N13" s="223"/>
    </row>
    <row r="14" spans="1:14" ht="16.5" customHeight="1">
      <c r="A14" s="169">
        <v>5</v>
      </c>
      <c r="B14" s="258">
        <f>'FRIT FV 090.540 - FTA'!B13</f>
        <v>46239</v>
      </c>
      <c r="C14" s="170" t="str">
        <f>'FRIT FV 090.540 - FTA'!C13</f>
        <v>Không nhập - xuất</v>
      </c>
      <c r="D14" s="171">
        <f t="shared" si="0"/>
        <v>0</v>
      </c>
      <c r="E14" s="162"/>
      <c r="F14" s="172"/>
      <c r="G14" s="219">
        <f t="shared" si="3"/>
        <v>0</v>
      </c>
      <c r="H14" s="257">
        <f>SUM($F$10:F14)/A14</f>
        <v>0</v>
      </c>
      <c r="I14" s="173">
        <f>SUM($G$10:G14)/A14</f>
        <v>0</v>
      </c>
      <c r="J14" s="257">
        <f t="shared" si="1"/>
        <v>0</v>
      </c>
      <c r="K14" s="176">
        <f t="shared" si="1"/>
        <v>0</v>
      </c>
      <c r="L14" s="257" t="e">
        <f t="shared" si="2"/>
        <v>#DIV/0!</v>
      </c>
      <c r="M14" s="161" t="e">
        <f t="shared" si="2"/>
        <v>#DIV/0!</v>
      </c>
      <c r="N14" s="223"/>
    </row>
    <row r="15" spans="1:14" ht="16.5" customHeight="1">
      <c r="A15" s="169">
        <v>6</v>
      </c>
      <c r="B15" s="170">
        <f>'FRIT FV 090.540 - FTA'!B14</f>
        <v>46240</v>
      </c>
      <c r="C15" s="170" t="str">
        <f>'FRIT FV 090.540 - FTA'!C14</f>
        <v>xuất</v>
      </c>
      <c r="D15" s="171">
        <f t="shared" si="0"/>
        <v>0</v>
      </c>
      <c r="E15" s="162"/>
      <c r="F15" s="172"/>
      <c r="G15" s="219">
        <f t="shared" si="3"/>
        <v>0</v>
      </c>
      <c r="H15" s="174">
        <f>SUM($F$10:F15)/A15</f>
        <v>0</v>
      </c>
      <c r="I15" s="173">
        <f>SUM($G$10:G15)/A15</f>
        <v>0</v>
      </c>
      <c r="J15" s="175">
        <f t="shared" si="1"/>
        <v>0</v>
      </c>
      <c r="K15" s="176">
        <f t="shared" si="1"/>
        <v>0</v>
      </c>
      <c r="L15" s="177" t="e">
        <f t="shared" si="2"/>
        <v>#DIV/0!</v>
      </c>
      <c r="M15" s="161" t="e">
        <f t="shared" si="2"/>
        <v>#DIV/0!</v>
      </c>
      <c r="N15" s="223"/>
    </row>
    <row r="16" spans="1:14" ht="16.5" customHeight="1">
      <c r="A16" s="169">
        <v>7</v>
      </c>
      <c r="B16" s="170">
        <f>'FRIT FV 090.540 - FTA'!B15</f>
        <v>46241</v>
      </c>
      <c r="C16" s="170" t="str">
        <f>'FRIT FV 090.540 - FTA'!C15</f>
        <v>Không nhập - xuất</v>
      </c>
      <c r="D16" s="171">
        <f>E16</f>
        <v>0</v>
      </c>
      <c r="E16" s="162"/>
      <c r="F16" s="172"/>
      <c r="G16" s="219">
        <f t="shared" si="3"/>
        <v>0</v>
      </c>
      <c r="H16" s="174">
        <f>SUM($F$10:F16)/A16</f>
        <v>0</v>
      </c>
      <c r="I16" s="173">
        <f>SUM($G$10:G16)/A16</f>
        <v>0</v>
      </c>
      <c r="J16" s="175">
        <f t="shared" si="1"/>
        <v>0</v>
      </c>
      <c r="K16" s="176">
        <f t="shared" si="1"/>
        <v>0</v>
      </c>
      <c r="L16" s="177" t="e">
        <f t="shared" si="2"/>
        <v>#DIV/0!</v>
      </c>
      <c r="M16" s="161" t="e">
        <f t="shared" si="2"/>
        <v>#DIV/0!</v>
      </c>
      <c r="N16" s="223"/>
    </row>
    <row r="17" spans="1:14" ht="16.5" customHeight="1">
      <c r="A17" s="169">
        <v>8</v>
      </c>
      <c r="B17" s="170">
        <f>'FRIT FV 090.540 - FTA'!B16</f>
        <v>46242</v>
      </c>
      <c r="C17" s="170" t="str">
        <f>'FRIT FV 090.540 - FTA'!C16</f>
        <v>Không nhập - xuất</v>
      </c>
      <c r="D17" s="171">
        <f t="shared" si="0"/>
        <v>0</v>
      </c>
      <c r="E17" s="162"/>
      <c r="F17" s="172"/>
      <c r="G17" s="219">
        <f t="shared" si="3"/>
        <v>0</v>
      </c>
      <c r="H17" s="174">
        <f>SUM($F$10:F17)/A17</f>
        <v>0</v>
      </c>
      <c r="I17" s="173">
        <f>SUM($G$10:G17)/A17</f>
        <v>0</v>
      </c>
      <c r="J17" s="175">
        <f t="shared" si="1"/>
        <v>0</v>
      </c>
      <c r="K17" s="176">
        <f t="shared" si="1"/>
        <v>0</v>
      </c>
      <c r="L17" s="177" t="e">
        <f t="shared" si="2"/>
        <v>#DIV/0!</v>
      </c>
      <c r="M17" s="161" t="e">
        <f t="shared" si="2"/>
        <v>#DIV/0!</v>
      </c>
      <c r="N17" s="223"/>
    </row>
    <row r="18" spans="1:14" ht="16.5" customHeight="1">
      <c r="A18" s="169">
        <v>9</v>
      </c>
      <c r="B18" s="170">
        <f>'FRIT FV 090.540 - FTA'!B17</f>
        <v>46243</v>
      </c>
      <c r="C18" s="170" t="s">
        <v>211</v>
      </c>
      <c r="D18" s="171">
        <f t="shared" si="0"/>
        <v>0</v>
      </c>
      <c r="E18" s="162"/>
      <c r="F18" s="172"/>
      <c r="G18" s="219">
        <f t="shared" si="3"/>
        <v>0</v>
      </c>
      <c r="H18" s="174">
        <f>SUM($F$10:F18)/A18</f>
        <v>0</v>
      </c>
      <c r="I18" s="173">
        <f>SUM($G$10:G18)/A18</f>
        <v>0</v>
      </c>
      <c r="J18" s="175">
        <f t="shared" si="1"/>
        <v>0</v>
      </c>
      <c r="K18" s="176">
        <f t="shared" si="1"/>
        <v>0</v>
      </c>
      <c r="L18" s="177" t="e">
        <f t="shared" si="2"/>
        <v>#DIV/0!</v>
      </c>
      <c r="M18" s="161" t="e">
        <f t="shared" si="2"/>
        <v>#DIV/0!</v>
      </c>
      <c r="N18" s="223"/>
    </row>
    <row r="19" spans="1:14" ht="16.5" customHeight="1">
      <c r="A19" s="169">
        <v>10</v>
      </c>
      <c r="B19" s="258">
        <f>'FRIT FV 090.540 - FTA'!B18</f>
        <v>46244</v>
      </c>
      <c r="C19" s="170" t="s">
        <v>211</v>
      </c>
      <c r="D19" s="171">
        <f t="shared" si="0"/>
        <v>0</v>
      </c>
      <c r="E19" s="162"/>
      <c r="F19" s="172"/>
      <c r="G19" s="219">
        <f t="shared" si="3"/>
        <v>0</v>
      </c>
      <c r="H19" s="257">
        <f>SUM($F$10:F19)/A19</f>
        <v>0</v>
      </c>
      <c r="I19" s="173">
        <f>SUM($G$10:G19)/A19</f>
        <v>0</v>
      </c>
      <c r="J19" s="257">
        <f t="shared" si="1"/>
        <v>0</v>
      </c>
      <c r="K19" s="176">
        <f t="shared" si="1"/>
        <v>0</v>
      </c>
      <c r="L19" s="257" t="e">
        <f t="shared" si="2"/>
        <v>#DIV/0!</v>
      </c>
      <c r="M19" s="161" t="e">
        <f t="shared" si="2"/>
        <v>#DIV/0!</v>
      </c>
      <c r="N19" s="223"/>
    </row>
    <row r="20" spans="1:14" ht="16.5" customHeight="1">
      <c r="A20" s="169">
        <v>11</v>
      </c>
      <c r="B20" s="170">
        <f>'FRIT FV 090.540 - FTA'!B19</f>
        <v>46245</v>
      </c>
      <c r="C20" s="170" t="s">
        <v>211</v>
      </c>
      <c r="D20" s="171">
        <f t="shared" si="0"/>
        <v>0</v>
      </c>
      <c r="E20" s="162"/>
      <c r="F20" s="172"/>
      <c r="G20" s="219">
        <f t="shared" si="3"/>
        <v>0</v>
      </c>
      <c r="H20" s="174">
        <f>SUM($F$10:F20)/A20</f>
        <v>0</v>
      </c>
      <c r="I20" s="173">
        <f>SUM($G$10:G20)/A20</f>
        <v>0</v>
      </c>
      <c r="J20" s="175">
        <f t="shared" si="1"/>
        <v>0</v>
      </c>
      <c r="K20" s="176">
        <f t="shared" si="1"/>
        <v>0</v>
      </c>
      <c r="L20" s="177" t="e">
        <f t="shared" si="2"/>
        <v>#DIV/0!</v>
      </c>
      <c r="M20" s="161" t="e">
        <f t="shared" si="2"/>
        <v>#DIV/0!</v>
      </c>
      <c r="N20" s="223"/>
    </row>
    <row r="21" spans="1:14" ht="16.5" customHeight="1">
      <c r="A21" s="169">
        <v>12</v>
      </c>
      <c r="B21" s="170">
        <f>'FRIT FV 090.540 - FTA'!B20</f>
        <v>46246</v>
      </c>
      <c r="C21" s="170" t="s">
        <v>211</v>
      </c>
      <c r="D21" s="171">
        <f t="shared" si="0"/>
        <v>0</v>
      </c>
      <c r="E21" s="162"/>
      <c r="F21" s="172"/>
      <c r="G21" s="219">
        <f t="shared" si="3"/>
        <v>0</v>
      </c>
      <c r="H21" s="174">
        <f>SUM($F$10:F21)/A21</f>
        <v>0</v>
      </c>
      <c r="I21" s="173">
        <f>SUM($G$10:G21)/A21</f>
        <v>0</v>
      </c>
      <c r="J21" s="175">
        <f t="shared" si="1"/>
        <v>0</v>
      </c>
      <c r="K21" s="176">
        <f t="shared" si="1"/>
        <v>0</v>
      </c>
      <c r="L21" s="177" t="e">
        <f t="shared" si="2"/>
        <v>#DIV/0!</v>
      </c>
      <c r="M21" s="161" t="e">
        <f t="shared" si="2"/>
        <v>#DIV/0!</v>
      </c>
      <c r="N21" s="223"/>
    </row>
    <row r="22" spans="1:14" ht="16.5" customHeight="1">
      <c r="A22" s="169">
        <v>13</v>
      </c>
      <c r="B22" s="170">
        <f>'FRIT FV 090.540 - FTA'!B21</f>
        <v>46247</v>
      </c>
      <c r="C22" s="170" t="s">
        <v>211</v>
      </c>
      <c r="D22" s="171">
        <f t="shared" si="0"/>
        <v>0</v>
      </c>
      <c r="E22" s="162"/>
      <c r="F22" s="172"/>
      <c r="G22" s="219">
        <f t="shared" si="3"/>
        <v>0</v>
      </c>
      <c r="H22" s="174">
        <f>SUM($F$10:F22)/A22</f>
        <v>0</v>
      </c>
      <c r="I22" s="173">
        <f>SUM($G$10:G22)/A22</f>
        <v>0</v>
      </c>
      <c r="J22" s="175">
        <f t="shared" si="1"/>
        <v>0</v>
      </c>
      <c r="K22" s="176">
        <f>K21+E22-G22</f>
        <v>0</v>
      </c>
      <c r="L22" s="177" t="e">
        <f t="shared" si="2"/>
        <v>#DIV/0!</v>
      </c>
      <c r="M22" s="161" t="e">
        <f t="shared" si="2"/>
        <v>#DIV/0!</v>
      </c>
      <c r="N22" s="223"/>
    </row>
    <row r="23" spans="1:14" ht="16.5" customHeight="1">
      <c r="A23" s="169">
        <v>14</v>
      </c>
      <c r="B23" s="170">
        <f>'FRIT FV 090.540 - FTA'!B22</f>
        <v>46248</v>
      </c>
      <c r="C23" s="170" t="s">
        <v>211</v>
      </c>
      <c r="D23" s="171">
        <f t="shared" si="0"/>
        <v>0</v>
      </c>
      <c r="E23" s="162"/>
      <c r="F23" s="172"/>
      <c r="G23" s="219">
        <f t="shared" si="3"/>
        <v>0</v>
      </c>
      <c r="H23" s="174">
        <f>SUM($F$10:F23)/A23</f>
        <v>0</v>
      </c>
      <c r="I23" s="173">
        <f>SUM($G$10:G23)/A23</f>
        <v>0</v>
      </c>
      <c r="J23" s="175">
        <f t="shared" si="1"/>
        <v>0</v>
      </c>
      <c r="K23" s="176">
        <f>K22+E23-G23</f>
        <v>0</v>
      </c>
      <c r="L23" s="177" t="e">
        <f t="shared" si="2"/>
        <v>#DIV/0!</v>
      </c>
      <c r="M23" s="161" t="e">
        <f t="shared" si="2"/>
        <v>#DIV/0!</v>
      </c>
      <c r="N23" s="223"/>
    </row>
    <row r="24" spans="1:14" ht="16.5" customHeight="1">
      <c r="A24" s="169">
        <v>15</v>
      </c>
      <c r="B24" s="258">
        <f>'FRIT FV 090.540 - FTA'!B23</f>
        <v>46249</v>
      </c>
      <c r="C24" s="170" t="s">
        <v>211</v>
      </c>
      <c r="D24" s="171">
        <f t="shared" si="0"/>
        <v>0</v>
      </c>
      <c r="E24" s="162"/>
      <c r="F24" s="172"/>
      <c r="G24" s="219">
        <f t="shared" si="3"/>
        <v>0</v>
      </c>
      <c r="H24" s="257">
        <f>SUM($F$10:F24)/A24</f>
        <v>0</v>
      </c>
      <c r="I24" s="173">
        <f>SUM($G$10:G24)/A24</f>
        <v>0</v>
      </c>
      <c r="J24" s="257">
        <f t="shared" si="1"/>
        <v>0</v>
      </c>
      <c r="K24" s="176">
        <f t="shared" si="1"/>
        <v>0</v>
      </c>
      <c r="L24" s="257" t="e">
        <f t="shared" si="2"/>
        <v>#DIV/0!</v>
      </c>
      <c r="M24" s="161" t="e">
        <f t="shared" si="2"/>
        <v>#DIV/0!</v>
      </c>
      <c r="N24" s="223"/>
    </row>
    <row r="25" spans="1:14" ht="16.5" customHeight="1">
      <c r="A25" s="169">
        <v>16</v>
      </c>
      <c r="B25" s="170">
        <f>'FRIT FV 090.540 - FTA'!B24</f>
        <v>46250</v>
      </c>
      <c r="C25" s="170" t="s">
        <v>211</v>
      </c>
      <c r="D25" s="171">
        <f t="shared" si="0"/>
        <v>0</v>
      </c>
      <c r="E25" s="162"/>
      <c r="F25" s="172"/>
      <c r="G25" s="219">
        <f t="shared" si="3"/>
        <v>0</v>
      </c>
      <c r="H25" s="174">
        <f>SUM($F$10:F25)/A25</f>
        <v>0</v>
      </c>
      <c r="I25" s="173">
        <f>SUM($G$10:G25)/A25</f>
        <v>0</v>
      </c>
      <c r="J25" s="175">
        <f t="shared" si="1"/>
        <v>0</v>
      </c>
      <c r="K25" s="176">
        <f>K24+E25-G25</f>
        <v>0</v>
      </c>
      <c r="L25" s="177" t="e">
        <f t="shared" si="2"/>
        <v>#DIV/0!</v>
      </c>
      <c r="M25" s="161" t="e">
        <f t="shared" si="2"/>
        <v>#DIV/0!</v>
      </c>
      <c r="N25" s="223"/>
    </row>
    <row r="26" spans="1:14" ht="16.5" customHeight="1">
      <c r="A26" s="169">
        <v>17</v>
      </c>
      <c r="B26" s="170">
        <f>'FRIT FV 090.540 - FTA'!B25</f>
        <v>46251</v>
      </c>
      <c r="C26" s="170" t="s">
        <v>211</v>
      </c>
      <c r="D26" s="171">
        <f t="shared" si="0"/>
        <v>0</v>
      </c>
      <c r="E26" s="162"/>
      <c r="F26" s="172"/>
      <c r="G26" s="219">
        <f t="shared" si="3"/>
        <v>0</v>
      </c>
      <c r="H26" s="174">
        <f>SUM($F$10:F26)/A26</f>
        <v>0</v>
      </c>
      <c r="I26" s="173">
        <f>SUM($G$10:G26)/A26</f>
        <v>0</v>
      </c>
      <c r="J26" s="175">
        <f t="shared" ref="J26:K40" si="4">J25+D26-F26</f>
        <v>0</v>
      </c>
      <c r="K26" s="176">
        <f>K25+E26-G26</f>
        <v>0</v>
      </c>
      <c r="L26" s="177" t="e">
        <f t="shared" ref="L26:M40" si="5">J26/H26</f>
        <v>#DIV/0!</v>
      </c>
      <c r="M26" s="161" t="e">
        <f t="shared" si="5"/>
        <v>#DIV/0!</v>
      </c>
      <c r="N26" s="223"/>
    </row>
    <row r="27" spans="1:14" ht="16.5" customHeight="1">
      <c r="A27" s="169">
        <v>18</v>
      </c>
      <c r="B27" s="170">
        <f>'FRIT FV 090.540 - FTA'!B26</f>
        <v>46252</v>
      </c>
      <c r="C27" s="170" t="s">
        <v>211</v>
      </c>
      <c r="D27" s="171">
        <f t="shared" si="0"/>
        <v>0</v>
      </c>
      <c r="E27" s="162"/>
      <c r="F27" s="172"/>
      <c r="G27" s="219">
        <f t="shared" si="3"/>
        <v>0</v>
      </c>
      <c r="H27" s="174">
        <f>SUM($F$10:F27)/A27</f>
        <v>0</v>
      </c>
      <c r="I27" s="173">
        <f>SUM($G$10:G27)/A27</f>
        <v>0</v>
      </c>
      <c r="J27" s="175">
        <f t="shared" si="4"/>
        <v>0</v>
      </c>
      <c r="K27" s="176">
        <f>K26+E27-G27</f>
        <v>0</v>
      </c>
      <c r="L27" s="177" t="e">
        <f t="shared" si="5"/>
        <v>#DIV/0!</v>
      </c>
      <c r="M27" s="161" t="e">
        <f t="shared" si="5"/>
        <v>#DIV/0!</v>
      </c>
      <c r="N27" s="223"/>
    </row>
    <row r="28" spans="1:14" ht="16.5" customHeight="1">
      <c r="A28" s="169">
        <v>19</v>
      </c>
      <c r="B28" s="170">
        <f>'FRIT FV 090.540 - FTA'!B27</f>
        <v>46253</v>
      </c>
      <c r="C28" s="170" t="s">
        <v>211</v>
      </c>
      <c r="D28" s="171">
        <f t="shared" si="0"/>
        <v>0</v>
      </c>
      <c r="E28" s="162"/>
      <c r="F28" s="172"/>
      <c r="G28" s="219">
        <f t="shared" si="3"/>
        <v>0</v>
      </c>
      <c r="H28" s="174">
        <f>SUM($F$10:F28)/A28</f>
        <v>0</v>
      </c>
      <c r="I28" s="173">
        <f>SUM($G$10:G28)/A28</f>
        <v>0</v>
      </c>
      <c r="J28" s="175">
        <f t="shared" si="4"/>
        <v>0</v>
      </c>
      <c r="K28" s="176">
        <f>K27+E28-G28</f>
        <v>0</v>
      </c>
      <c r="L28" s="177" t="e">
        <f t="shared" si="5"/>
        <v>#DIV/0!</v>
      </c>
      <c r="M28" s="161" t="e">
        <f t="shared" si="5"/>
        <v>#DIV/0!</v>
      </c>
      <c r="N28" s="223"/>
    </row>
    <row r="29" spans="1:14" ht="16.5" customHeight="1">
      <c r="A29" s="169">
        <v>20</v>
      </c>
      <c r="B29" s="258">
        <f>'FRIT FV 090.540 - FTA'!B28</f>
        <v>46254</v>
      </c>
      <c r="C29" s="170" t="s">
        <v>211</v>
      </c>
      <c r="D29" s="171">
        <f t="shared" si="0"/>
        <v>0</v>
      </c>
      <c r="E29" s="162"/>
      <c r="F29" s="172"/>
      <c r="G29" s="219">
        <f t="shared" si="3"/>
        <v>0</v>
      </c>
      <c r="H29" s="257">
        <f>SUM($F$10:F29)/A29</f>
        <v>0</v>
      </c>
      <c r="I29" s="173">
        <f>SUM($G$10:G29)/A29</f>
        <v>0</v>
      </c>
      <c r="J29" s="257">
        <f t="shared" si="4"/>
        <v>0</v>
      </c>
      <c r="K29" s="176">
        <f t="shared" si="4"/>
        <v>0</v>
      </c>
      <c r="L29" s="257" t="e">
        <f t="shared" si="5"/>
        <v>#DIV/0!</v>
      </c>
      <c r="M29" s="161" t="e">
        <f t="shared" si="5"/>
        <v>#DIV/0!</v>
      </c>
      <c r="N29" s="223"/>
    </row>
    <row r="30" spans="1:14" ht="16.5" customHeight="1">
      <c r="A30" s="169">
        <v>21</v>
      </c>
      <c r="B30" s="170">
        <f>'FRIT FV 090.540 - FTA'!B29</f>
        <v>46255</v>
      </c>
      <c r="C30" s="170" t="s">
        <v>211</v>
      </c>
      <c r="D30" s="171">
        <f t="shared" si="0"/>
        <v>0</v>
      </c>
      <c r="E30" s="162"/>
      <c r="F30" s="172"/>
      <c r="G30" s="219">
        <f t="shared" si="3"/>
        <v>0</v>
      </c>
      <c r="H30" s="174">
        <f>SUM($F$10:F30)/A30</f>
        <v>0</v>
      </c>
      <c r="I30" s="173">
        <f>SUM($G$10:G30)/A30</f>
        <v>0</v>
      </c>
      <c r="J30" s="175">
        <f t="shared" si="4"/>
        <v>0</v>
      </c>
      <c r="K30" s="176">
        <f t="shared" si="4"/>
        <v>0</v>
      </c>
      <c r="L30" s="177" t="e">
        <f t="shared" si="5"/>
        <v>#DIV/0!</v>
      </c>
      <c r="M30" s="161" t="e">
        <f t="shared" si="5"/>
        <v>#DIV/0!</v>
      </c>
      <c r="N30" s="223"/>
    </row>
    <row r="31" spans="1:14" ht="16.5" customHeight="1">
      <c r="A31" s="169">
        <v>22</v>
      </c>
      <c r="B31" s="170">
        <f>'FRIT FV 090.540 - FTA'!B30</f>
        <v>46256</v>
      </c>
      <c r="C31" s="170" t="s">
        <v>211</v>
      </c>
      <c r="D31" s="171">
        <f t="shared" si="0"/>
        <v>0</v>
      </c>
      <c r="E31" s="162"/>
      <c r="F31" s="172"/>
      <c r="G31" s="219">
        <f t="shared" si="3"/>
        <v>0</v>
      </c>
      <c r="H31" s="174">
        <f>SUM($F$10:F31)/A31</f>
        <v>0</v>
      </c>
      <c r="I31" s="173">
        <f>SUM($G$10:G31)/A31</f>
        <v>0</v>
      </c>
      <c r="J31" s="175">
        <f t="shared" si="4"/>
        <v>0</v>
      </c>
      <c r="K31" s="176">
        <f t="shared" si="4"/>
        <v>0</v>
      </c>
      <c r="L31" s="177" t="e">
        <f t="shared" si="5"/>
        <v>#DIV/0!</v>
      </c>
      <c r="M31" s="161" t="e">
        <f t="shared" si="5"/>
        <v>#DIV/0!</v>
      </c>
      <c r="N31" s="223"/>
    </row>
    <row r="32" spans="1:14" ht="16.5" customHeight="1">
      <c r="A32" s="169">
        <v>23</v>
      </c>
      <c r="B32" s="170">
        <f>'FRIT FV 090.540 - FTA'!B31</f>
        <v>46257</v>
      </c>
      <c r="C32" s="170" t="s">
        <v>211</v>
      </c>
      <c r="D32" s="171">
        <f t="shared" si="0"/>
        <v>0</v>
      </c>
      <c r="E32" s="162"/>
      <c r="F32" s="172"/>
      <c r="G32" s="219">
        <f t="shared" si="3"/>
        <v>0</v>
      </c>
      <c r="H32" s="174">
        <f>SUM($F$10:F32)/A32</f>
        <v>0</v>
      </c>
      <c r="I32" s="173">
        <f>SUM($G$10:G32)/A32</f>
        <v>0</v>
      </c>
      <c r="J32" s="175">
        <f t="shared" si="4"/>
        <v>0</v>
      </c>
      <c r="K32" s="176">
        <f t="shared" si="4"/>
        <v>0</v>
      </c>
      <c r="L32" s="177" t="e">
        <f t="shared" si="5"/>
        <v>#DIV/0!</v>
      </c>
      <c r="M32" s="161" t="e">
        <f t="shared" si="5"/>
        <v>#DIV/0!</v>
      </c>
      <c r="N32" s="223"/>
    </row>
    <row r="33" spans="1:14" ht="16.5" customHeight="1">
      <c r="A33" s="169">
        <v>24</v>
      </c>
      <c r="B33" s="170">
        <f>'FRIT FV 090.540 - FTA'!B32</f>
        <v>46258</v>
      </c>
      <c r="C33" s="170" t="s">
        <v>211</v>
      </c>
      <c r="D33" s="171">
        <f t="shared" si="0"/>
        <v>0</v>
      </c>
      <c r="E33" s="162"/>
      <c r="F33" s="172"/>
      <c r="G33" s="219">
        <f t="shared" si="3"/>
        <v>0</v>
      </c>
      <c r="H33" s="174">
        <f>SUM($F$10:F33)/A33</f>
        <v>0</v>
      </c>
      <c r="I33" s="173">
        <f>SUM($G$10:G33)/A33</f>
        <v>0</v>
      </c>
      <c r="J33" s="175">
        <f t="shared" si="4"/>
        <v>0</v>
      </c>
      <c r="K33" s="176">
        <f t="shared" si="4"/>
        <v>0</v>
      </c>
      <c r="L33" s="177" t="e">
        <f t="shared" si="5"/>
        <v>#DIV/0!</v>
      </c>
      <c r="M33" s="161" t="e">
        <f t="shared" si="5"/>
        <v>#DIV/0!</v>
      </c>
      <c r="N33" s="223"/>
    </row>
    <row r="34" spans="1:14" ht="16.5" customHeight="1">
      <c r="A34" s="169">
        <v>25</v>
      </c>
      <c r="B34" s="255">
        <f>'FRIT FV 090.540 - FTA'!B33</f>
        <v>46259</v>
      </c>
      <c r="C34" s="170" t="s">
        <v>211</v>
      </c>
      <c r="D34" s="171">
        <f t="shared" si="0"/>
        <v>0</v>
      </c>
      <c r="E34" s="162"/>
      <c r="F34" s="172"/>
      <c r="G34" s="219">
        <f t="shared" si="3"/>
        <v>0</v>
      </c>
      <c r="H34" s="254">
        <f>SUM($F$10:F34)/A34</f>
        <v>0</v>
      </c>
      <c r="I34" s="173">
        <f>SUM($G$10:G34)/A34</f>
        <v>0</v>
      </c>
      <c r="J34" s="254">
        <f t="shared" si="4"/>
        <v>0</v>
      </c>
      <c r="K34" s="176">
        <f t="shared" si="4"/>
        <v>0</v>
      </c>
      <c r="L34" s="254" t="e">
        <f t="shared" si="5"/>
        <v>#DIV/0!</v>
      </c>
      <c r="M34" s="161" t="e">
        <f t="shared" si="5"/>
        <v>#DIV/0!</v>
      </c>
      <c r="N34" s="223"/>
    </row>
    <row r="35" spans="1:14" ht="16.5" customHeight="1">
      <c r="A35" s="169">
        <v>26</v>
      </c>
      <c r="B35" s="170">
        <f>'FRIT FV 090.540 - FTA'!B34</f>
        <v>46260</v>
      </c>
      <c r="C35" s="170" t="s">
        <v>211</v>
      </c>
      <c r="D35" s="171">
        <f t="shared" si="0"/>
        <v>0</v>
      </c>
      <c r="E35" s="162"/>
      <c r="F35" s="172"/>
      <c r="G35" s="219">
        <f t="shared" si="3"/>
        <v>0</v>
      </c>
      <c r="H35" s="174">
        <f>SUM($F$10:F35)/A35</f>
        <v>0</v>
      </c>
      <c r="I35" s="173">
        <f>SUM($G$10:G35)/A35</f>
        <v>0</v>
      </c>
      <c r="J35" s="175">
        <f t="shared" si="4"/>
        <v>0</v>
      </c>
      <c r="K35" s="176">
        <f t="shared" si="4"/>
        <v>0</v>
      </c>
      <c r="L35" s="177" t="e">
        <f t="shared" si="5"/>
        <v>#DIV/0!</v>
      </c>
      <c r="M35" s="161" t="e">
        <f t="shared" si="5"/>
        <v>#DIV/0!</v>
      </c>
      <c r="N35" s="223"/>
    </row>
    <row r="36" spans="1:14" ht="16.5" customHeight="1">
      <c r="A36" s="169">
        <v>27</v>
      </c>
      <c r="B36" s="170">
        <f>'FRIT FV 090.540 - FTA'!B35</f>
        <v>46261</v>
      </c>
      <c r="C36" s="170" t="s">
        <v>211</v>
      </c>
      <c r="D36" s="228">
        <f t="shared" si="0"/>
        <v>0</v>
      </c>
      <c r="E36" s="162"/>
      <c r="F36" s="172"/>
      <c r="G36" s="219">
        <f t="shared" si="3"/>
        <v>0</v>
      </c>
      <c r="H36" s="174">
        <f>SUM($F$10:F36)/A36</f>
        <v>0</v>
      </c>
      <c r="I36" s="173">
        <f>SUM($G$10:G36)/A36</f>
        <v>0</v>
      </c>
      <c r="J36" s="175">
        <f t="shared" si="4"/>
        <v>0</v>
      </c>
      <c r="K36" s="176">
        <f t="shared" si="4"/>
        <v>0</v>
      </c>
      <c r="L36" s="177" t="e">
        <f t="shared" si="5"/>
        <v>#DIV/0!</v>
      </c>
      <c r="M36" s="161" t="e">
        <f t="shared" si="5"/>
        <v>#DIV/0!</v>
      </c>
      <c r="N36" s="223"/>
    </row>
    <row r="37" spans="1:14" ht="16.5" customHeight="1">
      <c r="A37" s="169">
        <v>28</v>
      </c>
      <c r="B37" s="170">
        <f>'FRIT FV 090.540 - FTA'!B36</f>
        <v>46262</v>
      </c>
      <c r="C37" s="170" t="s">
        <v>211</v>
      </c>
      <c r="D37" s="228">
        <f t="shared" si="0"/>
        <v>0</v>
      </c>
      <c r="E37" s="162"/>
      <c r="F37" s="172"/>
      <c r="G37" s="219">
        <f t="shared" si="3"/>
        <v>0</v>
      </c>
      <c r="H37" s="174">
        <f>SUM($F$10:F37)/A37</f>
        <v>0</v>
      </c>
      <c r="I37" s="173">
        <f>SUM($G$10:G37)/A37</f>
        <v>0</v>
      </c>
      <c r="J37" s="175">
        <f t="shared" si="4"/>
        <v>0</v>
      </c>
      <c r="K37" s="176">
        <f t="shared" si="4"/>
        <v>0</v>
      </c>
      <c r="L37" s="177" t="e">
        <f t="shared" si="5"/>
        <v>#DIV/0!</v>
      </c>
      <c r="M37" s="161" t="e">
        <f t="shared" si="5"/>
        <v>#DIV/0!</v>
      </c>
      <c r="N37" s="223"/>
    </row>
    <row r="38" spans="1:14" ht="16.5" customHeight="1">
      <c r="A38" s="169">
        <v>29</v>
      </c>
      <c r="B38" s="170">
        <f>'FRIT FV 090.540 - FTA'!B37</f>
        <v>46263</v>
      </c>
      <c r="C38" s="170" t="s">
        <v>211</v>
      </c>
      <c r="D38" s="228">
        <f t="shared" si="0"/>
        <v>0</v>
      </c>
      <c r="E38" s="162"/>
      <c r="F38" s="172"/>
      <c r="G38" s="219">
        <f t="shared" si="3"/>
        <v>0</v>
      </c>
      <c r="H38" s="174">
        <f>SUM($F$10:F38)/A38</f>
        <v>0</v>
      </c>
      <c r="I38" s="173">
        <f>SUM($G$10:G38)/A38</f>
        <v>0</v>
      </c>
      <c r="J38" s="175">
        <f t="shared" si="4"/>
        <v>0</v>
      </c>
      <c r="K38" s="176">
        <f t="shared" si="4"/>
        <v>0</v>
      </c>
      <c r="L38" s="177" t="e">
        <f t="shared" si="5"/>
        <v>#DIV/0!</v>
      </c>
      <c r="M38" s="161" t="e">
        <f t="shared" si="5"/>
        <v>#DIV/0!</v>
      </c>
      <c r="N38" s="223"/>
    </row>
    <row r="39" spans="1:14" ht="16.5" customHeight="1">
      <c r="A39" s="169">
        <v>30</v>
      </c>
      <c r="B39" s="258">
        <f>'FRIT FV 090.540 - FTA'!B38</f>
        <v>46264</v>
      </c>
      <c r="C39" s="170" t="s">
        <v>211</v>
      </c>
      <c r="D39" s="171">
        <f t="shared" si="0"/>
        <v>0</v>
      </c>
      <c r="E39" s="162"/>
      <c r="F39" s="172"/>
      <c r="G39" s="219">
        <f t="shared" si="3"/>
        <v>0</v>
      </c>
      <c r="H39" s="257">
        <f>SUM($F$10:F39)/A39</f>
        <v>0</v>
      </c>
      <c r="I39" s="173">
        <f>SUM($G$10:G39)/A39</f>
        <v>0</v>
      </c>
      <c r="J39" s="257">
        <f t="shared" si="4"/>
        <v>0</v>
      </c>
      <c r="K39" s="176">
        <f t="shared" si="4"/>
        <v>0</v>
      </c>
      <c r="L39" s="257" t="e">
        <f t="shared" si="5"/>
        <v>#DIV/0!</v>
      </c>
      <c r="M39" s="161" t="e">
        <f t="shared" si="5"/>
        <v>#DIV/0!</v>
      </c>
      <c r="N39" s="223"/>
    </row>
    <row r="40" spans="1:14" ht="16.5" customHeight="1">
      <c r="A40" s="169">
        <v>31</v>
      </c>
      <c r="B40" s="170">
        <f>'FRIT FV 090.540 - FTA'!B39</f>
        <v>46265</v>
      </c>
      <c r="C40" s="170" t="s">
        <v>211</v>
      </c>
      <c r="D40" s="171">
        <f t="shared" si="0"/>
        <v>0</v>
      </c>
      <c r="E40" s="162"/>
      <c r="F40" s="172"/>
      <c r="G40" s="219">
        <f t="shared" si="3"/>
        <v>0</v>
      </c>
      <c r="H40" s="174">
        <f>SUM($F$10:F40)/A40</f>
        <v>0</v>
      </c>
      <c r="I40" s="173">
        <f>SUM($G$10:G40)/A40</f>
        <v>0</v>
      </c>
      <c r="J40" s="175">
        <f t="shared" si="4"/>
        <v>0</v>
      </c>
      <c r="K40" s="176">
        <f t="shared" si="4"/>
        <v>0</v>
      </c>
      <c r="L40" s="177" t="e">
        <f t="shared" si="5"/>
        <v>#DIV/0!</v>
      </c>
      <c r="M40" s="161" t="e">
        <f t="shared" si="5"/>
        <v>#DIV/0!</v>
      </c>
      <c r="N40" s="223"/>
    </row>
    <row r="41" spans="1:14" s="151" customFormat="1" ht="23.25" customHeight="1">
      <c r="A41" s="238" t="s">
        <v>29</v>
      </c>
      <c r="B41" s="239"/>
      <c r="C41" s="240"/>
      <c r="D41" s="162">
        <f>SUM(D10:D40)</f>
        <v>0</v>
      </c>
      <c r="E41" s="162">
        <f>SUM(E10:E40)</f>
        <v>0</v>
      </c>
      <c r="F41" s="165">
        <f>SUM(F10:F40)</f>
        <v>0</v>
      </c>
      <c r="G41" s="225">
        <f>SUM(G10:G40)</f>
        <v>0</v>
      </c>
      <c r="H41" s="165"/>
      <c r="I41" s="225"/>
      <c r="J41" s="165">
        <f>J40</f>
        <v>0</v>
      </c>
      <c r="K41" s="226">
        <f>K40</f>
        <v>0</v>
      </c>
      <c r="L41" s="163"/>
      <c r="M41" s="163"/>
      <c r="N41" s="259"/>
    </row>
    <row r="42" spans="1:14" s="151" customFormat="1" ht="23.25" customHeight="1">
      <c r="A42" s="238" t="s">
        <v>15</v>
      </c>
      <c r="B42" s="239"/>
      <c r="C42" s="240"/>
      <c r="D42" s="162">
        <f>D9+D41</f>
        <v>0</v>
      </c>
      <c r="E42" s="162">
        <f>E9+E41</f>
        <v>0</v>
      </c>
      <c r="F42" s="165">
        <f>F41</f>
        <v>0</v>
      </c>
      <c r="G42" s="225">
        <f>G41</f>
        <v>0</v>
      </c>
      <c r="H42" s="165"/>
      <c r="I42" s="225"/>
      <c r="J42" s="165">
        <f>D42-F42</f>
        <v>0</v>
      </c>
      <c r="K42" s="165">
        <f>E42-G42</f>
        <v>0</v>
      </c>
      <c r="L42" s="163"/>
      <c r="M42" s="163"/>
      <c r="N42" s="259"/>
    </row>
    <row r="43" spans="1:14" ht="23.25" customHeight="1">
      <c r="A43" s="152"/>
      <c r="B43" s="152"/>
      <c r="C43" s="152"/>
      <c r="D43" s="153"/>
      <c r="E43" s="153"/>
      <c r="F43" s="153"/>
      <c r="G43" s="153"/>
      <c r="H43" s="153"/>
      <c r="I43" s="153"/>
      <c r="J43" s="153"/>
      <c r="K43" s="154"/>
      <c r="L43" s="153"/>
      <c r="N43" s="153"/>
    </row>
    <row r="44" spans="1:14">
      <c r="F44" s="153"/>
      <c r="G44" s="153"/>
      <c r="H44" s="153"/>
      <c r="I44" s="153"/>
      <c r="J44" s="153"/>
      <c r="K44" s="155" t="s">
        <v>13</v>
      </c>
      <c r="L44" s="153"/>
      <c r="N44" s="153"/>
    </row>
    <row r="45" spans="1:14">
      <c r="K45" s="155"/>
      <c r="L45" s="142"/>
      <c r="N45" s="142"/>
    </row>
    <row r="46" spans="1:14">
      <c r="K46" s="155"/>
      <c r="L46" s="142"/>
      <c r="N46" s="142"/>
    </row>
    <row r="47" spans="1:14">
      <c r="K47" s="154"/>
      <c r="L47" s="142"/>
      <c r="N47" s="142"/>
    </row>
    <row r="48" spans="1:14">
      <c r="K48" s="142" t="s">
        <v>98</v>
      </c>
      <c r="L48" s="142"/>
      <c r="M48" s="156"/>
      <c r="N48" s="142"/>
    </row>
    <row r="49" s="143" customFormat="1"/>
    <row r="50" s="143" customFormat="1"/>
    <row r="51" s="143" customFormat="1"/>
  </sheetData>
  <mergeCells count="6">
    <mergeCell ref="A3:N3"/>
    <mergeCell ref="D7:E7"/>
    <mergeCell ref="F7:G7"/>
    <mergeCell ref="H7:I7"/>
    <mergeCell ref="J7:K7"/>
    <mergeCell ref="L7:M7"/>
  </mergeCells>
  <conditionalFormatting sqref="M21">
    <cfRule type="cellIs" dxfId="13041" priority="100" operator="lessThan">
      <formula>15</formula>
    </cfRule>
    <cfRule type="cellIs" dxfId="13040" priority="101" operator="greaterThan">
      <formula>20</formula>
    </cfRule>
    <cfRule type="cellIs" dxfId="13039" priority="102" operator="between">
      <formula>15</formula>
      <formula>20</formula>
    </cfRule>
    <cfRule type="cellIs" dxfId="13038" priority="103" operator="between">
      <formula>15</formula>
      <formula>20</formula>
    </cfRule>
    <cfRule type="cellIs" dxfId="13037" priority="104" operator="lessThan">
      <formula>15</formula>
    </cfRule>
    <cfRule type="cellIs" dxfId="13036" priority="105" operator="greaterThan">
      <formula>20</formula>
    </cfRule>
    <cfRule type="cellIs" dxfId="13035" priority="106" operator="between">
      <formula>15</formula>
      <formula>21</formula>
    </cfRule>
    <cfRule type="cellIs" dxfId="13034" priority="107" operator="lessThan">
      <formula>15</formula>
    </cfRule>
    <cfRule type="cellIs" dxfId="13033" priority="108" operator="greaterThan">
      <formula>21</formula>
    </cfRule>
  </conditionalFormatting>
  <conditionalFormatting sqref="M28">
    <cfRule type="cellIs" dxfId="13032" priority="91" operator="lessThan">
      <formula>15</formula>
    </cfRule>
    <cfRule type="cellIs" dxfId="13031" priority="92" operator="greaterThan">
      <formula>20</formula>
    </cfRule>
    <cfRule type="cellIs" dxfId="13030" priority="93" operator="between">
      <formula>15</formula>
      <formula>20</formula>
    </cfRule>
    <cfRule type="cellIs" dxfId="13029" priority="94" operator="between">
      <formula>15</formula>
      <formula>20</formula>
    </cfRule>
    <cfRule type="cellIs" dxfId="13028" priority="95" operator="lessThan">
      <formula>15</formula>
    </cfRule>
    <cfRule type="cellIs" dxfId="13027" priority="96" operator="greaterThan">
      <formula>20</formula>
    </cfRule>
    <cfRule type="cellIs" dxfId="13026" priority="97" operator="between">
      <formula>15</formula>
      <formula>21</formula>
    </cfRule>
    <cfRule type="cellIs" dxfId="13025" priority="98" operator="lessThan">
      <formula>15</formula>
    </cfRule>
    <cfRule type="cellIs" dxfId="13024" priority="99" operator="greaterThan">
      <formula>21</formula>
    </cfRule>
  </conditionalFormatting>
  <conditionalFormatting sqref="M35">
    <cfRule type="cellIs" dxfId="13023" priority="82" operator="lessThan">
      <formula>15</formula>
    </cfRule>
    <cfRule type="cellIs" dxfId="13022" priority="83" operator="greaterThan">
      <formula>20</formula>
    </cfRule>
    <cfRule type="cellIs" dxfId="13021" priority="84" operator="between">
      <formula>15</formula>
      <formula>20</formula>
    </cfRule>
    <cfRule type="cellIs" dxfId="13020" priority="85" operator="between">
      <formula>15</formula>
      <formula>20</formula>
    </cfRule>
    <cfRule type="cellIs" dxfId="13019" priority="86" operator="lessThan">
      <formula>15</formula>
    </cfRule>
    <cfRule type="cellIs" dxfId="13018" priority="87" operator="greaterThan">
      <formula>20</formula>
    </cfRule>
    <cfRule type="cellIs" dxfId="13017" priority="88" operator="between">
      <formula>15</formula>
      <formula>21</formula>
    </cfRule>
    <cfRule type="cellIs" dxfId="13016" priority="89" operator="lessThan">
      <formula>15</formula>
    </cfRule>
    <cfRule type="cellIs" dxfId="13015" priority="90" operator="greaterThan">
      <formula>21</formula>
    </cfRule>
  </conditionalFormatting>
  <conditionalFormatting sqref="M15:M18 M40 M22:M23 M25:M27 M20">
    <cfRule type="cellIs" dxfId="13014" priority="109" operator="lessThan">
      <formula>15</formula>
    </cfRule>
    <cfRule type="cellIs" dxfId="13013" priority="110" operator="greaterThan">
      <formula>20</formula>
    </cfRule>
    <cfRule type="cellIs" dxfId="13012" priority="111" operator="between">
      <formula>15</formula>
      <formula>20</formula>
    </cfRule>
    <cfRule type="cellIs" dxfId="13011" priority="112" operator="between">
      <formula>15</formula>
      <formula>20</formula>
    </cfRule>
    <cfRule type="cellIs" dxfId="13010" priority="113" operator="lessThan">
      <formula>15</formula>
    </cfRule>
    <cfRule type="cellIs" dxfId="13009" priority="114" operator="greaterThan">
      <formula>20</formula>
    </cfRule>
    <cfRule type="cellIs" dxfId="13008" priority="115" operator="between">
      <formula>15</formula>
      <formula>21</formula>
    </cfRule>
    <cfRule type="cellIs" dxfId="13007" priority="116" operator="lessThan">
      <formula>15</formula>
    </cfRule>
    <cfRule type="cellIs" dxfId="13006" priority="117" operator="greaterThan">
      <formula>21</formula>
    </cfRule>
  </conditionalFormatting>
  <conditionalFormatting sqref="M10:M13">
    <cfRule type="cellIs" dxfId="13005" priority="73" operator="lessThan">
      <formula>15</formula>
    </cfRule>
    <cfRule type="cellIs" dxfId="13004" priority="74" operator="greaterThan">
      <formula>20</formula>
    </cfRule>
    <cfRule type="cellIs" dxfId="13003" priority="75" operator="between">
      <formula>15</formula>
      <formula>20</formula>
    </cfRule>
    <cfRule type="cellIs" dxfId="13002" priority="76" operator="between">
      <formula>15</formula>
      <formula>20</formula>
    </cfRule>
    <cfRule type="cellIs" dxfId="13001" priority="77" operator="lessThan">
      <formula>15</formula>
    </cfRule>
    <cfRule type="cellIs" dxfId="13000" priority="78" operator="greaterThan">
      <formula>20</formula>
    </cfRule>
    <cfRule type="cellIs" dxfId="12999" priority="79" operator="between">
      <formula>15</formula>
      <formula>21</formula>
    </cfRule>
    <cfRule type="cellIs" dxfId="12998" priority="80" operator="lessThan">
      <formula>15</formula>
    </cfRule>
    <cfRule type="cellIs" dxfId="12997" priority="81" operator="greaterThan">
      <formula>21</formula>
    </cfRule>
  </conditionalFormatting>
  <conditionalFormatting sqref="M30:M33">
    <cfRule type="cellIs" dxfId="12996" priority="64" operator="lessThan">
      <formula>15</formula>
    </cfRule>
    <cfRule type="cellIs" dxfId="12995" priority="65" operator="greaterThan">
      <formula>20</formula>
    </cfRule>
    <cfRule type="cellIs" dxfId="12994" priority="66" operator="between">
      <formula>15</formula>
      <formula>20</formula>
    </cfRule>
    <cfRule type="cellIs" dxfId="12993" priority="67" operator="between">
      <formula>15</formula>
      <formula>20</formula>
    </cfRule>
    <cfRule type="cellIs" dxfId="12992" priority="68" operator="lessThan">
      <formula>15</formula>
    </cfRule>
    <cfRule type="cellIs" dxfId="12991" priority="69" operator="greaterThan">
      <formula>20</formula>
    </cfRule>
    <cfRule type="cellIs" dxfId="12990" priority="70" operator="between">
      <formula>15</formula>
      <formula>21</formula>
    </cfRule>
    <cfRule type="cellIs" dxfId="12989" priority="71" operator="lessThan">
      <formula>15</formula>
    </cfRule>
    <cfRule type="cellIs" dxfId="12988" priority="72" operator="greaterThan">
      <formula>21</formula>
    </cfRule>
  </conditionalFormatting>
  <conditionalFormatting sqref="M36:M38">
    <cfRule type="cellIs" dxfId="12987" priority="55" operator="lessThan">
      <formula>15</formula>
    </cfRule>
    <cfRule type="cellIs" dxfId="12986" priority="56" operator="greaterThan">
      <formula>20</formula>
    </cfRule>
    <cfRule type="cellIs" dxfId="12985" priority="57" operator="between">
      <formula>15</formula>
      <formula>20</formula>
    </cfRule>
    <cfRule type="cellIs" dxfId="12984" priority="58" operator="between">
      <formula>15</formula>
      <formula>20</formula>
    </cfRule>
    <cfRule type="cellIs" dxfId="12983" priority="59" operator="lessThan">
      <formula>15</formula>
    </cfRule>
    <cfRule type="cellIs" dxfId="12982" priority="60" operator="greaterThan">
      <formula>20</formula>
    </cfRule>
    <cfRule type="cellIs" dxfId="12981" priority="61" operator="between">
      <formula>15</formula>
      <formula>21</formula>
    </cfRule>
    <cfRule type="cellIs" dxfId="12980" priority="62" operator="lessThan">
      <formula>15</formula>
    </cfRule>
    <cfRule type="cellIs" dxfId="12979" priority="63" operator="greaterThan">
      <formula>21</formula>
    </cfRule>
  </conditionalFormatting>
  <conditionalFormatting sqref="M29">
    <cfRule type="cellIs" dxfId="12978" priority="46" operator="lessThan">
      <formula>15</formula>
    </cfRule>
    <cfRule type="cellIs" dxfId="12977" priority="47" operator="greaterThan">
      <formula>20</formula>
    </cfRule>
    <cfRule type="cellIs" dxfId="12976" priority="48" operator="between">
      <formula>15</formula>
      <formula>20</formula>
    </cfRule>
    <cfRule type="cellIs" dxfId="12975" priority="49" operator="between">
      <formula>15</formula>
      <formula>20</formula>
    </cfRule>
    <cfRule type="cellIs" dxfId="12974" priority="50" operator="lessThan">
      <formula>15</formula>
    </cfRule>
    <cfRule type="cellIs" dxfId="12973" priority="51" operator="greaterThan">
      <formula>20</formula>
    </cfRule>
    <cfRule type="cellIs" dxfId="12972" priority="52" operator="between">
      <formula>15</formula>
      <formula>21</formula>
    </cfRule>
    <cfRule type="cellIs" dxfId="12971" priority="53" operator="lessThan">
      <formula>15</formula>
    </cfRule>
    <cfRule type="cellIs" dxfId="12970" priority="54" operator="greaterThan">
      <formula>21</formula>
    </cfRule>
  </conditionalFormatting>
  <conditionalFormatting sqref="M24">
    <cfRule type="cellIs" dxfId="12969" priority="37" operator="lessThan">
      <formula>15</formula>
    </cfRule>
    <cfRule type="cellIs" dxfId="12968" priority="38" operator="greaterThan">
      <formula>20</formula>
    </cfRule>
    <cfRule type="cellIs" dxfId="12967" priority="39" operator="between">
      <formula>15</formula>
      <formula>20</formula>
    </cfRule>
    <cfRule type="cellIs" dxfId="12966" priority="40" operator="between">
      <formula>15</formula>
      <formula>20</formula>
    </cfRule>
    <cfRule type="cellIs" dxfId="12965" priority="41" operator="lessThan">
      <formula>15</formula>
    </cfRule>
    <cfRule type="cellIs" dxfId="12964" priority="42" operator="greaterThan">
      <formula>20</formula>
    </cfRule>
    <cfRule type="cellIs" dxfId="12963" priority="43" operator="between">
      <formula>15</formula>
      <formula>21</formula>
    </cfRule>
    <cfRule type="cellIs" dxfId="12962" priority="44" operator="lessThan">
      <formula>15</formula>
    </cfRule>
    <cfRule type="cellIs" dxfId="12961" priority="45" operator="greaterThan">
      <formula>21</formula>
    </cfRule>
  </conditionalFormatting>
  <conditionalFormatting sqref="M19">
    <cfRule type="cellIs" dxfId="12960" priority="28" operator="lessThan">
      <formula>15</formula>
    </cfRule>
    <cfRule type="cellIs" dxfId="12959" priority="29" operator="greaterThan">
      <formula>20</formula>
    </cfRule>
    <cfRule type="cellIs" dxfId="12958" priority="30" operator="between">
      <formula>15</formula>
      <formula>20</formula>
    </cfRule>
    <cfRule type="cellIs" dxfId="12957" priority="31" operator="between">
      <formula>15</formula>
      <formula>20</formula>
    </cfRule>
    <cfRule type="cellIs" dxfId="12956" priority="32" operator="lessThan">
      <formula>15</formula>
    </cfRule>
    <cfRule type="cellIs" dxfId="12955" priority="33" operator="greaterThan">
      <formula>20</formula>
    </cfRule>
    <cfRule type="cellIs" dxfId="12954" priority="34" operator="between">
      <formula>15</formula>
      <formula>21</formula>
    </cfRule>
    <cfRule type="cellIs" dxfId="12953" priority="35" operator="lessThan">
      <formula>15</formula>
    </cfRule>
    <cfRule type="cellIs" dxfId="12952" priority="36" operator="greaterThan">
      <formula>21</formula>
    </cfRule>
  </conditionalFormatting>
  <conditionalFormatting sqref="M14">
    <cfRule type="cellIs" dxfId="12951" priority="19" operator="lessThan">
      <formula>15</formula>
    </cfRule>
    <cfRule type="cellIs" dxfId="12950" priority="20" operator="greaterThan">
      <formula>20</formula>
    </cfRule>
    <cfRule type="cellIs" dxfId="12949" priority="21" operator="between">
      <formula>15</formula>
      <formula>20</formula>
    </cfRule>
    <cfRule type="cellIs" dxfId="12948" priority="22" operator="between">
      <formula>15</formula>
      <formula>20</formula>
    </cfRule>
    <cfRule type="cellIs" dxfId="12947" priority="23" operator="lessThan">
      <formula>15</formula>
    </cfRule>
    <cfRule type="cellIs" dxfId="12946" priority="24" operator="greaterThan">
      <formula>20</formula>
    </cfRule>
    <cfRule type="cellIs" dxfId="12945" priority="25" operator="between">
      <formula>15</formula>
      <formula>21</formula>
    </cfRule>
    <cfRule type="cellIs" dxfId="12944" priority="26" operator="lessThan">
      <formula>15</formula>
    </cfRule>
    <cfRule type="cellIs" dxfId="12943" priority="27" operator="greaterThan">
      <formula>21</formula>
    </cfRule>
  </conditionalFormatting>
  <conditionalFormatting sqref="M34">
    <cfRule type="cellIs" dxfId="12942" priority="10" operator="lessThan">
      <formula>15</formula>
    </cfRule>
    <cfRule type="cellIs" dxfId="12941" priority="11" operator="greaterThan">
      <formula>20</formula>
    </cfRule>
    <cfRule type="cellIs" dxfId="12940" priority="12" operator="between">
      <formula>15</formula>
      <formula>20</formula>
    </cfRule>
    <cfRule type="cellIs" dxfId="12939" priority="13" operator="between">
      <formula>15</formula>
      <formula>20</formula>
    </cfRule>
    <cfRule type="cellIs" dxfId="12938" priority="14" operator="lessThan">
      <formula>15</formula>
    </cfRule>
    <cfRule type="cellIs" dxfId="12937" priority="15" operator="greaterThan">
      <formula>20</formula>
    </cfRule>
    <cfRule type="cellIs" dxfId="12936" priority="16" operator="between">
      <formula>15</formula>
      <formula>21</formula>
    </cfRule>
    <cfRule type="cellIs" dxfId="12935" priority="17" operator="lessThan">
      <formula>15</formula>
    </cfRule>
    <cfRule type="cellIs" dxfId="12934" priority="18" operator="greaterThan">
      <formula>21</formula>
    </cfRule>
  </conditionalFormatting>
  <conditionalFormatting sqref="M39">
    <cfRule type="cellIs" dxfId="12933" priority="1" operator="lessThan">
      <formula>15</formula>
    </cfRule>
    <cfRule type="cellIs" dxfId="12932" priority="2" operator="greaterThan">
      <formula>20</formula>
    </cfRule>
    <cfRule type="cellIs" dxfId="12931" priority="3" operator="between">
      <formula>15</formula>
      <formula>20</formula>
    </cfRule>
    <cfRule type="cellIs" dxfId="12930" priority="4" operator="between">
      <formula>15</formula>
      <formula>20</formula>
    </cfRule>
    <cfRule type="cellIs" dxfId="12929" priority="5" operator="lessThan">
      <formula>15</formula>
    </cfRule>
    <cfRule type="cellIs" dxfId="12928" priority="6" operator="greaterThan">
      <formula>20</formula>
    </cfRule>
    <cfRule type="cellIs" dxfId="12927" priority="7" operator="between">
      <formula>15</formula>
      <formula>21</formula>
    </cfRule>
    <cfRule type="cellIs" dxfId="12926" priority="8" operator="lessThan">
      <formula>15</formula>
    </cfRule>
    <cfRule type="cellIs" dxfId="12925" priority="9" operator="greaterThan">
      <formula>21</formula>
    </cfRule>
  </conditionalFormatting>
  <hyperlinks>
    <hyperlink ref="M6" location="'Tong hop T11.2019'!A1" display="'Tong hop T11.2019'!A1"/>
  </hyperlinks>
  <pageMargins left="0.5" right="0.2" top="0.25" bottom="0.2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N51"/>
  <sheetViews>
    <sheetView zoomScale="80" zoomScaleNormal="80" workbookViewId="0">
      <pane ySplit="9" topLeftCell="A19" activePane="bottomLeft" state="frozen"/>
      <selection pane="bottomLeft"/>
    </sheetView>
  </sheetViews>
  <sheetFormatPr defaultColWidth="9.28515625" defaultRowHeight="15"/>
  <cols>
    <col min="1" max="1" width="4.7109375" style="143" customWidth="1"/>
    <col min="2" max="2" width="9" style="143" customWidth="1"/>
    <col min="3" max="3" width="16.85546875" style="143" customWidth="1"/>
    <col min="4" max="11" width="10.7109375" style="142" customWidth="1"/>
    <col min="12" max="13" width="10" style="143" customWidth="1"/>
    <col min="14" max="14" width="6.85546875" style="143" customWidth="1"/>
    <col min="15" max="16384" width="9.28515625" style="143"/>
  </cols>
  <sheetData>
    <row r="1" spans="1:14" ht="18" customHeight="1">
      <c r="A1" s="146" t="e">
        <f>'FRIT FV 090.540 - FTA'!#REF!</f>
        <v>#REF!</v>
      </c>
      <c r="B1" s="146"/>
      <c r="C1" s="146"/>
      <c r="D1" s="146"/>
      <c r="E1" s="146"/>
      <c r="F1" s="146"/>
    </row>
    <row r="2" spans="1:14" ht="18" customHeight="1">
      <c r="A2" s="146" t="e">
        <f>'FRIT FV 090.540 - FTA'!#REF!</f>
        <v>#REF!</v>
      </c>
      <c r="B2" s="146"/>
      <c r="C2" s="146"/>
      <c r="D2" s="144"/>
      <c r="E2" s="144"/>
      <c r="F2" s="144"/>
      <c r="K2" s="197" t="e">
        <f>'FRIT FV 090.540 - FTA'!#REF!</f>
        <v>#REF!</v>
      </c>
      <c r="L2" s="142"/>
    </row>
    <row r="3" spans="1:14" ht="33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14" ht="18.75" customHeight="1">
      <c r="B4" s="145"/>
      <c r="C4" s="145"/>
      <c r="D4" s="224" t="s">
        <v>33</v>
      </c>
      <c r="E4" s="184" t="s">
        <v>123</v>
      </c>
      <c r="I4" s="142" t="s">
        <v>114</v>
      </c>
      <c r="J4" s="146" t="s">
        <v>179</v>
      </c>
      <c r="K4" s="145"/>
      <c r="L4" s="145"/>
      <c r="M4" s="145"/>
    </row>
    <row r="5" spans="1:14" ht="18.75" customHeight="1">
      <c r="B5" s="143" t="e">
        <f>'FRIT FV 090.540 - FTA'!#REF!</f>
        <v>#REF!</v>
      </c>
      <c r="C5" s="143" t="e">
        <f>'FRIT FV 090.540 - FTA'!#REF!</f>
        <v>#REF!</v>
      </c>
      <c r="D5" s="143" t="e">
        <f>'FRIT FV 090.540 - FTA'!#REF!</f>
        <v>#REF!</v>
      </c>
      <c r="E5" s="147" t="e">
        <f>'FRIT FV 090.540 - FTA'!#REF!</f>
        <v>#REF!</v>
      </c>
      <c r="F5" s="143" t="e">
        <f>'FRIT FV 090.540 - FTA'!#REF!</f>
        <v>#REF!</v>
      </c>
      <c r="G5" s="143" t="e">
        <f>'FRIT FV 090.540 - FTA'!#REF!</f>
        <v>#REF!</v>
      </c>
      <c r="H5" s="143" t="e">
        <f>'FRIT FV 090.540 - FTA'!#REF!</f>
        <v>#REF!</v>
      </c>
      <c r="I5" s="143" t="e">
        <f>'FRIT FV 090.540 - FTA'!#REF!</f>
        <v>#REF!</v>
      </c>
      <c r="J5" s="143"/>
      <c r="K5" s="143"/>
    </row>
    <row r="6" spans="1:14" ht="18" customHeight="1">
      <c r="F6" s="148"/>
      <c r="G6" s="148"/>
      <c r="H6" s="148"/>
      <c r="I6" s="148"/>
      <c r="L6" s="149" t="s">
        <v>26</v>
      </c>
      <c r="M6" s="212" t="e">
        <f>'FRIT FV 090.540 - FTA'!#REF!</f>
        <v>#REF!</v>
      </c>
    </row>
    <row r="7" spans="1:14" s="150" customFormat="1" ht="40.5" customHeight="1">
      <c r="A7" s="1506" t="s">
        <v>2</v>
      </c>
      <c r="B7" s="1508" t="s">
        <v>1</v>
      </c>
      <c r="C7" s="1508" t="s">
        <v>24</v>
      </c>
      <c r="D7" s="1501" t="s">
        <v>27</v>
      </c>
      <c r="E7" s="1502"/>
      <c r="F7" s="1501" t="s">
        <v>31</v>
      </c>
      <c r="G7" s="1502"/>
      <c r="H7" s="1501" t="s">
        <v>28</v>
      </c>
      <c r="I7" s="1502"/>
      <c r="J7" s="1501" t="s">
        <v>14</v>
      </c>
      <c r="K7" s="1502"/>
      <c r="L7" s="1501" t="s">
        <v>110</v>
      </c>
      <c r="M7" s="1502"/>
      <c r="N7" s="1508" t="s">
        <v>99</v>
      </c>
    </row>
    <row r="8" spans="1:14" s="150" customFormat="1" ht="27.75" customHeight="1">
      <c r="A8" s="1507"/>
      <c r="B8" s="1509"/>
      <c r="C8" s="1509"/>
      <c r="D8" s="157" t="s">
        <v>6</v>
      </c>
      <c r="E8" s="158" t="s">
        <v>25</v>
      </c>
      <c r="F8" s="157" t="s">
        <v>6</v>
      </c>
      <c r="G8" s="158" t="s">
        <v>12</v>
      </c>
      <c r="H8" s="157" t="s">
        <v>6</v>
      </c>
      <c r="I8" s="158" t="s">
        <v>12</v>
      </c>
      <c r="J8" s="157" t="s">
        <v>6</v>
      </c>
      <c r="K8" s="159" t="s">
        <v>12</v>
      </c>
      <c r="L8" s="160" t="s">
        <v>6</v>
      </c>
      <c r="M8" s="159" t="s">
        <v>12</v>
      </c>
      <c r="N8" s="1509"/>
    </row>
    <row r="9" spans="1:14" s="150" customFormat="1" ht="25.5" customHeight="1">
      <c r="A9" s="1510" t="s">
        <v>3</v>
      </c>
      <c r="B9" s="1511"/>
      <c r="C9" s="1512"/>
      <c r="D9" s="161">
        <f>J9</f>
        <v>0</v>
      </c>
      <c r="E9" s="162">
        <f>K9</f>
        <v>0</v>
      </c>
      <c r="F9" s="165">
        <f>F41</f>
        <v>0</v>
      </c>
      <c r="G9" s="162">
        <f>G41</f>
        <v>0</v>
      </c>
      <c r="H9" s="163"/>
      <c r="I9" s="162"/>
      <c r="J9" s="164">
        <f>K9-K9*N9</f>
        <v>0</v>
      </c>
      <c r="K9" s="165">
        <v>0</v>
      </c>
      <c r="L9" s="166"/>
      <c r="M9" s="167"/>
      <c r="N9" s="168"/>
    </row>
    <row r="10" spans="1:14" ht="16.5" customHeight="1">
      <c r="A10" s="169">
        <v>1</v>
      </c>
      <c r="B10" s="170">
        <f>'FRIT FV 090.540 - FTA'!B9</f>
        <v>46235</v>
      </c>
      <c r="C10" s="170" t="s">
        <v>195</v>
      </c>
      <c r="D10" s="171">
        <f>E10-(E10*N10)</f>
        <v>0</v>
      </c>
      <c r="E10" s="162"/>
      <c r="F10" s="172"/>
      <c r="G10" s="219">
        <f>F10</f>
        <v>0</v>
      </c>
      <c r="H10" s="174">
        <f>SUM($F$10:F10)/A10</f>
        <v>0</v>
      </c>
      <c r="I10" s="173">
        <f>SUM($G$10:G10)/A10</f>
        <v>0</v>
      </c>
      <c r="J10" s="175">
        <f>J9+D10-F10</f>
        <v>0</v>
      </c>
      <c r="K10" s="176">
        <f>K9+E10-G10</f>
        <v>0</v>
      </c>
      <c r="L10" s="177" t="e">
        <f>J10/H10</f>
        <v>#DIV/0!</v>
      </c>
      <c r="M10" s="161" t="e">
        <f>K10/I10</f>
        <v>#DIV/0!</v>
      </c>
      <c r="N10" s="168"/>
    </row>
    <row r="11" spans="1:14" ht="16.5" customHeight="1">
      <c r="A11" s="169">
        <v>2</v>
      </c>
      <c r="B11" s="170">
        <f>'FRIT FV 090.540 - FTA'!B10</f>
        <v>46236</v>
      </c>
      <c r="C11" s="170" t="s">
        <v>195</v>
      </c>
      <c r="D11" s="171">
        <f>E11-(E11*N11)</f>
        <v>0</v>
      </c>
      <c r="E11" s="162"/>
      <c r="F11" s="172"/>
      <c r="G11" s="162">
        <f t="shared" ref="G11:G40" si="0">F11</f>
        <v>0</v>
      </c>
      <c r="H11" s="174">
        <f>SUM($F$10:F11)/A11</f>
        <v>0</v>
      </c>
      <c r="I11" s="173">
        <f>SUM($G$10:G11)/A11</f>
        <v>0</v>
      </c>
      <c r="J11" s="175">
        <f t="shared" ref="J11:J40" si="1">J10+D11-F11</f>
        <v>0</v>
      </c>
      <c r="K11" s="176">
        <f t="shared" ref="K11:K40" si="2">K10+E11-G11</f>
        <v>0</v>
      </c>
      <c r="L11" s="177" t="e">
        <f t="shared" ref="L11:L40" si="3">J11/H11</f>
        <v>#DIV/0!</v>
      </c>
      <c r="M11" s="161" t="e">
        <f t="shared" ref="M11:M40" si="4">K11/I11</f>
        <v>#DIV/0!</v>
      </c>
      <c r="N11" s="168"/>
    </row>
    <row r="12" spans="1:14" ht="16.5" customHeight="1">
      <c r="A12" s="169">
        <v>3</v>
      </c>
      <c r="B12" s="170">
        <f>'FRIT FV 090.540 - FTA'!B11</f>
        <v>46237</v>
      </c>
      <c r="C12" s="170" t="s">
        <v>195</v>
      </c>
      <c r="D12" s="171">
        <f>E12-(E12*N12)</f>
        <v>0</v>
      </c>
      <c r="E12" s="162"/>
      <c r="F12" s="172"/>
      <c r="G12" s="162">
        <f t="shared" si="0"/>
        <v>0</v>
      </c>
      <c r="H12" s="174">
        <f>SUM($F$10:F12)/A12</f>
        <v>0</v>
      </c>
      <c r="I12" s="173">
        <f>SUM($G$10:G12)/A12</f>
        <v>0</v>
      </c>
      <c r="J12" s="175">
        <f t="shared" si="1"/>
        <v>0</v>
      </c>
      <c r="K12" s="176">
        <f t="shared" si="2"/>
        <v>0</v>
      </c>
      <c r="L12" s="177" t="e">
        <f t="shared" si="3"/>
        <v>#DIV/0!</v>
      </c>
      <c r="M12" s="161" t="e">
        <f t="shared" si="4"/>
        <v>#DIV/0!</v>
      </c>
      <c r="N12" s="168"/>
    </row>
    <row r="13" spans="1:14" ht="16.5" customHeight="1">
      <c r="A13" s="169">
        <v>4</v>
      </c>
      <c r="B13" s="170">
        <f>'FRIT FV 090.540 - FTA'!B12</f>
        <v>46238</v>
      </c>
      <c r="C13" s="170" t="s">
        <v>195</v>
      </c>
      <c r="D13" s="171">
        <f t="shared" ref="D13:D40" si="5">E13-(E13*N13)</f>
        <v>0</v>
      </c>
      <c r="E13" s="162"/>
      <c r="F13" s="172"/>
      <c r="G13" s="162">
        <f t="shared" si="0"/>
        <v>0</v>
      </c>
      <c r="H13" s="174">
        <f>SUM($F$10:F13)/A13</f>
        <v>0</v>
      </c>
      <c r="I13" s="173">
        <f>SUM($G$10:G13)/A13</f>
        <v>0</v>
      </c>
      <c r="J13" s="175">
        <f t="shared" si="1"/>
        <v>0</v>
      </c>
      <c r="K13" s="176">
        <f t="shared" si="2"/>
        <v>0</v>
      </c>
      <c r="L13" s="177" t="e">
        <f t="shared" si="3"/>
        <v>#DIV/0!</v>
      </c>
      <c r="M13" s="161" t="e">
        <f t="shared" si="4"/>
        <v>#DIV/0!</v>
      </c>
      <c r="N13" s="168"/>
    </row>
    <row r="14" spans="1:14" ht="16.5" customHeight="1">
      <c r="A14" s="169">
        <v>5</v>
      </c>
      <c r="B14" s="170">
        <f>'FRIT FV 090.540 - FTA'!B13</f>
        <v>46239</v>
      </c>
      <c r="C14" s="170" t="s">
        <v>195</v>
      </c>
      <c r="D14" s="171">
        <f t="shared" si="5"/>
        <v>0</v>
      </c>
      <c r="E14" s="162"/>
      <c r="F14" s="172"/>
      <c r="G14" s="162">
        <f t="shared" si="0"/>
        <v>0</v>
      </c>
      <c r="H14" s="174">
        <f>SUM($F$10:F14)/A14</f>
        <v>0</v>
      </c>
      <c r="I14" s="173">
        <f>SUM($G$10:G14)/A14</f>
        <v>0</v>
      </c>
      <c r="J14" s="175">
        <f t="shared" si="1"/>
        <v>0</v>
      </c>
      <c r="K14" s="176">
        <f t="shared" si="2"/>
        <v>0</v>
      </c>
      <c r="L14" s="177" t="e">
        <f t="shared" si="3"/>
        <v>#DIV/0!</v>
      </c>
      <c r="M14" s="161" t="e">
        <f t="shared" si="4"/>
        <v>#DIV/0!</v>
      </c>
      <c r="N14" s="168"/>
    </row>
    <row r="15" spans="1:14" ht="16.5" customHeight="1">
      <c r="A15" s="169">
        <v>6</v>
      </c>
      <c r="B15" s="170">
        <f>'FRIT FV 090.540 - FTA'!B14</f>
        <v>46240</v>
      </c>
      <c r="C15" s="170" t="s">
        <v>195</v>
      </c>
      <c r="D15" s="171">
        <f t="shared" si="5"/>
        <v>0</v>
      </c>
      <c r="E15" s="162"/>
      <c r="F15" s="172"/>
      <c r="G15" s="162">
        <f t="shared" si="0"/>
        <v>0</v>
      </c>
      <c r="H15" s="174">
        <f>SUM($F$10:F15)/A15</f>
        <v>0</v>
      </c>
      <c r="I15" s="173">
        <f>SUM($G$10:G15)/A15</f>
        <v>0</v>
      </c>
      <c r="J15" s="175">
        <f t="shared" si="1"/>
        <v>0</v>
      </c>
      <c r="K15" s="176">
        <f t="shared" si="2"/>
        <v>0</v>
      </c>
      <c r="L15" s="177" t="e">
        <f t="shared" si="3"/>
        <v>#DIV/0!</v>
      </c>
      <c r="M15" s="161" t="e">
        <f t="shared" si="4"/>
        <v>#DIV/0!</v>
      </c>
      <c r="N15" s="168"/>
    </row>
    <row r="16" spans="1:14" ht="16.5" customHeight="1">
      <c r="A16" s="169">
        <v>7</v>
      </c>
      <c r="B16" s="170">
        <f>'FRIT FV 090.540 - FTA'!B15</f>
        <v>46241</v>
      </c>
      <c r="C16" s="170" t="s">
        <v>195</v>
      </c>
      <c r="D16" s="171">
        <f t="shared" si="5"/>
        <v>0</v>
      </c>
      <c r="E16" s="162"/>
      <c r="F16" s="172"/>
      <c r="G16" s="162">
        <f t="shared" si="0"/>
        <v>0</v>
      </c>
      <c r="H16" s="174">
        <f>SUM($F$10:F16)/A16</f>
        <v>0</v>
      </c>
      <c r="I16" s="173">
        <f>SUM($G$10:G16)/A16</f>
        <v>0</v>
      </c>
      <c r="J16" s="175">
        <f t="shared" si="1"/>
        <v>0</v>
      </c>
      <c r="K16" s="176">
        <f t="shared" si="2"/>
        <v>0</v>
      </c>
      <c r="L16" s="177" t="e">
        <f t="shared" si="3"/>
        <v>#DIV/0!</v>
      </c>
      <c r="M16" s="161" t="e">
        <f t="shared" si="4"/>
        <v>#DIV/0!</v>
      </c>
      <c r="N16" s="168"/>
    </row>
    <row r="17" spans="1:14" ht="16.5" customHeight="1">
      <c r="A17" s="169">
        <v>8</v>
      </c>
      <c r="B17" s="170">
        <f>'FRIT FV 090.540 - FTA'!B16</f>
        <v>46242</v>
      </c>
      <c r="C17" s="170" t="s">
        <v>195</v>
      </c>
      <c r="D17" s="171">
        <f t="shared" si="5"/>
        <v>0</v>
      </c>
      <c r="E17" s="162"/>
      <c r="F17" s="172"/>
      <c r="G17" s="162">
        <f t="shared" si="0"/>
        <v>0</v>
      </c>
      <c r="H17" s="174">
        <f>SUM($F$10:F17)/A17</f>
        <v>0</v>
      </c>
      <c r="I17" s="173">
        <f>SUM($G$10:G17)/A17</f>
        <v>0</v>
      </c>
      <c r="J17" s="175">
        <f t="shared" si="1"/>
        <v>0</v>
      </c>
      <c r="K17" s="176">
        <f t="shared" si="2"/>
        <v>0</v>
      </c>
      <c r="L17" s="177" t="e">
        <f t="shared" si="3"/>
        <v>#DIV/0!</v>
      </c>
      <c r="M17" s="161" t="e">
        <f t="shared" si="4"/>
        <v>#DIV/0!</v>
      </c>
      <c r="N17" s="168"/>
    </row>
    <row r="18" spans="1:14" ht="16.5" customHeight="1">
      <c r="A18" s="169">
        <v>9</v>
      </c>
      <c r="B18" s="170">
        <f>'FRIT FV 090.540 - FTA'!B17</f>
        <v>46243</v>
      </c>
      <c r="C18" s="170" t="s">
        <v>195</v>
      </c>
      <c r="D18" s="171">
        <f t="shared" si="5"/>
        <v>0</v>
      </c>
      <c r="E18" s="162"/>
      <c r="F18" s="172"/>
      <c r="G18" s="162">
        <f t="shared" si="0"/>
        <v>0</v>
      </c>
      <c r="H18" s="174">
        <f>SUM($F$10:F18)/A18</f>
        <v>0</v>
      </c>
      <c r="I18" s="173">
        <f>SUM($G$10:G18)/A18</f>
        <v>0</v>
      </c>
      <c r="J18" s="175">
        <f t="shared" si="1"/>
        <v>0</v>
      </c>
      <c r="K18" s="176">
        <f t="shared" si="2"/>
        <v>0</v>
      </c>
      <c r="L18" s="177" t="e">
        <f t="shared" si="3"/>
        <v>#DIV/0!</v>
      </c>
      <c r="M18" s="161" t="e">
        <f t="shared" si="4"/>
        <v>#DIV/0!</v>
      </c>
      <c r="N18" s="168"/>
    </row>
    <row r="19" spans="1:14" ht="16.5" customHeight="1">
      <c r="A19" s="169">
        <v>10</v>
      </c>
      <c r="B19" s="170">
        <f>'FRIT FV 090.540 - FTA'!B18</f>
        <v>46244</v>
      </c>
      <c r="C19" s="170" t="s">
        <v>195</v>
      </c>
      <c r="D19" s="171">
        <f t="shared" si="5"/>
        <v>0</v>
      </c>
      <c r="E19" s="162"/>
      <c r="F19" s="172"/>
      <c r="G19" s="162">
        <f t="shared" si="0"/>
        <v>0</v>
      </c>
      <c r="H19" s="174">
        <f>SUM($F$10:F19)/A19</f>
        <v>0</v>
      </c>
      <c r="I19" s="173">
        <f>SUM($G$10:G19)/A19</f>
        <v>0</v>
      </c>
      <c r="J19" s="175">
        <f t="shared" si="1"/>
        <v>0</v>
      </c>
      <c r="K19" s="176">
        <f t="shared" si="2"/>
        <v>0</v>
      </c>
      <c r="L19" s="177" t="e">
        <f t="shared" si="3"/>
        <v>#DIV/0!</v>
      </c>
      <c r="M19" s="161" t="e">
        <f t="shared" si="4"/>
        <v>#DIV/0!</v>
      </c>
      <c r="N19" s="168"/>
    </row>
    <row r="20" spans="1:14" ht="16.5" customHeight="1">
      <c r="A20" s="169">
        <v>11</v>
      </c>
      <c r="B20" s="170">
        <f>'FRIT FV 090.540 - FTA'!B19</f>
        <v>46245</v>
      </c>
      <c r="C20" s="170" t="s">
        <v>195</v>
      </c>
      <c r="D20" s="171">
        <f t="shared" si="5"/>
        <v>0</v>
      </c>
      <c r="E20" s="162"/>
      <c r="F20" s="172"/>
      <c r="G20" s="162">
        <f t="shared" si="0"/>
        <v>0</v>
      </c>
      <c r="H20" s="174">
        <f>SUM($F$10:F20)/A20</f>
        <v>0</v>
      </c>
      <c r="I20" s="173">
        <f>SUM($G$10:G20)/A20</f>
        <v>0</v>
      </c>
      <c r="J20" s="175">
        <f t="shared" si="1"/>
        <v>0</v>
      </c>
      <c r="K20" s="176">
        <f t="shared" si="2"/>
        <v>0</v>
      </c>
      <c r="L20" s="177" t="e">
        <f t="shared" si="3"/>
        <v>#DIV/0!</v>
      </c>
      <c r="M20" s="161" t="e">
        <f t="shared" si="4"/>
        <v>#DIV/0!</v>
      </c>
      <c r="N20" s="168"/>
    </row>
    <row r="21" spans="1:14" ht="16.5" customHeight="1">
      <c r="A21" s="169">
        <v>12</v>
      </c>
      <c r="B21" s="170">
        <f>'FRIT FV 090.540 - FTA'!B20</f>
        <v>46246</v>
      </c>
      <c r="C21" s="170" t="s">
        <v>195</v>
      </c>
      <c r="D21" s="171">
        <f t="shared" si="5"/>
        <v>0</v>
      </c>
      <c r="E21" s="162"/>
      <c r="F21" s="172"/>
      <c r="G21" s="162">
        <f t="shared" si="0"/>
        <v>0</v>
      </c>
      <c r="H21" s="174">
        <f>SUM($F$10:F21)/A21</f>
        <v>0</v>
      </c>
      <c r="I21" s="173">
        <f>SUM($G$10:G21)/A21</f>
        <v>0</v>
      </c>
      <c r="J21" s="175">
        <f t="shared" si="1"/>
        <v>0</v>
      </c>
      <c r="K21" s="176">
        <f t="shared" si="2"/>
        <v>0</v>
      </c>
      <c r="L21" s="177" t="e">
        <f t="shared" si="3"/>
        <v>#DIV/0!</v>
      </c>
      <c r="M21" s="161" t="e">
        <f t="shared" si="4"/>
        <v>#DIV/0!</v>
      </c>
      <c r="N21" s="168"/>
    </row>
    <row r="22" spans="1:14" ht="16.5" customHeight="1">
      <c r="A22" s="169">
        <v>13</v>
      </c>
      <c r="B22" s="170">
        <f>'FRIT FV 090.540 - FTA'!B21</f>
        <v>46247</v>
      </c>
      <c r="C22" s="170" t="s">
        <v>195</v>
      </c>
      <c r="D22" s="171">
        <f t="shared" si="5"/>
        <v>0</v>
      </c>
      <c r="E22" s="162"/>
      <c r="F22" s="172"/>
      <c r="G22" s="162">
        <f t="shared" si="0"/>
        <v>0</v>
      </c>
      <c r="H22" s="174">
        <f>SUM($F$10:F22)/A22</f>
        <v>0</v>
      </c>
      <c r="I22" s="173">
        <f>SUM($G$10:G22)/A22</f>
        <v>0</v>
      </c>
      <c r="J22" s="175">
        <f t="shared" si="1"/>
        <v>0</v>
      </c>
      <c r="K22" s="176">
        <f t="shared" si="2"/>
        <v>0</v>
      </c>
      <c r="L22" s="177" t="e">
        <f t="shared" si="3"/>
        <v>#DIV/0!</v>
      </c>
      <c r="M22" s="161" t="e">
        <f t="shared" si="4"/>
        <v>#DIV/0!</v>
      </c>
      <c r="N22" s="168"/>
    </row>
    <row r="23" spans="1:14" ht="16.5" customHeight="1">
      <c r="A23" s="169">
        <v>14</v>
      </c>
      <c r="B23" s="170">
        <f>'FRIT FV 090.540 - FTA'!B22</f>
        <v>46248</v>
      </c>
      <c r="C23" s="170" t="s">
        <v>195</v>
      </c>
      <c r="D23" s="171">
        <f t="shared" si="5"/>
        <v>0</v>
      </c>
      <c r="E23" s="162"/>
      <c r="F23" s="172"/>
      <c r="G23" s="162">
        <f t="shared" si="0"/>
        <v>0</v>
      </c>
      <c r="H23" s="174">
        <f>SUM($F$10:F23)/A23</f>
        <v>0</v>
      </c>
      <c r="I23" s="173">
        <f>SUM($G$10:G23)/A23</f>
        <v>0</v>
      </c>
      <c r="J23" s="175">
        <f t="shared" si="1"/>
        <v>0</v>
      </c>
      <c r="K23" s="176">
        <f t="shared" si="2"/>
        <v>0</v>
      </c>
      <c r="L23" s="177" t="e">
        <f t="shared" si="3"/>
        <v>#DIV/0!</v>
      </c>
      <c r="M23" s="161" t="e">
        <f t="shared" si="4"/>
        <v>#DIV/0!</v>
      </c>
      <c r="N23" s="168"/>
    </row>
    <row r="24" spans="1:14" ht="16.5" customHeight="1">
      <c r="A24" s="169">
        <v>15</v>
      </c>
      <c r="B24" s="170">
        <f>'FRIT FV 090.540 - FTA'!B23</f>
        <v>46249</v>
      </c>
      <c r="C24" s="170" t="s">
        <v>195</v>
      </c>
      <c r="D24" s="171">
        <f t="shared" si="5"/>
        <v>0</v>
      </c>
      <c r="E24" s="162"/>
      <c r="F24" s="172"/>
      <c r="G24" s="162">
        <f t="shared" si="0"/>
        <v>0</v>
      </c>
      <c r="H24" s="174">
        <f>SUM($F$10:F24)/A24</f>
        <v>0</v>
      </c>
      <c r="I24" s="173">
        <f>SUM($G$10:G24)/A24</f>
        <v>0</v>
      </c>
      <c r="J24" s="175">
        <f t="shared" si="1"/>
        <v>0</v>
      </c>
      <c r="K24" s="176">
        <f t="shared" si="2"/>
        <v>0</v>
      </c>
      <c r="L24" s="177" t="e">
        <f t="shared" si="3"/>
        <v>#DIV/0!</v>
      </c>
      <c r="M24" s="161" t="e">
        <f t="shared" si="4"/>
        <v>#DIV/0!</v>
      </c>
      <c r="N24" s="168"/>
    </row>
    <row r="25" spans="1:14" ht="16.5" customHeight="1">
      <c r="A25" s="169">
        <v>16</v>
      </c>
      <c r="B25" s="170">
        <f>'FRIT FV 090.540 - FTA'!B24</f>
        <v>46250</v>
      </c>
      <c r="C25" s="170" t="s">
        <v>195</v>
      </c>
      <c r="D25" s="171">
        <f t="shared" si="5"/>
        <v>0</v>
      </c>
      <c r="E25" s="162"/>
      <c r="F25" s="172"/>
      <c r="G25" s="162">
        <f t="shared" si="0"/>
        <v>0</v>
      </c>
      <c r="H25" s="174">
        <f>SUM($F$10:F25)/A25</f>
        <v>0</v>
      </c>
      <c r="I25" s="173">
        <f>SUM($G$10:G25)/A25</f>
        <v>0</v>
      </c>
      <c r="J25" s="175">
        <f t="shared" si="1"/>
        <v>0</v>
      </c>
      <c r="K25" s="176">
        <f t="shared" si="2"/>
        <v>0</v>
      </c>
      <c r="L25" s="177" t="e">
        <f t="shared" si="3"/>
        <v>#DIV/0!</v>
      </c>
      <c r="M25" s="161" t="e">
        <f t="shared" si="4"/>
        <v>#DIV/0!</v>
      </c>
      <c r="N25" s="168"/>
    </row>
    <row r="26" spans="1:14" ht="16.5" customHeight="1">
      <c r="A26" s="169">
        <v>17</v>
      </c>
      <c r="B26" s="170">
        <f>'FRIT FV 090.540 - FTA'!B25</f>
        <v>46251</v>
      </c>
      <c r="C26" s="170" t="s">
        <v>195</v>
      </c>
      <c r="D26" s="171">
        <f t="shared" si="5"/>
        <v>0</v>
      </c>
      <c r="E26" s="162"/>
      <c r="F26" s="172"/>
      <c r="G26" s="162">
        <f t="shared" si="0"/>
        <v>0</v>
      </c>
      <c r="H26" s="174">
        <f>SUM($F$10:F26)/A26</f>
        <v>0</v>
      </c>
      <c r="I26" s="173">
        <f>SUM($G$10:G26)/A26</f>
        <v>0</v>
      </c>
      <c r="J26" s="175">
        <f t="shared" si="1"/>
        <v>0</v>
      </c>
      <c r="K26" s="176">
        <f t="shared" si="2"/>
        <v>0</v>
      </c>
      <c r="L26" s="177" t="e">
        <f t="shared" si="3"/>
        <v>#DIV/0!</v>
      </c>
      <c r="M26" s="161" t="e">
        <f t="shared" si="4"/>
        <v>#DIV/0!</v>
      </c>
      <c r="N26" s="168"/>
    </row>
    <row r="27" spans="1:14" ht="16.5" customHeight="1">
      <c r="A27" s="169">
        <v>18</v>
      </c>
      <c r="B27" s="170">
        <f>'FRIT FV 090.540 - FTA'!B26</f>
        <v>46252</v>
      </c>
      <c r="C27" s="170" t="s">
        <v>195</v>
      </c>
      <c r="D27" s="171">
        <f t="shared" si="5"/>
        <v>0</v>
      </c>
      <c r="E27" s="162"/>
      <c r="F27" s="172"/>
      <c r="G27" s="162">
        <f t="shared" si="0"/>
        <v>0</v>
      </c>
      <c r="H27" s="174">
        <f>SUM($F$10:F27)/A27</f>
        <v>0</v>
      </c>
      <c r="I27" s="173">
        <f>SUM($G$10:G27)/A27</f>
        <v>0</v>
      </c>
      <c r="J27" s="175">
        <f t="shared" si="1"/>
        <v>0</v>
      </c>
      <c r="K27" s="176">
        <f t="shared" si="2"/>
        <v>0</v>
      </c>
      <c r="L27" s="177" t="e">
        <f t="shared" si="3"/>
        <v>#DIV/0!</v>
      </c>
      <c r="M27" s="161" t="e">
        <f t="shared" si="4"/>
        <v>#DIV/0!</v>
      </c>
      <c r="N27" s="168"/>
    </row>
    <row r="28" spans="1:14" ht="16.5" customHeight="1">
      <c r="A28" s="169">
        <v>19</v>
      </c>
      <c r="B28" s="170">
        <f>'FRIT FV 090.540 - FTA'!B27</f>
        <v>46253</v>
      </c>
      <c r="C28" s="170" t="s">
        <v>104</v>
      </c>
      <c r="D28" s="171">
        <f t="shared" si="5"/>
        <v>0</v>
      </c>
      <c r="E28" s="162"/>
      <c r="F28" s="172"/>
      <c r="G28" s="162">
        <f t="shared" si="0"/>
        <v>0</v>
      </c>
      <c r="H28" s="174">
        <f>SUM($F$10:F28)/A28</f>
        <v>0</v>
      </c>
      <c r="I28" s="173">
        <f>SUM($G$10:G28)/A28</f>
        <v>0</v>
      </c>
      <c r="J28" s="175">
        <f t="shared" si="1"/>
        <v>0</v>
      </c>
      <c r="K28" s="176">
        <f t="shared" si="2"/>
        <v>0</v>
      </c>
      <c r="L28" s="177" t="e">
        <f t="shared" si="3"/>
        <v>#DIV/0!</v>
      </c>
      <c r="M28" s="161" t="e">
        <f t="shared" si="4"/>
        <v>#DIV/0!</v>
      </c>
      <c r="N28" s="168"/>
    </row>
    <row r="29" spans="1:14" ht="16.5" customHeight="1">
      <c r="A29" s="169">
        <v>20</v>
      </c>
      <c r="B29" s="170">
        <f>'FRIT FV 090.540 - FTA'!B28</f>
        <v>46254</v>
      </c>
      <c r="C29" s="170" t="s">
        <v>104</v>
      </c>
      <c r="D29" s="171">
        <f t="shared" si="5"/>
        <v>0</v>
      </c>
      <c r="E29" s="162"/>
      <c r="F29" s="172"/>
      <c r="G29" s="162">
        <f t="shared" si="0"/>
        <v>0</v>
      </c>
      <c r="H29" s="174">
        <f>SUM($F$10:F29)/A29</f>
        <v>0</v>
      </c>
      <c r="I29" s="173">
        <f>SUM($G$10:G29)/A29</f>
        <v>0</v>
      </c>
      <c r="J29" s="175">
        <f t="shared" si="1"/>
        <v>0</v>
      </c>
      <c r="K29" s="176">
        <f t="shared" si="2"/>
        <v>0</v>
      </c>
      <c r="L29" s="177" t="e">
        <f t="shared" si="3"/>
        <v>#DIV/0!</v>
      </c>
      <c r="M29" s="161" t="e">
        <f t="shared" si="4"/>
        <v>#DIV/0!</v>
      </c>
      <c r="N29" s="168"/>
    </row>
    <row r="30" spans="1:14" ht="16.5" customHeight="1">
      <c r="A30" s="169">
        <v>21</v>
      </c>
      <c r="B30" s="170">
        <f>'FRIT FV 090.540 - FTA'!B29</f>
        <v>46255</v>
      </c>
      <c r="C30" s="170" t="s">
        <v>104</v>
      </c>
      <c r="D30" s="171">
        <f t="shared" si="5"/>
        <v>0</v>
      </c>
      <c r="E30" s="162"/>
      <c r="F30" s="172"/>
      <c r="G30" s="162">
        <f t="shared" si="0"/>
        <v>0</v>
      </c>
      <c r="H30" s="174">
        <f>SUM($F$10:F30)/A30</f>
        <v>0</v>
      </c>
      <c r="I30" s="173">
        <f>SUM($G$10:G30)/A30</f>
        <v>0</v>
      </c>
      <c r="J30" s="175">
        <f t="shared" si="1"/>
        <v>0</v>
      </c>
      <c r="K30" s="176">
        <f t="shared" si="2"/>
        <v>0</v>
      </c>
      <c r="L30" s="177" t="e">
        <f t="shared" si="3"/>
        <v>#DIV/0!</v>
      </c>
      <c r="M30" s="161" t="e">
        <f t="shared" si="4"/>
        <v>#DIV/0!</v>
      </c>
      <c r="N30" s="168"/>
    </row>
    <row r="31" spans="1:14" ht="16.5" customHeight="1">
      <c r="A31" s="169">
        <v>22</v>
      </c>
      <c r="B31" s="170">
        <f>'FRIT FV 090.540 - FTA'!B30</f>
        <v>46256</v>
      </c>
      <c r="C31" s="170" t="s">
        <v>195</v>
      </c>
      <c r="D31" s="171">
        <f t="shared" si="5"/>
        <v>0</v>
      </c>
      <c r="E31" s="162"/>
      <c r="F31" s="172"/>
      <c r="G31" s="162">
        <f t="shared" si="0"/>
        <v>0</v>
      </c>
      <c r="H31" s="174">
        <f>SUM($F$10:F31)/A31</f>
        <v>0</v>
      </c>
      <c r="I31" s="173">
        <f>SUM($G$10:G31)/A31</f>
        <v>0</v>
      </c>
      <c r="J31" s="175">
        <f t="shared" si="1"/>
        <v>0</v>
      </c>
      <c r="K31" s="176">
        <f t="shared" si="2"/>
        <v>0</v>
      </c>
      <c r="L31" s="177" t="e">
        <f t="shared" si="3"/>
        <v>#DIV/0!</v>
      </c>
      <c r="M31" s="161" t="e">
        <f t="shared" si="4"/>
        <v>#DIV/0!</v>
      </c>
      <c r="N31" s="168"/>
    </row>
    <row r="32" spans="1:14" ht="16.5" customHeight="1">
      <c r="A32" s="169">
        <v>23</v>
      </c>
      <c r="B32" s="170">
        <f>'FRIT FV 090.540 - FTA'!B31</f>
        <v>46257</v>
      </c>
      <c r="C32" s="170" t="s">
        <v>104</v>
      </c>
      <c r="D32" s="171">
        <f t="shared" si="5"/>
        <v>0</v>
      </c>
      <c r="E32" s="162"/>
      <c r="F32" s="172"/>
      <c r="G32" s="162">
        <f t="shared" si="0"/>
        <v>0</v>
      </c>
      <c r="H32" s="174">
        <f>SUM($F$10:F32)/A32</f>
        <v>0</v>
      </c>
      <c r="I32" s="173">
        <f>SUM($G$10:G32)/A32</f>
        <v>0</v>
      </c>
      <c r="J32" s="175">
        <f t="shared" si="1"/>
        <v>0</v>
      </c>
      <c r="K32" s="176">
        <f t="shared" si="2"/>
        <v>0</v>
      </c>
      <c r="L32" s="177" t="e">
        <f t="shared" si="3"/>
        <v>#DIV/0!</v>
      </c>
      <c r="M32" s="161" t="e">
        <f t="shared" si="4"/>
        <v>#DIV/0!</v>
      </c>
      <c r="N32" s="168"/>
    </row>
    <row r="33" spans="1:14" ht="16.5" customHeight="1">
      <c r="A33" s="169">
        <v>24</v>
      </c>
      <c r="B33" s="170">
        <f>'FRIT FV 090.540 - FTA'!B32</f>
        <v>46258</v>
      </c>
      <c r="C33" s="170" t="s">
        <v>104</v>
      </c>
      <c r="D33" s="171">
        <f t="shared" si="5"/>
        <v>0</v>
      </c>
      <c r="E33" s="162"/>
      <c r="F33" s="172"/>
      <c r="G33" s="162">
        <f t="shared" si="0"/>
        <v>0</v>
      </c>
      <c r="H33" s="174">
        <f>SUM($F$10:F33)/A33</f>
        <v>0</v>
      </c>
      <c r="I33" s="173">
        <f>SUM($G$10:G33)/A33</f>
        <v>0</v>
      </c>
      <c r="J33" s="175">
        <f t="shared" si="1"/>
        <v>0</v>
      </c>
      <c r="K33" s="176">
        <f t="shared" si="2"/>
        <v>0</v>
      </c>
      <c r="L33" s="177" t="e">
        <f t="shared" si="3"/>
        <v>#DIV/0!</v>
      </c>
      <c r="M33" s="161" t="e">
        <f t="shared" si="4"/>
        <v>#DIV/0!</v>
      </c>
      <c r="N33" s="168"/>
    </row>
    <row r="34" spans="1:14" ht="16.5" customHeight="1">
      <c r="A34" s="169">
        <v>25</v>
      </c>
      <c r="B34" s="170">
        <f>'FRIT FV 090.540 - FTA'!B33</f>
        <v>46259</v>
      </c>
      <c r="C34" s="170" t="s">
        <v>195</v>
      </c>
      <c r="D34" s="171">
        <f t="shared" si="5"/>
        <v>0</v>
      </c>
      <c r="E34" s="162"/>
      <c r="F34" s="172"/>
      <c r="G34" s="162">
        <f t="shared" si="0"/>
        <v>0</v>
      </c>
      <c r="H34" s="174">
        <f>SUM($F$10:F34)/A34</f>
        <v>0</v>
      </c>
      <c r="I34" s="173">
        <f>SUM($G$10:G34)/A34</f>
        <v>0</v>
      </c>
      <c r="J34" s="175">
        <f t="shared" si="1"/>
        <v>0</v>
      </c>
      <c r="K34" s="176">
        <f t="shared" si="2"/>
        <v>0</v>
      </c>
      <c r="L34" s="177" t="e">
        <f t="shared" si="3"/>
        <v>#DIV/0!</v>
      </c>
      <c r="M34" s="161" t="e">
        <f t="shared" si="4"/>
        <v>#DIV/0!</v>
      </c>
      <c r="N34" s="168"/>
    </row>
    <row r="35" spans="1:14" ht="16.5" customHeight="1">
      <c r="A35" s="169">
        <v>26</v>
      </c>
      <c r="B35" s="170">
        <f>'FRIT FV 090.540 - FTA'!B34</f>
        <v>46260</v>
      </c>
      <c r="C35" s="170" t="s">
        <v>195</v>
      </c>
      <c r="D35" s="171">
        <f t="shared" si="5"/>
        <v>0</v>
      </c>
      <c r="E35" s="162"/>
      <c r="F35" s="172"/>
      <c r="G35" s="162">
        <f t="shared" si="0"/>
        <v>0</v>
      </c>
      <c r="H35" s="174">
        <f>SUM($F$10:F35)/A35</f>
        <v>0</v>
      </c>
      <c r="I35" s="173">
        <f>SUM($G$10:G35)/A35</f>
        <v>0</v>
      </c>
      <c r="J35" s="175">
        <f t="shared" si="1"/>
        <v>0</v>
      </c>
      <c r="K35" s="176">
        <f t="shared" si="2"/>
        <v>0</v>
      </c>
      <c r="L35" s="177" t="e">
        <f t="shared" si="3"/>
        <v>#DIV/0!</v>
      </c>
      <c r="M35" s="161" t="e">
        <f t="shared" si="4"/>
        <v>#DIV/0!</v>
      </c>
      <c r="N35" s="168"/>
    </row>
    <row r="36" spans="1:14" ht="16.5" customHeight="1">
      <c r="A36" s="169">
        <v>27</v>
      </c>
      <c r="B36" s="170">
        <f>'FRIT FV 090.540 - FTA'!B35</f>
        <v>46261</v>
      </c>
      <c r="C36" s="170" t="s">
        <v>195</v>
      </c>
      <c r="D36" s="228">
        <f t="shared" si="5"/>
        <v>0</v>
      </c>
      <c r="E36" s="227"/>
      <c r="F36" s="188"/>
      <c r="G36" s="227">
        <f t="shared" si="0"/>
        <v>0</v>
      </c>
      <c r="H36" s="174">
        <f>SUM($F$10:F36)/A36</f>
        <v>0</v>
      </c>
      <c r="I36" s="173">
        <f>SUM($G$10:G36)/A36</f>
        <v>0</v>
      </c>
      <c r="J36" s="175">
        <f t="shared" si="1"/>
        <v>0</v>
      </c>
      <c r="K36" s="176">
        <f t="shared" si="2"/>
        <v>0</v>
      </c>
      <c r="L36" s="177" t="e">
        <f t="shared" si="3"/>
        <v>#DIV/0!</v>
      </c>
      <c r="M36" s="161" t="e">
        <f t="shared" si="4"/>
        <v>#DIV/0!</v>
      </c>
      <c r="N36" s="168"/>
    </row>
    <row r="37" spans="1:14" ht="16.5" customHeight="1">
      <c r="A37" s="169">
        <v>28</v>
      </c>
      <c r="B37" s="170">
        <f>'FRIT FV 090.540 - FTA'!B36</f>
        <v>46262</v>
      </c>
      <c r="C37" s="170" t="s">
        <v>195</v>
      </c>
      <c r="D37" s="228">
        <f t="shared" si="5"/>
        <v>0</v>
      </c>
      <c r="E37" s="227"/>
      <c r="F37" s="188"/>
      <c r="G37" s="227">
        <f t="shared" si="0"/>
        <v>0</v>
      </c>
      <c r="H37" s="174">
        <f>SUM($F$10:F37)/A37</f>
        <v>0</v>
      </c>
      <c r="I37" s="173">
        <f>SUM($G$10:G37)/A37</f>
        <v>0</v>
      </c>
      <c r="J37" s="175">
        <f t="shared" si="1"/>
        <v>0</v>
      </c>
      <c r="K37" s="176">
        <f t="shared" si="2"/>
        <v>0</v>
      </c>
      <c r="L37" s="177" t="e">
        <f t="shared" si="3"/>
        <v>#DIV/0!</v>
      </c>
      <c r="M37" s="161" t="e">
        <f t="shared" si="4"/>
        <v>#DIV/0!</v>
      </c>
      <c r="N37" s="168"/>
    </row>
    <row r="38" spans="1:14" ht="16.5" customHeight="1">
      <c r="A38" s="169">
        <v>29</v>
      </c>
      <c r="B38" s="170">
        <f>'FRIT FV 090.540 - FTA'!B37</f>
        <v>46263</v>
      </c>
      <c r="C38" s="170" t="s">
        <v>195</v>
      </c>
      <c r="D38" s="228">
        <f t="shared" si="5"/>
        <v>0</v>
      </c>
      <c r="E38" s="227"/>
      <c r="F38" s="188"/>
      <c r="G38" s="227">
        <f t="shared" si="0"/>
        <v>0</v>
      </c>
      <c r="H38" s="174">
        <f>SUM($F$10:F38)/A38</f>
        <v>0</v>
      </c>
      <c r="I38" s="173">
        <f>SUM($G$10:G38)/A38</f>
        <v>0</v>
      </c>
      <c r="J38" s="175">
        <f t="shared" si="1"/>
        <v>0</v>
      </c>
      <c r="K38" s="176">
        <f t="shared" si="2"/>
        <v>0</v>
      </c>
      <c r="L38" s="177" t="e">
        <f t="shared" si="3"/>
        <v>#DIV/0!</v>
      </c>
      <c r="M38" s="161" t="e">
        <f t="shared" si="4"/>
        <v>#DIV/0!</v>
      </c>
      <c r="N38" s="168"/>
    </row>
    <row r="39" spans="1:14" ht="16.5" customHeight="1">
      <c r="A39" s="169">
        <v>30</v>
      </c>
      <c r="B39" s="170">
        <f>'FRIT FV 090.540 - FTA'!B38</f>
        <v>46264</v>
      </c>
      <c r="C39" s="170" t="s">
        <v>195</v>
      </c>
      <c r="D39" s="171">
        <f t="shared" si="5"/>
        <v>0</v>
      </c>
      <c r="E39" s="162"/>
      <c r="F39" s="172"/>
      <c r="G39" s="162">
        <f t="shared" si="0"/>
        <v>0</v>
      </c>
      <c r="H39" s="174">
        <f>SUM($F$10:F39)/A39</f>
        <v>0</v>
      </c>
      <c r="I39" s="173">
        <f>SUM($G$10:G39)/A39</f>
        <v>0</v>
      </c>
      <c r="J39" s="175">
        <f t="shared" si="1"/>
        <v>0</v>
      </c>
      <c r="K39" s="176">
        <f t="shared" si="2"/>
        <v>0</v>
      </c>
      <c r="L39" s="177" t="e">
        <f t="shared" si="3"/>
        <v>#DIV/0!</v>
      </c>
      <c r="M39" s="161" t="e">
        <f t="shared" si="4"/>
        <v>#DIV/0!</v>
      </c>
      <c r="N39" s="168"/>
    </row>
    <row r="40" spans="1:14" ht="16.5" customHeight="1">
      <c r="A40" s="169">
        <v>31</v>
      </c>
      <c r="B40" s="170">
        <f>'FRIT FV 090.540 - FTA'!B39</f>
        <v>46265</v>
      </c>
      <c r="C40" s="170" t="s">
        <v>195</v>
      </c>
      <c r="D40" s="171">
        <f t="shared" si="5"/>
        <v>0</v>
      </c>
      <c r="E40" s="162"/>
      <c r="F40" s="172"/>
      <c r="G40" s="162">
        <f t="shared" si="0"/>
        <v>0</v>
      </c>
      <c r="H40" s="174">
        <f>SUM($F$10:F40)/A40</f>
        <v>0</v>
      </c>
      <c r="I40" s="173">
        <f>SUM($G$10:G40)/A40</f>
        <v>0</v>
      </c>
      <c r="J40" s="175">
        <f t="shared" si="1"/>
        <v>0</v>
      </c>
      <c r="K40" s="176">
        <f t="shared" si="2"/>
        <v>0</v>
      </c>
      <c r="L40" s="177" t="e">
        <f t="shared" si="3"/>
        <v>#DIV/0!</v>
      </c>
      <c r="M40" s="161" t="e">
        <f t="shared" si="4"/>
        <v>#DIV/0!</v>
      </c>
      <c r="N40" s="168"/>
    </row>
    <row r="41" spans="1:14" s="151" customFormat="1" ht="23.25" customHeight="1">
      <c r="A41" s="1503" t="s">
        <v>29</v>
      </c>
      <c r="B41" s="1504"/>
      <c r="C41" s="1505"/>
      <c r="D41" s="162">
        <f>SUM(D10:D40)</f>
        <v>0</v>
      </c>
      <c r="E41" s="162">
        <f>SUM(E10:E40)</f>
        <v>0</v>
      </c>
      <c r="F41" s="165">
        <f>F40</f>
        <v>0</v>
      </c>
      <c r="G41" s="225">
        <f>G40</f>
        <v>0</v>
      </c>
      <c r="H41" s="165"/>
      <c r="I41" s="225"/>
      <c r="J41" s="165">
        <f>J40</f>
        <v>0</v>
      </c>
      <c r="K41" s="226">
        <f>K40</f>
        <v>0</v>
      </c>
      <c r="L41" s="163"/>
      <c r="M41" s="163"/>
      <c r="N41" s="183"/>
    </row>
    <row r="42" spans="1:14" s="151" customFormat="1" ht="23.25" customHeight="1">
      <c r="A42" s="1503" t="s">
        <v>15</v>
      </c>
      <c r="B42" s="1504"/>
      <c r="C42" s="1505"/>
      <c r="D42" s="162">
        <f>D9+D41</f>
        <v>0</v>
      </c>
      <c r="E42" s="162">
        <f>E9+E41</f>
        <v>0</v>
      </c>
      <c r="F42" s="165">
        <f>F41</f>
        <v>0</v>
      </c>
      <c r="G42" s="225">
        <f>G41</f>
        <v>0</v>
      </c>
      <c r="H42" s="165"/>
      <c r="I42" s="225"/>
      <c r="J42" s="165">
        <f>D42-F42</f>
        <v>0</v>
      </c>
      <c r="K42" s="165">
        <f>E42-G42</f>
        <v>0</v>
      </c>
      <c r="L42" s="163"/>
      <c r="M42" s="163"/>
      <c r="N42" s="183"/>
    </row>
    <row r="43" spans="1:14" ht="23.25" customHeight="1">
      <c r="A43" s="152"/>
      <c r="B43" s="152"/>
      <c r="C43" s="152"/>
      <c r="D43" s="153"/>
      <c r="E43" s="153"/>
      <c r="F43" s="153"/>
      <c r="G43" s="153"/>
      <c r="H43" s="153"/>
      <c r="I43" s="153"/>
      <c r="J43" s="153"/>
      <c r="K43" s="154"/>
      <c r="L43" s="153"/>
      <c r="N43" s="153"/>
    </row>
    <row r="44" spans="1:14">
      <c r="F44" s="153"/>
      <c r="G44" s="153"/>
      <c r="H44" s="153"/>
      <c r="I44" s="153"/>
      <c r="J44" s="153"/>
      <c r="K44" s="155" t="s">
        <v>13</v>
      </c>
      <c r="L44" s="153"/>
      <c r="N44" s="153"/>
    </row>
    <row r="45" spans="1:14">
      <c r="K45" s="155"/>
      <c r="L45" s="142"/>
      <c r="N45" s="142"/>
    </row>
    <row r="46" spans="1:14">
      <c r="K46" s="155"/>
      <c r="L46" s="142"/>
      <c r="N46" s="142"/>
    </row>
    <row r="47" spans="1:14">
      <c r="K47" s="154"/>
      <c r="L47" s="142"/>
      <c r="N47" s="142"/>
    </row>
    <row r="48" spans="1:14">
      <c r="K48" s="142" t="s">
        <v>98</v>
      </c>
      <c r="L48" s="142"/>
      <c r="M48" s="156"/>
      <c r="N48" s="142"/>
    </row>
    <row r="49" s="143" customFormat="1"/>
    <row r="50" s="143" customFormat="1"/>
    <row r="51" s="143" customFormat="1"/>
  </sheetData>
  <mergeCells count="13">
    <mergeCell ref="N7:N8"/>
    <mergeCell ref="L7:M7"/>
    <mergeCell ref="A9:C9"/>
    <mergeCell ref="A41:C41"/>
    <mergeCell ref="A3:N3"/>
    <mergeCell ref="F7:G7"/>
    <mergeCell ref="H7:I7"/>
    <mergeCell ref="J7:K7"/>
    <mergeCell ref="A42:C42"/>
    <mergeCell ref="A7:A8"/>
    <mergeCell ref="B7:B8"/>
    <mergeCell ref="C7:C8"/>
    <mergeCell ref="D7:E7"/>
  </mergeCells>
  <conditionalFormatting sqref="M29:M34">
    <cfRule type="cellIs" dxfId="12924" priority="10" operator="lessThan">
      <formula>15</formula>
    </cfRule>
    <cfRule type="cellIs" dxfId="12923" priority="11" operator="greaterThan">
      <formula>20</formula>
    </cfRule>
    <cfRule type="cellIs" dxfId="12922" priority="12" operator="between">
      <formula>15</formula>
      <formula>20</formula>
    </cfRule>
    <cfRule type="cellIs" dxfId="12921" priority="13" operator="between">
      <formula>15</formula>
      <formula>20</formula>
    </cfRule>
    <cfRule type="cellIs" dxfId="12920" priority="14" operator="lessThan">
      <formula>15</formula>
    </cfRule>
    <cfRule type="cellIs" dxfId="12919" priority="15" operator="greaterThan">
      <formula>20</formula>
    </cfRule>
    <cfRule type="cellIs" dxfId="12918" priority="16" operator="between">
      <formula>15</formula>
      <formula>21</formula>
    </cfRule>
    <cfRule type="cellIs" dxfId="12917" priority="17" operator="lessThan">
      <formula>15</formula>
    </cfRule>
    <cfRule type="cellIs" dxfId="12916" priority="18" operator="greaterThan">
      <formula>21</formula>
    </cfRule>
  </conditionalFormatting>
  <conditionalFormatting sqref="M21">
    <cfRule type="cellIs" dxfId="12915" priority="46" operator="lessThan">
      <formula>15</formula>
    </cfRule>
    <cfRule type="cellIs" dxfId="12914" priority="47" operator="greaterThan">
      <formula>20</formula>
    </cfRule>
    <cfRule type="cellIs" dxfId="12913" priority="48" operator="between">
      <formula>15</formula>
      <formula>20</formula>
    </cfRule>
    <cfRule type="cellIs" dxfId="12912" priority="49" operator="between">
      <formula>15</formula>
      <formula>20</formula>
    </cfRule>
    <cfRule type="cellIs" dxfId="12911" priority="50" operator="lessThan">
      <formula>15</formula>
    </cfRule>
    <cfRule type="cellIs" dxfId="12910" priority="51" operator="greaterThan">
      <formula>20</formula>
    </cfRule>
    <cfRule type="cellIs" dxfId="12909" priority="52" operator="between">
      <formula>15</formula>
      <formula>21</formula>
    </cfRule>
    <cfRule type="cellIs" dxfId="12908" priority="53" operator="lessThan">
      <formula>15</formula>
    </cfRule>
    <cfRule type="cellIs" dxfId="12907" priority="54" operator="greaterThan">
      <formula>21</formula>
    </cfRule>
  </conditionalFormatting>
  <conditionalFormatting sqref="M36:M39">
    <cfRule type="cellIs" dxfId="12906" priority="1" operator="lessThan">
      <formula>15</formula>
    </cfRule>
    <cfRule type="cellIs" dxfId="12905" priority="2" operator="greaterThan">
      <formula>20</formula>
    </cfRule>
    <cfRule type="cellIs" dxfId="12904" priority="3" operator="between">
      <formula>15</formula>
      <formula>20</formula>
    </cfRule>
    <cfRule type="cellIs" dxfId="12903" priority="4" operator="between">
      <formula>15</formula>
      <formula>20</formula>
    </cfRule>
    <cfRule type="cellIs" dxfId="12902" priority="5" operator="lessThan">
      <formula>15</formula>
    </cfRule>
    <cfRule type="cellIs" dxfId="12901" priority="6" operator="greaterThan">
      <formula>20</formula>
    </cfRule>
    <cfRule type="cellIs" dxfId="12900" priority="7" operator="between">
      <formula>15</formula>
      <formula>21</formula>
    </cfRule>
    <cfRule type="cellIs" dxfId="12899" priority="8" operator="lessThan">
      <formula>15</formula>
    </cfRule>
    <cfRule type="cellIs" dxfId="12898" priority="9" operator="greaterThan">
      <formula>21</formula>
    </cfRule>
  </conditionalFormatting>
  <conditionalFormatting sqref="M10:M13">
    <cfRule type="cellIs" dxfId="12897" priority="19" operator="lessThan">
      <formula>15</formula>
    </cfRule>
    <cfRule type="cellIs" dxfId="12896" priority="20" operator="greaterThan">
      <formula>20</formula>
    </cfRule>
    <cfRule type="cellIs" dxfId="12895" priority="21" operator="between">
      <formula>15</formula>
      <formula>20</formula>
    </cfRule>
    <cfRule type="cellIs" dxfId="12894" priority="22" operator="between">
      <formula>15</formula>
      <formula>20</formula>
    </cfRule>
    <cfRule type="cellIs" dxfId="12893" priority="23" operator="lessThan">
      <formula>15</formula>
    </cfRule>
    <cfRule type="cellIs" dxfId="12892" priority="24" operator="greaterThan">
      <formula>20</formula>
    </cfRule>
    <cfRule type="cellIs" dxfId="12891" priority="25" operator="between">
      <formula>15</formula>
      <formula>21</formula>
    </cfRule>
    <cfRule type="cellIs" dxfId="12890" priority="26" operator="lessThan">
      <formula>15</formula>
    </cfRule>
    <cfRule type="cellIs" dxfId="12889" priority="27" operator="greaterThan">
      <formula>21</formula>
    </cfRule>
  </conditionalFormatting>
  <conditionalFormatting sqref="M14:M20 M40 M22:M27">
    <cfRule type="cellIs" dxfId="12888" priority="55" operator="lessThan">
      <formula>15</formula>
    </cfRule>
    <cfRule type="cellIs" dxfId="12887" priority="56" operator="greaterThan">
      <formula>20</formula>
    </cfRule>
    <cfRule type="cellIs" dxfId="12886" priority="57" operator="between">
      <formula>15</formula>
      <formula>20</formula>
    </cfRule>
    <cfRule type="cellIs" dxfId="12885" priority="58" operator="between">
      <formula>15</formula>
      <formula>20</formula>
    </cfRule>
    <cfRule type="cellIs" dxfId="12884" priority="59" operator="lessThan">
      <formula>15</formula>
    </cfRule>
    <cfRule type="cellIs" dxfId="12883" priority="60" operator="greaterThan">
      <formula>20</formula>
    </cfRule>
    <cfRule type="cellIs" dxfId="12882" priority="61" operator="between">
      <formula>15</formula>
      <formula>21</formula>
    </cfRule>
    <cfRule type="cellIs" dxfId="12881" priority="62" operator="lessThan">
      <formula>15</formula>
    </cfRule>
    <cfRule type="cellIs" dxfId="12880" priority="63" operator="greaterThan">
      <formula>21</formula>
    </cfRule>
  </conditionalFormatting>
  <conditionalFormatting sqref="M28">
    <cfRule type="cellIs" dxfId="12879" priority="37" operator="lessThan">
      <formula>15</formula>
    </cfRule>
    <cfRule type="cellIs" dxfId="12878" priority="38" operator="greaterThan">
      <formula>20</formula>
    </cfRule>
    <cfRule type="cellIs" dxfId="12877" priority="39" operator="between">
      <formula>15</formula>
      <formula>20</formula>
    </cfRule>
    <cfRule type="cellIs" dxfId="12876" priority="40" operator="between">
      <formula>15</formula>
      <formula>20</formula>
    </cfRule>
    <cfRule type="cellIs" dxfId="12875" priority="41" operator="lessThan">
      <formula>15</formula>
    </cfRule>
    <cfRule type="cellIs" dxfId="12874" priority="42" operator="greaterThan">
      <formula>20</formula>
    </cfRule>
    <cfRule type="cellIs" dxfId="12873" priority="43" operator="between">
      <formula>15</formula>
      <formula>21</formula>
    </cfRule>
    <cfRule type="cellIs" dxfId="12872" priority="44" operator="lessThan">
      <formula>15</formula>
    </cfRule>
    <cfRule type="cellIs" dxfId="12871" priority="45" operator="greaterThan">
      <formula>21</formula>
    </cfRule>
  </conditionalFormatting>
  <conditionalFormatting sqref="M35">
    <cfRule type="cellIs" dxfId="12870" priority="28" operator="lessThan">
      <formula>15</formula>
    </cfRule>
    <cfRule type="cellIs" dxfId="12869" priority="29" operator="greaterThan">
      <formula>20</formula>
    </cfRule>
    <cfRule type="cellIs" dxfId="12868" priority="30" operator="between">
      <formula>15</formula>
      <formula>20</formula>
    </cfRule>
    <cfRule type="cellIs" dxfId="12867" priority="31" operator="between">
      <formula>15</formula>
      <formula>20</formula>
    </cfRule>
    <cfRule type="cellIs" dxfId="12866" priority="32" operator="lessThan">
      <formula>15</formula>
    </cfRule>
    <cfRule type="cellIs" dxfId="12865" priority="33" operator="greaterThan">
      <formula>20</formula>
    </cfRule>
    <cfRule type="cellIs" dxfId="12864" priority="34" operator="between">
      <formula>15</formula>
      <formula>21</formula>
    </cfRule>
    <cfRule type="cellIs" dxfId="12863" priority="35" operator="lessThan">
      <formula>15</formula>
    </cfRule>
    <cfRule type="cellIs" dxfId="12862" priority="36" operator="greaterThan">
      <formula>21</formula>
    </cfRule>
  </conditionalFormatting>
  <hyperlinks>
    <hyperlink ref="M6" location="'Tong hop T11.2019'!A1" display="'Tong hop T11.2019'!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N51"/>
  <sheetViews>
    <sheetView zoomScale="80" zoomScaleNormal="80" workbookViewId="0">
      <pane ySplit="9" topLeftCell="A37" activePane="bottomLeft" state="frozen"/>
      <selection pane="bottomLeft" activeCell="F11" sqref="F11:G21"/>
    </sheetView>
  </sheetViews>
  <sheetFormatPr defaultColWidth="9.28515625" defaultRowHeight="15"/>
  <cols>
    <col min="1" max="1" width="4.7109375" style="143" customWidth="1"/>
    <col min="2" max="2" width="9" style="143" customWidth="1"/>
    <col min="3" max="3" width="11.28515625" style="143" customWidth="1"/>
    <col min="4" max="11" width="10.7109375" style="142" customWidth="1"/>
    <col min="12" max="13" width="10" style="143" customWidth="1"/>
    <col min="14" max="14" width="6.85546875" style="143" customWidth="1"/>
    <col min="15" max="16384" width="9.28515625" style="143"/>
  </cols>
  <sheetData>
    <row r="1" spans="1:14" ht="18" customHeight="1">
      <c r="A1" s="146" t="e">
        <f>'FRIT FV 090.540 - FTA'!#REF!</f>
        <v>#REF!</v>
      </c>
      <c r="B1" s="146"/>
      <c r="C1" s="146"/>
      <c r="D1" s="146"/>
      <c r="E1" s="146"/>
      <c r="F1" s="146"/>
    </row>
    <row r="2" spans="1:14" ht="18" customHeight="1">
      <c r="A2" s="146" t="e">
        <f>'FRIT FV 090.540 - FTA'!#REF!</f>
        <v>#REF!</v>
      </c>
      <c r="B2" s="146"/>
      <c r="C2" s="146"/>
      <c r="D2" s="144"/>
      <c r="E2" s="144"/>
      <c r="F2" s="144"/>
      <c r="K2" s="197" t="e">
        <f>'FRIT FV 090.540 - FTA'!#REF!</f>
        <v>#REF!</v>
      </c>
      <c r="L2" s="142"/>
    </row>
    <row r="3" spans="1:14" ht="33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14" ht="18.75" customHeight="1">
      <c r="B4" s="145"/>
      <c r="C4" s="145"/>
      <c r="D4" s="224" t="s">
        <v>33</v>
      </c>
      <c r="E4" s="184" t="s">
        <v>125</v>
      </c>
      <c r="I4" s="142" t="s">
        <v>114</v>
      </c>
      <c r="J4" s="146" t="s">
        <v>175</v>
      </c>
      <c r="K4" s="145"/>
      <c r="L4" s="145"/>
      <c r="M4" s="145"/>
    </row>
    <row r="5" spans="1:14" ht="18.75" customHeight="1">
      <c r="B5" s="143" t="e">
        <f>'FRIT FV 090.540 - FTA'!#REF!</f>
        <v>#REF!</v>
      </c>
      <c r="C5" s="143" t="e">
        <f>'FRIT FV 090.540 - FTA'!#REF!</f>
        <v>#REF!</v>
      </c>
      <c r="D5" s="143" t="e">
        <f>'FRIT FV 090.540 - FTA'!#REF!</f>
        <v>#REF!</v>
      </c>
      <c r="E5" s="147" t="e">
        <f>'FRIT FV 090.540 - FTA'!#REF!</f>
        <v>#REF!</v>
      </c>
      <c r="F5" s="143" t="e">
        <f>'FRIT FV 090.540 - FTA'!#REF!</f>
        <v>#REF!</v>
      </c>
      <c r="G5" s="143" t="e">
        <f>'FRIT FV 090.540 - FTA'!#REF!</f>
        <v>#REF!</v>
      </c>
      <c r="H5" s="143" t="e">
        <f>'FRIT FV 090.540 - FTA'!#REF!</f>
        <v>#REF!</v>
      </c>
      <c r="I5" s="143" t="e">
        <f>'FRIT FV 090.540 - FTA'!#REF!</f>
        <v>#REF!</v>
      </c>
      <c r="J5" s="143"/>
      <c r="K5" s="143"/>
    </row>
    <row r="6" spans="1:14" ht="18" customHeight="1">
      <c r="F6" s="148"/>
      <c r="G6" s="148"/>
      <c r="H6" s="148"/>
      <c r="I6" s="148"/>
      <c r="L6" s="149" t="s">
        <v>26</v>
      </c>
      <c r="M6" s="212" t="e">
        <f>'FRIT FV 090.540 - FTA'!#REF!</f>
        <v>#REF!</v>
      </c>
    </row>
    <row r="7" spans="1:14" s="150" customFormat="1" ht="40.5" customHeight="1">
      <c r="A7" s="1506" t="s">
        <v>2</v>
      </c>
      <c r="B7" s="1508" t="s">
        <v>1</v>
      </c>
      <c r="C7" s="1508" t="s">
        <v>24</v>
      </c>
      <c r="D7" s="1501" t="s">
        <v>27</v>
      </c>
      <c r="E7" s="1502"/>
      <c r="F7" s="1501" t="s">
        <v>31</v>
      </c>
      <c r="G7" s="1502"/>
      <c r="H7" s="1501" t="s">
        <v>28</v>
      </c>
      <c r="I7" s="1502"/>
      <c r="J7" s="1501" t="s">
        <v>14</v>
      </c>
      <c r="K7" s="1502"/>
      <c r="L7" s="1501" t="s">
        <v>110</v>
      </c>
      <c r="M7" s="1502"/>
      <c r="N7" s="1508" t="s">
        <v>99</v>
      </c>
    </row>
    <row r="8" spans="1:14" s="150" customFormat="1" ht="27.75" customHeight="1">
      <c r="A8" s="1507"/>
      <c r="B8" s="1509"/>
      <c r="C8" s="1509"/>
      <c r="D8" s="157" t="s">
        <v>6</v>
      </c>
      <c r="E8" s="158" t="s">
        <v>25</v>
      </c>
      <c r="F8" s="157" t="s">
        <v>6</v>
      </c>
      <c r="G8" s="158" t="s">
        <v>12</v>
      </c>
      <c r="H8" s="157" t="s">
        <v>6</v>
      </c>
      <c r="I8" s="158" t="s">
        <v>12</v>
      </c>
      <c r="J8" s="157" t="s">
        <v>6</v>
      </c>
      <c r="K8" s="159" t="s">
        <v>12</v>
      </c>
      <c r="L8" s="160" t="s">
        <v>6</v>
      </c>
      <c r="M8" s="159" t="s">
        <v>12</v>
      </c>
      <c r="N8" s="1509"/>
    </row>
    <row r="9" spans="1:14" s="150" customFormat="1" ht="25.5" customHeight="1">
      <c r="A9" s="1510" t="s">
        <v>3</v>
      </c>
      <c r="B9" s="1511"/>
      <c r="C9" s="1512"/>
      <c r="D9" s="161">
        <f>J9</f>
        <v>0</v>
      </c>
      <c r="E9" s="162">
        <f>K9</f>
        <v>0</v>
      </c>
      <c r="F9" s="165">
        <f>F41</f>
        <v>0</v>
      </c>
      <c r="G9" s="162">
        <f>G41</f>
        <v>0</v>
      </c>
      <c r="H9" s="163"/>
      <c r="I9" s="162"/>
      <c r="J9" s="164">
        <f>K9-K9*N9</f>
        <v>0</v>
      </c>
      <c r="K9" s="165">
        <v>0</v>
      </c>
      <c r="L9" s="166"/>
      <c r="M9" s="167"/>
      <c r="N9" s="168">
        <v>1.2E-2</v>
      </c>
    </row>
    <row r="10" spans="1:14" ht="16.5" customHeight="1">
      <c r="A10" s="169">
        <v>1</v>
      </c>
      <c r="B10" s="170">
        <f>'FRIT FV 090.540 - FTA'!B9</f>
        <v>46235</v>
      </c>
      <c r="C10" s="170" t="str">
        <f>'FRIT FV 090.540 - FTA'!C9</f>
        <v>Không nhập - xuất</v>
      </c>
      <c r="D10" s="171">
        <f>E10-(E10*N10)</f>
        <v>0</v>
      </c>
      <c r="E10" s="162"/>
      <c r="F10" s="172"/>
      <c r="G10" s="219"/>
      <c r="H10" s="174">
        <f>SUM($F$10:F10)/A10</f>
        <v>0</v>
      </c>
      <c r="I10" s="173">
        <f>SUM($G$10:G10)/A10</f>
        <v>0</v>
      </c>
      <c r="J10" s="175">
        <f>J9+D10-F10</f>
        <v>0</v>
      </c>
      <c r="K10" s="176">
        <f>K9+E10-G10</f>
        <v>0</v>
      </c>
      <c r="L10" s="177" t="e">
        <f>J10/H10</f>
        <v>#DIV/0!</v>
      </c>
      <c r="M10" s="161" t="e">
        <f>K10/I10</f>
        <v>#DIV/0!</v>
      </c>
      <c r="N10" s="168"/>
    </row>
    <row r="11" spans="1:14" ht="16.5" customHeight="1">
      <c r="A11" s="169">
        <v>2</v>
      </c>
      <c r="B11" s="170">
        <f>'FRIT FV 090.540 - FTA'!B10</f>
        <v>46236</v>
      </c>
      <c r="C11" s="170" t="str">
        <f>'FRIT FV 090.540 - FTA'!C10</f>
        <v>Không nhập - xuất</v>
      </c>
      <c r="D11" s="171">
        <f t="shared" ref="D11:D40" si="0">E11-(E11*N11)</f>
        <v>0</v>
      </c>
      <c r="E11" s="162"/>
      <c r="F11" s="172"/>
      <c r="G11" s="162"/>
      <c r="H11" s="174">
        <f>SUM($F$10:F11)/A11</f>
        <v>0</v>
      </c>
      <c r="I11" s="173">
        <f>SUM($G$10:G11)/A11</f>
        <v>0</v>
      </c>
      <c r="J11" s="175">
        <f t="shared" ref="J11:J40" si="1">J10+D11-F11</f>
        <v>0</v>
      </c>
      <c r="K11" s="176">
        <f t="shared" ref="K11:K40" si="2">K10+E11-G11</f>
        <v>0</v>
      </c>
      <c r="L11" s="177" t="e">
        <f t="shared" ref="L11:L40" si="3">J11/H11</f>
        <v>#DIV/0!</v>
      </c>
      <c r="M11" s="161" t="e">
        <f t="shared" ref="M11:M40" si="4">K11/I11</f>
        <v>#DIV/0!</v>
      </c>
      <c r="N11" s="168"/>
    </row>
    <row r="12" spans="1:14" ht="16.5" customHeight="1">
      <c r="A12" s="169">
        <v>3</v>
      </c>
      <c r="B12" s="170">
        <f>'FRIT FV 090.540 - FTA'!B11</f>
        <v>46237</v>
      </c>
      <c r="C12" s="170" t="str">
        <f>'FRIT FV 090.540 - FTA'!C11</f>
        <v>Không nhập - xuất</v>
      </c>
      <c r="D12" s="171">
        <f t="shared" si="0"/>
        <v>0</v>
      </c>
      <c r="E12" s="162"/>
      <c r="F12" s="172"/>
      <c r="G12" s="162"/>
      <c r="H12" s="174">
        <f>SUM($F$10:F12)/A12</f>
        <v>0</v>
      </c>
      <c r="I12" s="173">
        <f>SUM($G$10:G12)/A12</f>
        <v>0</v>
      </c>
      <c r="J12" s="175">
        <f t="shared" si="1"/>
        <v>0</v>
      </c>
      <c r="K12" s="176">
        <f t="shared" si="2"/>
        <v>0</v>
      </c>
      <c r="L12" s="177" t="e">
        <f t="shared" si="3"/>
        <v>#DIV/0!</v>
      </c>
      <c r="M12" s="161" t="e">
        <f t="shared" si="4"/>
        <v>#DIV/0!</v>
      </c>
      <c r="N12" s="168"/>
    </row>
    <row r="13" spans="1:14" ht="16.5" customHeight="1">
      <c r="A13" s="169">
        <v>4</v>
      </c>
      <c r="B13" s="170">
        <f>'FRIT FV 090.540 - FTA'!B12</f>
        <v>46238</v>
      </c>
      <c r="C13" s="170" t="str">
        <f>'FRIT FV 090.540 - FTA'!C12</f>
        <v>Không nhập - xuất</v>
      </c>
      <c r="D13" s="171">
        <f t="shared" si="0"/>
        <v>0</v>
      </c>
      <c r="E13" s="162"/>
      <c r="F13" s="172"/>
      <c r="G13" s="162"/>
      <c r="H13" s="174">
        <f>SUM($F$10:F13)/A13</f>
        <v>0</v>
      </c>
      <c r="I13" s="173">
        <f>SUM($G$10:G13)/A13</f>
        <v>0</v>
      </c>
      <c r="J13" s="175">
        <f t="shared" si="1"/>
        <v>0</v>
      </c>
      <c r="K13" s="176">
        <f t="shared" si="2"/>
        <v>0</v>
      </c>
      <c r="L13" s="177" t="e">
        <f t="shared" si="3"/>
        <v>#DIV/0!</v>
      </c>
      <c r="M13" s="161" t="e">
        <f t="shared" si="4"/>
        <v>#DIV/0!</v>
      </c>
      <c r="N13" s="168"/>
    </row>
    <row r="14" spans="1:14" ht="16.5" customHeight="1">
      <c r="A14" s="169">
        <v>5</v>
      </c>
      <c r="B14" s="170">
        <f>'FRIT FV 090.540 - FTA'!B13</f>
        <v>46239</v>
      </c>
      <c r="C14" s="170" t="str">
        <f>'FRIT FV 090.540 - FTA'!C13</f>
        <v>Không nhập - xuất</v>
      </c>
      <c r="D14" s="171">
        <f t="shared" si="0"/>
        <v>0</v>
      </c>
      <c r="E14" s="162"/>
      <c r="F14" s="172"/>
      <c r="G14" s="162"/>
      <c r="H14" s="174">
        <f>SUM($F$10:F14)/A14</f>
        <v>0</v>
      </c>
      <c r="I14" s="173">
        <f>SUM($G$10:G14)/A14</f>
        <v>0</v>
      </c>
      <c r="J14" s="175">
        <f t="shared" si="1"/>
        <v>0</v>
      </c>
      <c r="K14" s="176">
        <f t="shared" si="2"/>
        <v>0</v>
      </c>
      <c r="L14" s="177" t="e">
        <f t="shared" si="3"/>
        <v>#DIV/0!</v>
      </c>
      <c r="M14" s="161" t="e">
        <f t="shared" si="4"/>
        <v>#DIV/0!</v>
      </c>
      <c r="N14" s="168"/>
    </row>
    <row r="15" spans="1:14" ht="16.5" customHeight="1">
      <c r="A15" s="169">
        <v>6</v>
      </c>
      <c r="B15" s="170">
        <f>'FRIT FV 090.540 - FTA'!B14</f>
        <v>46240</v>
      </c>
      <c r="C15" s="170" t="str">
        <f>'FRIT FV 090.540 - FTA'!C14</f>
        <v>xuất</v>
      </c>
      <c r="D15" s="171">
        <f t="shared" si="0"/>
        <v>0</v>
      </c>
      <c r="E15" s="162"/>
      <c r="F15" s="172"/>
      <c r="G15" s="162"/>
      <c r="H15" s="174">
        <f>SUM($F$10:F15)/A15</f>
        <v>0</v>
      </c>
      <c r="I15" s="173">
        <f>SUM($G$10:G15)/A15</f>
        <v>0</v>
      </c>
      <c r="J15" s="175">
        <f t="shared" si="1"/>
        <v>0</v>
      </c>
      <c r="K15" s="176">
        <f t="shared" si="2"/>
        <v>0</v>
      </c>
      <c r="L15" s="177" t="e">
        <f t="shared" si="3"/>
        <v>#DIV/0!</v>
      </c>
      <c r="M15" s="161" t="e">
        <f t="shared" si="4"/>
        <v>#DIV/0!</v>
      </c>
      <c r="N15" s="168"/>
    </row>
    <row r="16" spans="1:14" ht="16.5" customHeight="1">
      <c r="A16" s="169">
        <v>7</v>
      </c>
      <c r="B16" s="170">
        <f>'FRIT FV 090.540 - FTA'!B15</f>
        <v>46241</v>
      </c>
      <c r="C16" s="170" t="str">
        <f>'FRIT FV 090.540 - FTA'!C15</f>
        <v>Không nhập - xuất</v>
      </c>
      <c r="D16" s="171">
        <f t="shared" si="0"/>
        <v>0</v>
      </c>
      <c r="E16" s="162"/>
      <c r="F16" s="172"/>
      <c r="G16" s="162"/>
      <c r="H16" s="174">
        <f>SUM($F$10:F16)/A16</f>
        <v>0</v>
      </c>
      <c r="I16" s="173">
        <f>SUM($G$10:G16)/A16</f>
        <v>0</v>
      </c>
      <c r="J16" s="175">
        <f t="shared" si="1"/>
        <v>0</v>
      </c>
      <c r="K16" s="176">
        <f t="shared" si="2"/>
        <v>0</v>
      </c>
      <c r="L16" s="177" t="e">
        <f t="shared" si="3"/>
        <v>#DIV/0!</v>
      </c>
      <c r="M16" s="161" t="e">
        <f t="shared" si="4"/>
        <v>#DIV/0!</v>
      </c>
      <c r="N16" s="168"/>
    </row>
    <row r="17" spans="1:14" ht="16.5" customHeight="1">
      <c r="A17" s="169">
        <v>8</v>
      </c>
      <c r="B17" s="170">
        <f>'FRIT FV 090.540 - FTA'!B16</f>
        <v>46242</v>
      </c>
      <c r="C17" s="170" t="str">
        <f>'FRIT FV 090.540 - FTA'!C16</f>
        <v>Không nhập - xuất</v>
      </c>
      <c r="D17" s="171">
        <f t="shared" si="0"/>
        <v>0</v>
      </c>
      <c r="E17" s="162"/>
      <c r="F17" s="172"/>
      <c r="G17" s="162"/>
      <c r="H17" s="174">
        <f>SUM($F$10:F17)/A17</f>
        <v>0</v>
      </c>
      <c r="I17" s="173">
        <f>SUM($G$10:G17)/A17</f>
        <v>0</v>
      </c>
      <c r="J17" s="175">
        <f t="shared" si="1"/>
        <v>0</v>
      </c>
      <c r="K17" s="176">
        <f t="shared" si="2"/>
        <v>0</v>
      </c>
      <c r="L17" s="177" t="e">
        <f t="shared" si="3"/>
        <v>#DIV/0!</v>
      </c>
      <c r="M17" s="161" t="e">
        <f t="shared" si="4"/>
        <v>#DIV/0!</v>
      </c>
      <c r="N17" s="168"/>
    </row>
    <row r="18" spans="1:14" ht="16.5" customHeight="1">
      <c r="A18" s="169">
        <v>9</v>
      </c>
      <c r="B18" s="170">
        <f>'FRIT FV 090.540 - FTA'!B17</f>
        <v>46243</v>
      </c>
      <c r="C18" s="170" t="str">
        <f>'FRIT FV 090.540 - FTA'!C17</f>
        <v>Không nhập - xuất</v>
      </c>
      <c r="D18" s="171">
        <f t="shared" si="0"/>
        <v>0</v>
      </c>
      <c r="E18" s="162"/>
      <c r="F18" s="172"/>
      <c r="G18" s="162"/>
      <c r="H18" s="174">
        <f>SUM($F$10:F18)/A18</f>
        <v>0</v>
      </c>
      <c r="I18" s="173">
        <f>SUM($G$10:G18)/A18</f>
        <v>0</v>
      </c>
      <c r="J18" s="175">
        <f t="shared" si="1"/>
        <v>0</v>
      </c>
      <c r="K18" s="176">
        <f t="shared" si="2"/>
        <v>0</v>
      </c>
      <c r="L18" s="177" t="e">
        <f t="shared" si="3"/>
        <v>#DIV/0!</v>
      </c>
      <c r="M18" s="161" t="e">
        <f t="shared" si="4"/>
        <v>#DIV/0!</v>
      </c>
      <c r="N18" s="168"/>
    </row>
    <row r="19" spans="1:14" ht="16.5" customHeight="1">
      <c r="A19" s="169">
        <v>10</v>
      </c>
      <c r="B19" s="170">
        <f>'FRIT FV 090.540 - FTA'!B18</f>
        <v>46244</v>
      </c>
      <c r="C19" s="170" t="str">
        <f>'FRIT FV 090.540 - FTA'!C18</f>
        <v>xuất</v>
      </c>
      <c r="D19" s="171">
        <f t="shared" si="0"/>
        <v>0</v>
      </c>
      <c r="E19" s="162"/>
      <c r="F19" s="172"/>
      <c r="G19" s="162"/>
      <c r="H19" s="174">
        <f>SUM($F$10:F19)/A19</f>
        <v>0</v>
      </c>
      <c r="I19" s="173">
        <f>SUM($G$10:G19)/A19</f>
        <v>0</v>
      </c>
      <c r="J19" s="175">
        <f t="shared" si="1"/>
        <v>0</v>
      </c>
      <c r="K19" s="176">
        <f t="shared" si="2"/>
        <v>0</v>
      </c>
      <c r="L19" s="177" t="e">
        <f t="shared" si="3"/>
        <v>#DIV/0!</v>
      </c>
      <c r="M19" s="161" t="e">
        <f t="shared" si="4"/>
        <v>#DIV/0!</v>
      </c>
      <c r="N19" s="168"/>
    </row>
    <row r="20" spans="1:14" ht="16.5" customHeight="1">
      <c r="A20" s="169">
        <v>11</v>
      </c>
      <c r="B20" s="170">
        <f>'FRIT FV 090.540 - FTA'!B19</f>
        <v>46245</v>
      </c>
      <c r="C20" s="170" t="str">
        <f>'FRIT FV 090.540 - FTA'!C19</f>
        <v>xuất</v>
      </c>
      <c r="D20" s="171">
        <f t="shared" si="0"/>
        <v>0</v>
      </c>
      <c r="E20" s="162"/>
      <c r="F20" s="172"/>
      <c r="G20" s="162"/>
      <c r="H20" s="174">
        <f>SUM($F$10:F20)/A20</f>
        <v>0</v>
      </c>
      <c r="I20" s="173">
        <f>SUM($G$10:G20)/A20</f>
        <v>0</v>
      </c>
      <c r="J20" s="175">
        <f t="shared" si="1"/>
        <v>0</v>
      </c>
      <c r="K20" s="176">
        <f t="shared" si="2"/>
        <v>0</v>
      </c>
      <c r="L20" s="177" t="e">
        <f t="shared" si="3"/>
        <v>#DIV/0!</v>
      </c>
      <c r="M20" s="161" t="e">
        <f t="shared" si="4"/>
        <v>#DIV/0!</v>
      </c>
      <c r="N20" s="168"/>
    </row>
    <row r="21" spans="1:14" ht="16.5" customHeight="1">
      <c r="A21" s="169">
        <v>12</v>
      </c>
      <c r="B21" s="170">
        <f>'FRIT FV 090.540 - FTA'!B20</f>
        <v>46246</v>
      </c>
      <c r="C21" s="170" t="str">
        <f>'FRIT FV 090.540 - FTA'!C20</f>
        <v>xuất</v>
      </c>
      <c r="D21" s="171">
        <f t="shared" si="0"/>
        <v>0</v>
      </c>
      <c r="E21" s="162"/>
      <c r="F21" s="172"/>
      <c r="G21" s="162"/>
      <c r="H21" s="174">
        <f>SUM($F$10:F21)/A21</f>
        <v>0</v>
      </c>
      <c r="I21" s="173">
        <f>SUM($G$10:G21)/A21</f>
        <v>0</v>
      </c>
      <c r="J21" s="175">
        <f t="shared" si="1"/>
        <v>0</v>
      </c>
      <c r="K21" s="176">
        <f t="shared" si="2"/>
        <v>0</v>
      </c>
      <c r="L21" s="177" t="e">
        <f t="shared" si="3"/>
        <v>#DIV/0!</v>
      </c>
      <c r="M21" s="161" t="e">
        <f t="shared" si="4"/>
        <v>#DIV/0!</v>
      </c>
      <c r="N21" s="168"/>
    </row>
    <row r="22" spans="1:14" ht="16.5" customHeight="1">
      <c r="A22" s="169">
        <v>13</v>
      </c>
      <c r="B22" s="170">
        <f>'FRIT FV 090.540 - FTA'!B21</f>
        <v>46247</v>
      </c>
      <c r="C22" s="170" t="str">
        <f>'FRIT FV 090.540 - FTA'!C21</f>
        <v>xuất</v>
      </c>
      <c r="D22" s="171">
        <f t="shared" si="0"/>
        <v>0</v>
      </c>
      <c r="E22" s="162"/>
      <c r="F22" s="172"/>
      <c r="G22" s="162"/>
      <c r="H22" s="174">
        <f>SUM($F$10:F22)/A22</f>
        <v>0</v>
      </c>
      <c r="I22" s="173">
        <f>SUM($G$10:G22)/A22</f>
        <v>0</v>
      </c>
      <c r="J22" s="175">
        <f t="shared" si="1"/>
        <v>0</v>
      </c>
      <c r="K22" s="176">
        <f t="shared" si="2"/>
        <v>0</v>
      </c>
      <c r="L22" s="177" t="e">
        <f t="shared" si="3"/>
        <v>#DIV/0!</v>
      </c>
      <c r="M22" s="161" t="e">
        <f t="shared" si="4"/>
        <v>#DIV/0!</v>
      </c>
      <c r="N22" s="168"/>
    </row>
    <row r="23" spans="1:14" ht="16.5" customHeight="1">
      <c r="A23" s="169">
        <v>14</v>
      </c>
      <c r="B23" s="170">
        <f>'FRIT FV 090.540 - FTA'!B22</f>
        <v>46248</v>
      </c>
      <c r="C23" s="170" t="str">
        <f>'FRIT FV 090.540 - FTA'!C22</f>
        <v>xuất</v>
      </c>
      <c r="D23" s="171">
        <f t="shared" si="0"/>
        <v>0</v>
      </c>
      <c r="E23" s="162"/>
      <c r="F23" s="172"/>
      <c r="G23" s="162"/>
      <c r="H23" s="174">
        <f>SUM($F$10:F23)/A23</f>
        <v>0</v>
      </c>
      <c r="I23" s="173">
        <f>SUM($G$10:G23)/A23</f>
        <v>0</v>
      </c>
      <c r="J23" s="175">
        <f t="shared" si="1"/>
        <v>0</v>
      </c>
      <c r="K23" s="176">
        <f t="shared" si="2"/>
        <v>0</v>
      </c>
      <c r="L23" s="177" t="e">
        <f t="shared" si="3"/>
        <v>#DIV/0!</v>
      </c>
      <c r="M23" s="161" t="e">
        <f t="shared" si="4"/>
        <v>#DIV/0!</v>
      </c>
      <c r="N23" s="168"/>
    </row>
    <row r="24" spans="1:14" ht="16.5" customHeight="1">
      <c r="A24" s="169">
        <v>15</v>
      </c>
      <c r="B24" s="170">
        <f>'FRIT FV 090.540 - FTA'!B23</f>
        <v>46249</v>
      </c>
      <c r="C24" s="170" t="str">
        <f>'FRIT FV 090.540 - FTA'!C23</f>
        <v>xuất</v>
      </c>
      <c r="D24" s="171">
        <f t="shared" si="0"/>
        <v>0</v>
      </c>
      <c r="E24" s="162"/>
      <c r="F24" s="172"/>
      <c r="G24" s="162"/>
      <c r="H24" s="174">
        <f>SUM($F$10:F24)/A24</f>
        <v>0</v>
      </c>
      <c r="I24" s="173">
        <f>SUM($G$10:G24)/A24</f>
        <v>0</v>
      </c>
      <c r="J24" s="175">
        <f t="shared" si="1"/>
        <v>0</v>
      </c>
      <c r="K24" s="176">
        <f t="shared" si="2"/>
        <v>0</v>
      </c>
      <c r="L24" s="177" t="e">
        <f t="shared" si="3"/>
        <v>#DIV/0!</v>
      </c>
      <c r="M24" s="161" t="e">
        <f t="shared" si="4"/>
        <v>#DIV/0!</v>
      </c>
      <c r="N24" s="168"/>
    </row>
    <row r="25" spans="1:14" ht="16.5" customHeight="1">
      <c r="A25" s="169">
        <v>16</v>
      </c>
      <c r="B25" s="170">
        <f>'FRIT FV 090.540 - FTA'!B24</f>
        <v>46250</v>
      </c>
      <c r="C25" s="170" t="str">
        <f>'FRIT FV 090.540 - FTA'!C24</f>
        <v>xuất</v>
      </c>
      <c r="D25" s="171">
        <f t="shared" si="0"/>
        <v>0</v>
      </c>
      <c r="E25" s="162"/>
      <c r="F25" s="172"/>
      <c r="G25" s="162"/>
      <c r="H25" s="174">
        <f>SUM($F$10:F25)/A25</f>
        <v>0</v>
      </c>
      <c r="I25" s="173">
        <f>SUM($G$10:G25)/A25</f>
        <v>0</v>
      </c>
      <c r="J25" s="175">
        <f t="shared" si="1"/>
        <v>0</v>
      </c>
      <c r="K25" s="176">
        <f t="shared" si="2"/>
        <v>0</v>
      </c>
      <c r="L25" s="177" t="e">
        <f t="shared" si="3"/>
        <v>#DIV/0!</v>
      </c>
      <c r="M25" s="161" t="e">
        <f t="shared" si="4"/>
        <v>#DIV/0!</v>
      </c>
      <c r="N25" s="168"/>
    </row>
    <row r="26" spans="1:14" ht="16.5" customHeight="1">
      <c r="A26" s="169">
        <v>17</v>
      </c>
      <c r="B26" s="170">
        <f>'FRIT FV 090.540 - FTA'!B25</f>
        <v>46251</v>
      </c>
      <c r="C26" s="170" t="str">
        <f>'FRIT FV 090.540 - FTA'!C25</f>
        <v>xuất</v>
      </c>
      <c r="D26" s="171">
        <f t="shared" si="0"/>
        <v>0</v>
      </c>
      <c r="E26" s="162"/>
      <c r="F26" s="172"/>
      <c r="G26" s="162"/>
      <c r="H26" s="174">
        <f>SUM($F$10:F26)/A26</f>
        <v>0</v>
      </c>
      <c r="I26" s="173">
        <f>SUM($G$10:G26)/A26</f>
        <v>0</v>
      </c>
      <c r="J26" s="175">
        <f t="shared" si="1"/>
        <v>0</v>
      </c>
      <c r="K26" s="176">
        <f t="shared" si="2"/>
        <v>0</v>
      </c>
      <c r="L26" s="177" t="e">
        <f t="shared" si="3"/>
        <v>#DIV/0!</v>
      </c>
      <c r="M26" s="161" t="e">
        <f t="shared" si="4"/>
        <v>#DIV/0!</v>
      </c>
      <c r="N26" s="168"/>
    </row>
    <row r="27" spans="1:14" ht="16.5" customHeight="1">
      <c r="A27" s="169">
        <v>18</v>
      </c>
      <c r="B27" s="170">
        <f>'FRIT FV 090.540 - FTA'!B26</f>
        <v>46252</v>
      </c>
      <c r="C27" s="170" t="str">
        <f>'FRIT FV 090.540 - FTA'!C26</f>
        <v>xuất</v>
      </c>
      <c r="D27" s="171">
        <f t="shared" si="0"/>
        <v>0</v>
      </c>
      <c r="E27" s="162"/>
      <c r="F27" s="172"/>
      <c r="G27" s="162"/>
      <c r="H27" s="174">
        <f>SUM($F$10:F27)/A27</f>
        <v>0</v>
      </c>
      <c r="I27" s="173">
        <f>SUM($G$10:G27)/A27</f>
        <v>0</v>
      </c>
      <c r="J27" s="175">
        <f t="shared" si="1"/>
        <v>0</v>
      </c>
      <c r="K27" s="176">
        <f t="shared" si="2"/>
        <v>0</v>
      </c>
      <c r="L27" s="177" t="e">
        <f t="shared" si="3"/>
        <v>#DIV/0!</v>
      </c>
      <c r="M27" s="161" t="e">
        <f t="shared" si="4"/>
        <v>#DIV/0!</v>
      </c>
      <c r="N27" s="168"/>
    </row>
    <row r="28" spans="1:14" ht="16.5" customHeight="1">
      <c r="A28" s="169">
        <v>19</v>
      </c>
      <c r="B28" s="170">
        <f>'FRIT FV 090.540 - FTA'!B27</f>
        <v>46253</v>
      </c>
      <c r="C28" s="170" t="str">
        <f>'FRIT FV 090.540 - FTA'!C27</f>
        <v>xuất</v>
      </c>
      <c r="D28" s="171">
        <f t="shared" si="0"/>
        <v>0</v>
      </c>
      <c r="E28" s="162"/>
      <c r="F28" s="172"/>
      <c r="G28" s="162"/>
      <c r="H28" s="174">
        <f>SUM($F$10:F28)/A28</f>
        <v>0</v>
      </c>
      <c r="I28" s="173">
        <f>SUM($G$10:G28)/A28</f>
        <v>0</v>
      </c>
      <c r="J28" s="175">
        <f t="shared" si="1"/>
        <v>0</v>
      </c>
      <c r="K28" s="176">
        <f t="shared" si="2"/>
        <v>0</v>
      </c>
      <c r="L28" s="177" t="e">
        <f t="shared" si="3"/>
        <v>#DIV/0!</v>
      </c>
      <c r="M28" s="161" t="e">
        <f t="shared" si="4"/>
        <v>#DIV/0!</v>
      </c>
      <c r="N28" s="168"/>
    </row>
    <row r="29" spans="1:14" ht="16.5" customHeight="1">
      <c r="A29" s="169">
        <v>20</v>
      </c>
      <c r="B29" s="170">
        <f>'FRIT FV 090.540 - FTA'!B28</f>
        <v>46254</v>
      </c>
      <c r="C29" s="170" t="str">
        <f>'FRIT FV 090.540 - FTA'!C28</f>
        <v>xuất</v>
      </c>
      <c r="D29" s="171">
        <f t="shared" si="0"/>
        <v>0</v>
      </c>
      <c r="E29" s="162"/>
      <c r="F29" s="172"/>
      <c r="G29" s="162"/>
      <c r="H29" s="174">
        <f>SUM($F$10:F29)/A29</f>
        <v>0</v>
      </c>
      <c r="I29" s="173">
        <f>SUM($G$10:G29)/A29</f>
        <v>0</v>
      </c>
      <c r="J29" s="175">
        <f t="shared" si="1"/>
        <v>0</v>
      </c>
      <c r="K29" s="176">
        <f t="shared" si="2"/>
        <v>0</v>
      </c>
      <c r="L29" s="177" t="e">
        <f t="shared" si="3"/>
        <v>#DIV/0!</v>
      </c>
      <c r="M29" s="161" t="e">
        <f t="shared" si="4"/>
        <v>#DIV/0!</v>
      </c>
      <c r="N29" s="168"/>
    </row>
    <row r="30" spans="1:14" ht="16.5" customHeight="1">
      <c r="A30" s="169">
        <v>21</v>
      </c>
      <c r="B30" s="170">
        <f>'FRIT FV 090.540 - FTA'!B29</f>
        <v>46255</v>
      </c>
      <c r="C30" s="170" t="str">
        <f>'FRIT FV 090.540 - FTA'!C29</f>
        <v>xuất</v>
      </c>
      <c r="D30" s="171">
        <f t="shared" si="0"/>
        <v>0</v>
      </c>
      <c r="E30" s="162"/>
      <c r="F30" s="172"/>
      <c r="G30" s="162"/>
      <c r="H30" s="174">
        <f>SUM($F$10:F30)/A30</f>
        <v>0</v>
      </c>
      <c r="I30" s="173">
        <f>SUM($G$10:G30)/A30</f>
        <v>0</v>
      </c>
      <c r="J30" s="175">
        <f t="shared" si="1"/>
        <v>0</v>
      </c>
      <c r="K30" s="176">
        <f t="shared" si="2"/>
        <v>0</v>
      </c>
      <c r="L30" s="177" t="e">
        <f t="shared" si="3"/>
        <v>#DIV/0!</v>
      </c>
      <c r="M30" s="161" t="e">
        <f t="shared" si="4"/>
        <v>#DIV/0!</v>
      </c>
      <c r="N30" s="168"/>
    </row>
    <row r="31" spans="1:14" ht="16.5" customHeight="1">
      <c r="A31" s="169">
        <v>22</v>
      </c>
      <c r="B31" s="170">
        <f>'FRIT FV 090.540 - FTA'!B30</f>
        <v>46256</v>
      </c>
      <c r="C31" s="170" t="str">
        <f>'FRIT FV 090.540 - FTA'!C30</f>
        <v>xuất</v>
      </c>
      <c r="D31" s="171">
        <f t="shared" si="0"/>
        <v>0</v>
      </c>
      <c r="E31" s="162"/>
      <c r="F31" s="172"/>
      <c r="G31" s="162"/>
      <c r="H31" s="174">
        <f>SUM($F$10:F31)/A31</f>
        <v>0</v>
      </c>
      <c r="I31" s="173">
        <f>SUM($G$10:G31)/A31</f>
        <v>0</v>
      </c>
      <c r="J31" s="175">
        <f t="shared" si="1"/>
        <v>0</v>
      </c>
      <c r="K31" s="176">
        <f t="shared" si="2"/>
        <v>0</v>
      </c>
      <c r="L31" s="177" t="e">
        <f t="shared" si="3"/>
        <v>#DIV/0!</v>
      </c>
      <c r="M31" s="161" t="e">
        <f t="shared" si="4"/>
        <v>#DIV/0!</v>
      </c>
      <c r="N31" s="168"/>
    </row>
    <row r="32" spans="1:14" ht="16.5" customHeight="1">
      <c r="A32" s="169">
        <v>23</v>
      </c>
      <c r="B32" s="170">
        <f>'FRIT FV 090.540 - FTA'!B31</f>
        <v>46257</v>
      </c>
      <c r="C32" s="170" t="str">
        <f>'FRIT FV 090.540 - FTA'!C31</f>
        <v>xuất</v>
      </c>
      <c r="D32" s="171">
        <f t="shared" si="0"/>
        <v>0</v>
      </c>
      <c r="E32" s="162"/>
      <c r="F32" s="172"/>
      <c r="G32" s="162"/>
      <c r="H32" s="174">
        <f>SUM($F$10:F32)/A32</f>
        <v>0</v>
      </c>
      <c r="I32" s="173">
        <f>SUM($G$10:G32)/A32</f>
        <v>0</v>
      </c>
      <c r="J32" s="175">
        <f t="shared" si="1"/>
        <v>0</v>
      </c>
      <c r="K32" s="176">
        <f t="shared" si="2"/>
        <v>0</v>
      </c>
      <c r="L32" s="177" t="e">
        <f t="shared" si="3"/>
        <v>#DIV/0!</v>
      </c>
      <c r="M32" s="161" t="e">
        <f t="shared" si="4"/>
        <v>#DIV/0!</v>
      </c>
      <c r="N32" s="168"/>
    </row>
    <row r="33" spans="1:14" ht="16.5" customHeight="1">
      <c r="A33" s="169">
        <v>24</v>
      </c>
      <c r="B33" s="170">
        <f>'FRIT FV 090.540 - FTA'!B32</f>
        <v>46258</v>
      </c>
      <c r="C33" s="170" t="str">
        <f>'FRIT FV 090.540 - FTA'!C32</f>
        <v>xuất</v>
      </c>
      <c r="D33" s="171">
        <f t="shared" si="0"/>
        <v>0</v>
      </c>
      <c r="E33" s="162"/>
      <c r="F33" s="172"/>
      <c r="G33" s="162"/>
      <c r="H33" s="174">
        <f>SUM($F$10:F33)/A33</f>
        <v>0</v>
      </c>
      <c r="I33" s="173">
        <f>SUM($G$10:G33)/A33</f>
        <v>0</v>
      </c>
      <c r="J33" s="175">
        <f t="shared" si="1"/>
        <v>0</v>
      </c>
      <c r="K33" s="176">
        <f t="shared" si="2"/>
        <v>0</v>
      </c>
      <c r="L33" s="177" t="e">
        <f t="shared" si="3"/>
        <v>#DIV/0!</v>
      </c>
      <c r="M33" s="161" t="e">
        <f t="shared" si="4"/>
        <v>#DIV/0!</v>
      </c>
      <c r="N33" s="168"/>
    </row>
    <row r="34" spans="1:14" ht="16.5" customHeight="1">
      <c r="A34" s="169">
        <v>25</v>
      </c>
      <c r="B34" s="170">
        <f>'FRIT FV 090.540 - FTA'!B33</f>
        <v>46259</v>
      </c>
      <c r="C34" s="170" t="str">
        <f>'FRIT FV 090.540 - FTA'!C33</f>
        <v>xuất</v>
      </c>
      <c r="D34" s="171">
        <f t="shared" si="0"/>
        <v>0</v>
      </c>
      <c r="E34" s="162"/>
      <c r="F34" s="172"/>
      <c r="G34" s="162"/>
      <c r="H34" s="174">
        <f>SUM($F$10:F34)/A34</f>
        <v>0</v>
      </c>
      <c r="I34" s="173">
        <f>SUM($G$10:G34)/A34</f>
        <v>0</v>
      </c>
      <c r="J34" s="175">
        <f t="shared" si="1"/>
        <v>0</v>
      </c>
      <c r="K34" s="176">
        <f t="shared" si="2"/>
        <v>0</v>
      </c>
      <c r="L34" s="177" t="e">
        <f t="shared" si="3"/>
        <v>#DIV/0!</v>
      </c>
      <c r="M34" s="161" t="e">
        <f t="shared" si="4"/>
        <v>#DIV/0!</v>
      </c>
      <c r="N34" s="168"/>
    </row>
    <row r="35" spans="1:14" ht="16.5" customHeight="1">
      <c r="A35" s="169">
        <v>26</v>
      </c>
      <c r="B35" s="170">
        <f>'FRIT FV 090.540 - FTA'!B34</f>
        <v>46260</v>
      </c>
      <c r="C35" s="170" t="str">
        <f>'FRIT FV 090.540 - FTA'!C34</f>
        <v>xuất</v>
      </c>
      <c r="D35" s="171">
        <f t="shared" si="0"/>
        <v>0</v>
      </c>
      <c r="E35" s="162"/>
      <c r="F35" s="172"/>
      <c r="G35" s="162"/>
      <c r="H35" s="174">
        <f>SUM($F$10:F35)/A35</f>
        <v>0</v>
      </c>
      <c r="I35" s="173">
        <f>SUM($G$10:G35)/A35</f>
        <v>0</v>
      </c>
      <c r="J35" s="175">
        <f t="shared" si="1"/>
        <v>0</v>
      </c>
      <c r="K35" s="176">
        <f t="shared" si="2"/>
        <v>0</v>
      </c>
      <c r="L35" s="177" t="e">
        <f t="shared" si="3"/>
        <v>#DIV/0!</v>
      </c>
      <c r="M35" s="161" t="e">
        <f t="shared" si="4"/>
        <v>#DIV/0!</v>
      </c>
      <c r="N35" s="168"/>
    </row>
    <row r="36" spans="1:14" ht="16.5" customHeight="1">
      <c r="A36" s="169">
        <v>27</v>
      </c>
      <c r="B36" s="170">
        <f>'FRIT FV 090.540 - FTA'!B35</f>
        <v>46261</v>
      </c>
      <c r="C36" s="170" t="str">
        <f>'FRIT FV 090.540 - FTA'!C35</f>
        <v>xuất</v>
      </c>
      <c r="D36" s="228">
        <f t="shared" si="0"/>
        <v>0</v>
      </c>
      <c r="E36" s="227"/>
      <c r="F36" s="188"/>
      <c r="G36" s="189"/>
      <c r="H36" s="174">
        <f>SUM($F$10:F36)/A36</f>
        <v>0</v>
      </c>
      <c r="I36" s="173">
        <f>SUM($G$10:G36)/A36</f>
        <v>0</v>
      </c>
      <c r="J36" s="175">
        <f t="shared" si="1"/>
        <v>0</v>
      </c>
      <c r="K36" s="176">
        <f t="shared" si="2"/>
        <v>0</v>
      </c>
      <c r="L36" s="177" t="e">
        <f t="shared" si="3"/>
        <v>#DIV/0!</v>
      </c>
      <c r="M36" s="161" t="e">
        <f t="shared" si="4"/>
        <v>#DIV/0!</v>
      </c>
      <c r="N36" s="168"/>
    </row>
    <row r="37" spans="1:14" ht="16.5" customHeight="1">
      <c r="A37" s="169">
        <v>28</v>
      </c>
      <c r="B37" s="170">
        <f>'FRIT FV 090.540 - FTA'!B36</f>
        <v>46262</v>
      </c>
      <c r="C37" s="170" t="str">
        <f>'FRIT FV 090.540 - FTA'!C36</f>
        <v>Không nhập - xuất</v>
      </c>
      <c r="D37" s="228">
        <f t="shared" si="0"/>
        <v>0</v>
      </c>
      <c r="E37" s="227"/>
      <c r="F37" s="188"/>
      <c r="G37" s="189"/>
      <c r="H37" s="174">
        <f>SUM($F$10:F37)/A37</f>
        <v>0</v>
      </c>
      <c r="I37" s="173">
        <f>SUM($G$10:G37)/A37</f>
        <v>0</v>
      </c>
      <c r="J37" s="175">
        <f t="shared" si="1"/>
        <v>0</v>
      </c>
      <c r="K37" s="176">
        <f t="shared" si="2"/>
        <v>0</v>
      </c>
      <c r="L37" s="177" t="e">
        <f t="shared" si="3"/>
        <v>#DIV/0!</v>
      </c>
      <c r="M37" s="161" t="e">
        <f t="shared" si="4"/>
        <v>#DIV/0!</v>
      </c>
      <c r="N37" s="168"/>
    </row>
    <row r="38" spans="1:14" ht="16.5" customHeight="1">
      <c r="A38" s="169">
        <v>29</v>
      </c>
      <c r="B38" s="170">
        <f>'FRIT FV 090.540 - FTA'!B37</f>
        <v>46263</v>
      </c>
      <c r="C38" s="170" t="str">
        <f>'FRIT FV 090.540 - FTA'!C37</f>
        <v>Không nhập - xuất</v>
      </c>
      <c r="D38" s="228">
        <f t="shared" si="0"/>
        <v>0</v>
      </c>
      <c r="E38" s="227"/>
      <c r="F38" s="188"/>
      <c r="G38" s="189"/>
      <c r="H38" s="174">
        <f>SUM($F$10:F38)/A38</f>
        <v>0</v>
      </c>
      <c r="I38" s="173">
        <f>SUM($G$10:G38)/A38</f>
        <v>0</v>
      </c>
      <c r="J38" s="175">
        <f t="shared" si="1"/>
        <v>0</v>
      </c>
      <c r="K38" s="176">
        <f t="shared" si="2"/>
        <v>0</v>
      </c>
      <c r="L38" s="177" t="e">
        <f t="shared" si="3"/>
        <v>#DIV/0!</v>
      </c>
      <c r="M38" s="161" t="e">
        <f t="shared" si="4"/>
        <v>#DIV/0!</v>
      </c>
      <c r="N38" s="168"/>
    </row>
    <row r="39" spans="1:14" ht="16.5" customHeight="1">
      <c r="A39" s="169">
        <v>30</v>
      </c>
      <c r="B39" s="170">
        <f>'FRIT FV 090.540 - FTA'!B38</f>
        <v>46264</v>
      </c>
      <c r="C39" s="170" t="str">
        <f>'FRIT FV 090.540 - FTA'!C38</f>
        <v>Không nhập - xuất</v>
      </c>
      <c r="D39" s="171">
        <f t="shared" si="0"/>
        <v>0</v>
      </c>
      <c r="E39" s="162"/>
      <c r="F39" s="172"/>
      <c r="G39" s="162"/>
      <c r="H39" s="174">
        <f>SUM($F$10:F39)/A39</f>
        <v>0</v>
      </c>
      <c r="I39" s="173">
        <f>SUM($G$10:G39)/A39</f>
        <v>0</v>
      </c>
      <c r="J39" s="175">
        <f t="shared" si="1"/>
        <v>0</v>
      </c>
      <c r="K39" s="176">
        <f t="shared" si="2"/>
        <v>0</v>
      </c>
      <c r="L39" s="177" t="e">
        <f t="shared" si="3"/>
        <v>#DIV/0!</v>
      </c>
      <c r="M39" s="161" t="e">
        <f t="shared" si="4"/>
        <v>#DIV/0!</v>
      </c>
      <c r="N39" s="168"/>
    </row>
    <row r="40" spans="1:14" ht="16.5" customHeight="1">
      <c r="A40" s="169">
        <v>31</v>
      </c>
      <c r="B40" s="170">
        <f>'FRIT FV 090.540 - FTA'!B39</f>
        <v>46265</v>
      </c>
      <c r="C40" s="170" t="str">
        <f>'FRIT FV 090.540 - FTA'!C39</f>
        <v>Không nhập - xuất</v>
      </c>
      <c r="D40" s="171">
        <f t="shared" si="0"/>
        <v>0</v>
      </c>
      <c r="E40" s="162"/>
      <c r="F40" s="172"/>
      <c r="G40" s="162"/>
      <c r="H40" s="174">
        <f>SUM($F$10:F40)/A40</f>
        <v>0</v>
      </c>
      <c r="I40" s="173">
        <f>SUM($G$10:G40)/A40</f>
        <v>0</v>
      </c>
      <c r="J40" s="175">
        <f t="shared" si="1"/>
        <v>0</v>
      </c>
      <c r="K40" s="176">
        <f t="shared" si="2"/>
        <v>0</v>
      </c>
      <c r="L40" s="177" t="e">
        <f t="shared" si="3"/>
        <v>#DIV/0!</v>
      </c>
      <c r="M40" s="161" t="e">
        <f t="shared" si="4"/>
        <v>#DIV/0!</v>
      </c>
      <c r="N40" s="168"/>
    </row>
    <row r="41" spans="1:14" s="151" customFormat="1" ht="23.25" customHeight="1">
      <c r="A41" s="1503" t="s">
        <v>29</v>
      </c>
      <c r="B41" s="1504"/>
      <c r="C41" s="1505"/>
      <c r="D41" s="162">
        <f>SUM(D10:D40)</f>
        <v>0</v>
      </c>
      <c r="E41" s="162">
        <f>SUM(E10:E40)</f>
        <v>0</v>
      </c>
      <c r="F41" s="165">
        <f>SUM(F10:F40)</f>
        <v>0</v>
      </c>
      <c r="G41" s="225">
        <f>SUM(G10:G40)</f>
        <v>0</v>
      </c>
      <c r="H41" s="165"/>
      <c r="I41" s="225"/>
      <c r="J41" s="165">
        <f>J40</f>
        <v>0</v>
      </c>
      <c r="K41" s="226">
        <f>K40</f>
        <v>0</v>
      </c>
      <c r="L41" s="163"/>
      <c r="M41" s="163"/>
      <c r="N41" s="183"/>
    </row>
    <row r="42" spans="1:14" s="151" customFormat="1" ht="23.25" customHeight="1">
      <c r="A42" s="1503" t="s">
        <v>15</v>
      </c>
      <c r="B42" s="1504"/>
      <c r="C42" s="1505"/>
      <c r="D42" s="162">
        <f>D9+D41</f>
        <v>0</v>
      </c>
      <c r="E42" s="162">
        <f>E9+E41</f>
        <v>0</v>
      </c>
      <c r="F42" s="165">
        <f>F41</f>
        <v>0</v>
      </c>
      <c r="G42" s="225">
        <f>G41</f>
        <v>0</v>
      </c>
      <c r="H42" s="165"/>
      <c r="I42" s="225"/>
      <c r="J42" s="165">
        <f>D42-F42</f>
        <v>0</v>
      </c>
      <c r="K42" s="165">
        <f>E42-G42</f>
        <v>0</v>
      </c>
      <c r="L42" s="163"/>
      <c r="M42" s="163"/>
      <c r="N42" s="183"/>
    </row>
    <row r="43" spans="1:14" ht="23.25" customHeight="1">
      <c r="A43" s="152"/>
      <c r="B43" s="152"/>
      <c r="C43" s="152"/>
      <c r="D43" s="153"/>
      <c r="E43" s="153"/>
      <c r="F43" s="153"/>
      <c r="G43" s="153"/>
      <c r="H43" s="153"/>
      <c r="I43" s="153"/>
      <c r="J43" s="153"/>
      <c r="K43" s="154" t="s">
        <v>13</v>
      </c>
      <c r="L43" s="153"/>
      <c r="N43" s="153"/>
    </row>
    <row r="44" spans="1:14">
      <c r="F44" s="153"/>
      <c r="G44" s="153"/>
      <c r="H44" s="153"/>
      <c r="I44" s="153"/>
      <c r="J44" s="153"/>
      <c r="K44" s="155"/>
      <c r="L44" s="153"/>
      <c r="N44" s="153"/>
    </row>
    <row r="45" spans="1:14">
      <c r="K45" s="155"/>
      <c r="L45" s="142"/>
      <c r="N45" s="142"/>
    </row>
    <row r="46" spans="1:14">
      <c r="K46" s="155"/>
      <c r="L46" s="142"/>
      <c r="N46" s="142"/>
    </row>
    <row r="47" spans="1:14">
      <c r="K47" s="154" t="s">
        <v>98</v>
      </c>
      <c r="L47" s="142"/>
      <c r="N47" s="142"/>
    </row>
    <row r="48" spans="1:14">
      <c r="L48" s="142"/>
      <c r="M48" s="156"/>
      <c r="N48" s="142"/>
    </row>
    <row r="49" s="143" customFormat="1"/>
    <row r="50" s="143" customFormat="1"/>
    <row r="51" s="143" customFormat="1"/>
  </sheetData>
  <mergeCells count="13">
    <mergeCell ref="N7:N8"/>
    <mergeCell ref="L7:M7"/>
    <mergeCell ref="A9:C9"/>
    <mergeCell ref="A41:C41"/>
    <mergeCell ref="A3:N3"/>
    <mergeCell ref="F7:G7"/>
    <mergeCell ref="H7:I7"/>
    <mergeCell ref="J7:K7"/>
    <mergeCell ref="A42:C42"/>
    <mergeCell ref="A7:A8"/>
    <mergeCell ref="B7:B8"/>
    <mergeCell ref="C7:C8"/>
    <mergeCell ref="D7:E7"/>
  </mergeCells>
  <conditionalFormatting sqref="M36:M39">
    <cfRule type="cellIs" dxfId="12861" priority="1" operator="lessThan">
      <formula>15</formula>
    </cfRule>
    <cfRule type="cellIs" dxfId="12860" priority="2" operator="greaterThan">
      <formula>20</formula>
    </cfRule>
    <cfRule type="cellIs" dxfId="12859" priority="3" operator="between">
      <formula>15</formula>
      <formula>20</formula>
    </cfRule>
    <cfRule type="cellIs" dxfId="12858" priority="4" operator="between">
      <formula>15</formula>
      <formula>20</formula>
    </cfRule>
    <cfRule type="cellIs" dxfId="12857" priority="5" operator="lessThan">
      <formula>15</formula>
    </cfRule>
    <cfRule type="cellIs" dxfId="12856" priority="6" operator="greaterThan">
      <formula>20</formula>
    </cfRule>
    <cfRule type="cellIs" dxfId="12855" priority="7" operator="between">
      <formula>15</formula>
      <formula>21</formula>
    </cfRule>
    <cfRule type="cellIs" dxfId="12854" priority="8" operator="lessThan">
      <formula>15</formula>
    </cfRule>
    <cfRule type="cellIs" dxfId="12853" priority="9" operator="greaterThan">
      <formula>21</formula>
    </cfRule>
  </conditionalFormatting>
  <conditionalFormatting sqref="M10:M13">
    <cfRule type="cellIs" dxfId="12852" priority="19" operator="lessThan">
      <formula>15</formula>
    </cfRule>
    <cfRule type="cellIs" dxfId="12851" priority="20" operator="greaterThan">
      <formula>20</formula>
    </cfRule>
    <cfRule type="cellIs" dxfId="12850" priority="21" operator="between">
      <formula>15</formula>
      <formula>20</formula>
    </cfRule>
    <cfRule type="cellIs" dxfId="12849" priority="22" operator="between">
      <formula>15</formula>
      <formula>20</formula>
    </cfRule>
    <cfRule type="cellIs" dxfId="12848" priority="23" operator="lessThan">
      <formula>15</formula>
    </cfRule>
    <cfRule type="cellIs" dxfId="12847" priority="24" operator="greaterThan">
      <formula>20</formula>
    </cfRule>
    <cfRule type="cellIs" dxfId="12846" priority="25" operator="between">
      <formula>15</formula>
      <formula>21</formula>
    </cfRule>
    <cfRule type="cellIs" dxfId="12845" priority="26" operator="lessThan">
      <formula>15</formula>
    </cfRule>
    <cfRule type="cellIs" dxfId="12844" priority="27" operator="greaterThan">
      <formula>21</formula>
    </cfRule>
  </conditionalFormatting>
  <conditionalFormatting sqref="M29:M34">
    <cfRule type="cellIs" dxfId="12843" priority="10" operator="lessThan">
      <formula>15</formula>
    </cfRule>
    <cfRule type="cellIs" dxfId="12842" priority="11" operator="greaterThan">
      <formula>20</formula>
    </cfRule>
    <cfRule type="cellIs" dxfId="12841" priority="12" operator="between">
      <formula>15</formula>
      <formula>20</formula>
    </cfRule>
    <cfRule type="cellIs" dxfId="12840" priority="13" operator="between">
      <formula>15</formula>
      <formula>20</formula>
    </cfRule>
    <cfRule type="cellIs" dxfId="12839" priority="14" operator="lessThan">
      <formula>15</formula>
    </cfRule>
    <cfRule type="cellIs" dxfId="12838" priority="15" operator="greaterThan">
      <formula>20</formula>
    </cfRule>
    <cfRule type="cellIs" dxfId="12837" priority="16" operator="between">
      <formula>15</formula>
      <formula>21</formula>
    </cfRule>
    <cfRule type="cellIs" dxfId="12836" priority="17" operator="lessThan">
      <formula>15</formula>
    </cfRule>
    <cfRule type="cellIs" dxfId="12835" priority="18" operator="greaterThan">
      <formula>21</formula>
    </cfRule>
  </conditionalFormatting>
  <conditionalFormatting sqref="M35">
    <cfRule type="cellIs" dxfId="12834" priority="28" operator="lessThan">
      <formula>15</formula>
    </cfRule>
    <cfRule type="cellIs" dxfId="12833" priority="29" operator="greaterThan">
      <formula>20</formula>
    </cfRule>
    <cfRule type="cellIs" dxfId="12832" priority="30" operator="between">
      <formula>15</formula>
      <formula>20</formula>
    </cfRule>
    <cfRule type="cellIs" dxfId="12831" priority="31" operator="between">
      <formula>15</formula>
      <formula>20</formula>
    </cfRule>
    <cfRule type="cellIs" dxfId="12830" priority="32" operator="lessThan">
      <formula>15</formula>
    </cfRule>
    <cfRule type="cellIs" dxfId="12829" priority="33" operator="greaterThan">
      <formula>20</formula>
    </cfRule>
    <cfRule type="cellIs" dxfId="12828" priority="34" operator="between">
      <formula>15</formula>
      <formula>21</formula>
    </cfRule>
    <cfRule type="cellIs" dxfId="12827" priority="35" operator="lessThan">
      <formula>15</formula>
    </cfRule>
    <cfRule type="cellIs" dxfId="12826" priority="36" operator="greaterThan">
      <formula>21</formula>
    </cfRule>
  </conditionalFormatting>
  <conditionalFormatting sqref="M14:M20 M40 M22:M27">
    <cfRule type="cellIs" dxfId="12825" priority="55" operator="lessThan">
      <formula>15</formula>
    </cfRule>
    <cfRule type="cellIs" dxfId="12824" priority="56" operator="greaterThan">
      <formula>20</formula>
    </cfRule>
    <cfRule type="cellIs" dxfId="12823" priority="57" operator="between">
      <formula>15</formula>
      <formula>20</formula>
    </cfRule>
    <cfRule type="cellIs" dxfId="12822" priority="58" operator="between">
      <formula>15</formula>
      <formula>20</formula>
    </cfRule>
    <cfRule type="cellIs" dxfId="12821" priority="59" operator="lessThan">
      <formula>15</formula>
    </cfRule>
    <cfRule type="cellIs" dxfId="12820" priority="60" operator="greaterThan">
      <formula>20</formula>
    </cfRule>
    <cfRule type="cellIs" dxfId="12819" priority="61" operator="between">
      <formula>15</formula>
      <formula>21</formula>
    </cfRule>
    <cfRule type="cellIs" dxfId="12818" priority="62" operator="lessThan">
      <formula>15</formula>
    </cfRule>
    <cfRule type="cellIs" dxfId="12817" priority="63" operator="greaterThan">
      <formula>21</formula>
    </cfRule>
  </conditionalFormatting>
  <conditionalFormatting sqref="M21">
    <cfRule type="cellIs" dxfId="12816" priority="46" operator="lessThan">
      <formula>15</formula>
    </cfRule>
    <cfRule type="cellIs" dxfId="12815" priority="47" operator="greaterThan">
      <formula>20</formula>
    </cfRule>
    <cfRule type="cellIs" dxfId="12814" priority="48" operator="between">
      <formula>15</formula>
      <formula>20</formula>
    </cfRule>
    <cfRule type="cellIs" dxfId="12813" priority="49" operator="between">
      <formula>15</formula>
      <formula>20</formula>
    </cfRule>
    <cfRule type="cellIs" dxfId="12812" priority="50" operator="lessThan">
      <formula>15</formula>
    </cfRule>
    <cfRule type="cellIs" dxfId="12811" priority="51" operator="greaterThan">
      <formula>20</formula>
    </cfRule>
    <cfRule type="cellIs" dxfId="12810" priority="52" operator="between">
      <formula>15</formula>
      <formula>21</formula>
    </cfRule>
    <cfRule type="cellIs" dxfId="12809" priority="53" operator="lessThan">
      <formula>15</formula>
    </cfRule>
    <cfRule type="cellIs" dxfId="12808" priority="54" operator="greaterThan">
      <formula>21</formula>
    </cfRule>
  </conditionalFormatting>
  <conditionalFormatting sqref="M28">
    <cfRule type="cellIs" dxfId="12807" priority="37" operator="lessThan">
      <formula>15</formula>
    </cfRule>
    <cfRule type="cellIs" dxfId="12806" priority="38" operator="greaterThan">
      <formula>20</formula>
    </cfRule>
    <cfRule type="cellIs" dxfId="12805" priority="39" operator="between">
      <formula>15</formula>
      <formula>20</formula>
    </cfRule>
    <cfRule type="cellIs" dxfId="12804" priority="40" operator="between">
      <formula>15</formula>
      <formula>20</formula>
    </cfRule>
    <cfRule type="cellIs" dxfId="12803" priority="41" operator="lessThan">
      <formula>15</formula>
    </cfRule>
    <cfRule type="cellIs" dxfId="12802" priority="42" operator="greaterThan">
      <formula>20</formula>
    </cfRule>
    <cfRule type="cellIs" dxfId="12801" priority="43" operator="between">
      <formula>15</formula>
      <formula>21</formula>
    </cfRule>
    <cfRule type="cellIs" dxfId="12800" priority="44" operator="lessThan">
      <formula>15</formula>
    </cfRule>
    <cfRule type="cellIs" dxfId="12799" priority="45" operator="greaterThan">
      <formula>21</formula>
    </cfRule>
  </conditionalFormatting>
  <hyperlinks>
    <hyperlink ref="M6" location="'Tong hop T11.2019'!A1" display="'Tong hop T11.2019'!A1"/>
  </hyperlinks>
  <pageMargins left="0.5" right="0.2" top="0.25" bottom="0.25" header="0.74803149606299202" footer="0.31496062992126"/>
  <pageSetup paperSize="8" orientation="landscape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N51"/>
  <sheetViews>
    <sheetView zoomScale="80" zoomScaleNormal="80" workbookViewId="0">
      <pane ySplit="9" topLeftCell="A16" activePane="bottomLeft" state="frozen"/>
      <selection pane="bottomLeft" activeCell="G26" sqref="G26"/>
    </sheetView>
  </sheetViews>
  <sheetFormatPr defaultColWidth="9.28515625" defaultRowHeight="15"/>
  <cols>
    <col min="1" max="1" width="4.7109375" style="143" customWidth="1"/>
    <col min="2" max="2" width="9" style="143" customWidth="1"/>
    <col min="3" max="3" width="11.28515625" style="143" customWidth="1"/>
    <col min="4" max="11" width="10.7109375" style="142" customWidth="1"/>
    <col min="12" max="13" width="10" style="143" customWidth="1"/>
    <col min="14" max="14" width="6.85546875" style="143" customWidth="1"/>
    <col min="15" max="16384" width="9.28515625" style="143"/>
  </cols>
  <sheetData>
    <row r="1" spans="1:14" ht="18" customHeight="1">
      <c r="A1" s="146" t="e">
        <f>'FRIT FV 090.540 - FTA'!#REF!</f>
        <v>#REF!</v>
      </c>
      <c r="B1" s="146"/>
      <c r="C1" s="146"/>
      <c r="D1" s="146"/>
      <c r="E1" s="146"/>
      <c r="F1" s="146"/>
    </row>
    <row r="2" spans="1:14" ht="18" customHeight="1">
      <c r="A2" s="146" t="e">
        <f>'FRIT FV 090.540 - FTA'!#REF!</f>
        <v>#REF!</v>
      </c>
      <c r="B2" s="146"/>
      <c r="C2" s="146"/>
      <c r="D2" s="144"/>
      <c r="E2" s="144"/>
      <c r="F2" s="144"/>
      <c r="K2" s="197" t="e">
        <f>'FRIT FV 090.540 - FTA'!#REF!</f>
        <v>#REF!</v>
      </c>
      <c r="L2" s="142"/>
    </row>
    <row r="3" spans="1:14" ht="33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14" ht="18.75" customHeight="1">
      <c r="B4" s="145"/>
      <c r="C4" s="145"/>
      <c r="D4" s="224" t="s">
        <v>33</v>
      </c>
      <c r="E4" s="184" t="s">
        <v>122</v>
      </c>
      <c r="I4" s="142" t="s">
        <v>114</v>
      </c>
      <c r="J4" s="146" t="s">
        <v>176</v>
      </c>
      <c r="K4" s="145"/>
      <c r="L4" s="145"/>
      <c r="M4" s="145"/>
    </row>
    <row r="5" spans="1:14" ht="18.75" customHeight="1">
      <c r="B5" s="143" t="e">
        <f>'FRIT FV 090.540 - FTA'!#REF!</f>
        <v>#REF!</v>
      </c>
      <c r="C5" s="143" t="e">
        <f>'FRIT FV 090.540 - FTA'!#REF!</f>
        <v>#REF!</v>
      </c>
      <c r="D5" s="143" t="e">
        <f>'FRIT FV 090.540 - FTA'!#REF!</f>
        <v>#REF!</v>
      </c>
      <c r="E5" s="147" t="e">
        <f>'FRIT FV 090.540 - FTA'!#REF!</f>
        <v>#REF!</v>
      </c>
      <c r="F5" s="143" t="e">
        <f>'FRIT FV 090.540 - FTA'!#REF!</f>
        <v>#REF!</v>
      </c>
      <c r="G5" s="143" t="e">
        <f>'FRIT FV 090.540 - FTA'!#REF!</f>
        <v>#REF!</v>
      </c>
      <c r="H5" s="143" t="e">
        <f>'FRIT FV 090.540 - FTA'!#REF!</f>
        <v>#REF!</v>
      </c>
      <c r="I5" s="143" t="e">
        <f>'FRIT FV 090.540 - FTA'!#REF!</f>
        <v>#REF!</v>
      </c>
      <c r="J5" s="143"/>
      <c r="K5" s="143"/>
    </row>
    <row r="6" spans="1:14" ht="18" customHeight="1">
      <c r="F6" s="148"/>
      <c r="G6" s="148"/>
      <c r="H6" s="148"/>
      <c r="I6" s="148"/>
      <c r="L6" s="149" t="s">
        <v>26</v>
      </c>
      <c r="M6" s="212" t="e">
        <f>'FRIT FV 090.540 - FTA'!#REF!</f>
        <v>#REF!</v>
      </c>
    </row>
    <row r="7" spans="1:14" s="150" customFormat="1" ht="40.5" customHeight="1">
      <c r="A7" s="1506" t="s">
        <v>2</v>
      </c>
      <c r="B7" s="1508" t="s">
        <v>1</v>
      </c>
      <c r="C7" s="1508" t="s">
        <v>24</v>
      </c>
      <c r="D7" s="1501" t="s">
        <v>27</v>
      </c>
      <c r="E7" s="1502"/>
      <c r="F7" s="1501" t="s">
        <v>31</v>
      </c>
      <c r="G7" s="1502"/>
      <c r="H7" s="1501" t="s">
        <v>28</v>
      </c>
      <c r="I7" s="1502"/>
      <c r="J7" s="1501" t="s">
        <v>14</v>
      </c>
      <c r="K7" s="1502"/>
      <c r="L7" s="1501" t="s">
        <v>30</v>
      </c>
      <c r="M7" s="1502"/>
      <c r="N7" s="1508"/>
    </row>
    <row r="8" spans="1:14" s="150" customFormat="1" ht="27.75" customHeight="1">
      <c r="A8" s="1507"/>
      <c r="B8" s="1509"/>
      <c r="C8" s="1509"/>
      <c r="D8" s="157" t="s">
        <v>6</v>
      </c>
      <c r="E8" s="158" t="s">
        <v>25</v>
      </c>
      <c r="F8" s="157" t="s">
        <v>6</v>
      </c>
      <c r="G8" s="158" t="s">
        <v>12</v>
      </c>
      <c r="H8" s="157" t="s">
        <v>6</v>
      </c>
      <c r="I8" s="158" t="s">
        <v>12</v>
      </c>
      <c r="J8" s="157" t="s">
        <v>6</v>
      </c>
      <c r="K8" s="159" t="s">
        <v>12</v>
      </c>
      <c r="L8" s="160" t="s">
        <v>6</v>
      </c>
      <c r="M8" s="159" t="s">
        <v>12</v>
      </c>
      <c r="N8" s="1509"/>
    </row>
    <row r="9" spans="1:14" s="150" customFormat="1" ht="25.5" customHeight="1">
      <c r="A9" s="1510" t="s">
        <v>3</v>
      </c>
      <c r="B9" s="1511"/>
      <c r="C9" s="1512"/>
      <c r="D9" s="161">
        <f>J9</f>
        <v>0</v>
      </c>
      <c r="E9" s="162">
        <f>K9</f>
        <v>0</v>
      </c>
      <c r="F9" s="165">
        <f>F41</f>
        <v>0</v>
      </c>
      <c r="G9" s="162">
        <f>G41</f>
        <v>0</v>
      </c>
      <c r="H9" s="163"/>
      <c r="I9" s="162"/>
      <c r="J9" s="164">
        <f>K9</f>
        <v>0</v>
      </c>
      <c r="K9" s="165">
        <v>0</v>
      </c>
      <c r="L9" s="166"/>
      <c r="M9" s="167"/>
      <c r="N9" s="168"/>
    </row>
    <row r="10" spans="1:14" ht="16.5" customHeight="1">
      <c r="A10" s="169">
        <v>1</v>
      </c>
      <c r="B10" s="170">
        <f>'FRIT FV 090.540 - FTA'!B9</f>
        <v>46235</v>
      </c>
      <c r="C10" s="170" t="str">
        <f>'FRIT FV 090.540 - FTA'!C9</f>
        <v>Không nhập - xuất</v>
      </c>
      <c r="D10" s="171"/>
      <c r="E10" s="162"/>
      <c r="F10" s="172"/>
      <c r="G10" s="219">
        <f>F10</f>
        <v>0</v>
      </c>
      <c r="H10" s="174">
        <f>SUM($F$10:F10)/A10</f>
        <v>0</v>
      </c>
      <c r="I10" s="173">
        <f>SUM($G$10:G10)/A10</f>
        <v>0</v>
      </c>
      <c r="J10" s="175">
        <f>J9+D10-F10</f>
        <v>0</v>
      </c>
      <c r="K10" s="176">
        <f>K9+E10-G10</f>
        <v>0</v>
      </c>
      <c r="L10" s="177" t="e">
        <f>J10/H10</f>
        <v>#DIV/0!</v>
      </c>
      <c r="M10" s="161" t="e">
        <f>K10/I10</f>
        <v>#DIV/0!</v>
      </c>
      <c r="N10" s="168"/>
    </row>
    <row r="11" spans="1:14" ht="16.5" customHeight="1">
      <c r="A11" s="169">
        <v>2</v>
      </c>
      <c r="B11" s="170">
        <f>'FRIT FV 090.540 - FTA'!B10</f>
        <v>46236</v>
      </c>
      <c r="C11" s="170" t="str">
        <f>'FRIT FV 090.540 - FTA'!C10</f>
        <v>Không nhập - xuất</v>
      </c>
      <c r="D11" s="171"/>
      <c r="E11" s="162"/>
      <c r="F11" s="172"/>
      <c r="G11" s="162">
        <f>F11</f>
        <v>0</v>
      </c>
      <c r="H11" s="174">
        <f>SUM($F$10:F11)/A11</f>
        <v>0</v>
      </c>
      <c r="I11" s="173">
        <f>SUM($G$10:G11)/A11</f>
        <v>0</v>
      </c>
      <c r="J11" s="175">
        <f t="shared" ref="J11:J40" si="0">J10+D11-F11</f>
        <v>0</v>
      </c>
      <c r="K11" s="176">
        <f t="shared" ref="K11:K40" si="1">K10+E11-G11</f>
        <v>0</v>
      </c>
      <c r="L11" s="177" t="e">
        <f t="shared" ref="L11:L40" si="2">J11/H11</f>
        <v>#DIV/0!</v>
      </c>
      <c r="M11" s="161" t="e">
        <f t="shared" ref="M11:M40" si="3">K11/I11</f>
        <v>#DIV/0!</v>
      </c>
      <c r="N11" s="168"/>
    </row>
    <row r="12" spans="1:14" ht="16.5" customHeight="1">
      <c r="A12" s="169">
        <v>3</v>
      </c>
      <c r="B12" s="170">
        <f>'FRIT FV 090.540 - FTA'!B11</f>
        <v>46237</v>
      </c>
      <c r="C12" s="170" t="str">
        <f>'FRIT FV 090.540 - FTA'!C11</f>
        <v>Không nhập - xuất</v>
      </c>
      <c r="D12" s="171"/>
      <c r="E12" s="162"/>
      <c r="F12" s="172"/>
      <c r="G12" s="162">
        <f t="shared" ref="G12:G40" si="4">F12</f>
        <v>0</v>
      </c>
      <c r="H12" s="174">
        <f>SUM($F$10:F12)/A12</f>
        <v>0</v>
      </c>
      <c r="I12" s="173">
        <f>SUM($G$10:G12)/A12</f>
        <v>0</v>
      </c>
      <c r="J12" s="175">
        <f t="shared" si="0"/>
        <v>0</v>
      </c>
      <c r="K12" s="176">
        <f t="shared" si="1"/>
        <v>0</v>
      </c>
      <c r="L12" s="177" t="e">
        <f t="shared" si="2"/>
        <v>#DIV/0!</v>
      </c>
      <c r="M12" s="161" t="e">
        <f t="shared" si="3"/>
        <v>#DIV/0!</v>
      </c>
      <c r="N12" s="168"/>
    </row>
    <row r="13" spans="1:14" ht="16.5" customHeight="1">
      <c r="A13" s="169">
        <v>4</v>
      </c>
      <c r="B13" s="170">
        <f>'FRIT FV 090.540 - FTA'!B12</f>
        <v>46238</v>
      </c>
      <c r="C13" s="170" t="str">
        <f>'FRIT FV 090.540 - FTA'!C12</f>
        <v>Không nhập - xuất</v>
      </c>
      <c r="D13" s="171"/>
      <c r="E13" s="162"/>
      <c r="F13" s="172"/>
      <c r="G13" s="162">
        <f t="shared" si="4"/>
        <v>0</v>
      </c>
      <c r="H13" s="174">
        <f>SUM($F$10:F13)/A13</f>
        <v>0</v>
      </c>
      <c r="I13" s="173">
        <f>SUM($G$10:G13)/A13</f>
        <v>0</v>
      </c>
      <c r="J13" s="175">
        <f t="shared" si="0"/>
        <v>0</v>
      </c>
      <c r="K13" s="176">
        <f t="shared" si="1"/>
        <v>0</v>
      </c>
      <c r="L13" s="177" t="e">
        <f t="shared" si="2"/>
        <v>#DIV/0!</v>
      </c>
      <c r="M13" s="161" t="e">
        <f t="shared" si="3"/>
        <v>#DIV/0!</v>
      </c>
      <c r="N13" s="168"/>
    </row>
    <row r="14" spans="1:14" ht="16.5" customHeight="1">
      <c r="A14" s="169">
        <v>5</v>
      </c>
      <c r="B14" s="170">
        <f>'FRIT FV 090.540 - FTA'!B13</f>
        <v>46239</v>
      </c>
      <c r="C14" s="170" t="str">
        <f>'FRIT FV 090.540 - FTA'!C13</f>
        <v>Không nhập - xuất</v>
      </c>
      <c r="D14" s="171"/>
      <c r="E14" s="162"/>
      <c r="F14" s="172"/>
      <c r="G14" s="162">
        <f t="shared" si="4"/>
        <v>0</v>
      </c>
      <c r="H14" s="174">
        <f>SUM($F$10:F14)/A14</f>
        <v>0</v>
      </c>
      <c r="I14" s="173">
        <f>SUM($G$10:G14)/A14</f>
        <v>0</v>
      </c>
      <c r="J14" s="175">
        <f t="shared" si="0"/>
        <v>0</v>
      </c>
      <c r="K14" s="176">
        <f t="shared" si="1"/>
        <v>0</v>
      </c>
      <c r="L14" s="177" t="e">
        <f t="shared" si="2"/>
        <v>#DIV/0!</v>
      </c>
      <c r="M14" s="161" t="e">
        <f t="shared" si="3"/>
        <v>#DIV/0!</v>
      </c>
      <c r="N14" s="168"/>
    </row>
    <row r="15" spans="1:14" ht="16.5" customHeight="1">
      <c r="A15" s="169">
        <v>6</v>
      </c>
      <c r="B15" s="170">
        <f>'FRIT FV 090.540 - FTA'!B14</f>
        <v>46240</v>
      </c>
      <c r="C15" s="170" t="str">
        <f>'FRIT FV 090.540 - FTA'!C14</f>
        <v>xuất</v>
      </c>
      <c r="D15" s="171"/>
      <c r="E15" s="162"/>
      <c r="F15" s="172"/>
      <c r="G15" s="162">
        <f t="shared" si="4"/>
        <v>0</v>
      </c>
      <c r="H15" s="174">
        <f>SUM($F$10:F15)/A15</f>
        <v>0</v>
      </c>
      <c r="I15" s="173">
        <f>SUM($G$10:G15)/A15</f>
        <v>0</v>
      </c>
      <c r="J15" s="175">
        <f t="shared" si="0"/>
        <v>0</v>
      </c>
      <c r="K15" s="176">
        <f t="shared" si="1"/>
        <v>0</v>
      </c>
      <c r="L15" s="177" t="e">
        <f t="shared" si="2"/>
        <v>#DIV/0!</v>
      </c>
      <c r="M15" s="161" t="e">
        <f t="shared" si="3"/>
        <v>#DIV/0!</v>
      </c>
      <c r="N15" s="168"/>
    </row>
    <row r="16" spans="1:14" ht="16.5" customHeight="1">
      <c r="A16" s="169">
        <v>7</v>
      </c>
      <c r="B16" s="170">
        <f>'FRIT FV 090.540 - FTA'!B15</f>
        <v>46241</v>
      </c>
      <c r="C16" s="170" t="str">
        <f>'FRIT FV 090.540 - FTA'!C15</f>
        <v>Không nhập - xuất</v>
      </c>
      <c r="D16" s="171"/>
      <c r="E16" s="162"/>
      <c r="F16" s="172"/>
      <c r="G16" s="162">
        <f t="shared" si="4"/>
        <v>0</v>
      </c>
      <c r="H16" s="174">
        <f>SUM($F$10:F16)/A16</f>
        <v>0</v>
      </c>
      <c r="I16" s="173">
        <f>SUM($G$10:G16)/A16</f>
        <v>0</v>
      </c>
      <c r="J16" s="175">
        <f t="shared" si="0"/>
        <v>0</v>
      </c>
      <c r="K16" s="176">
        <f t="shared" si="1"/>
        <v>0</v>
      </c>
      <c r="L16" s="177" t="e">
        <f t="shared" si="2"/>
        <v>#DIV/0!</v>
      </c>
      <c r="M16" s="161" t="e">
        <f t="shared" si="3"/>
        <v>#DIV/0!</v>
      </c>
      <c r="N16" s="168"/>
    </row>
    <row r="17" spans="1:14" ht="16.5" customHeight="1">
      <c r="A17" s="169">
        <v>8</v>
      </c>
      <c r="B17" s="170">
        <f>'FRIT FV 090.540 - FTA'!B16</f>
        <v>46242</v>
      </c>
      <c r="C17" s="170" t="str">
        <f>'FRIT FV 090.540 - FTA'!C16</f>
        <v>Không nhập - xuất</v>
      </c>
      <c r="D17" s="171"/>
      <c r="E17" s="162"/>
      <c r="F17" s="172"/>
      <c r="G17" s="162">
        <f t="shared" si="4"/>
        <v>0</v>
      </c>
      <c r="H17" s="174">
        <f>SUM($F$10:F17)/A17</f>
        <v>0</v>
      </c>
      <c r="I17" s="173">
        <f>SUM($G$10:G17)/A17</f>
        <v>0</v>
      </c>
      <c r="J17" s="175">
        <f t="shared" si="0"/>
        <v>0</v>
      </c>
      <c r="K17" s="176">
        <f t="shared" si="1"/>
        <v>0</v>
      </c>
      <c r="L17" s="177" t="e">
        <f t="shared" si="2"/>
        <v>#DIV/0!</v>
      </c>
      <c r="M17" s="161" t="e">
        <f t="shared" si="3"/>
        <v>#DIV/0!</v>
      </c>
      <c r="N17" s="168"/>
    </row>
    <row r="18" spans="1:14" ht="16.5" customHeight="1">
      <c r="A18" s="169">
        <v>9</v>
      </c>
      <c r="B18" s="170">
        <f>'FRIT FV 090.540 - FTA'!B17</f>
        <v>46243</v>
      </c>
      <c r="C18" s="170" t="str">
        <f>C10</f>
        <v>Không nhập - xuất</v>
      </c>
      <c r="D18" s="171"/>
      <c r="E18" s="162"/>
      <c r="F18" s="172"/>
      <c r="G18" s="162">
        <f t="shared" si="4"/>
        <v>0</v>
      </c>
      <c r="H18" s="174">
        <f>SUM($F$10:F18)/A18</f>
        <v>0</v>
      </c>
      <c r="I18" s="173">
        <f>SUM($G$10:G18)/A18</f>
        <v>0</v>
      </c>
      <c r="J18" s="175">
        <f t="shared" si="0"/>
        <v>0</v>
      </c>
      <c r="K18" s="176">
        <f t="shared" si="1"/>
        <v>0</v>
      </c>
      <c r="L18" s="177" t="e">
        <f t="shared" si="2"/>
        <v>#DIV/0!</v>
      </c>
      <c r="M18" s="161" t="e">
        <f t="shared" si="3"/>
        <v>#DIV/0!</v>
      </c>
      <c r="N18" s="168"/>
    </row>
    <row r="19" spans="1:14" ht="16.5" customHeight="1">
      <c r="A19" s="169">
        <v>10</v>
      </c>
      <c r="B19" s="170">
        <f>'FRIT FV 090.540 - FTA'!B18</f>
        <v>46244</v>
      </c>
      <c r="C19" s="170" t="str">
        <f>'FRIT FV 090.540 - FTA'!C18</f>
        <v>xuất</v>
      </c>
      <c r="D19" s="171"/>
      <c r="E19" s="162"/>
      <c r="F19" s="172"/>
      <c r="G19" s="162">
        <f t="shared" si="4"/>
        <v>0</v>
      </c>
      <c r="H19" s="174">
        <f>SUM($F$10:F19)/A19</f>
        <v>0</v>
      </c>
      <c r="I19" s="173">
        <f>SUM($G$10:G19)/A19</f>
        <v>0</v>
      </c>
      <c r="J19" s="175">
        <f t="shared" si="0"/>
        <v>0</v>
      </c>
      <c r="K19" s="176">
        <f t="shared" si="1"/>
        <v>0</v>
      </c>
      <c r="L19" s="177" t="e">
        <f t="shared" si="2"/>
        <v>#DIV/0!</v>
      </c>
      <c r="M19" s="161" t="e">
        <f t="shared" si="3"/>
        <v>#DIV/0!</v>
      </c>
      <c r="N19" s="168"/>
    </row>
    <row r="20" spans="1:14" ht="16.5" customHeight="1">
      <c r="A20" s="169">
        <v>11</v>
      </c>
      <c r="B20" s="170">
        <f>'FRIT FV 090.540 - FTA'!B19</f>
        <v>46245</v>
      </c>
      <c r="C20" s="170" t="str">
        <f>'FRIT FV 090.540 - FTA'!C19</f>
        <v>xuất</v>
      </c>
      <c r="D20" s="171"/>
      <c r="E20" s="162"/>
      <c r="F20" s="172"/>
      <c r="G20" s="162">
        <f t="shared" si="4"/>
        <v>0</v>
      </c>
      <c r="H20" s="174">
        <f>SUM($F$10:F20)/A20</f>
        <v>0</v>
      </c>
      <c r="I20" s="173">
        <f>SUM($G$10:G20)/A20</f>
        <v>0</v>
      </c>
      <c r="J20" s="175">
        <f t="shared" si="0"/>
        <v>0</v>
      </c>
      <c r="K20" s="176">
        <f t="shared" si="1"/>
        <v>0</v>
      </c>
      <c r="L20" s="177" t="e">
        <f t="shared" si="2"/>
        <v>#DIV/0!</v>
      </c>
      <c r="M20" s="161" t="e">
        <f t="shared" si="3"/>
        <v>#DIV/0!</v>
      </c>
      <c r="N20" s="168"/>
    </row>
    <row r="21" spans="1:14" ht="16.5" customHeight="1">
      <c r="A21" s="169">
        <v>12</v>
      </c>
      <c r="B21" s="170">
        <f>'FRIT FV 090.540 - FTA'!B20</f>
        <v>46246</v>
      </c>
      <c r="C21" s="170" t="str">
        <f>'FRIT FV 090.540 - FTA'!C20</f>
        <v>xuất</v>
      </c>
      <c r="D21" s="171"/>
      <c r="E21" s="162"/>
      <c r="F21" s="172"/>
      <c r="G21" s="162">
        <f t="shared" si="4"/>
        <v>0</v>
      </c>
      <c r="H21" s="174">
        <f>SUM($F$10:F21)/A21</f>
        <v>0</v>
      </c>
      <c r="I21" s="173">
        <f>SUM($G$10:G21)/A21</f>
        <v>0</v>
      </c>
      <c r="J21" s="175">
        <f t="shared" si="0"/>
        <v>0</v>
      </c>
      <c r="K21" s="176">
        <f t="shared" si="1"/>
        <v>0</v>
      </c>
      <c r="L21" s="177" t="e">
        <f t="shared" si="2"/>
        <v>#DIV/0!</v>
      </c>
      <c r="M21" s="161" t="e">
        <f t="shared" si="3"/>
        <v>#DIV/0!</v>
      </c>
      <c r="N21" s="168"/>
    </row>
    <row r="22" spans="1:14" ht="16.5" customHeight="1">
      <c r="A22" s="169">
        <v>13</v>
      </c>
      <c r="B22" s="170">
        <f>'FRIT FV 090.540 - FTA'!B21</f>
        <v>46247</v>
      </c>
      <c r="C22" s="170" t="s">
        <v>17</v>
      </c>
      <c r="D22" s="171"/>
      <c r="E22" s="162"/>
      <c r="F22" s="172"/>
      <c r="G22" s="162">
        <f t="shared" si="4"/>
        <v>0</v>
      </c>
      <c r="H22" s="174">
        <f>SUM($F$10:F22)/A22</f>
        <v>0</v>
      </c>
      <c r="I22" s="173">
        <f>SUM($G$10:G22)/A22</f>
        <v>0</v>
      </c>
      <c r="J22" s="175">
        <f t="shared" si="0"/>
        <v>0</v>
      </c>
      <c r="K22" s="176">
        <f t="shared" si="1"/>
        <v>0</v>
      </c>
      <c r="L22" s="177" t="e">
        <f t="shared" si="2"/>
        <v>#DIV/0!</v>
      </c>
      <c r="M22" s="161" t="e">
        <f t="shared" si="3"/>
        <v>#DIV/0!</v>
      </c>
      <c r="N22" s="168"/>
    </row>
    <row r="23" spans="1:14" ht="16.5" customHeight="1">
      <c r="A23" s="169">
        <v>14</v>
      </c>
      <c r="B23" s="170">
        <f>'FRIT FV 090.540 - FTA'!B22</f>
        <v>46248</v>
      </c>
      <c r="C23" s="170" t="str">
        <f>C10</f>
        <v>Không nhập - xuất</v>
      </c>
      <c r="D23" s="171"/>
      <c r="E23" s="162"/>
      <c r="F23" s="172"/>
      <c r="G23" s="162">
        <f t="shared" si="4"/>
        <v>0</v>
      </c>
      <c r="H23" s="174">
        <f>SUM($F$10:F23)/A23</f>
        <v>0</v>
      </c>
      <c r="I23" s="173">
        <f>SUM($G$10:G23)/A23</f>
        <v>0</v>
      </c>
      <c r="J23" s="175">
        <f t="shared" si="0"/>
        <v>0</v>
      </c>
      <c r="K23" s="176">
        <f t="shared" si="1"/>
        <v>0</v>
      </c>
      <c r="L23" s="177" t="e">
        <f t="shared" si="2"/>
        <v>#DIV/0!</v>
      </c>
      <c r="M23" s="161" t="e">
        <f t="shared" si="3"/>
        <v>#DIV/0!</v>
      </c>
      <c r="N23" s="168"/>
    </row>
    <row r="24" spans="1:14" ht="16.5" customHeight="1">
      <c r="A24" s="169">
        <v>15</v>
      </c>
      <c r="B24" s="170">
        <f>'FRIT FV 090.540 - FTA'!B23</f>
        <v>46249</v>
      </c>
      <c r="C24" s="170" t="str">
        <f>'FRIT FV 090.540 - FTA'!C23</f>
        <v>xuất</v>
      </c>
      <c r="D24" s="171"/>
      <c r="E24" s="162"/>
      <c r="F24" s="172"/>
      <c r="G24" s="162">
        <f t="shared" si="4"/>
        <v>0</v>
      </c>
      <c r="H24" s="174">
        <f>SUM($F$10:F24)/A24</f>
        <v>0</v>
      </c>
      <c r="I24" s="173">
        <f>SUM($G$10:G24)/A24</f>
        <v>0</v>
      </c>
      <c r="J24" s="175">
        <f t="shared" si="0"/>
        <v>0</v>
      </c>
      <c r="K24" s="176">
        <f t="shared" si="1"/>
        <v>0</v>
      </c>
      <c r="L24" s="177" t="e">
        <f t="shared" si="2"/>
        <v>#DIV/0!</v>
      </c>
      <c r="M24" s="161" t="e">
        <f t="shared" si="3"/>
        <v>#DIV/0!</v>
      </c>
      <c r="N24" s="168"/>
    </row>
    <row r="25" spans="1:14" ht="16.5" customHeight="1">
      <c r="A25" s="169">
        <v>16</v>
      </c>
      <c r="B25" s="170">
        <f>'FRIT FV 090.540 - FTA'!B24</f>
        <v>46250</v>
      </c>
      <c r="C25" s="170" t="str">
        <f>'FRIT FV 090.540 - FTA'!C24</f>
        <v>xuất</v>
      </c>
      <c r="D25" s="171"/>
      <c r="E25" s="162"/>
      <c r="F25" s="172"/>
      <c r="G25" s="162">
        <f t="shared" si="4"/>
        <v>0</v>
      </c>
      <c r="H25" s="174">
        <f>SUM($F$10:F25)/A25</f>
        <v>0</v>
      </c>
      <c r="I25" s="173">
        <f>SUM($G$10:G25)/A25</f>
        <v>0</v>
      </c>
      <c r="J25" s="175">
        <f t="shared" si="0"/>
        <v>0</v>
      </c>
      <c r="K25" s="176">
        <f t="shared" si="1"/>
        <v>0</v>
      </c>
      <c r="L25" s="177" t="e">
        <f t="shared" si="2"/>
        <v>#DIV/0!</v>
      </c>
      <c r="M25" s="161" t="e">
        <f t="shared" si="3"/>
        <v>#DIV/0!</v>
      </c>
      <c r="N25" s="168"/>
    </row>
    <row r="26" spans="1:14" ht="16.5" customHeight="1">
      <c r="A26" s="169">
        <v>17</v>
      </c>
      <c r="B26" s="170">
        <f>'FRIT FV 090.540 - FTA'!B25</f>
        <v>46251</v>
      </c>
      <c r="C26" s="170" t="str">
        <f>'FRIT FV 090.540 - FTA'!C25</f>
        <v>xuất</v>
      </c>
      <c r="D26" s="171"/>
      <c r="E26" s="162"/>
      <c r="F26" s="172"/>
      <c r="G26" s="162">
        <f t="shared" si="4"/>
        <v>0</v>
      </c>
      <c r="H26" s="174">
        <f>SUM($F$10:F26)/A26</f>
        <v>0</v>
      </c>
      <c r="I26" s="173">
        <f>SUM($G$10:G26)/A26</f>
        <v>0</v>
      </c>
      <c r="J26" s="175">
        <f t="shared" si="0"/>
        <v>0</v>
      </c>
      <c r="K26" s="176">
        <f t="shared" si="1"/>
        <v>0</v>
      </c>
      <c r="L26" s="177" t="e">
        <f t="shared" si="2"/>
        <v>#DIV/0!</v>
      </c>
      <c r="M26" s="161" t="e">
        <f t="shared" si="3"/>
        <v>#DIV/0!</v>
      </c>
      <c r="N26" s="168"/>
    </row>
    <row r="27" spans="1:14" ht="16.5" customHeight="1">
      <c r="A27" s="169">
        <v>18</v>
      </c>
      <c r="B27" s="170">
        <f>'FRIT FV 090.540 - FTA'!B26</f>
        <v>46252</v>
      </c>
      <c r="C27" s="170" t="str">
        <f>'FRIT FV 090.540 - FTA'!C26</f>
        <v>xuất</v>
      </c>
      <c r="D27" s="171"/>
      <c r="E27" s="162"/>
      <c r="F27" s="172"/>
      <c r="G27" s="162">
        <f t="shared" si="4"/>
        <v>0</v>
      </c>
      <c r="H27" s="174">
        <f>SUM($F$10:F27)/A27</f>
        <v>0</v>
      </c>
      <c r="I27" s="173">
        <f>SUM($G$10:G27)/A27</f>
        <v>0</v>
      </c>
      <c r="J27" s="175">
        <f t="shared" si="0"/>
        <v>0</v>
      </c>
      <c r="K27" s="176">
        <f t="shared" si="1"/>
        <v>0</v>
      </c>
      <c r="L27" s="177" t="e">
        <f t="shared" si="2"/>
        <v>#DIV/0!</v>
      </c>
      <c r="M27" s="161" t="e">
        <f t="shared" si="3"/>
        <v>#DIV/0!</v>
      </c>
      <c r="N27" s="168"/>
    </row>
    <row r="28" spans="1:14" ht="16.5" customHeight="1">
      <c r="A28" s="169">
        <v>19</v>
      </c>
      <c r="B28" s="170">
        <f>'FRIT FV 090.540 - FTA'!B27</f>
        <v>46253</v>
      </c>
      <c r="C28" s="170" t="str">
        <f>'FRIT FV 090.540 - FTA'!C27</f>
        <v>xuất</v>
      </c>
      <c r="D28" s="171"/>
      <c r="E28" s="162"/>
      <c r="F28" s="172"/>
      <c r="G28" s="162">
        <f t="shared" si="4"/>
        <v>0</v>
      </c>
      <c r="H28" s="174">
        <f>SUM($F$10:F28)/A28</f>
        <v>0</v>
      </c>
      <c r="I28" s="173">
        <f>SUM($G$10:G28)/A28</f>
        <v>0</v>
      </c>
      <c r="J28" s="175">
        <f t="shared" si="0"/>
        <v>0</v>
      </c>
      <c r="K28" s="176">
        <f t="shared" si="1"/>
        <v>0</v>
      </c>
      <c r="L28" s="177" t="e">
        <f t="shared" si="2"/>
        <v>#DIV/0!</v>
      </c>
      <c r="M28" s="161" t="e">
        <f t="shared" si="3"/>
        <v>#DIV/0!</v>
      </c>
      <c r="N28" s="168"/>
    </row>
    <row r="29" spans="1:14" ht="16.5" customHeight="1">
      <c r="A29" s="169">
        <v>20</v>
      </c>
      <c r="B29" s="170">
        <f>'FRIT FV 090.540 - FTA'!B28</f>
        <v>46254</v>
      </c>
      <c r="C29" s="170" t="str">
        <f>'FRIT FV 090.540 - FTA'!C28</f>
        <v>xuất</v>
      </c>
      <c r="D29" s="171"/>
      <c r="E29" s="162"/>
      <c r="F29" s="172"/>
      <c r="G29" s="162">
        <f t="shared" si="4"/>
        <v>0</v>
      </c>
      <c r="H29" s="174">
        <f>SUM($F$10:F29)/A29</f>
        <v>0</v>
      </c>
      <c r="I29" s="173">
        <f>SUM($G$10:G29)/A29</f>
        <v>0</v>
      </c>
      <c r="J29" s="175">
        <f t="shared" si="0"/>
        <v>0</v>
      </c>
      <c r="K29" s="176">
        <f t="shared" si="1"/>
        <v>0</v>
      </c>
      <c r="L29" s="177" t="e">
        <f t="shared" si="2"/>
        <v>#DIV/0!</v>
      </c>
      <c r="M29" s="161" t="e">
        <f t="shared" si="3"/>
        <v>#DIV/0!</v>
      </c>
      <c r="N29" s="168"/>
    </row>
    <row r="30" spans="1:14" ht="16.5" customHeight="1">
      <c r="A30" s="169">
        <v>21</v>
      </c>
      <c r="B30" s="170">
        <f>'FRIT FV 090.540 - FTA'!B29</f>
        <v>46255</v>
      </c>
      <c r="C30" s="170" t="str">
        <f>'FRIT FV 090.540 - FTA'!C29</f>
        <v>xuất</v>
      </c>
      <c r="D30" s="171"/>
      <c r="E30" s="162"/>
      <c r="F30" s="172"/>
      <c r="G30" s="162">
        <f t="shared" si="4"/>
        <v>0</v>
      </c>
      <c r="H30" s="174">
        <f>SUM($F$10:F30)/A30</f>
        <v>0</v>
      </c>
      <c r="I30" s="173">
        <f>SUM($G$10:G30)/A30</f>
        <v>0</v>
      </c>
      <c r="J30" s="175">
        <f t="shared" si="0"/>
        <v>0</v>
      </c>
      <c r="K30" s="176">
        <f t="shared" si="1"/>
        <v>0</v>
      </c>
      <c r="L30" s="177" t="e">
        <f t="shared" si="2"/>
        <v>#DIV/0!</v>
      </c>
      <c r="M30" s="161" t="e">
        <f t="shared" si="3"/>
        <v>#DIV/0!</v>
      </c>
      <c r="N30" s="168"/>
    </row>
    <row r="31" spans="1:14" ht="16.5" customHeight="1">
      <c r="A31" s="169">
        <v>22</v>
      </c>
      <c r="B31" s="170">
        <f>'FRIT FV 090.540 - FTA'!B30</f>
        <v>46256</v>
      </c>
      <c r="C31" s="170" t="str">
        <f>'FRIT FV 090.540 - FTA'!C30</f>
        <v>xuất</v>
      </c>
      <c r="D31" s="171"/>
      <c r="E31" s="162"/>
      <c r="F31" s="172"/>
      <c r="G31" s="162">
        <f t="shared" si="4"/>
        <v>0</v>
      </c>
      <c r="H31" s="174">
        <f>SUM($F$10:F31)/A31</f>
        <v>0</v>
      </c>
      <c r="I31" s="173">
        <f>SUM($G$10:G31)/A31</f>
        <v>0</v>
      </c>
      <c r="J31" s="175">
        <f t="shared" si="0"/>
        <v>0</v>
      </c>
      <c r="K31" s="176">
        <f t="shared" si="1"/>
        <v>0</v>
      </c>
      <c r="L31" s="177" t="e">
        <f t="shared" si="2"/>
        <v>#DIV/0!</v>
      </c>
      <c r="M31" s="161" t="e">
        <f t="shared" si="3"/>
        <v>#DIV/0!</v>
      </c>
      <c r="N31" s="168"/>
    </row>
    <row r="32" spans="1:14" ht="16.5" customHeight="1">
      <c r="A32" s="169">
        <v>23</v>
      </c>
      <c r="B32" s="170">
        <f>'FRIT FV 090.540 - FTA'!B31</f>
        <v>46257</v>
      </c>
      <c r="C32" s="170" t="str">
        <f>'FRIT FV 090.540 - FTA'!C31</f>
        <v>xuất</v>
      </c>
      <c r="D32" s="171"/>
      <c r="E32" s="162"/>
      <c r="F32" s="172"/>
      <c r="G32" s="162">
        <f t="shared" si="4"/>
        <v>0</v>
      </c>
      <c r="H32" s="174">
        <f>SUM($F$10:F32)/A32</f>
        <v>0</v>
      </c>
      <c r="I32" s="173">
        <f>SUM($G$10:G32)/A32</f>
        <v>0</v>
      </c>
      <c r="J32" s="175">
        <f t="shared" si="0"/>
        <v>0</v>
      </c>
      <c r="K32" s="176">
        <f t="shared" si="1"/>
        <v>0</v>
      </c>
      <c r="L32" s="177" t="e">
        <f t="shared" si="2"/>
        <v>#DIV/0!</v>
      </c>
      <c r="M32" s="161" t="e">
        <f t="shared" si="3"/>
        <v>#DIV/0!</v>
      </c>
      <c r="N32" s="168"/>
    </row>
    <row r="33" spans="1:14" ht="16.5" customHeight="1">
      <c r="A33" s="169">
        <v>24</v>
      </c>
      <c r="B33" s="170">
        <f>'FRIT FV 090.540 - FTA'!B32</f>
        <v>46258</v>
      </c>
      <c r="C33" s="170" t="str">
        <f>'FRIT FV 090.540 - FTA'!C32</f>
        <v>xuất</v>
      </c>
      <c r="D33" s="171"/>
      <c r="E33" s="162"/>
      <c r="F33" s="172"/>
      <c r="G33" s="162">
        <f t="shared" si="4"/>
        <v>0</v>
      </c>
      <c r="H33" s="174">
        <f>SUM($F$10:F33)/A33</f>
        <v>0</v>
      </c>
      <c r="I33" s="173">
        <f>SUM($G$10:G33)/A33</f>
        <v>0</v>
      </c>
      <c r="J33" s="175">
        <f t="shared" si="0"/>
        <v>0</v>
      </c>
      <c r="K33" s="176">
        <f t="shared" si="1"/>
        <v>0</v>
      </c>
      <c r="L33" s="177" t="e">
        <f t="shared" si="2"/>
        <v>#DIV/0!</v>
      </c>
      <c r="M33" s="161" t="e">
        <f t="shared" si="3"/>
        <v>#DIV/0!</v>
      </c>
      <c r="N33" s="168"/>
    </row>
    <row r="34" spans="1:14" ht="16.5" customHeight="1">
      <c r="A34" s="169">
        <v>25</v>
      </c>
      <c r="B34" s="170">
        <f>'FRIT FV 090.540 - FTA'!B33</f>
        <v>46259</v>
      </c>
      <c r="C34" s="170" t="str">
        <f>'FRIT FV 090.540 - FTA'!C33</f>
        <v>xuất</v>
      </c>
      <c r="D34" s="171"/>
      <c r="E34" s="162"/>
      <c r="F34" s="172"/>
      <c r="G34" s="162">
        <f t="shared" si="4"/>
        <v>0</v>
      </c>
      <c r="H34" s="174">
        <f>SUM($F$10:F34)/A34</f>
        <v>0</v>
      </c>
      <c r="I34" s="173">
        <f>SUM($G$10:G34)/A34</f>
        <v>0</v>
      </c>
      <c r="J34" s="175">
        <f t="shared" si="0"/>
        <v>0</v>
      </c>
      <c r="K34" s="176">
        <f t="shared" si="1"/>
        <v>0</v>
      </c>
      <c r="L34" s="177" t="e">
        <f t="shared" si="2"/>
        <v>#DIV/0!</v>
      </c>
      <c r="M34" s="161" t="e">
        <f t="shared" si="3"/>
        <v>#DIV/0!</v>
      </c>
      <c r="N34" s="168"/>
    </row>
    <row r="35" spans="1:14" ht="16.5" customHeight="1">
      <c r="A35" s="169">
        <v>26</v>
      </c>
      <c r="B35" s="170">
        <f>'FRIT FV 090.540 - FTA'!B34</f>
        <v>46260</v>
      </c>
      <c r="C35" s="170" t="str">
        <f>'FRIT FV 090.540 - FTA'!C34</f>
        <v>xuất</v>
      </c>
      <c r="D35" s="171"/>
      <c r="E35" s="162"/>
      <c r="F35" s="172"/>
      <c r="G35" s="162">
        <f t="shared" si="4"/>
        <v>0</v>
      </c>
      <c r="H35" s="174">
        <f>SUM($F$10:F35)/A35</f>
        <v>0</v>
      </c>
      <c r="I35" s="173">
        <f>SUM($G$10:G35)/A35</f>
        <v>0</v>
      </c>
      <c r="J35" s="175">
        <f t="shared" si="0"/>
        <v>0</v>
      </c>
      <c r="K35" s="176">
        <f t="shared" si="1"/>
        <v>0</v>
      </c>
      <c r="L35" s="177" t="e">
        <f t="shared" si="2"/>
        <v>#DIV/0!</v>
      </c>
      <c r="M35" s="161" t="e">
        <f t="shared" si="3"/>
        <v>#DIV/0!</v>
      </c>
      <c r="N35" s="168"/>
    </row>
    <row r="36" spans="1:14" ht="16.5" customHeight="1">
      <c r="A36" s="169">
        <v>27</v>
      </c>
      <c r="B36" s="170">
        <f>'FRIT FV 090.540 - FTA'!B35</f>
        <v>46261</v>
      </c>
      <c r="C36" s="170" t="str">
        <f>'FRIT FV 090.540 - FTA'!C35</f>
        <v>xuất</v>
      </c>
      <c r="D36" s="171"/>
      <c r="E36" s="162"/>
      <c r="F36" s="172"/>
      <c r="G36" s="162">
        <f t="shared" si="4"/>
        <v>0</v>
      </c>
      <c r="H36" s="174">
        <f>SUM($F$10:F36)/A36</f>
        <v>0</v>
      </c>
      <c r="I36" s="173">
        <f>SUM($G$10:G36)/A36</f>
        <v>0</v>
      </c>
      <c r="J36" s="175">
        <f t="shared" si="0"/>
        <v>0</v>
      </c>
      <c r="K36" s="176">
        <f t="shared" si="1"/>
        <v>0</v>
      </c>
      <c r="L36" s="177" t="e">
        <f t="shared" si="2"/>
        <v>#DIV/0!</v>
      </c>
      <c r="M36" s="161" t="e">
        <f t="shared" si="3"/>
        <v>#DIV/0!</v>
      </c>
      <c r="N36" s="168"/>
    </row>
    <row r="37" spans="1:14" ht="16.5" customHeight="1">
      <c r="A37" s="169">
        <v>28</v>
      </c>
      <c r="B37" s="170">
        <f>'FRIT FV 090.540 - FTA'!B36</f>
        <v>46262</v>
      </c>
      <c r="C37" s="170" t="str">
        <f>'FRIT FV 090.540 - FTA'!C36</f>
        <v>Không nhập - xuất</v>
      </c>
      <c r="D37" s="171"/>
      <c r="E37" s="162"/>
      <c r="F37" s="172"/>
      <c r="G37" s="162">
        <f t="shared" si="4"/>
        <v>0</v>
      </c>
      <c r="H37" s="174">
        <f>SUM($F$10:F37)/A37</f>
        <v>0</v>
      </c>
      <c r="I37" s="173">
        <f>SUM($G$10:G37)/A37</f>
        <v>0</v>
      </c>
      <c r="J37" s="175">
        <f t="shared" si="0"/>
        <v>0</v>
      </c>
      <c r="K37" s="176">
        <f t="shared" si="1"/>
        <v>0</v>
      </c>
      <c r="L37" s="177" t="e">
        <f t="shared" si="2"/>
        <v>#DIV/0!</v>
      </c>
      <c r="M37" s="161" t="e">
        <f t="shared" si="3"/>
        <v>#DIV/0!</v>
      </c>
      <c r="N37" s="168"/>
    </row>
    <row r="38" spans="1:14" ht="16.5" customHeight="1">
      <c r="A38" s="169">
        <v>29</v>
      </c>
      <c r="B38" s="170">
        <f>'FRIT FV 090.540 - FTA'!B37</f>
        <v>46263</v>
      </c>
      <c r="C38" s="170" t="str">
        <f>'FRIT FV 090.540 - FTA'!C37</f>
        <v>Không nhập - xuất</v>
      </c>
      <c r="D38" s="171"/>
      <c r="E38" s="162"/>
      <c r="F38" s="172"/>
      <c r="G38" s="162">
        <f t="shared" si="4"/>
        <v>0</v>
      </c>
      <c r="H38" s="174">
        <f>SUM($F$10:F38)/A38</f>
        <v>0</v>
      </c>
      <c r="I38" s="173">
        <f>SUM($G$10:G38)/A38</f>
        <v>0</v>
      </c>
      <c r="J38" s="175">
        <f t="shared" si="0"/>
        <v>0</v>
      </c>
      <c r="K38" s="176">
        <f t="shared" si="1"/>
        <v>0</v>
      </c>
      <c r="L38" s="177" t="e">
        <f t="shared" si="2"/>
        <v>#DIV/0!</v>
      </c>
      <c r="M38" s="161" t="e">
        <f t="shared" si="3"/>
        <v>#DIV/0!</v>
      </c>
      <c r="N38" s="168"/>
    </row>
    <row r="39" spans="1:14" ht="16.5" customHeight="1">
      <c r="A39" s="169">
        <v>30</v>
      </c>
      <c r="B39" s="170">
        <f>'FRIT FV 090.540 - FTA'!B38</f>
        <v>46264</v>
      </c>
      <c r="C39" s="170" t="str">
        <f>'FRIT FV 090.540 - FTA'!C38</f>
        <v>Không nhập - xuất</v>
      </c>
      <c r="D39" s="171"/>
      <c r="E39" s="162"/>
      <c r="F39" s="172"/>
      <c r="G39" s="162">
        <f t="shared" si="4"/>
        <v>0</v>
      </c>
      <c r="H39" s="174">
        <f>SUM($F$10:F39)/A39</f>
        <v>0</v>
      </c>
      <c r="I39" s="173">
        <f>SUM($G$10:G39)/A39</f>
        <v>0</v>
      </c>
      <c r="J39" s="175">
        <f t="shared" si="0"/>
        <v>0</v>
      </c>
      <c r="K39" s="176">
        <f t="shared" si="1"/>
        <v>0</v>
      </c>
      <c r="L39" s="177" t="e">
        <f t="shared" si="2"/>
        <v>#DIV/0!</v>
      </c>
      <c r="M39" s="161" t="e">
        <f t="shared" si="3"/>
        <v>#DIV/0!</v>
      </c>
      <c r="N39" s="168"/>
    </row>
    <row r="40" spans="1:14" ht="16.5" customHeight="1">
      <c r="A40" s="169">
        <v>31</v>
      </c>
      <c r="B40" s="170">
        <f>'FRIT FV 090.540 - FTA'!B39</f>
        <v>46265</v>
      </c>
      <c r="C40" s="170" t="str">
        <f>'FRIT FV 090.540 - FTA'!C39</f>
        <v>Không nhập - xuất</v>
      </c>
      <c r="D40" s="171"/>
      <c r="E40" s="162"/>
      <c r="F40" s="172"/>
      <c r="G40" s="162">
        <f t="shared" si="4"/>
        <v>0</v>
      </c>
      <c r="H40" s="174">
        <f>SUM($F$10:F40)/A40</f>
        <v>0</v>
      </c>
      <c r="I40" s="173">
        <f>SUM($G$10:G40)/A40</f>
        <v>0</v>
      </c>
      <c r="J40" s="175">
        <f t="shared" si="0"/>
        <v>0</v>
      </c>
      <c r="K40" s="176">
        <f t="shared" si="1"/>
        <v>0</v>
      </c>
      <c r="L40" s="177" t="e">
        <f t="shared" si="2"/>
        <v>#DIV/0!</v>
      </c>
      <c r="M40" s="161" t="e">
        <f t="shared" si="3"/>
        <v>#DIV/0!</v>
      </c>
      <c r="N40" s="168"/>
    </row>
    <row r="41" spans="1:14" s="151" customFormat="1" ht="23.25" customHeight="1">
      <c r="A41" s="1503" t="s">
        <v>29</v>
      </c>
      <c r="B41" s="1504"/>
      <c r="C41" s="1505"/>
      <c r="D41" s="162">
        <f>SUM(D10:D40)</f>
        <v>0</v>
      </c>
      <c r="E41" s="162">
        <f>SUM(E10:E40)</f>
        <v>0</v>
      </c>
      <c r="F41" s="165">
        <f>SUM(F10:F40)</f>
        <v>0</v>
      </c>
      <c r="G41" s="225">
        <f>SUM(G10:G40)</f>
        <v>0</v>
      </c>
      <c r="H41" s="165"/>
      <c r="I41" s="225"/>
      <c r="J41" s="165">
        <f>J40</f>
        <v>0</v>
      </c>
      <c r="K41" s="226">
        <f>K40</f>
        <v>0</v>
      </c>
      <c r="L41" s="163"/>
      <c r="M41" s="163"/>
      <c r="N41" s="183"/>
    </row>
    <row r="42" spans="1:14" s="151" customFormat="1" ht="23.25" customHeight="1">
      <c r="A42" s="1503" t="s">
        <v>15</v>
      </c>
      <c r="B42" s="1504"/>
      <c r="C42" s="1505"/>
      <c r="D42" s="162">
        <f>D9+D41</f>
        <v>0</v>
      </c>
      <c r="E42" s="162">
        <f>E9+E41</f>
        <v>0</v>
      </c>
      <c r="F42" s="165">
        <f>F41</f>
        <v>0</v>
      </c>
      <c r="G42" s="225">
        <f>G41</f>
        <v>0</v>
      </c>
      <c r="H42" s="165"/>
      <c r="I42" s="225"/>
      <c r="J42" s="165">
        <f>D42-F42</f>
        <v>0</v>
      </c>
      <c r="K42" s="165">
        <f>E42-G42</f>
        <v>0</v>
      </c>
      <c r="L42" s="163"/>
      <c r="M42" s="163"/>
      <c r="N42" s="183"/>
    </row>
    <row r="43" spans="1:14" ht="23.25" customHeight="1">
      <c r="A43" s="152"/>
      <c r="B43" s="152"/>
      <c r="C43" s="152"/>
      <c r="D43" s="153"/>
      <c r="E43" s="153"/>
      <c r="F43" s="153"/>
      <c r="G43" s="153"/>
      <c r="H43" s="153"/>
      <c r="I43" s="153"/>
      <c r="J43" s="153"/>
      <c r="K43" s="154" t="s">
        <v>13</v>
      </c>
      <c r="L43" s="153"/>
      <c r="N43" s="153"/>
    </row>
    <row r="44" spans="1:14">
      <c r="F44" s="153"/>
      <c r="G44" s="153"/>
      <c r="H44" s="153"/>
      <c r="I44" s="153"/>
      <c r="J44" s="153"/>
      <c r="K44" s="155"/>
      <c r="L44" s="153"/>
      <c r="N44" s="153"/>
    </row>
    <row r="45" spans="1:14">
      <c r="K45" s="155"/>
      <c r="L45" s="142"/>
      <c r="N45" s="142"/>
    </row>
    <row r="46" spans="1:14">
      <c r="K46" s="155"/>
      <c r="L46" s="142"/>
      <c r="N46" s="142"/>
    </row>
    <row r="47" spans="1:14">
      <c r="K47" s="154" t="s">
        <v>98</v>
      </c>
      <c r="L47" s="142"/>
      <c r="N47" s="142"/>
    </row>
    <row r="48" spans="1:14">
      <c r="L48" s="142"/>
      <c r="M48" s="156"/>
      <c r="N48" s="142"/>
    </row>
    <row r="49" s="143" customFormat="1"/>
    <row r="50" s="143" customFormat="1"/>
    <row r="51" s="143" customFormat="1"/>
  </sheetData>
  <mergeCells count="13">
    <mergeCell ref="A9:C9"/>
    <mergeCell ref="A41:C41"/>
    <mergeCell ref="A42:C42"/>
    <mergeCell ref="A3:N3"/>
    <mergeCell ref="N7:N8"/>
    <mergeCell ref="A7:A8"/>
    <mergeCell ref="B7:B8"/>
    <mergeCell ref="C7:C8"/>
    <mergeCell ref="D7:E7"/>
    <mergeCell ref="F7:G7"/>
    <mergeCell ref="H7:I7"/>
    <mergeCell ref="J7:K7"/>
    <mergeCell ref="L7:M7"/>
  </mergeCells>
  <conditionalFormatting sqref="M36:M39">
    <cfRule type="cellIs" dxfId="12798" priority="1" operator="lessThan">
      <formula>15</formula>
    </cfRule>
    <cfRule type="cellIs" dxfId="12797" priority="2" operator="greaterThan">
      <formula>20</formula>
    </cfRule>
    <cfRule type="cellIs" dxfId="12796" priority="3" operator="between">
      <formula>15</formula>
      <formula>20</formula>
    </cfRule>
    <cfRule type="cellIs" dxfId="12795" priority="4" operator="between">
      <formula>15</formula>
      <formula>20</formula>
    </cfRule>
    <cfRule type="cellIs" dxfId="12794" priority="5" operator="lessThan">
      <formula>15</formula>
    </cfRule>
    <cfRule type="cellIs" dxfId="12793" priority="6" operator="greaterThan">
      <formula>20</formula>
    </cfRule>
    <cfRule type="cellIs" dxfId="12792" priority="7" operator="between">
      <formula>15</formula>
      <formula>21</formula>
    </cfRule>
    <cfRule type="cellIs" dxfId="12791" priority="8" operator="lessThan">
      <formula>15</formula>
    </cfRule>
    <cfRule type="cellIs" dxfId="12790" priority="9" operator="greaterThan">
      <formula>21</formula>
    </cfRule>
  </conditionalFormatting>
  <conditionalFormatting sqref="M29:M34">
    <cfRule type="cellIs" dxfId="12789" priority="10" operator="lessThan">
      <formula>15</formula>
    </cfRule>
    <cfRule type="cellIs" dxfId="12788" priority="11" operator="greaterThan">
      <formula>20</formula>
    </cfRule>
    <cfRule type="cellIs" dxfId="12787" priority="12" operator="between">
      <formula>15</formula>
      <formula>20</formula>
    </cfRule>
    <cfRule type="cellIs" dxfId="12786" priority="13" operator="between">
      <formula>15</formula>
      <formula>20</formula>
    </cfRule>
    <cfRule type="cellIs" dxfId="12785" priority="14" operator="lessThan">
      <formula>15</formula>
    </cfRule>
    <cfRule type="cellIs" dxfId="12784" priority="15" operator="greaterThan">
      <formula>20</formula>
    </cfRule>
    <cfRule type="cellIs" dxfId="12783" priority="16" operator="between">
      <formula>15</formula>
      <formula>21</formula>
    </cfRule>
    <cfRule type="cellIs" dxfId="12782" priority="17" operator="lessThan">
      <formula>15</formula>
    </cfRule>
    <cfRule type="cellIs" dxfId="12781" priority="18" operator="greaterThan">
      <formula>21</formula>
    </cfRule>
  </conditionalFormatting>
  <conditionalFormatting sqref="M35">
    <cfRule type="cellIs" dxfId="12780" priority="28" operator="lessThan">
      <formula>15</formula>
    </cfRule>
    <cfRule type="cellIs" dxfId="12779" priority="29" operator="greaterThan">
      <formula>20</formula>
    </cfRule>
    <cfRule type="cellIs" dxfId="12778" priority="30" operator="between">
      <formula>15</formula>
      <formula>20</formula>
    </cfRule>
    <cfRule type="cellIs" dxfId="12777" priority="31" operator="between">
      <formula>15</formula>
      <formula>20</formula>
    </cfRule>
    <cfRule type="cellIs" dxfId="12776" priority="32" operator="lessThan">
      <formula>15</formula>
    </cfRule>
    <cfRule type="cellIs" dxfId="12775" priority="33" operator="greaterThan">
      <formula>20</formula>
    </cfRule>
    <cfRule type="cellIs" dxfId="12774" priority="34" operator="between">
      <formula>15</formula>
      <formula>21</formula>
    </cfRule>
    <cfRule type="cellIs" dxfId="12773" priority="35" operator="lessThan">
      <formula>15</formula>
    </cfRule>
    <cfRule type="cellIs" dxfId="12772" priority="36" operator="greaterThan">
      <formula>21</formula>
    </cfRule>
  </conditionalFormatting>
  <conditionalFormatting sqref="M10:M13">
    <cfRule type="cellIs" dxfId="12771" priority="19" operator="lessThan">
      <formula>15</formula>
    </cfRule>
    <cfRule type="cellIs" dxfId="12770" priority="20" operator="greaterThan">
      <formula>20</formula>
    </cfRule>
    <cfRule type="cellIs" dxfId="12769" priority="21" operator="between">
      <formula>15</formula>
      <formula>20</formula>
    </cfRule>
    <cfRule type="cellIs" dxfId="12768" priority="22" operator="between">
      <formula>15</formula>
      <formula>20</formula>
    </cfRule>
    <cfRule type="cellIs" dxfId="12767" priority="23" operator="lessThan">
      <formula>15</formula>
    </cfRule>
    <cfRule type="cellIs" dxfId="12766" priority="24" operator="greaterThan">
      <formula>20</formula>
    </cfRule>
    <cfRule type="cellIs" dxfId="12765" priority="25" operator="between">
      <formula>15</formula>
      <formula>21</formula>
    </cfRule>
    <cfRule type="cellIs" dxfId="12764" priority="26" operator="lessThan">
      <formula>15</formula>
    </cfRule>
    <cfRule type="cellIs" dxfId="12763" priority="27" operator="greaterThan">
      <formula>21</formula>
    </cfRule>
  </conditionalFormatting>
  <conditionalFormatting sqref="M14:M20 M40 M22:M27">
    <cfRule type="cellIs" dxfId="12762" priority="55" operator="lessThan">
      <formula>15</formula>
    </cfRule>
    <cfRule type="cellIs" dxfId="12761" priority="56" operator="greaterThan">
      <formula>20</formula>
    </cfRule>
    <cfRule type="cellIs" dxfId="12760" priority="57" operator="between">
      <formula>15</formula>
      <formula>20</formula>
    </cfRule>
    <cfRule type="cellIs" dxfId="12759" priority="58" operator="between">
      <formula>15</formula>
      <formula>20</formula>
    </cfRule>
    <cfRule type="cellIs" dxfId="12758" priority="59" operator="lessThan">
      <formula>15</formula>
    </cfRule>
    <cfRule type="cellIs" dxfId="12757" priority="60" operator="greaterThan">
      <formula>20</formula>
    </cfRule>
    <cfRule type="cellIs" dxfId="12756" priority="61" operator="between">
      <formula>15</formula>
      <formula>21</formula>
    </cfRule>
    <cfRule type="cellIs" dxfId="12755" priority="62" operator="lessThan">
      <formula>15</formula>
    </cfRule>
    <cfRule type="cellIs" dxfId="12754" priority="63" operator="greaterThan">
      <formula>21</formula>
    </cfRule>
  </conditionalFormatting>
  <conditionalFormatting sqref="M21">
    <cfRule type="cellIs" dxfId="12753" priority="46" operator="lessThan">
      <formula>15</formula>
    </cfRule>
    <cfRule type="cellIs" dxfId="12752" priority="47" operator="greaterThan">
      <formula>20</formula>
    </cfRule>
    <cfRule type="cellIs" dxfId="12751" priority="48" operator="between">
      <formula>15</formula>
      <formula>20</formula>
    </cfRule>
    <cfRule type="cellIs" dxfId="12750" priority="49" operator="between">
      <formula>15</formula>
      <formula>20</formula>
    </cfRule>
    <cfRule type="cellIs" dxfId="12749" priority="50" operator="lessThan">
      <formula>15</formula>
    </cfRule>
    <cfRule type="cellIs" dxfId="12748" priority="51" operator="greaterThan">
      <formula>20</formula>
    </cfRule>
    <cfRule type="cellIs" dxfId="12747" priority="52" operator="between">
      <formula>15</formula>
      <formula>21</formula>
    </cfRule>
    <cfRule type="cellIs" dxfId="12746" priority="53" operator="lessThan">
      <formula>15</formula>
    </cfRule>
    <cfRule type="cellIs" dxfId="12745" priority="54" operator="greaterThan">
      <formula>21</formula>
    </cfRule>
  </conditionalFormatting>
  <conditionalFormatting sqref="M28">
    <cfRule type="cellIs" dxfId="12744" priority="37" operator="lessThan">
      <formula>15</formula>
    </cfRule>
    <cfRule type="cellIs" dxfId="12743" priority="38" operator="greaterThan">
      <formula>20</formula>
    </cfRule>
    <cfRule type="cellIs" dxfId="12742" priority="39" operator="between">
      <formula>15</formula>
      <formula>20</formula>
    </cfRule>
    <cfRule type="cellIs" dxfId="12741" priority="40" operator="between">
      <formula>15</formula>
      <formula>20</formula>
    </cfRule>
    <cfRule type="cellIs" dxfId="12740" priority="41" operator="lessThan">
      <formula>15</formula>
    </cfRule>
    <cfRule type="cellIs" dxfId="12739" priority="42" operator="greaterThan">
      <formula>20</formula>
    </cfRule>
    <cfRule type="cellIs" dxfId="12738" priority="43" operator="between">
      <formula>15</formula>
      <formula>21</formula>
    </cfRule>
    <cfRule type="cellIs" dxfId="12737" priority="44" operator="lessThan">
      <formula>15</formula>
    </cfRule>
    <cfRule type="cellIs" dxfId="12736" priority="45" operator="greaterThan">
      <formula>21</formula>
    </cfRule>
  </conditionalFormatting>
  <hyperlinks>
    <hyperlink ref="M6" location="'Tong hop T11.2019'!A1" display="'Tong hop T11.2019'!A1"/>
  </hyperlinks>
  <pageMargins left="0.5" right="0.2" top="0.25" bottom="0.25" header="0.74803149606299202" footer="0.31496062992126"/>
  <pageSetup paperSize="8" orientation="landscape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N51"/>
  <sheetViews>
    <sheetView zoomScale="80" zoomScaleNormal="80" workbookViewId="0">
      <pane ySplit="9" topLeftCell="A10" activePane="bottomLeft" state="frozen"/>
      <selection pane="bottomLeft" activeCell="J17" sqref="J17"/>
    </sheetView>
  </sheetViews>
  <sheetFormatPr defaultColWidth="9.28515625" defaultRowHeight="15"/>
  <cols>
    <col min="1" max="1" width="4.7109375" style="143" customWidth="1"/>
    <col min="2" max="2" width="9" style="143" customWidth="1"/>
    <col min="3" max="3" width="16.28515625" style="143" customWidth="1"/>
    <col min="4" max="5" width="13.7109375" style="142" customWidth="1"/>
    <col min="6" max="9" width="11.28515625" style="142" customWidth="1"/>
    <col min="10" max="11" width="13" style="142" customWidth="1"/>
    <col min="12" max="13" width="11.42578125" style="143" customWidth="1"/>
    <col min="14" max="14" width="6.85546875" style="143" customWidth="1"/>
    <col min="15" max="16384" width="9.28515625" style="143"/>
  </cols>
  <sheetData>
    <row r="1" spans="1:14" ht="18" customHeight="1">
      <c r="A1" s="146" t="e">
        <f>'FRIT FV 090.540 - FTA'!#REF!</f>
        <v>#REF!</v>
      </c>
      <c r="B1" s="146"/>
      <c r="C1" s="146"/>
      <c r="D1" s="146"/>
      <c r="E1" s="146"/>
      <c r="F1" s="146"/>
    </row>
    <row r="2" spans="1:14" ht="18" customHeight="1">
      <c r="A2" s="146" t="e">
        <f>'FRIT FV 090.540 - FTA'!#REF!</f>
        <v>#REF!</v>
      </c>
      <c r="B2" s="146"/>
      <c r="C2" s="146"/>
      <c r="D2" s="144"/>
      <c r="E2" s="144"/>
      <c r="F2" s="144"/>
      <c r="I2" s="143"/>
      <c r="K2" s="199" t="e">
        <f>'FRIT FV 090.540 - FTA'!#REF!</f>
        <v>#REF!</v>
      </c>
      <c r="L2" s="142"/>
    </row>
    <row r="3" spans="1:14" ht="33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14" ht="18.75" customHeight="1">
      <c r="B4" s="145"/>
      <c r="C4" s="145"/>
      <c r="D4" s="143" t="s">
        <v>33</v>
      </c>
      <c r="E4" s="184" t="s">
        <v>125</v>
      </c>
      <c r="H4" s="142" t="s">
        <v>114</v>
      </c>
      <c r="I4" s="146" t="s">
        <v>151</v>
      </c>
      <c r="J4" s="145"/>
      <c r="K4" s="145"/>
      <c r="L4" s="145"/>
      <c r="M4" s="145"/>
    </row>
    <row r="5" spans="1:14" ht="18.75" customHeight="1">
      <c r="B5" s="143" t="e">
        <f>'FRIT FV 090.540 - FTA'!#REF!</f>
        <v>#REF!</v>
      </c>
      <c r="C5" s="143" t="e">
        <f>'FRIT FV 090.540 - FTA'!#REF!</f>
        <v>#REF!</v>
      </c>
      <c r="D5" s="143" t="e">
        <f>'FRIT FV 090.540 - FTA'!#REF!</f>
        <v>#REF!</v>
      </c>
      <c r="E5" s="147" t="e">
        <f>'FRIT FV 090.540 - FTA'!#REF!</f>
        <v>#REF!</v>
      </c>
      <c r="F5" s="143" t="e">
        <f>'FRIT FV 090.540 - FTA'!#REF!</f>
        <v>#REF!</v>
      </c>
      <c r="G5" s="143" t="e">
        <f>'FRIT FV 090.540 - FTA'!#REF!</f>
        <v>#REF!</v>
      </c>
      <c r="H5" s="143" t="e">
        <f>'FRIT FV 090.540 - FTA'!#REF!</f>
        <v>#REF!</v>
      </c>
      <c r="I5" s="143" t="e">
        <f>'FRIT FV 090.540 - FTA'!#REF!</f>
        <v>#REF!</v>
      </c>
      <c r="J5" s="143"/>
      <c r="K5" s="143"/>
    </row>
    <row r="6" spans="1:14" ht="18" customHeight="1">
      <c r="F6" s="148"/>
      <c r="G6" s="148"/>
      <c r="H6" s="148"/>
      <c r="I6" s="148"/>
      <c r="L6" s="149" t="s">
        <v>26</v>
      </c>
      <c r="M6" s="217" t="s">
        <v>149</v>
      </c>
    </row>
    <row r="7" spans="1:14" s="150" customFormat="1" ht="40.5" customHeight="1">
      <c r="A7" s="1506" t="s">
        <v>2</v>
      </c>
      <c r="B7" s="1508" t="s">
        <v>1</v>
      </c>
      <c r="C7" s="1508" t="s">
        <v>24</v>
      </c>
      <c r="D7" s="1501" t="s">
        <v>27</v>
      </c>
      <c r="E7" s="1502"/>
      <c r="F7" s="1501" t="s">
        <v>31</v>
      </c>
      <c r="G7" s="1502"/>
      <c r="H7" s="1501" t="s">
        <v>28</v>
      </c>
      <c r="I7" s="1502"/>
      <c r="J7" s="1501" t="s">
        <v>14</v>
      </c>
      <c r="K7" s="1502"/>
      <c r="L7" s="1501" t="s">
        <v>30</v>
      </c>
      <c r="M7" s="1502"/>
      <c r="N7" s="1508" t="s">
        <v>99</v>
      </c>
    </row>
    <row r="8" spans="1:14" s="150" customFormat="1" ht="27.75" customHeight="1">
      <c r="A8" s="1507"/>
      <c r="B8" s="1509"/>
      <c r="C8" s="1509"/>
      <c r="D8" s="157" t="s">
        <v>6</v>
      </c>
      <c r="E8" s="158" t="s">
        <v>25</v>
      </c>
      <c r="F8" s="157" t="s">
        <v>6</v>
      </c>
      <c r="G8" s="158" t="s">
        <v>12</v>
      </c>
      <c r="H8" s="157" t="s">
        <v>6</v>
      </c>
      <c r="I8" s="158" t="s">
        <v>12</v>
      </c>
      <c r="J8" s="157" t="s">
        <v>6</v>
      </c>
      <c r="K8" s="159" t="s">
        <v>12</v>
      </c>
      <c r="L8" s="160" t="s">
        <v>6</v>
      </c>
      <c r="M8" s="159" t="s">
        <v>12</v>
      </c>
      <c r="N8" s="1509"/>
    </row>
    <row r="9" spans="1:14" s="150" customFormat="1" ht="25.5" customHeight="1">
      <c r="A9" s="1510" t="s">
        <v>3</v>
      </c>
      <c r="B9" s="1511"/>
      <c r="C9" s="1512"/>
      <c r="D9" s="161">
        <f>J9</f>
        <v>0</v>
      </c>
      <c r="E9" s="162">
        <f>K9</f>
        <v>0</v>
      </c>
      <c r="F9" s="163"/>
      <c r="G9" s="162"/>
      <c r="H9" s="163"/>
      <c r="I9" s="162"/>
      <c r="J9" s="164">
        <f>K9-K9*N9</f>
        <v>0</v>
      </c>
      <c r="K9" s="165">
        <v>0</v>
      </c>
      <c r="L9" s="166"/>
      <c r="M9" s="167"/>
      <c r="N9" s="168"/>
    </row>
    <row r="10" spans="1:14" ht="16.5" customHeight="1">
      <c r="A10" s="169">
        <v>1</v>
      </c>
      <c r="B10" s="170">
        <f>'FRIT FV 090.540 - FTA'!B9</f>
        <v>46235</v>
      </c>
      <c r="C10" s="170" t="s">
        <v>60</v>
      </c>
      <c r="D10" s="171"/>
      <c r="E10" s="162"/>
      <c r="F10" s="172"/>
      <c r="G10" s="173"/>
      <c r="H10" s="174">
        <f>SUM($F$9:F10)/A10</f>
        <v>0</v>
      </c>
      <c r="I10" s="173">
        <f>SUM($G$9:G10)/A10</f>
        <v>0</v>
      </c>
      <c r="J10" s="175">
        <f t="shared" ref="J10:K12" si="0">J9+D10-F10</f>
        <v>0</v>
      </c>
      <c r="K10" s="176">
        <f t="shared" si="0"/>
        <v>0</v>
      </c>
      <c r="L10" s="177" t="e">
        <f>J10/H10</f>
        <v>#DIV/0!</v>
      </c>
      <c r="M10" s="161" t="e">
        <f>K10/I10</f>
        <v>#DIV/0!</v>
      </c>
      <c r="N10" s="168"/>
    </row>
    <row r="11" spans="1:14" ht="16.5" customHeight="1">
      <c r="A11" s="169">
        <v>2</v>
      </c>
      <c r="B11" s="170">
        <f>'FRIT FV 090.540 - FTA'!B10</f>
        <v>46236</v>
      </c>
      <c r="C11" s="170" t="s">
        <v>60</v>
      </c>
      <c r="D11" s="171"/>
      <c r="E11" s="162"/>
      <c r="F11" s="172"/>
      <c r="G11" s="173"/>
      <c r="H11" s="174">
        <f>SUM($F$9:F11)/A11</f>
        <v>0</v>
      </c>
      <c r="I11" s="173">
        <f>SUM($G$9:G11)/A11</f>
        <v>0</v>
      </c>
      <c r="J11" s="175">
        <f t="shared" si="0"/>
        <v>0</v>
      </c>
      <c r="K11" s="176">
        <f t="shared" si="0"/>
        <v>0</v>
      </c>
      <c r="L11" s="177" t="e">
        <f t="shared" ref="L11:L40" si="1">J11/H11</f>
        <v>#DIV/0!</v>
      </c>
      <c r="M11" s="161" t="e">
        <f t="shared" ref="M11:M40" si="2">K11/I11</f>
        <v>#DIV/0!</v>
      </c>
      <c r="N11" s="168"/>
    </row>
    <row r="12" spans="1:14" ht="16.5" customHeight="1">
      <c r="A12" s="169">
        <v>3</v>
      </c>
      <c r="B12" s="170">
        <f>'FRIT FV 090.540 - FTA'!B11</f>
        <v>46237</v>
      </c>
      <c r="C12" s="170" t="s">
        <v>60</v>
      </c>
      <c r="D12" s="171"/>
      <c r="E12" s="162"/>
      <c r="F12" s="172"/>
      <c r="G12" s="173"/>
      <c r="H12" s="174">
        <f>SUM($F$9:F12)/A12</f>
        <v>0</v>
      </c>
      <c r="I12" s="173">
        <f>SUM($G$9:G12)/A12</f>
        <v>0</v>
      </c>
      <c r="J12" s="175">
        <f t="shared" si="0"/>
        <v>0</v>
      </c>
      <c r="K12" s="176">
        <f t="shared" si="0"/>
        <v>0</v>
      </c>
      <c r="L12" s="177" t="e">
        <f t="shared" si="1"/>
        <v>#DIV/0!</v>
      </c>
      <c r="M12" s="161" t="e">
        <f t="shared" si="2"/>
        <v>#DIV/0!</v>
      </c>
      <c r="N12" s="168"/>
    </row>
    <row r="13" spans="1:14" ht="16.5" customHeight="1">
      <c r="A13" s="169">
        <v>4</v>
      </c>
      <c r="B13" s="170">
        <f>'FRIT FV 090.540 - FTA'!B12</f>
        <v>46238</v>
      </c>
      <c r="C13" s="170" t="s">
        <v>199</v>
      </c>
      <c r="D13" s="171"/>
      <c r="E13" s="162"/>
      <c r="F13" s="172"/>
      <c r="G13" s="173"/>
      <c r="H13" s="174">
        <f>SUM($F$9:F13)/A13</f>
        <v>0</v>
      </c>
      <c r="I13" s="173">
        <f>SUM($G$9:G13)/A13</f>
        <v>0</v>
      </c>
      <c r="J13" s="175">
        <f t="shared" ref="J13:K28" si="3">J12+D13-F13</f>
        <v>0</v>
      </c>
      <c r="K13" s="176">
        <f t="shared" si="3"/>
        <v>0</v>
      </c>
      <c r="L13" s="177" t="e">
        <f t="shared" si="1"/>
        <v>#DIV/0!</v>
      </c>
      <c r="M13" s="161" t="e">
        <f t="shared" si="2"/>
        <v>#DIV/0!</v>
      </c>
      <c r="N13" s="168"/>
    </row>
    <row r="14" spans="1:14" ht="16.5" customHeight="1">
      <c r="A14" s="169">
        <v>5</v>
      </c>
      <c r="B14" s="170">
        <f>'FRIT FV 090.540 - FTA'!B13</f>
        <v>46239</v>
      </c>
      <c r="C14" s="170" t="s">
        <v>199</v>
      </c>
      <c r="D14" s="178"/>
      <c r="E14" s="162"/>
      <c r="F14" s="172"/>
      <c r="G14" s="173"/>
      <c r="H14" s="174">
        <f>SUM($F$9:F14)/A14</f>
        <v>0</v>
      </c>
      <c r="I14" s="173">
        <f>SUM($G$9:G14)/A14</f>
        <v>0</v>
      </c>
      <c r="J14" s="175">
        <f t="shared" si="3"/>
        <v>0</v>
      </c>
      <c r="K14" s="176">
        <f t="shared" si="3"/>
        <v>0</v>
      </c>
      <c r="L14" s="177" t="e">
        <f t="shared" si="1"/>
        <v>#DIV/0!</v>
      </c>
      <c r="M14" s="161" t="e">
        <f t="shared" si="2"/>
        <v>#DIV/0!</v>
      </c>
      <c r="N14" s="168"/>
    </row>
    <row r="15" spans="1:14" ht="16.5" customHeight="1">
      <c r="A15" s="169">
        <v>6</v>
      </c>
      <c r="B15" s="170">
        <f>'FRIT FV 090.540 - FTA'!B14</f>
        <v>46240</v>
      </c>
      <c r="C15" s="170" t="s">
        <v>199</v>
      </c>
      <c r="D15" s="171"/>
      <c r="E15" s="162"/>
      <c r="F15" s="172"/>
      <c r="G15" s="173"/>
      <c r="H15" s="174">
        <f>SUM($F$9:F15)/A15</f>
        <v>0</v>
      </c>
      <c r="I15" s="173">
        <f>SUM($G$9:G15)/A15</f>
        <v>0</v>
      </c>
      <c r="J15" s="175">
        <f t="shared" si="3"/>
        <v>0</v>
      </c>
      <c r="K15" s="176">
        <f t="shared" si="3"/>
        <v>0</v>
      </c>
      <c r="L15" s="177" t="e">
        <f t="shared" si="1"/>
        <v>#DIV/0!</v>
      </c>
      <c r="M15" s="161" t="e">
        <f t="shared" si="2"/>
        <v>#DIV/0!</v>
      </c>
      <c r="N15" s="168"/>
    </row>
    <row r="16" spans="1:14" ht="16.5" customHeight="1">
      <c r="A16" s="169">
        <v>7</v>
      </c>
      <c r="B16" s="170">
        <f>'FRIT FV 090.540 - FTA'!B15</f>
        <v>46241</v>
      </c>
      <c r="C16" s="170" t="s">
        <v>199</v>
      </c>
      <c r="D16" s="171"/>
      <c r="E16" s="162"/>
      <c r="F16" s="172"/>
      <c r="G16" s="173"/>
      <c r="H16" s="174">
        <f>SUM($F$9:F16)/A16</f>
        <v>0</v>
      </c>
      <c r="I16" s="173">
        <f>SUM($G$9:G16)/A16</f>
        <v>0</v>
      </c>
      <c r="J16" s="175">
        <f t="shared" si="3"/>
        <v>0</v>
      </c>
      <c r="K16" s="176">
        <f t="shared" si="3"/>
        <v>0</v>
      </c>
      <c r="L16" s="177" t="e">
        <f t="shared" si="1"/>
        <v>#DIV/0!</v>
      </c>
      <c r="M16" s="161" t="e">
        <f t="shared" si="2"/>
        <v>#DIV/0!</v>
      </c>
      <c r="N16" s="168"/>
    </row>
    <row r="17" spans="1:14" ht="16.5" customHeight="1">
      <c r="A17" s="169">
        <v>8</v>
      </c>
      <c r="B17" s="170">
        <f>'FRIT FV 090.540 - FTA'!B16</f>
        <v>46242</v>
      </c>
      <c r="C17" s="170" t="s">
        <v>199</v>
      </c>
      <c r="D17" s="171"/>
      <c r="E17" s="162"/>
      <c r="F17" s="172"/>
      <c r="G17" s="173"/>
      <c r="H17" s="174">
        <f>SUM($F$9:F17)/A17</f>
        <v>0</v>
      </c>
      <c r="I17" s="173">
        <f>SUM($G$9:G17)/A17</f>
        <v>0</v>
      </c>
      <c r="J17" s="175">
        <f t="shared" si="3"/>
        <v>0</v>
      </c>
      <c r="K17" s="176">
        <f t="shared" si="3"/>
        <v>0</v>
      </c>
      <c r="L17" s="177" t="e">
        <f t="shared" si="1"/>
        <v>#DIV/0!</v>
      </c>
      <c r="M17" s="161" t="e">
        <f t="shared" si="2"/>
        <v>#DIV/0!</v>
      </c>
      <c r="N17" s="168"/>
    </row>
    <row r="18" spans="1:14" ht="16.5" customHeight="1">
      <c r="A18" s="169">
        <v>9</v>
      </c>
      <c r="B18" s="170">
        <f>'FRIT FV 090.540 - FTA'!B17</f>
        <v>46243</v>
      </c>
      <c r="C18" s="170" t="s">
        <v>199</v>
      </c>
      <c r="D18" s="171"/>
      <c r="E18" s="162"/>
      <c r="F18" s="172"/>
      <c r="G18" s="173"/>
      <c r="H18" s="174">
        <f>SUM($F$9:F18)/A18</f>
        <v>0</v>
      </c>
      <c r="I18" s="173">
        <f>SUM($G$9:G18)/A18</f>
        <v>0</v>
      </c>
      <c r="J18" s="175">
        <f t="shared" si="3"/>
        <v>0</v>
      </c>
      <c r="K18" s="176">
        <f t="shared" si="3"/>
        <v>0</v>
      </c>
      <c r="L18" s="177" t="e">
        <f t="shared" si="1"/>
        <v>#DIV/0!</v>
      </c>
      <c r="M18" s="161" t="e">
        <f t="shared" si="2"/>
        <v>#DIV/0!</v>
      </c>
      <c r="N18" s="168"/>
    </row>
    <row r="19" spans="1:14" ht="16.5" customHeight="1">
      <c r="A19" s="169">
        <v>10</v>
      </c>
      <c r="B19" s="170">
        <f>'FRIT FV 090.540 - FTA'!B18</f>
        <v>46244</v>
      </c>
      <c r="C19" s="170" t="s">
        <v>199</v>
      </c>
      <c r="D19" s="171"/>
      <c r="E19" s="162"/>
      <c r="F19" s="172"/>
      <c r="G19" s="173"/>
      <c r="H19" s="174">
        <f>SUM($F$9:F19)/A19</f>
        <v>0</v>
      </c>
      <c r="I19" s="173">
        <f>SUM($G$9:G19)/A19</f>
        <v>0</v>
      </c>
      <c r="J19" s="175">
        <f t="shared" si="3"/>
        <v>0</v>
      </c>
      <c r="K19" s="176">
        <f t="shared" si="3"/>
        <v>0</v>
      </c>
      <c r="L19" s="177" t="e">
        <f t="shared" si="1"/>
        <v>#DIV/0!</v>
      </c>
      <c r="M19" s="161" t="e">
        <f t="shared" si="2"/>
        <v>#DIV/0!</v>
      </c>
      <c r="N19" s="168"/>
    </row>
    <row r="20" spans="1:14" ht="16.5" customHeight="1">
      <c r="A20" s="169">
        <v>11</v>
      </c>
      <c r="B20" s="170">
        <f>'FRIT FV 090.540 - FTA'!B19</f>
        <v>46245</v>
      </c>
      <c r="C20" s="170" t="s">
        <v>199</v>
      </c>
      <c r="D20" s="171"/>
      <c r="E20" s="162"/>
      <c r="F20" s="172"/>
      <c r="G20" s="173"/>
      <c r="H20" s="174">
        <f>SUM($F$9:F20)/A20</f>
        <v>0</v>
      </c>
      <c r="I20" s="173">
        <f>SUM($G$9:G20)/A20</f>
        <v>0</v>
      </c>
      <c r="J20" s="175">
        <f t="shared" si="3"/>
        <v>0</v>
      </c>
      <c r="K20" s="176">
        <f t="shared" si="3"/>
        <v>0</v>
      </c>
      <c r="L20" s="177" t="e">
        <f t="shared" si="1"/>
        <v>#DIV/0!</v>
      </c>
      <c r="M20" s="161" t="e">
        <f t="shared" si="2"/>
        <v>#DIV/0!</v>
      </c>
      <c r="N20" s="168"/>
    </row>
    <row r="21" spans="1:14" ht="16.5" customHeight="1">
      <c r="A21" s="169">
        <v>12</v>
      </c>
      <c r="B21" s="170">
        <f>'FRIT FV 090.540 - FTA'!B20</f>
        <v>46246</v>
      </c>
      <c r="C21" s="170" t="s">
        <v>199</v>
      </c>
      <c r="D21" s="178"/>
      <c r="E21" s="162"/>
      <c r="F21" s="172"/>
      <c r="G21" s="173"/>
      <c r="H21" s="174">
        <f>SUM($F$9:F21)/A21</f>
        <v>0</v>
      </c>
      <c r="I21" s="173">
        <f>SUM($G$9:G21)/A21</f>
        <v>0</v>
      </c>
      <c r="J21" s="175">
        <f t="shared" si="3"/>
        <v>0</v>
      </c>
      <c r="K21" s="176">
        <f t="shared" si="3"/>
        <v>0</v>
      </c>
      <c r="L21" s="177" t="e">
        <f t="shared" si="1"/>
        <v>#DIV/0!</v>
      </c>
      <c r="M21" s="161" t="e">
        <f t="shared" si="2"/>
        <v>#DIV/0!</v>
      </c>
      <c r="N21" s="168"/>
    </row>
    <row r="22" spans="1:14" ht="16.5" customHeight="1">
      <c r="A22" s="169">
        <v>13</v>
      </c>
      <c r="B22" s="170">
        <f>'FRIT FV 090.540 - FTA'!B21</f>
        <v>46247</v>
      </c>
      <c r="C22" s="170" t="s">
        <v>199</v>
      </c>
      <c r="D22" s="171"/>
      <c r="E22" s="162"/>
      <c r="F22" s="172"/>
      <c r="G22" s="173"/>
      <c r="H22" s="174">
        <f>SUM($F$9:F22)/A22</f>
        <v>0</v>
      </c>
      <c r="I22" s="173">
        <f>SUM($G$9:G22)/A22</f>
        <v>0</v>
      </c>
      <c r="J22" s="175">
        <f t="shared" si="3"/>
        <v>0</v>
      </c>
      <c r="K22" s="176">
        <f>K21+E22-G22</f>
        <v>0</v>
      </c>
      <c r="L22" s="177" t="e">
        <f t="shared" si="1"/>
        <v>#DIV/0!</v>
      </c>
      <c r="M22" s="161" t="e">
        <f t="shared" si="2"/>
        <v>#DIV/0!</v>
      </c>
      <c r="N22" s="168"/>
    </row>
    <row r="23" spans="1:14" ht="16.5" customHeight="1">
      <c r="A23" s="169">
        <v>14</v>
      </c>
      <c r="B23" s="170">
        <f>'FRIT FV 090.540 - FTA'!B22</f>
        <v>46248</v>
      </c>
      <c r="C23" s="170" t="s">
        <v>199</v>
      </c>
      <c r="D23" s="171"/>
      <c r="E23" s="162"/>
      <c r="F23" s="172"/>
      <c r="G23" s="173"/>
      <c r="H23" s="174">
        <f>SUM($F$9:F23)/A23</f>
        <v>0</v>
      </c>
      <c r="I23" s="173">
        <f>SUM($G$9:G23)/A23</f>
        <v>0</v>
      </c>
      <c r="J23" s="175">
        <f t="shared" si="3"/>
        <v>0</v>
      </c>
      <c r="K23" s="176">
        <f>K22+E23-G23</f>
        <v>0</v>
      </c>
      <c r="L23" s="177" t="e">
        <f t="shared" si="1"/>
        <v>#DIV/0!</v>
      </c>
      <c r="M23" s="161" t="e">
        <f t="shared" si="2"/>
        <v>#DIV/0!</v>
      </c>
      <c r="N23" s="168"/>
    </row>
    <row r="24" spans="1:14" ht="16.5" customHeight="1">
      <c r="A24" s="169">
        <v>15</v>
      </c>
      <c r="B24" s="170">
        <f>'FRIT FV 090.540 - FTA'!B23</f>
        <v>46249</v>
      </c>
      <c r="C24" s="170" t="s">
        <v>199</v>
      </c>
      <c r="D24" s="171"/>
      <c r="E24" s="162"/>
      <c r="F24" s="172"/>
      <c r="G24" s="173"/>
      <c r="H24" s="174">
        <f>SUM($F$9:F24)/A24</f>
        <v>0</v>
      </c>
      <c r="I24" s="179">
        <f>SUM($G$9:G24)/A24</f>
        <v>0</v>
      </c>
      <c r="J24" s="175">
        <f t="shared" si="3"/>
        <v>0</v>
      </c>
      <c r="K24" s="176">
        <f t="shared" si="3"/>
        <v>0</v>
      </c>
      <c r="L24" s="177" t="e">
        <f t="shared" si="1"/>
        <v>#DIV/0!</v>
      </c>
      <c r="M24" s="161" t="e">
        <f t="shared" si="2"/>
        <v>#DIV/0!</v>
      </c>
      <c r="N24" s="168"/>
    </row>
    <row r="25" spans="1:14" ht="16.5" customHeight="1">
      <c r="A25" s="169">
        <v>16</v>
      </c>
      <c r="B25" s="170">
        <f>'FRIT FV 090.540 - FTA'!B24</f>
        <v>46250</v>
      </c>
      <c r="C25" s="170" t="s">
        <v>199</v>
      </c>
      <c r="D25" s="171"/>
      <c r="E25" s="162"/>
      <c r="F25" s="172"/>
      <c r="G25" s="173"/>
      <c r="H25" s="174">
        <f>SUM($F$9:F25)/A25</f>
        <v>0</v>
      </c>
      <c r="I25" s="173">
        <f>SUM($G$9:G25)/A25</f>
        <v>0</v>
      </c>
      <c r="J25" s="175">
        <f t="shared" si="3"/>
        <v>0</v>
      </c>
      <c r="K25" s="176">
        <f>K24+E25-G25</f>
        <v>0</v>
      </c>
      <c r="L25" s="177" t="e">
        <f t="shared" si="1"/>
        <v>#DIV/0!</v>
      </c>
      <c r="M25" s="161" t="e">
        <f t="shared" si="2"/>
        <v>#DIV/0!</v>
      </c>
      <c r="N25" s="168"/>
    </row>
    <row r="26" spans="1:14" ht="16.5" customHeight="1">
      <c r="A26" s="169">
        <v>17</v>
      </c>
      <c r="B26" s="170">
        <f>'FRIT FV 090.540 - FTA'!B25</f>
        <v>46251</v>
      </c>
      <c r="C26" s="170" t="s">
        <v>199</v>
      </c>
      <c r="D26" s="171"/>
      <c r="E26" s="162"/>
      <c r="F26" s="172"/>
      <c r="G26" s="173"/>
      <c r="H26" s="174">
        <f>SUM($F$9:F26)/A26</f>
        <v>0</v>
      </c>
      <c r="I26" s="173">
        <f>SUM($G$9:G26)/A26</f>
        <v>0</v>
      </c>
      <c r="J26" s="175">
        <f t="shared" si="3"/>
        <v>0</v>
      </c>
      <c r="K26" s="176">
        <f>K25+E26-G26</f>
        <v>0</v>
      </c>
      <c r="L26" s="177" t="e">
        <f t="shared" si="1"/>
        <v>#DIV/0!</v>
      </c>
      <c r="M26" s="161" t="e">
        <f t="shared" si="2"/>
        <v>#DIV/0!</v>
      </c>
      <c r="N26" s="168"/>
    </row>
    <row r="27" spans="1:14" ht="16.5" customHeight="1">
      <c r="A27" s="169">
        <v>18</v>
      </c>
      <c r="B27" s="170">
        <f>'FRIT FV 090.540 - FTA'!B26</f>
        <v>46252</v>
      </c>
      <c r="C27" s="170" t="s">
        <v>199</v>
      </c>
      <c r="D27" s="171"/>
      <c r="E27" s="162"/>
      <c r="F27" s="172"/>
      <c r="G27" s="173"/>
      <c r="H27" s="174">
        <f>SUM($F$9:F27)/A27</f>
        <v>0</v>
      </c>
      <c r="I27" s="173">
        <f>SUM($G$9:G27)/A27</f>
        <v>0</v>
      </c>
      <c r="J27" s="175">
        <f t="shared" si="3"/>
        <v>0</v>
      </c>
      <c r="K27" s="176">
        <f>K26+E27-G27</f>
        <v>0</v>
      </c>
      <c r="L27" s="177" t="e">
        <f t="shared" si="1"/>
        <v>#DIV/0!</v>
      </c>
      <c r="M27" s="161" t="e">
        <f t="shared" si="2"/>
        <v>#DIV/0!</v>
      </c>
      <c r="N27" s="168"/>
    </row>
    <row r="28" spans="1:14" ht="16.5" customHeight="1">
      <c r="A28" s="169">
        <v>19</v>
      </c>
      <c r="B28" s="170">
        <f>'FRIT FV 090.540 - FTA'!B27</f>
        <v>46253</v>
      </c>
      <c r="C28" s="170" t="s">
        <v>199</v>
      </c>
      <c r="D28" s="178"/>
      <c r="E28" s="162"/>
      <c r="F28" s="172"/>
      <c r="G28" s="173"/>
      <c r="H28" s="174">
        <f>SUM($F$9:F28)/A28</f>
        <v>0</v>
      </c>
      <c r="I28" s="173">
        <f>SUM($G$9:G28)/A28</f>
        <v>0</v>
      </c>
      <c r="J28" s="175">
        <f t="shared" si="3"/>
        <v>0</v>
      </c>
      <c r="K28" s="176">
        <f>K27+E28-G28</f>
        <v>0</v>
      </c>
      <c r="L28" s="177" t="e">
        <f t="shared" si="1"/>
        <v>#DIV/0!</v>
      </c>
      <c r="M28" s="161" t="e">
        <f t="shared" si="2"/>
        <v>#DIV/0!</v>
      </c>
      <c r="N28" s="168"/>
    </row>
    <row r="29" spans="1:14" ht="16.5" customHeight="1">
      <c r="A29" s="169">
        <v>20</v>
      </c>
      <c r="B29" s="170">
        <f>'FRIT FV 090.540 - FTA'!B28</f>
        <v>46254</v>
      </c>
      <c r="C29" s="170" t="s">
        <v>199</v>
      </c>
      <c r="D29" s="178"/>
      <c r="E29" s="162"/>
      <c r="F29" s="172"/>
      <c r="G29" s="173"/>
      <c r="H29" s="174">
        <f>SUM($F$9:F29)/A29</f>
        <v>0</v>
      </c>
      <c r="I29" s="173">
        <f>SUM($G$9:G29)/A29</f>
        <v>0</v>
      </c>
      <c r="J29" s="175">
        <f t="shared" ref="J29:K40" si="4">J28+D29-F29</f>
        <v>0</v>
      </c>
      <c r="K29" s="176">
        <f t="shared" si="4"/>
        <v>0</v>
      </c>
      <c r="L29" s="177" t="e">
        <f t="shared" si="1"/>
        <v>#DIV/0!</v>
      </c>
      <c r="M29" s="161" t="e">
        <f t="shared" si="2"/>
        <v>#DIV/0!</v>
      </c>
      <c r="N29" s="168"/>
    </row>
    <row r="30" spans="1:14" ht="16.5" customHeight="1">
      <c r="A30" s="169">
        <v>21</v>
      </c>
      <c r="B30" s="170">
        <f>'FRIT FV 090.540 - FTA'!B29</f>
        <v>46255</v>
      </c>
      <c r="C30" s="170" t="s">
        <v>199</v>
      </c>
      <c r="D30" s="171"/>
      <c r="E30" s="162"/>
      <c r="F30" s="172"/>
      <c r="G30" s="173"/>
      <c r="H30" s="174">
        <f>SUM($F$9:F30)/A30</f>
        <v>0</v>
      </c>
      <c r="I30" s="173">
        <f>SUM($G$9:G30)/A30</f>
        <v>0</v>
      </c>
      <c r="J30" s="175">
        <f t="shared" si="4"/>
        <v>0</v>
      </c>
      <c r="K30" s="176">
        <f t="shared" si="4"/>
        <v>0</v>
      </c>
      <c r="L30" s="177" t="e">
        <f t="shared" si="1"/>
        <v>#DIV/0!</v>
      </c>
      <c r="M30" s="161" t="e">
        <f t="shared" si="2"/>
        <v>#DIV/0!</v>
      </c>
      <c r="N30" s="168"/>
    </row>
    <row r="31" spans="1:14" ht="16.5" customHeight="1">
      <c r="A31" s="169">
        <v>22</v>
      </c>
      <c r="B31" s="170">
        <f>'FRIT FV 090.540 - FTA'!B30</f>
        <v>46256</v>
      </c>
      <c r="C31" s="170" t="s">
        <v>199</v>
      </c>
      <c r="D31" s="171"/>
      <c r="E31" s="162"/>
      <c r="F31" s="172"/>
      <c r="G31" s="173"/>
      <c r="H31" s="174">
        <f>SUM($F$9:F31)/A31</f>
        <v>0</v>
      </c>
      <c r="I31" s="173">
        <f>SUM($G$9:G31)/A31</f>
        <v>0</v>
      </c>
      <c r="J31" s="175">
        <f t="shared" si="4"/>
        <v>0</v>
      </c>
      <c r="K31" s="176">
        <f t="shared" si="4"/>
        <v>0</v>
      </c>
      <c r="L31" s="177" t="e">
        <f t="shared" si="1"/>
        <v>#DIV/0!</v>
      </c>
      <c r="M31" s="161" t="e">
        <f t="shared" si="2"/>
        <v>#DIV/0!</v>
      </c>
      <c r="N31" s="168"/>
    </row>
    <row r="32" spans="1:14" ht="16.5" customHeight="1">
      <c r="A32" s="169">
        <v>23</v>
      </c>
      <c r="B32" s="170">
        <f>'FRIT FV 090.540 - FTA'!B31</f>
        <v>46257</v>
      </c>
      <c r="C32" s="170" t="s">
        <v>199</v>
      </c>
      <c r="D32" s="171"/>
      <c r="E32" s="162"/>
      <c r="F32" s="172"/>
      <c r="G32" s="173"/>
      <c r="H32" s="174">
        <f>SUM($F$9:F32)/A32</f>
        <v>0</v>
      </c>
      <c r="I32" s="173">
        <f>SUM($G$9:G32)/A32</f>
        <v>0</v>
      </c>
      <c r="J32" s="175">
        <f t="shared" si="4"/>
        <v>0</v>
      </c>
      <c r="K32" s="176">
        <f t="shared" si="4"/>
        <v>0</v>
      </c>
      <c r="L32" s="177" t="e">
        <f t="shared" si="1"/>
        <v>#DIV/0!</v>
      </c>
      <c r="M32" s="161" t="e">
        <f t="shared" si="2"/>
        <v>#DIV/0!</v>
      </c>
      <c r="N32" s="168"/>
    </row>
    <row r="33" spans="1:14" ht="16.5" customHeight="1">
      <c r="A33" s="169">
        <v>24</v>
      </c>
      <c r="B33" s="170">
        <f>'FRIT FV 090.540 - FTA'!B32</f>
        <v>46258</v>
      </c>
      <c r="C33" s="170" t="s">
        <v>199</v>
      </c>
      <c r="D33" s="171"/>
      <c r="E33" s="162"/>
      <c r="F33" s="172"/>
      <c r="G33" s="173"/>
      <c r="H33" s="174">
        <f>SUM($F$9:F33)/A33</f>
        <v>0</v>
      </c>
      <c r="I33" s="173">
        <f>SUM($G$9:G33)/A33</f>
        <v>0</v>
      </c>
      <c r="J33" s="175">
        <f t="shared" si="4"/>
        <v>0</v>
      </c>
      <c r="K33" s="176">
        <f t="shared" si="4"/>
        <v>0</v>
      </c>
      <c r="L33" s="177" t="e">
        <f t="shared" si="1"/>
        <v>#DIV/0!</v>
      </c>
      <c r="M33" s="161" t="e">
        <f t="shared" si="2"/>
        <v>#DIV/0!</v>
      </c>
      <c r="N33" s="168"/>
    </row>
    <row r="34" spans="1:14" ht="16.5" customHeight="1">
      <c r="A34" s="169">
        <v>25</v>
      </c>
      <c r="B34" s="170">
        <f>'FRIT FV 090.540 - FTA'!B33</f>
        <v>46259</v>
      </c>
      <c r="C34" s="170" t="s">
        <v>199</v>
      </c>
      <c r="D34" s="171"/>
      <c r="E34" s="162"/>
      <c r="F34" s="188"/>
      <c r="G34" s="189"/>
      <c r="H34" s="174">
        <f>SUM($F$9:F34)/A34</f>
        <v>0</v>
      </c>
      <c r="I34" s="173">
        <f>SUM($G$9:G34)/A34</f>
        <v>0</v>
      </c>
      <c r="J34" s="175">
        <f t="shared" si="4"/>
        <v>0</v>
      </c>
      <c r="K34" s="176">
        <f t="shared" si="4"/>
        <v>0</v>
      </c>
      <c r="L34" s="177" t="e">
        <f t="shared" si="1"/>
        <v>#DIV/0!</v>
      </c>
      <c r="M34" s="161" t="e">
        <f t="shared" si="2"/>
        <v>#DIV/0!</v>
      </c>
      <c r="N34" s="168"/>
    </row>
    <row r="35" spans="1:14" ht="16.5" customHeight="1">
      <c r="A35" s="169">
        <v>26</v>
      </c>
      <c r="B35" s="170">
        <f>'FRIT FV 090.540 - FTA'!B34</f>
        <v>46260</v>
      </c>
      <c r="C35" s="170" t="s">
        <v>199</v>
      </c>
      <c r="D35" s="178"/>
      <c r="E35" s="162"/>
      <c r="F35" s="188"/>
      <c r="G35" s="189"/>
      <c r="H35" s="174">
        <f>SUM($F$9:F35)/A35</f>
        <v>0</v>
      </c>
      <c r="I35" s="173">
        <f>SUM($G$9:G35)/A35</f>
        <v>0</v>
      </c>
      <c r="J35" s="175">
        <f t="shared" si="4"/>
        <v>0</v>
      </c>
      <c r="K35" s="176">
        <f t="shared" si="4"/>
        <v>0</v>
      </c>
      <c r="L35" s="177" t="e">
        <f t="shared" si="1"/>
        <v>#DIV/0!</v>
      </c>
      <c r="M35" s="161" t="e">
        <f t="shared" si="2"/>
        <v>#DIV/0!</v>
      </c>
      <c r="N35" s="168"/>
    </row>
    <row r="36" spans="1:14" ht="16.5" customHeight="1">
      <c r="A36" s="169">
        <v>27</v>
      </c>
      <c r="B36" s="170">
        <f>'FRIT FV 090.540 - FTA'!B35</f>
        <v>46261</v>
      </c>
      <c r="C36" s="170" t="s">
        <v>199</v>
      </c>
      <c r="D36" s="171"/>
      <c r="E36" s="162"/>
      <c r="F36" s="188"/>
      <c r="G36" s="189"/>
      <c r="H36" s="174">
        <f>SUM($F$9:F36)/A36</f>
        <v>0</v>
      </c>
      <c r="I36" s="173">
        <f>SUM($G$9:G36)/A36</f>
        <v>0</v>
      </c>
      <c r="J36" s="175">
        <f t="shared" si="4"/>
        <v>0</v>
      </c>
      <c r="K36" s="176">
        <f t="shared" si="4"/>
        <v>0</v>
      </c>
      <c r="L36" s="177" t="e">
        <f t="shared" si="1"/>
        <v>#DIV/0!</v>
      </c>
      <c r="M36" s="161" t="e">
        <f t="shared" si="2"/>
        <v>#DIV/0!</v>
      </c>
      <c r="N36" s="168"/>
    </row>
    <row r="37" spans="1:14" ht="16.5" customHeight="1">
      <c r="A37" s="169">
        <v>28</v>
      </c>
      <c r="B37" s="170">
        <f>'FRIT FV 090.540 - FTA'!B36</f>
        <v>46262</v>
      </c>
      <c r="C37" s="170" t="s">
        <v>199</v>
      </c>
      <c r="D37" s="171"/>
      <c r="E37" s="162"/>
      <c r="F37" s="188"/>
      <c r="G37" s="189"/>
      <c r="H37" s="174">
        <f>SUM($F$9:F37)/A37</f>
        <v>0</v>
      </c>
      <c r="I37" s="173">
        <f>SUM($G$9:G37)/A37</f>
        <v>0</v>
      </c>
      <c r="J37" s="175">
        <f t="shared" si="4"/>
        <v>0</v>
      </c>
      <c r="K37" s="176">
        <f t="shared" si="4"/>
        <v>0</v>
      </c>
      <c r="L37" s="177" t="e">
        <f t="shared" si="1"/>
        <v>#DIV/0!</v>
      </c>
      <c r="M37" s="161" t="e">
        <f t="shared" si="2"/>
        <v>#DIV/0!</v>
      </c>
      <c r="N37" s="168"/>
    </row>
    <row r="38" spans="1:14" ht="16.5" customHeight="1">
      <c r="A38" s="169">
        <v>29</v>
      </c>
      <c r="B38" s="170">
        <f>'FRIT FV 090.540 - FTA'!B37</f>
        <v>46263</v>
      </c>
      <c r="C38" s="170" t="s">
        <v>199</v>
      </c>
      <c r="D38" s="171"/>
      <c r="E38" s="162"/>
      <c r="F38" s="188"/>
      <c r="G38" s="189"/>
      <c r="H38" s="174">
        <f>SUM($F$9:F38)/A38</f>
        <v>0</v>
      </c>
      <c r="I38" s="173">
        <f>SUM($G$9:G38)/A38</f>
        <v>0</v>
      </c>
      <c r="J38" s="175">
        <f t="shared" si="4"/>
        <v>0</v>
      </c>
      <c r="K38" s="176">
        <f t="shared" si="4"/>
        <v>0</v>
      </c>
      <c r="L38" s="177" t="e">
        <f t="shared" si="1"/>
        <v>#DIV/0!</v>
      </c>
      <c r="M38" s="161" t="e">
        <f t="shared" si="2"/>
        <v>#DIV/0!</v>
      </c>
      <c r="N38" s="168"/>
    </row>
    <row r="39" spans="1:14" ht="16.5" customHeight="1">
      <c r="A39" s="169">
        <v>30</v>
      </c>
      <c r="B39" s="170">
        <f>'FRIT FV 090.540 - FTA'!B38</f>
        <v>46264</v>
      </c>
      <c r="C39" s="170" t="s">
        <v>199</v>
      </c>
      <c r="D39" s="171"/>
      <c r="E39" s="162"/>
      <c r="F39" s="172"/>
      <c r="G39" s="173"/>
      <c r="H39" s="174">
        <f>SUM($F$9:F39)/A39</f>
        <v>0</v>
      </c>
      <c r="I39" s="173">
        <f>SUM($G$9:G39)/A39</f>
        <v>0</v>
      </c>
      <c r="J39" s="175">
        <f t="shared" si="4"/>
        <v>0</v>
      </c>
      <c r="K39" s="176">
        <f t="shared" si="4"/>
        <v>0</v>
      </c>
      <c r="L39" s="177" t="e">
        <f t="shared" si="1"/>
        <v>#DIV/0!</v>
      </c>
      <c r="M39" s="161" t="e">
        <f t="shared" si="2"/>
        <v>#DIV/0!</v>
      </c>
      <c r="N39" s="168"/>
    </row>
    <row r="40" spans="1:14" ht="16.5" customHeight="1">
      <c r="A40" s="169">
        <v>31</v>
      </c>
      <c r="B40" s="170">
        <f>'FRIT FV 090.540 - FTA'!B39</f>
        <v>46265</v>
      </c>
      <c r="C40" s="170" t="s">
        <v>199</v>
      </c>
      <c r="D40" s="171"/>
      <c r="E40" s="162"/>
      <c r="F40" s="172"/>
      <c r="G40" s="173"/>
      <c r="H40" s="174">
        <f>SUM($F$9:F40)/A40</f>
        <v>0</v>
      </c>
      <c r="I40" s="173">
        <f>SUM($G$9:G40)/A40</f>
        <v>0</v>
      </c>
      <c r="J40" s="175">
        <f t="shared" si="4"/>
        <v>0</v>
      </c>
      <c r="K40" s="176">
        <f t="shared" si="4"/>
        <v>0</v>
      </c>
      <c r="L40" s="177" t="e">
        <f t="shared" si="1"/>
        <v>#DIV/0!</v>
      </c>
      <c r="M40" s="161" t="e">
        <f t="shared" si="2"/>
        <v>#DIV/0!</v>
      </c>
      <c r="N40" s="168"/>
    </row>
    <row r="41" spans="1:14" s="151" customFormat="1" ht="23.25" customHeight="1">
      <c r="A41" s="1503" t="s">
        <v>29</v>
      </c>
      <c r="B41" s="1504"/>
      <c r="C41" s="1505"/>
      <c r="D41" s="180">
        <f>SUM(D10:D40)</f>
        <v>0</v>
      </c>
      <c r="E41" s="180">
        <f>SUM(E10:E40)</f>
        <v>0</v>
      </c>
      <c r="F41" s="181">
        <f>SUM(F10:F40)</f>
        <v>0</v>
      </c>
      <c r="G41" s="181">
        <f>SUM(G10:G40)</f>
        <v>0</v>
      </c>
      <c r="H41" s="181"/>
      <c r="I41" s="181"/>
      <c r="J41" s="181">
        <f>J40</f>
        <v>0</v>
      </c>
      <c r="K41" s="182">
        <f>K40</f>
        <v>0</v>
      </c>
      <c r="L41" s="163"/>
      <c r="M41" s="163"/>
      <c r="N41" s="183"/>
    </row>
    <row r="42" spans="1:14" s="151" customFormat="1" ht="23.25" customHeight="1">
      <c r="A42" s="1503" t="s">
        <v>15</v>
      </c>
      <c r="B42" s="1504"/>
      <c r="C42" s="1505"/>
      <c r="D42" s="180">
        <f>D9+D41</f>
        <v>0</v>
      </c>
      <c r="E42" s="180">
        <f>E9+E41</f>
        <v>0</v>
      </c>
      <c r="F42" s="181">
        <f>F9+F41</f>
        <v>0</v>
      </c>
      <c r="G42" s="181">
        <f>G9+G41</f>
        <v>0</v>
      </c>
      <c r="H42" s="181"/>
      <c r="I42" s="181"/>
      <c r="J42" s="181">
        <f>D42-F42</f>
        <v>0</v>
      </c>
      <c r="K42" s="181">
        <f>E42-G42</f>
        <v>0</v>
      </c>
      <c r="L42" s="163"/>
      <c r="M42" s="163"/>
      <c r="N42" s="183"/>
    </row>
    <row r="43" spans="1:14" ht="23.25" customHeight="1">
      <c r="A43" s="152"/>
      <c r="B43" s="152"/>
      <c r="C43" s="152"/>
      <c r="D43" s="153"/>
      <c r="E43" s="153"/>
      <c r="F43" s="153"/>
      <c r="G43" s="153"/>
      <c r="H43" s="153"/>
      <c r="I43" s="153"/>
      <c r="J43" s="153"/>
      <c r="K43" s="154"/>
      <c r="L43" s="153"/>
      <c r="N43" s="153"/>
    </row>
    <row r="44" spans="1:14">
      <c r="F44" s="153"/>
      <c r="G44" s="153"/>
      <c r="H44" s="153"/>
      <c r="I44" s="153"/>
      <c r="J44" s="153"/>
      <c r="K44" s="155" t="s">
        <v>13</v>
      </c>
      <c r="L44" s="153"/>
      <c r="N44" s="153"/>
    </row>
    <row r="45" spans="1:14">
      <c r="K45" s="155"/>
      <c r="L45" s="142"/>
      <c r="N45" s="142"/>
    </row>
    <row r="46" spans="1:14">
      <c r="K46" s="155"/>
      <c r="L46" s="142"/>
      <c r="N46" s="142"/>
    </row>
    <row r="47" spans="1:14">
      <c r="K47" s="154"/>
      <c r="L47" s="142"/>
      <c r="N47" s="142"/>
    </row>
    <row r="48" spans="1:14">
      <c r="K48" s="142" t="s">
        <v>98</v>
      </c>
      <c r="L48" s="142"/>
      <c r="M48" s="156"/>
      <c r="N48" s="142"/>
    </row>
    <row r="49" s="143" customFormat="1"/>
    <row r="50" s="143" customFormat="1"/>
    <row r="51" s="143" customFormat="1"/>
  </sheetData>
  <mergeCells count="13">
    <mergeCell ref="A3:N3"/>
    <mergeCell ref="N7:N8"/>
    <mergeCell ref="A42:C42"/>
    <mergeCell ref="A7:A8"/>
    <mergeCell ref="B7:B8"/>
    <mergeCell ref="C7:C8"/>
    <mergeCell ref="D7:E7"/>
    <mergeCell ref="F7:G7"/>
    <mergeCell ref="H7:I7"/>
    <mergeCell ref="J7:K7"/>
    <mergeCell ref="L7:M7"/>
    <mergeCell ref="A9:C9"/>
    <mergeCell ref="A41:C41"/>
  </mergeCells>
  <conditionalFormatting sqref="M36:M39">
    <cfRule type="cellIs" dxfId="12735" priority="1" operator="lessThan">
      <formula>15</formula>
    </cfRule>
    <cfRule type="cellIs" dxfId="12734" priority="2" operator="greaterThan">
      <formula>20</formula>
    </cfRule>
    <cfRule type="cellIs" dxfId="12733" priority="3" operator="between">
      <formula>15</formula>
      <formula>20</formula>
    </cfRule>
    <cfRule type="cellIs" dxfId="12732" priority="4" operator="between">
      <formula>15</formula>
      <formula>20</formula>
    </cfRule>
    <cfRule type="cellIs" dxfId="12731" priority="5" operator="lessThan">
      <formula>15</formula>
    </cfRule>
    <cfRule type="cellIs" dxfId="12730" priority="6" operator="greaterThan">
      <formula>20</formula>
    </cfRule>
    <cfRule type="cellIs" dxfId="12729" priority="7" operator="between">
      <formula>15</formula>
      <formula>21</formula>
    </cfRule>
    <cfRule type="cellIs" dxfId="12728" priority="8" operator="lessThan">
      <formula>15</formula>
    </cfRule>
    <cfRule type="cellIs" dxfId="12727" priority="9" operator="greaterThan">
      <formula>21</formula>
    </cfRule>
  </conditionalFormatting>
  <conditionalFormatting sqref="M29:M34">
    <cfRule type="cellIs" dxfId="12726" priority="10" operator="lessThan">
      <formula>15</formula>
    </cfRule>
    <cfRule type="cellIs" dxfId="12725" priority="11" operator="greaterThan">
      <formula>20</formula>
    </cfRule>
    <cfRule type="cellIs" dxfId="12724" priority="12" operator="between">
      <formula>15</formula>
      <formula>20</formula>
    </cfRule>
    <cfRule type="cellIs" dxfId="12723" priority="13" operator="between">
      <formula>15</formula>
      <formula>20</formula>
    </cfRule>
    <cfRule type="cellIs" dxfId="12722" priority="14" operator="lessThan">
      <formula>15</formula>
    </cfRule>
    <cfRule type="cellIs" dxfId="12721" priority="15" operator="greaterThan">
      <formula>20</formula>
    </cfRule>
    <cfRule type="cellIs" dxfId="12720" priority="16" operator="between">
      <formula>15</formula>
      <formula>21</formula>
    </cfRule>
    <cfRule type="cellIs" dxfId="12719" priority="17" operator="lessThan">
      <formula>15</formula>
    </cfRule>
    <cfRule type="cellIs" dxfId="12718" priority="18" operator="greaterThan">
      <formula>21</formula>
    </cfRule>
  </conditionalFormatting>
  <conditionalFormatting sqref="M21">
    <cfRule type="cellIs" dxfId="12717" priority="46" operator="lessThan">
      <formula>15</formula>
    </cfRule>
    <cfRule type="cellIs" dxfId="12716" priority="47" operator="greaterThan">
      <formula>20</formula>
    </cfRule>
    <cfRule type="cellIs" dxfId="12715" priority="48" operator="between">
      <formula>15</formula>
      <formula>20</formula>
    </cfRule>
    <cfRule type="cellIs" dxfId="12714" priority="49" operator="between">
      <formula>15</formula>
      <formula>20</formula>
    </cfRule>
    <cfRule type="cellIs" dxfId="12713" priority="50" operator="lessThan">
      <formula>15</formula>
    </cfRule>
    <cfRule type="cellIs" dxfId="12712" priority="51" operator="greaterThan">
      <formula>20</formula>
    </cfRule>
    <cfRule type="cellIs" dxfId="12711" priority="52" operator="between">
      <formula>15</formula>
      <formula>21</formula>
    </cfRule>
    <cfRule type="cellIs" dxfId="12710" priority="53" operator="lessThan">
      <formula>15</formula>
    </cfRule>
    <cfRule type="cellIs" dxfId="12709" priority="54" operator="greaterThan">
      <formula>21</formula>
    </cfRule>
  </conditionalFormatting>
  <conditionalFormatting sqref="M28">
    <cfRule type="cellIs" dxfId="12708" priority="37" operator="lessThan">
      <formula>15</formula>
    </cfRule>
    <cfRule type="cellIs" dxfId="12707" priority="38" operator="greaterThan">
      <formula>20</formula>
    </cfRule>
    <cfRule type="cellIs" dxfId="12706" priority="39" operator="between">
      <formula>15</formula>
      <formula>20</formula>
    </cfRule>
    <cfRule type="cellIs" dxfId="12705" priority="40" operator="between">
      <formula>15</formula>
      <formula>20</formula>
    </cfRule>
    <cfRule type="cellIs" dxfId="12704" priority="41" operator="lessThan">
      <formula>15</formula>
    </cfRule>
    <cfRule type="cellIs" dxfId="12703" priority="42" operator="greaterThan">
      <formula>20</formula>
    </cfRule>
    <cfRule type="cellIs" dxfId="12702" priority="43" operator="between">
      <formula>15</formula>
      <formula>21</formula>
    </cfRule>
    <cfRule type="cellIs" dxfId="12701" priority="44" operator="lessThan">
      <formula>15</formula>
    </cfRule>
    <cfRule type="cellIs" dxfId="12700" priority="45" operator="greaterThan">
      <formula>21</formula>
    </cfRule>
  </conditionalFormatting>
  <conditionalFormatting sqref="M35">
    <cfRule type="cellIs" dxfId="12699" priority="28" operator="lessThan">
      <formula>15</formula>
    </cfRule>
    <cfRule type="cellIs" dxfId="12698" priority="29" operator="greaterThan">
      <formula>20</formula>
    </cfRule>
    <cfRule type="cellIs" dxfId="12697" priority="30" operator="between">
      <formula>15</formula>
      <formula>20</formula>
    </cfRule>
    <cfRule type="cellIs" dxfId="12696" priority="31" operator="between">
      <formula>15</formula>
      <formula>20</formula>
    </cfRule>
    <cfRule type="cellIs" dxfId="12695" priority="32" operator="lessThan">
      <formula>15</formula>
    </cfRule>
    <cfRule type="cellIs" dxfId="12694" priority="33" operator="greaterThan">
      <formula>20</formula>
    </cfRule>
    <cfRule type="cellIs" dxfId="12693" priority="34" operator="between">
      <formula>15</formula>
      <formula>21</formula>
    </cfRule>
    <cfRule type="cellIs" dxfId="12692" priority="35" operator="lessThan">
      <formula>15</formula>
    </cfRule>
    <cfRule type="cellIs" dxfId="12691" priority="36" operator="greaterThan">
      <formula>21</formula>
    </cfRule>
  </conditionalFormatting>
  <conditionalFormatting sqref="M14:M20 M22:M27 M40">
    <cfRule type="cellIs" dxfId="12690" priority="55" operator="lessThan">
      <formula>15</formula>
    </cfRule>
    <cfRule type="cellIs" dxfId="12689" priority="56" operator="greaterThan">
      <formula>20</formula>
    </cfRule>
    <cfRule type="cellIs" dxfId="12688" priority="57" operator="between">
      <formula>15</formula>
      <formula>20</formula>
    </cfRule>
    <cfRule type="cellIs" dxfId="12687" priority="58" operator="between">
      <formula>15</formula>
      <formula>20</formula>
    </cfRule>
    <cfRule type="cellIs" dxfId="12686" priority="59" operator="lessThan">
      <formula>15</formula>
    </cfRule>
    <cfRule type="cellIs" dxfId="12685" priority="60" operator="greaterThan">
      <formula>20</formula>
    </cfRule>
    <cfRule type="cellIs" dxfId="12684" priority="61" operator="between">
      <formula>15</formula>
      <formula>21</formula>
    </cfRule>
    <cfRule type="cellIs" dxfId="12683" priority="62" operator="lessThan">
      <formula>15</formula>
    </cfRule>
    <cfRule type="cellIs" dxfId="12682" priority="63" operator="greaterThan">
      <formula>21</formula>
    </cfRule>
  </conditionalFormatting>
  <conditionalFormatting sqref="M10:M13">
    <cfRule type="cellIs" dxfId="12681" priority="19" operator="lessThan">
      <formula>15</formula>
    </cfRule>
    <cfRule type="cellIs" dxfId="12680" priority="20" operator="greaterThan">
      <formula>20</formula>
    </cfRule>
    <cfRule type="cellIs" dxfId="12679" priority="21" operator="between">
      <formula>15</formula>
      <formula>20</formula>
    </cfRule>
    <cfRule type="cellIs" dxfId="12678" priority="22" operator="between">
      <formula>15</formula>
      <formula>20</formula>
    </cfRule>
    <cfRule type="cellIs" dxfId="12677" priority="23" operator="lessThan">
      <formula>15</formula>
    </cfRule>
    <cfRule type="cellIs" dxfId="12676" priority="24" operator="greaterThan">
      <formula>20</formula>
    </cfRule>
    <cfRule type="cellIs" dxfId="12675" priority="25" operator="between">
      <formula>15</formula>
      <formula>21</formula>
    </cfRule>
    <cfRule type="cellIs" dxfId="12674" priority="26" operator="lessThan">
      <formula>15</formula>
    </cfRule>
    <cfRule type="cellIs" dxfId="12673" priority="27" operator="greaterThan">
      <formula>21</formula>
    </cfRule>
  </conditionalFormatting>
  <hyperlinks>
    <hyperlink ref="M6" location="'Tong hop T11.2019'!A1" display="TH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O46"/>
  <sheetViews>
    <sheetView zoomScale="70" zoomScaleNormal="70" workbookViewId="0">
      <pane ySplit="8" topLeftCell="A9" activePane="bottomLeft" state="frozen"/>
      <selection pane="bottomLeft" activeCell="F9" sqref="F9"/>
    </sheetView>
  </sheetViews>
  <sheetFormatPr defaultColWidth="9.28515625" defaultRowHeight="16.5"/>
  <cols>
    <col min="1" max="1" width="5.42578125" style="42" customWidth="1"/>
    <col min="2" max="2" width="9.85546875" style="9" customWidth="1"/>
    <col min="3" max="3" width="10.7109375" style="42" customWidth="1"/>
    <col min="4" max="5" width="13.28515625" style="6" customWidth="1"/>
    <col min="6" max="6" width="11.5703125" style="6" customWidth="1"/>
    <col min="7" max="7" width="12.5703125" style="6" customWidth="1"/>
    <col min="8" max="8" width="11" style="6" customWidth="1"/>
    <col min="9" max="9" width="10.28515625" style="6" customWidth="1"/>
    <col min="10" max="11" width="12.85546875" style="6" customWidth="1"/>
    <col min="12" max="13" width="12.28515625" style="9" customWidth="1"/>
    <col min="14" max="16384" width="9.28515625" style="9"/>
  </cols>
  <sheetData>
    <row r="1" spans="1:15" ht="114.75" customHeight="1"/>
    <row r="2" spans="1:15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  <c r="L2" s="1500"/>
      <c r="M2" s="1500"/>
    </row>
    <row r="3" spans="1:15" s="42" customFormat="1" ht="21.75" customHeight="1">
      <c r="B3" s="64"/>
      <c r="C3" s="64"/>
      <c r="D3" s="64"/>
      <c r="E3" s="64"/>
      <c r="F3" s="6"/>
      <c r="G3" s="66" t="s">
        <v>33</v>
      </c>
      <c r="H3" s="67" t="s">
        <v>95</v>
      </c>
      <c r="I3" s="64"/>
      <c r="J3" s="64"/>
      <c r="K3" s="64"/>
      <c r="L3" s="64"/>
      <c r="M3" s="64"/>
    </row>
    <row r="4" spans="1:15" s="42" customFormat="1" ht="21.75" customHeight="1">
      <c r="B4" s="42" t="e">
        <f>'FRIT FV 090.540 - FTA'!#REF!</f>
        <v>#REF!</v>
      </c>
      <c r="C4" s="42" t="e">
        <f>'FRIT FV 090.540 - FTA'!#REF!</f>
        <v>#REF!</v>
      </c>
      <c r="D4" s="42" t="e">
        <f>'FRIT FV 090.540 - FTA'!#REF!</f>
        <v>#REF!</v>
      </c>
      <c r="E4" s="42" t="e">
        <f>'FRIT FV 090.540 - FTA'!#REF!</f>
        <v>#REF!</v>
      </c>
      <c r="F4" s="42" t="e">
        <f>'FRIT FV 090.540 - FTA'!#REF!</f>
        <v>#REF!</v>
      </c>
      <c r="G4" s="42" t="e">
        <f>'FRIT FV 090.540 - FTA'!#REF!</f>
        <v>#REF!</v>
      </c>
      <c r="H4" s="42" t="e">
        <f>'FRIT FV 090.540 - FTA'!#REF!</f>
        <v>#REF!</v>
      </c>
      <c r="I4" s="42" t="e">
        <f>'FRIT FV 090.540 - FTA'!#REF!</f>
        <v>#REF!</v>
      </c>
      <c r="L4" s="75"/>
      <c r="M4" s="75"/>
    </row>
    <row r="5" spans="1:15" ht="22.5" customHeight="1">
      <c r="F5" s="10"/>
      <c r="G5" s="10"/>
      <c r="H5" s="10"/>
      <c r="I5" s="10"/>
      <c r="L5" s="12" t="s">
        <v>26</v>
      </c>
      <c r="M5" s="35" t="s">
        <v>18</v>
      </c>
    </row>
    <row r="6" spans="1:15" s="13" customFormat="1" ht="41.25" customHeight="1">
      <c r="A6" s="1518" t="s">
        <v>2</v>
      </c>
      <c r="B6" s="1520" t="s">
        <v>1</v>
      </c>
      <c r="C6" s="1520" t="s">
        <v>24</v>
      </c>
      <c r="D6" s="1513" t="s">
        <v>27</v>
      </c>
      <c r="E6" s="1513"/>
      <c r="F6" s="1513" t="s">
        <v>31</v>
      </c>
      <c r="G6" s="1513"/>
      <c r="H6" s="1513" t="s">
        <v>28</v>
      </c>
      <c r="I6" s="1513"/>
      <c r="J6" s="1513" t="s">
        <v>14</v>
      </c>
      <c r="K6" s="1513"/>
      <c r="L6" s="1513" t="s">
        <v>30</v>
      </c>
      <c r="M6" s="1513"/>
    </row>
    <row r="7" spans="1:15" s="13" customFormat="1" ht="25.5" customHeight="1">
      <c r="A7" s="1519"/>
      <c r="B7" s="1521"/>
      <c r="C7" s="1521"/>
      <c r="D7" s="38" t="s">
        <v>6</v>
      </c>
      <c r="E7" s="34" t="s">
        <v>25</v>
      </c>
      <c r="F7" s="38" t="s">
        <v>6</v>
      </c>
      <c r="G7" s="34" t="s">
        <v>12</v>
      </c>
      <c r="H7" s="38" t="s">
        <v>6</v>
      </c>
      <c r="I7" s="34" t="s">
        <v>12</v>
      </c>
      <c r="J7" s="38" t="s">
        <v>6</v>
      </c>
      <c r="K7" s="34" t="s">
        <v>12</v>
      </c>
      <c r="L7" s="38" t="s">
        <v>6</v>
      </c>
      <c r="M7" s="34" t="s">
        <v>12</v>
      </c>
    </row>
    <row r="8" spans="1:15" s="13" customFormat="1" ht="25.5" customHeight="1">
      <c r="A8" s="1514" t="s">
        <v>3</v>
      </c>
      <c r="B8" s="1515"/>
      <c r="C8" s="1516"/>
      <c r="D8" s="14">
        <f>J8</f>
        <v>0</v>
      </c>
      <c r="E8" s="14">
        <f>K8</f>
        <v>0</v>
      </c>
      <c r="F8" s="14"/>
      <c r="G8" s="14"/>
      <c r="H8" s="14"/>
      <c r="I8" s="14"/>
      <c r="J8" s="14"/>
      <c r="K8" s="16"/>
      <c r="L8" s="37"/>
      <c r="M8" s="17"/>
    </row>
    <row r="9" spans="1:15" s="13" customFormat="1" ht="22.5" customHeight="1">
      <c r="A9" s="18">
        <v>1</v>
      </c>
      <c r="B9" s="19">
        <f>'FRIT FV 090.540 - FTA'!B9</f>
        <v>46235</v>
      </c>
      <c r="C9" s="19" t="s">
        <v>21</v>
      </c>
      <c r="D9" s="81"/>
      <c r="E9" s="81"/>
      <c r="F9" s="44"/>
      <c r="G9" s="44">
        <f>F9</f>
        <v>0</v>
      </c>
      <c r="H9" s="40">
        <f>SUM($F$8:F9)/A9</f>
        <v>0</v>
      </c>
      <c r="I9" s="41">
        <f>SUM($G$8:G9)/A9</f>
        <v>0</v>
      </c>
      <c r="J9" s="20">
        <f t="shared" ref="J9:K11" si="0">J8+D9-F9</f>
        <v>0</v>
      </c>
      <c r="K9" s="22">
        <f t="shared" si="0"/>
        <v>0</v>
      </c>
      <c r="L9" s="21" t="e">
        <f>J9/H9</f>
        <v>#DIV/0!</v>
      </c>
      <c r="M9" s="21" t="e">
        <f>K9/I9</f>
        <v>#DIV/0!</v>
      </c>
    </row>
    <row r="10" spans="1:15" s="13" customFormat="1" ht="22.5" customHeight="1">
      <c r="A10" s="18">
        <v>2</v>
      </c>
      <c r="B10" s="19">
        <f>'FRIT FV 090.540 - FTA'!B10</f>
        <v>46236</v>
      </c>
      <c r="C10" s="19" t="s">
        <v>19</v>
      </c>
      <c r="D10" s="81"/>
      <c r="E10" s="81"/>
      <c r="F10" s="44"/>
      <c r="G10" s="44">
        <f t="shared" ref="G10:G39" si="1">F10</f>
        <v>0</v>
      </c>
      <c r="H10" s="40">
        <f>SUM($F$8:F10)/A10</f>
        <v>0</v>
      </c>
      <c r="I10" s="41">
        <f>SUM($G$8:G10)/A10</f>
        <v>0</v>
      </c>
      <c r="J10" s="20">
        <f t="shared" si="0"/>
        <v>0</v>
      </c>
      <c r="K10" s="22">
        <f t="shared" si="0"/>
        <v>0</v>
      </c>
      <c r="L10" s="21" t="e">
        <f t="shared" ref="L10:L39" si="2">J10/H10</f>
        <v>#DIV/0!</v>
      </c>
      <c r="M10" s="21" t="e">
        <f t="shared" ref="M10:M39" si="3">K10/I10</f>
        <v>#DIV/0!</v>
      </c>
    </row>
    <row r="11" spans="1:15" s="13" customFormat="1" ht="22.5" customHeight="1">
      <c r="A11" s="18">
        <v>3</v>
      </c>
      <c r="B11" s="19">
        <f>'FRIT FV 090.540 - FTA'!B11</f>
        <v>46237</v>
      </c>
      <c r="C11" s="19" t="s">
        <v>21</v>
      </c>
      <c r="D11" s="81"/>
      <c r="E11" s="81"/>
      <c r="F11" s="44"/>
      <c r="G11" s="44">
        <f>F11</f>
        <v>0</v>
      </c>
      <c r="H11" s="40">
        <f>SUM($F$8:F11)/A11</f>
        <v>0</v>
      </c>
      <c r="I11" s="41">
        <f>SUM($G$8:G11)/A11</f>
        <v>0</v>
      </c>
      <c r="J11" s="20">
        <f t="shared" si="0"/>
        <v>0</v>
      </c>
      <c r="K11" s="22">
        <f t="shared" si="0"/>
        <v>0</v>
      </c>
      <c r="L11" s="21" t="e">
        <f t="shared" si="2"/>
        <v>#DIV/0!</v>
      </c>
      <c r="M11" s="21" t="e">
        <f t="shared" si="3"/>
        <v>#DIV/0!</v>
      </c>
    </row>
    <row r="12" spans="1:15" s="23" customFormat="1" ht="22.5" customHeight="1">
      <c r="A12" s="18">
        <v>4</v>
      </c>
      <c r="B12" s="19">
        <f>'FRIT FV 090.540 - FTA'!B12</f>
        <v>46238</v>
      </c>
      <c r="C12" s="19" t="s">
        <v>21</v>
      </c>
      <c r="D12" s="63"/>
      <c r="E12" s="63"/>
      <c r="F12" s="78"/>
      <c r="G12" s="44">
        <f>F12</f>
        <v>0</v>
      </c>
      <c r="H12" s="40">
        <f>SUM($F$8:F12)/A12</f>
        <v>0</v>
      </c>
      <c r="I12" s="41">
        <f>SUM($G$8:G12)/A12</f>
        <v>0</v>
      </c>
      <c r="J12" s="20">
        <f t="shared" ref="J12:K27" si="4">J11+D12-F12</f>
        <v>0</v>
      </c>
      <c r="K12" s="22">
        <f t="shared" si="4"/>
        <v>0</v>
      </c>
      <c r="L12" s="21" t="e">
        <f t="shared" si="2"/>
        <v>#DIV/0!</v>
      </c>
      <c r="M12" s="21" t="e">
        <f t="shared" si="3"/>
        <v>#DIV/0!</v>
      </c>
    </row>
    <row r="13" spans="1:15" s="23" customFormat="1" ht="22.5" customHeight="1">
      <c r="A13" s="18">
        <v>5</v>
      </c>
      <c r="B13" s="19">
        <f>'FRIT FV 090.540 - FTA'!B13</f>
        <v>46239</v>
      </c>
      <c r="C13" s="19" t="s">
        <v>21</v>
      </c>
      <c r="D13" s="81"/>
      <c r="E13" s="81"/>
      <c r="F13" s="78"/>
      <c r="G13" s="44">
        <f t="shared" si="1"/>
        <v>0</v>
      </c>
      <c r="H13" s="40">
        <f>SUM($F$8:F13)/A13</f>
        <v>0</v>
      </c>
      <c r="I13" s="41">
        <f>SUM($G$8:G13)/A13</f>
        <v>0</v>
      </c>
      <c r="J13" s="20">
        <f t="shared" si="4"/>
        <v>0</v>
      </c>
      <c r="K13" s="22">
        <f t="shared" si="4"/>
        <v>0</v>
      </c>
      <c r="L13" s="21" t="e">
        <f t="shared" si="2"/>
        <v>#DIV/0!</v>
      </c>
      <c r="M13" s="21" t="e">
        <f t="shared" si="3"/>
        <v>#DIV/0!</v>
      </c>
    </row>
    <row r="14" spans="1:15" s="23" customFormat="1" ht="22.5" customHeight="1">
      <c r="A14" s="18">
        <v>6</v>
      </c>
      <c r="B14" s="19">
        <f>'FRIT FV 090.540 - FTA'!B14</f>
        <v>46240</v>
      </c>
      <c r="C14" s="19" t="s">
        <v>19</v>
      </c>
      <c r="D14" s="81"/>
      <c r="E14" s="81"/>
      <c r="F14" s="78"/>
      <c r="G14" s="44">
        <f t="shared" si="1"/>
        <v>0</v>
      </c>
      <c r="H14" s="40">
        <f>SUM($F$8:F14)/A14</f>
        <v>0</v>
      </c>
      <c r="I14" s="41">
        <f>SUM($G$8:G14)/A14</f>
        <v>0</v>
      </c>
      <c r="J14" s="20">
        <f t="shared" si="4"/>
        <v>0</v>
      </c>
      <c r="K14" s="22">
        <f t="shared" si="4"/>
        <v>0</v>
      </c>
      <c r="L14" s="21" t="e">
        <f t="shared" si="2"/>
        <v>#DIV/0!</v>
      </c>
      <c r="M14" s="21" t="e">
        <f t="shared" si="3"/>
        <v>#DIV/0!</v>
      </c>
    </row>
    <row r="15" spans="1:15" s="23" customFormat="1" ht="22.5" customHeight="1">
      <c r="A15" s="18">
        <v>7</v>
      </c>
      <c r="B15" s="19">
        <f>'FRIT FV 090.540 - FTA'!B15</f>
        <v>46241</v>
      </c>
      <c r="C15" s="19" t="s">
        <v>19</v>
      </c>
      <c r="D15" s="81"/>
      <c r="E15" s="81"/>
      <c r="F15" s="78"/>
      <c r="G15" s="44">
        <f t="shared" si="1"/>
        <v>0</v>
      </c>
      <c r="H15" s="40">
        <f>SUM($F$8:F15)/A15</f>
        <v>0</v>
      </c>
      <c r="I15" s="41">
        <f>SUM($G$8:G15)/A15</f>
        <v>0</v>
      </c>
      <c r="J15" s="20">
        <f t="shared" si="4"/>
        <v>0</v>
      </c>
      <c r="K15" s="22">
        <f t="shared" si="4"/>
        <v>0</v>
      </c>
      <c r="L15" s="21" t="e">
        <f t="shared" si="2"/>
        <v>#DIV/0!</v>
      </c>
      <c r="M15" s="21" t="e">
        <f t="shared" si="3"/>
        <v>#DIV/0!</v>
      </c>
      <c r="O15" s="79"/>
    </row>
    <row r="16" spans="1:15" s="23" customFormat="1" ht="22.5" customHeight="1">
      <c r="A16" s="18">
        <v>8</v>
      </c>
      <c r="B16" s="19">
        <f>'FRIT FV 090.540 - FTA'!B16</f>
        <v>46242</v>
      </c>
      <c r="C16" s="19" t="s">
        <v>19</v>
      </c>
      <c r="D16" s="81"/>
      <c r="E16" s="81"/>
      <c r="F16" s="78"/>
      <c r="G16" s="44">
        <f t="shared" si="1"/>
        <v>0</v>
      </c>
      <c r="H16" s="40">
        <f>SUM($F$8:F16)/A16</f>
        <v>0</v>
      </c>
      <c r="I16" s="41">
        <f>SUM($G$8:G16)/A16</f>
        <v>0</v>
      </c>
      <c r="J16" s="20">
        <f t="shared" si="4"/>
        <v>0</v>
      </c>
      <c r="K16" s="22">
        <f t="shared" si="4"/>
        <v>0</v>
      </c>
      <c r="L16" s="21" t="e">
        <f t="shared" si="2"/>
        <v>#DIV/0!</v>
      </c>
      <c r="M16" s="21" t="e">
        <f t="shared" si="3"/>
        <v>#DIV/0!</v>
      </c>
    </row>
    <row r="17" spans="1:14" s="23" customFormat="1" ht="22.5" customHeight="1">
      <c r="A17" s="18">
        <v>9</v>
      </c>
      <c r="B17" s="19">
        <f>'FRIT FV 090.540 - FTA'!B17</f>
        <v>46243</v>
      </c>
      <c r="C17" s="19" t="s">
        <v>19</v>
      </c>
      <c r="D17" s="81"/>
      <c r="E17" s="81"/>
      <c r="F17" s="78"/>
      <c r="G17" s="44">
        <f t="shared" si="1"/>
        <v>0</v>
      </c>
      <c r="H17" s="40">
        <f>SUM($F$8:F17)/A17</f>
        <v>0</v>
      </c>
      <c r="I17" s="41">
        <f>SUM($G$8:G17)/A17</f>
        <v>0</v>
      </c>
      <c r="J17" s="20">
        <f t="shared" si="4"/>
        <v>0</v>
      </c>
      <c r="K17" s="22">
        <f t="shared" si="4"/>
        <v>0</v>
      </c>
      <c r="L17" s="21" t="e">
        <f t="shared" si="2"/>
        <v>#DIV/0!</v>
      </c>
      <c r="M17" s="21" t="e">
        <f t="shared" si="3"/>
        <v>#DIV/0!</v>
      </c>
    </row>
    <row r="18" spans="1:14" s="23" customFormat="1" ht="22.5" customHeight="1">
      <c r="A18" s="18">
        <v>10</v>
      </c>
      <c r="B18" s="19">
        <f>'FRIT FV 090.540 - FTA'!B18</f>
        <v>46244</v>
      </c>
      <c r="C18" s="19" t="s">
        <v>19</v>
      </c>
      <c r="D18" s="76"/>
      <c r="E18" s="76"/>
      <c r="F18" s="78"/>
      <c r="G18" s="44">
        <f t="shared" si="1"/>
        <v>0</v>
      </c>
      <c r="H18" s="40">
        <f>SUM($F$8:F18)/A18</f>
        <v>0</v>
      </c>
      <c r="I18" s="41">
        <f>SUM($G$8:G18)/A18</f>
        <v>0</v>
      </c>
      <c r="J18" s="20">
        <f t="shared" si="4"/>
        <v>0</v>
      </c>
      <c r="K18" s="22">
        <f t="shared" si="4"/>
        <v>0</v>
      </c>
      <c r="L18" s="21" t="e">
        <f t="shared" si="2"/>
        <v>#DIV/0!</v>
      </c>
      <c r="M18" s="21" t="e">
        <f t="shared" si="3"/>
        <v>#DIV/0!</v>
      </c>
    </row>
    <row r="19" spans="1:14" s="23" customFormat="1" ht="22.5" customHeight="1">
      <c r="A19" s="18">
        <v>11</v>
      </c>
      <c r="B19" s="19">
        <f>'FRIT FV 090.540 - FTA'!B19</f>
        <v>46245</v>
      </c>
      <c r="C19" s="19" t="s">
        <v>19</v>
      </c>
      <c r="D19" s="76"/>
      <c r="E19" s="76"/>
      <c r="F19" s="78"/>
      <c r="G19" s="44">
        <f t="shared" si="1"/>
        <v>0</v>
      </c>
      <c r="H19" s="40">
        <f>SUM($F$8:F19)/A19</f>
        <v>0</v>
      </c>
      <c r="I19" s="41">
        <f>SUM($G$8:G19)/A19</f>
        <v>0</v>
      </c>
      <c r="J19" s="20">
        <f t="shared" si="4"/>
        <v>0</v>
      </c>
      <c r="K19" s="22">
        <f t="shared" si="4"/>
        <v>0</v>
      </c>
      <c r="L19" s="21" t="e">
        <f t="shared" si="2"/>
        <v>#DIV/0!</v>
      </c>
      <c r="M19" s="21" t="e">
        <f t="shared" si="3"/>
        <v>#DIV/0!</v>
      </c>
    </row>
    <row r="20" spans="1:14" s="23" customFormat="1" ht="22.5" customHeight="1">
      <c r="A20" s="18">
        <v>12</v>
      </c>
      <c r="B20" s="19">
        <f>'FRIT FV 090.540 - FTA'!B20</f>
        <v>46246</v>
      </c>
      <c r="C20" s="19" t="s">
        <v>19</v>
      </c>
      <c r="D20" s="76"/>
      <c r="E20" s="76"/>
      <c r="F20" s="78"/>
      <c r="G20" s="44">
        <f t="shared" si="1"/>
        <v>0</v>
      </c>
      <c r="H20" s="40">
        <f>SUM($F$8:F20)/A20</f>
        <v>0</v>
      </c>
      <c r="I20" s="41">
        <f>SUM($G$8:G20)/A20</f>
        <v>0</v>
      </c>
      <c r="J20" s="20">
        <f t="shared" si="4"/>
        <v>0</v>
      </c>
      <c r="K20" s="22">
        <f t="shared" si="4"/>
        <v>0</v>
      </c>
      <c r="L20" s="21" t="e">
        <f t="shared" si="2"/>
        <v>#DIV/0!</v>
      </c>
      <c r="M20" s="21" t="e">
        <f t="shared" si="3"/>
        <v>#DIV/0!</v>
      </c>
    </row>
    <row r="21" spans="1:14" s="23" customFormat="1" ht="22.5" customHeight="1">
      <c r="A21" s="18">
        <v>13</v>
      </c>
      <c r="B21" s="19">
        <f>'FRIT FV 090.540 - FTA'!B21</f>
        <v>46247</v>
      </c>
      <c r="C21" s="19" t="s">
        <v>19</v>
      </c>
      <c r="D21" s="76"/>
      <c r="E21" s="76"/>
      <c r="F21" s="78"/>
      <c r="G21" s="44">
        <f t="shared" si="1"/>
        <v>0</v>
      </c>
      <c r="H21" s="40">
        <f>SUM($F$8:F21)/A21</f>
        <v>0</v>
      </c>
      <c r="I21" s="41">
        <f>SUM($G$8:G21)/A21</f>
        <v>0</v>
      </c>
      <c r="J21" s="20">
        <f t="shared" si="4"/>
        <v>0</v>
      </c>
      <c r="K21" s="22">
        <f>K20+E21-G21</f>
        <v>0</v>
      </c>
      <c r="L21" s="21" t="e">
        <f t="shared" si="2"/>
        <v>#DIV/0!</v>
      </c>
      <c r="M21" s="21" t="e">
        <f t="shared" si="3"/>
        <v>#DIV/0!</v>
      </c>
    </row>
    <row r="22" spans="1:14" s="23" customFormat="1" ht="22.5" customHeight="1">
      <c r="A22" s="18">
        <v>14</v>
      </c>
      <c r="B22" s="19">
        <f>'FRIT FV 090.540 - FTA'!B22</f>
        <v>46248</v>
      </c>
      <c r="C22" s="19" t="s">
        <v>19</v>
      </c>
      <c r="D22" s="76"/>
      <c r="E22" s="76"/>
      <c r="F22" s="78"/>
      <c r="G22" s="44">
        <f t="shared" si="1"/>
        <v>0</v>
      </c>
      <c r="H22" s="40">
        <f>SUM($F$8:F22)/A22</f>
        <v>0</v>
      </c>
      <c r="I22" s="41">
        <f>SUM($G$8:G22)/A22</f>
        <v>0</v>
      </c>
      <c r="J22" s="20">
        <f t="shared" si="4"/>
        <v>0</v>
      </c>
      <c r="K22" s="22">
        <f>K21+E22-G22</f>
        <v>0</v>
      </c>
      <c r="L22" s="21" t="e">
        <f t="shared" si="2"/>
        <v>#DIV/0!</v>
      </c>
      <c r="M22" s="21" t="e">
        <f t="shared" si="3"/>
        <v>#DIV/0!</v>
      </c>
    </row>
    <row r="23" spans="1:14" s="23" customFormat="1" ht="22.5" customHeight="1">
      <c r="A23" s="18">
        <v>15</v>
      </c>
      <c r="B23" s="19">
        <f>'FRIT FV 090.540 - FTA'!B23</f>
        <v>46249</v>
      </c>
      <c r="C23" s="19" t="s">
        <v>19</v>
      </c>
      <c r="D23" s="76"/>
      <c r="E23" s="76"/>
      <c r="F23" s="78"/>
      <c r="G23" s="44">
        <f t="shared" si="1"/>
        <v>0</v>
      </c>
      <c r="H23" s="40">
        <f>SUM($F$8:F23)/A23</f>
        <v>0</v>
      </c>
      <c r="I23" s="41">
        <f>SUM($G$8:G23)/A23</f>
        <v>0</v>
      </c>
      <c r="J23" s="20">
        <f t="shared" si="4"/>
        <v>0</v>
      </c>
      <c r="K23" s="22">
        <f t="shared" si="4"/>
        <v>0</v>
      </c>
      <c r="L23" s="21" t="e">
        <f t="shared" si="2"/>
        <v>#DIV/0!</v>
      </c>
      <c r="M23" s="21" t="e">
        <f t="shared" si="3"/>
        <v>#DIV/0!</v>
      </c>
    </row>
    <row r="24" spans="1:14" s="23" customFormat="1" ht="22.5" customHeight="1">
      <c r="A24" s="18">
        <v>16</v>
      </c>
      <c r="B24" s="19">
        <f>'FRIT FV 090.540 - FTA'!B24</f>
        <v>46250</v>
      </c>
      <c r="C24" s="19" t="s">
        <v>19</v>
      </c>
      <c r="D24" s="76"/>
      <c r="E24" s="76"/>
      <c r="F24" s="78"/>
      <c r="G24" s="44">
        <f t="shared" si="1"/>
        <v>0</v>
      </c>
      <c r="H24" s="40">
        <f>SUM($F$8:F24)/A24</f>
        <v>0</v>
      </c>
      <c r="I24" s="41">
        <f>SUM($G$8:G24)/A24</f>
        <v>0</v>
      </c>
      <c r="J24" s="20">
        <f t="shared" si="4"/>
        <v>0</v>
      </c>
      <c r="K24" s="22">
        <f>K23+E24-G24</f>
        <v>0</v>
      </c>
      <c r="L24" s="21" t="e">
        <f t="shared" si="2"/>
        <v>#DIV/0!</v>
      </c>
      <c r="M24" s="21" t="e">
        <f t="shared" si="3"/>
        <v>#DIV/0!</v>
      </c>
    </row>
    <row r="25" spans="1:14" s="23" customFormat="1" ht="22.5" customHeight="1">
      <c r="A25" s="18">
        <v>17</v>
      </c>
      <c r="B25" s="19">
        <f>'FRIT FV 090.540 - FTA'!B25</f>
        <v>46251</v>
      </c>
      <c r="C25" s="19" t="s">
        <v>19</v>
      </c>
      <c r="D25" s="76"/>
      <c r="E25" s="76"/>
      <c r="F25" s="78"/>
      <c r="G25" s="44">
        <f t="shared" si="1"/>
        <v>0</v>
      </c>
      <c r="H25" s="40">
        <f>SUM($F$8:F25)/A25</f>
        <v>0</v>
      </c>
      <c r="I25" s="41">
        <f>SUM($G$8:G25)/A25</f>
        <v>0</v>
      </c>
      <c r="J25" s="20">
        <f t="shared" si="4"/>
        <v>0</v>
      </c>
      <c r="K25" s="22">
        <f>K24+E25-G25</f>
        <v>0</v>
      </c>
      <c r="L25" s="21" t="e">
        <f t="shared" si="2"/>
        <v>#DIV/0!</v>
      </c>
      <c r="M25" s="21" t="e">
        <f t="shared" si="3"/>
        <v>#DIV/0!</v>
      </c>
    </row>
    <row r="26" spans="1:14" s="23" customFormat="1" ht="22.5" customHeight="1">
      <c r="A26" s="18">
        <v>18</v>
      </c>
      <c r="B26" s="19">
        <f>'FRIT FV 090.540 - FTA'!B26</f>
        <v>46252</v>
      </c>
      <c r="C26" s="19" t="s">
        <v>19</v>
      </c>
      <c r="D26" s="76"/>
      <c r="E26" s="76"/>
      <c r="F26" s="78"/>
      <c r="G26" s="44">
        <f t="shared" si="1"/>
        <v>0</v>
      </c>
      <c r="H26" s="40">
        <f>SUM($F$8:F26)/A26</f>
        <v>0</v>
      </c>
      <c r="I26" s="41">
        <f>SUM($G$8:G26)/A26</f>
        <v>0</v>
      </c>
      <c r="J26" s="20">
        <f t="shared" si="4"/>
        <v>0</v>
      </c>
      <c r="K26" s="22">
        <f>K25+E26-G26</f>
        <v>0</v>
      </c>
      <c r="L26" s="21" t="e">
        <f t="shared" si="2"/>
        <v>#DIV/0!</v>
      </c>
      <c r="M26" s="21" t="e">
        <f t="shared" si="3"/>
        <v>#DIV/0!</v>
      </c>
    </row>
    <row r="27" spans="1:14" s="23" customFormat="1" ht="22.5" customHeight="1">
      <c r="A27" s="18">
        <v>19</v>
      </c>
      <c r="B27" s="19">
        <f>'FRIT FV 090.540 - FTA'!B27</f>
        <v>46253</v>
      </c>
      <c r="C27" s="19" t="s">
        <v>19</v>
      </c>
      <c r="D27" s="76"/>
      <c r="E27" s="76"/>
      <c r="F27" s="78"/>
      <c r="G27" s="44">
        <f t="shared" si="1"/>
        <v>0</v>
      </c>
      <c r="H27" s="40">
        <f>SUM($F$8:F27)/A27</f>
        <v>0</v>
      </c>
      <c r="I27" s="41">
        <f>SUM($G$8:G27)/A27</f>
        <v>0</v>
      </c>
      <c r="J27" s="20">
        <f t="shared" si="4"/>
        <v>0</v>
      </c>
      <c r="K27" s="22">
        <f>K26+E27-G27</f>
        <v>0</v>
      </c>
      <c r="L27" s="21" t="e">
        <f t="shared" si="2"/>
        <v>#DIV/0!</v>
      </c>
      <c r="M27" s="21" t="e">
        <f t="shared" si="3"/>
        <v>#DIV/0!</v>
      </c>
    </row>
    <row r="28" spans="1:14" s="23" customFormat="1" ht="22.5" customHeight="1">
      <c r="A28" s="18">
        <v>20</v>
      </c>
      <c r="B28" s="19">
        <f>'FRIT FV 090.540 - FTA'!B28</f>
        <v>46254</v>
      </c>
      <c r="C28" s="19" t="s">
        <v>19</v>
      </c>
      <c r="D28" s="76"/>
      <c r="E28" s="76"/>
      <c r="F28" s="78"/>
      <c r="G28" s="44">
        <f t="shared" si="1"/>
        <v>0</v>
      </c>
      <c r="H28" s="40">
        <f>SUM($F$8:F28)/A28</f>
        <v>0</v>
      </c>
      <c r="I28" s="41">
        <f>SUM($G$8:G28)/A28</f>
        <v>0</v>
      </c>
      <c r="J28" s="20">
        <f t="shared" ref="J28:K39" si="5">J27+D28-F28</f>
        <v>0</v>
      </c>
      <c r="K28" s="22">
        <f t="shared" si="5"/>
        <v>0</v>
      </c>
      <c r="L28" s="21" t="e">
        <f t="shared" si="2"/>
        <v>#DIV/0!</v>
      </c>
      <c r="M28" s="21" t="e">
        <f t="shared" si="3"/>
        <v>#DIV/0!</v>
      </c>
      <c r="N28" s="23" t="s">
        <v>97</v>
      </c>
    </row>
    <row r="29" spans="1:14" s="23" customFormat="1" ht="22.5" customHeight="1">
      <c r="A29" s="18">
        <v>21</v>
      </c>
      <c r="B29" s="19">
        <f>'FRIT FV 090.540 - FTA'!B29</f>
        <v>46255</v>
      </c>
      <c r="C29" s="19" t="s">
        <v>19</v>
      </c>
      <c r="D29" s="76"/>
      <c r="E29" s="76"/>
      <c r="F29" s="78"/>
      <c r="G29" s="44">
        <f t="shared" si="1"/>
        <v>0</v>
      </c>
      <c r="H29" s="40">
        <f>SUM($F$8:F29)/A29</f>
        <v>0</v>
      </c>
      <c r="I29" s="41">
        <f>SUM($G$8:G29)/A29</f>
        <v>0</v>
      </c>
      <c r="J29" s="20">
        <f t="shared" si="5"/>
        <v>0</v>
      </c>
      <c r="K29" s="22">
        <f t="shared" si="5"/>
        <v>0</v>
      </c>
      <c r="L29" s="21" t="e">
        <f t="shared" si="2"/>
        <v>#DIV/0!</v>
      </c>
      <c r="M29" s="21" t="e">
        <f t="shared" si="3"/>
        <v>#DIV/0!</v>
      </c>
    </row>
    <row r="30" spans="1:14" s="23" customFormat="1" ht="22.5" customHeight="1">
      <c r="A30" s="18">
        <v>22</v>
      </c>
      <c r="B30" s="19">
        <f>'FRIT FV 090.540 - FTA'!B30</f>
        <v>46256</v>
      </c>
      <c r="C30" s="19" t="s">
        <v>19</v>
      </c>
      <c r="D30" s="76"/>
      <c r="E30" s="76"/>
      <c r="F30" s="78"/>
      <c r="G30" s="44">
        <f t="shared" si="1"/>
        <v>0</v>
      </c>
      <c r="H30" s="40">
        <f>SUM($F$8:F30)/A30</f>
        <v>0</v>
      </c>
      <c r="I30" s="41">
        <f>SUM($G$8:G30)/A30</f>
        <v>0</v>
      </c>
      <c r="J30" s="20">
        <f t="shared" si="5"/>
        <v>0</v>
      </c>
      <c r="K30" s="22">
        <f t="shared" si="5"/>
        <v>0</v>
      </c>
      <c r="L30" s="21" t="e">
        <f t="shared" si="2"/>
        <v>#DIV/0!</v>
      </c>
      <c r="M30" s="21" t="e">
        <f t="shared" si="3"/>
        <v>#DIV/0!</v>
      </c>
    </row>
    <row r="31" spans="1:14" s="23" customFormat="1" ht="22.5" customHeight="1">
      <c r="A31" s="18">
        <v>23</v>
      </c>
      <c r="B31" s="19">
        <f>'FRIT FV 090.540 - FTA'!B31</f>
        <v>46257</v>
      </c>
      <c r="C31" s="19" t="s">
        <v>19</v>
      </c>
      <c r="D31" s="76"/>
      <c r="E31" s="76"/>
      <c r="F31" s="78"/>
      <c r="G31" s="44">
        <f t="shared" si="1"/>
        <v>0</v>
      </c>
      <c r="H31" s="40">
        <f>SUM($F$8:F31)/A31</f>
        <v>0</v>
      </c>
      <c r="I31" s="41">
        <f>SUM($G$8:G31)/A31</f>
        <v>0</v>
      </c>
      <c r="J31" s="20">
        <f t="shared" si="5"/>
        <v>0</v>
      </c>
      <c r="K31" s="22">
        <f t="shared" si="5"/>
        <v>0</v>
      </c>
      <c r="L31" s="21" t="e">
        <f t="shared" si="2"/>
        <v>#DIV/0!</v>
      </c>
      <c r="M31" s="21" t="e">
        <f t="shared" si="3"/>
        <v>#DIV/0!</v>
      </c>
    </row>
    <row r="32" spans="1:14" s="23" customFormat="1" ht="22.5" customHeight="1">
      <c r="A32" s="18">
        <v>24</v>
      </c>
      <c r="B32" s="19">
        <f>'FRIT FV 090.540 - FTA'!B32</f>
        <v>46258</v>
      </c>
      <c r="C32" s="19" t="s">
        <v>19</v>
      </c>
      <c r="D32" s="76"/>
      <c r="E32" s="76"/>
      <c r="F32" s="78"/>
      <c r="G32" s="44">
        <f t="shared" si="1"/>
        <v>0</v>
      </c>
      <c r="H32" s="40">
        <f>SUM($F$8:F32)/A32</f>
        <v>0</v>
      </c>
      <c r="I32" s="41">
        <f>SUM($G$8:G32)/A32</f>
        <v>0</v>
      </c>
      <c r="J32" s="20">
        <f t="shared" si="5"/>
        <v>0</v>
      </c>
      <c r="K32" s="22">
        <f t="shared" si="5"/>
        <v>0</v>
      </c>
      <c r="L32" s="21" t="e">
        <f t="shared" si="2"/>
        <v>#DIV/0!</v>
      </c>
      <c r="M32" s="21" t="e">
        <f t="shared" si="3"/>
        <v>#DIV/0!</v>
      </c>
    </row>
    <row r="33" spans="1:13" s="23" customFormat="1" ht="22.5" customHeight="1">
      <c r="A33" s="18">
        <v>25</v>
      </c>
      <c r="B33" s="19">
        <f>'FRIT FV 090.540 - FTA'!B33</f>
        <v>46259</v>
      </c>
      <c r="C33" s="19" t="s">
        <v>19</v>
      </c>
      <c r="D33" s="76"/>
      <c r="E33" s="76"/>
      <c r="F33" s="78"/>
      <c r="G33" s="44">
        <f t="shared" si="1"/>
        <v>0</v>
      </c>
      <c r="H33" s="40">
        <f>SUM($F$8:F33)/A33</f>
        <v>0</v>
      </c>
      <c r="I33" s="41">
        <f>SUM($G$8:G33)/A33</f>
        <v>0</v>
      </c>
      <c r="J33" s="20">
        <f t="shared" si="5"/>
        <v>0</v>
      </c>
      <c r="K33" s="22">
        <f t="shared" si="5"/>
        <v>0</v>
      </c>
      <c r="L33" s="21" t="e">
        <f t="shared" si="2"/>
        <v>#DIV/0!</v>
      </c>
      <c r="M33" s="21" t="e">
        <f t="shared" si="3"/>
        <v>#DIV/0!</v>
      </c>
    </row>
    <row r="34" spans="1:13" s="23" customFormat="1" ht="22.5" customHeight="1">
      <c r="A34" s="18">
        <v>26</v>
      </c>
      <c r="B34" s="19">
        <f>'FRIT FV 090.540 - FTA'!B34</f>
        <v>46260</v>
      </c>
      <c r="C34" s="19" t="s">
        <v>19</v>
      </c>
      <c r="D34" s="76"/>
      <c r="E34" s="76"/>
      <c r="F34" s="78"/>
      <c r="G34" s="44">
        <f t="shared" si="1"/>
        <v>0</v>
      </c>
      <c r="H34" s="40">
        <f>SUM($F$8:F34)/A34</f>
        <v>0</v>
      </c>
      <c r="I34" s="41">
        <f>SUM($G$8:G34)/A34</f>
        <v>0</v>
      </c>
      <c r="J34" s="20">
        <f t="shared" si="5"/>
        <v>0</v>
      </c>
      <c r="K34" s="22">
        <f t="shared" si="5"/>
        <v>0</v>
      </c>
      <c r="L34" s="21" t="e">
        <f t="shared" si="2"/>
        <v>#DIV/0!</v>
      </c>
      <c r="M34" s="21" t="e">
        <f t="shared" si="3"/>
        <v>#DIV/0!</v>
      </c>
    </row>
    <row r="35" spans="1:13" s="23" customFormat="1" ht="22.5" customHeight="1">
      <c r="A35" s="18">
        <v>27</v>
      </c>
      <c r="B35" s="19">
        <f>'FRIT FV 090.540 - FTA'!B35</f>
        <v>46261</v>
      </c>
      <c r="C35" s="19" t="s">
        <v>19</v>
      </c>
      <c r="D35" s="76"/>
      <c r="E35" s="76"/>
      <c r="F35" s="78"/>
      <c r="G35" s="44">
        <f t="shared" si="1"/>
        <v>0</v>
      </c>
      <c r="H35" s="40">
        <f>SUM($F$8:F35)/A35</f>
        <v>0</v>
      </c>
      <c r="I35" s="41">
        <f>SUM($G$8:G35)/A35</f>
        <v>0</v>
      </c>
      <c r="J35" s="20">
        <f t="shared" si="5"/>
        <v>0</v>
      </c>
      <c r="K35" s="22">
        <f t="shared" si="5"/>
        <v>0</v>
      </c>
      <c r="L35" s="21" t="e">
        <f t="shared" si="2"/>
        <v>#DIV/0!</v>
      </c>
      <c r="M35" s="21" t="e">
        <f t="shared" si="3"/>
        <v>#DIV/0!</v>
      </c>
    </row>
    <row r="36" spans="1:13" s="23" customFormat="1" ht="22.5" customHeight="1">
      <c r="A36" s="18">
        <v>28</v>
      </c>
      <c r="B36" s="19">
        <f>'FRIT FV 090.540 - FTA'!B36</f>
        <v>46262</v>
      </c>
      <c r="C36" s="19" t="s">
        <v>19</v>
      </c>
      <c r="D36" s="76"/>
      <c r="E36" s="76"/>
      <c r="F36" s="78"/>
      <c r="G36" s="44">
        <f t="shared" si="1"/>
        <v>0</v>
      </c>
      <c r="H36" s="40">
        <f>SUM($F$8:F36)/A36</f>
        <v>0</v>
      </c>
      <c r="I36" s="41">
        <f>SUM($G$8:G36)/A36</f>
        <v>0</v>
      </c>
      <c r="J36" s="20">
        <f t="shared" si="5"/>
        <v>0</v>
      </c>
      <c r="K36" s="22">
        <f t="shared" si="5"/>
        <v>0</v>
      </c>
      <c r="L36" s="21" t="e">
        <f t="shared" si="2"/>
        <v>#DIV/0!</v>
      </c>
      <c r="M36" s="21" t="e">
        <f t="shared" si="3"/>
        <v>#DIV/0!</v>
      </c>
    </row>
    <row r="37" spans="1:13" s="23" customFormat="1" ht="22.5" customHeight="1">
      <c r="A37" s="18">
        <v>29</v>
      </c>
      <c r="B37" s="19">
        <f>'FRIT FV 090.540 - FTA'!B37</f>
        <v>46263</v>
      </c>
      <c r="C37" s="19" t="s">
        <v>19</v>
      </c>
      <c r="D37" s="76"/>
      <c r="E37" s="76"/>
      <c r="F37" s="78"/>
      <c r="G37" s="44">
        <f t="shared" si="1"/>
        <v>0</v>
      </c>
      <c r="H37" s="40">
        <f>SUM($F$8:F37)/A37</f>
        <v>0</v>
      </c>
      <c r="I37" s="41">
        <f>SUM($G$8:G37)/A37</f>
        <v>0</v>
      </c>
      <c r="J37" s="20">
        <f t="shared" si="5"/>
        <v>0</v>
      </c>
      <c r="K37" s="22">
        <f t="shared" si="5"/>
        <v>0</v>
      </c>
      <c r="L37" s="21" t="e">
        <f t="shared" si="2"/>
        <v>#DIV/0!</v>
      </c>
      <c r="M37" s="21" t="e">
        <f t="shared" si="3"/>
        <v>#DIV/0!</v>
      </c>
    </row>
    <row r="38" spans="1:13" s="23" customFormat="1" ht="22.5" customHeight="1">
      <c r="A38" s="18">
        <v>30</v>
      </c>
      <c r="B38" s="19">
        <f>'FRIT FV 090.540 - FTA'!B38</f>
        <v>46264</v>
      </c>
      <c r="C38" s="19" t="s">
        <v>19</v>
      </c>
      <c r="D38" s="76"/>
      <c r="E38" s="76"/>
      <c r="F38" s="78"/>
      <c r="G38" s="44">
        <f t="shared" si="1"/>
        <v>0</v>
      </c>
      <c r="H38" s="40">
        <f>SUM($F$8:F38)/A38</f>
        <v>0</v>
      </c>
      <c r="I38" s="41">
        <f>SUM($G$8:G38)/A38</f>
        <v>0</v>
      </c>
      <c r="J38" s="20">
        <f t="shared" si="5"/>
        <v>0</v>
      </c>
      <c r="K38" s="22">
        <f t="shared" si="5"/>
        <v>0</v>
      </c>
      <c r="L38" s="21" t="e">
        <f t="shared" si="2"/>
        <v>#DIV/0!</v>
      </c>
      <c r="M38" s="21" t="e">
        <f t="shared" si="3"/>
        <v>#DIV/0!</v>
      </c>
    </row>
    <row r="39" spans="1:13" s="23" customFormat="1" ht="22.5" customHeight="1">
      <c r="A39" s="18">
        <v>31</v>
      </c>
      <c r="B39" s="19">
        <f>'FRIT FV 090.540 - FTA'!B39</f>
        <v>46265</v>
      </c>
      <c r="C39" s="19" t="s">
        <v>19</v>
      </c>
      <c r="D39" s="76"/>
      <c r="E39" s="76"/>
      <c r="F39" s="78"/>
      <c r="G39" s="44">
        <f t="shared" si="1"/>
        <v>0</v>
      </c>
      <c r="H39" s="40">
        <f>SUM($F$8:F39)/A39</f>
        <v>0</v>
      </c>
      <c r="I39" s="41">
        <f>SUM($G$8:G39)/A39</f>
        <v>0</v>
      </c>
      <c r="J39" s="20">
        <f t="shared" si="5"/>
        <v>0</v>
      </c>
      <c r="K39" s="22">
        <f t="shared" si="5"/>
        <v>0</v>
      </c>
      <c r="L39" s="21" t="e">
        <f t="shared" si="2"/>
        <v>#DIV/0!</v>
      </c>
      <c r="M39" s="21" t="e">
        <f t="shared" si="3"/>
        <v>#DIV/0!</v>
      </c>
    </row>
    <row r="40" spans="1:13" s="32" customFormat="1" ht="26.25" customHeight="1">
      <c r="A40" s="1517" t="s">
        <v>29</v>
      </c>
      <c r="B40" s="1517"/>
      <c r="C40" s="1517"/>
      <c r="D40" s="28">
        <f>SUM(D9:D39)</f>
        <v>0</v>
      </c>
      <c r="E40" s="28">
        <f>SUM(E9:E39)</f>
        <v>0</v>
      </c>
      <c r="F40" s="84">
        <f>SUM(F9:F39)</f>
        <v>0</v>
      </c>
      <c r="G40" s="84">
        <f>SUM(G9:G39)</f>
        <v>0</v>
      </c>
      <c r="H40" s="30"/>
      <c r="I40" s="30"/>
      <c r="J40" s="30">
        <f>J39</f>
        <v>0</v>
      </c>
      <c r="K40" s="33">
        <f>K39</f>
        <v>0</v>
      </c>
      <c r="L40" s="31"/>
      <c r="M40" s="31"/>
    </row>
    <row r="41" spans="1:13" s="32" customFormat="1" ht="26.25" customHeight="1">
      <c r="A41" s="1517" t="s">
        <v>15</v>
      </c>
      <c r="B41" s="1517"/>
      <c r="C41" s="1517"/>
      <c r="D41" s="28">
        <f>D8+D40</f>
        <v>0</v>
      </c>
      <c r="E41" s="28">
        <f>E8+E40</f>
        <v>0</v>
      </c>
      <c r="F41" s="30">
        <f>F8+F40</f>
        <v>0</v>
      </c>
      <c r="G41" s="30">
        <f>G8+G40</f>
        <v>0</v>
      </c>
      <c r="H41" s="30"/>
      <c r="I41" s="30"/>
      <c r="J41" s="30">
        <f>D41-F41</f>
        <v>0</v>
      </c>
      <c r="K41" s="30">
        <f>E41-G41</f>
        <v>0</v>
      </c>
      <c r="L41" s="31"/>
      <c r="M41" s="31"/>
    </row>
    <row r="42" spans="1:13" ht="23.25" customHeight="1">
      <c r="A42" s="5"/>
      <c r="B42" s="5"/>
      <c r="C42" s="5"/>
      <c r="D42" s="7"/>
      <c r="E42" s="7"/>
      <c r="F42" s="24"/>
      <c r="G42" s="24"/>
      <c r="H42" s="7"/>
      <c r="I42" s="7"/>
      <c r="J42" s="7"/>
      <c r="K42" s="7"/>
    </row>
    <row r="43" spans="1:13">
      <c r="F43" s="24"/>
      <c r="G43" s="24"/>
    </row>
    <row r="46" spans="1:13">
      <c r="H46" s="85"/>
    </row>
  </sheetData>
  <mergeCells count="12">
    <mergeCell ref="L6:M6"/>
    <mergeCell ref="A8:C8"/>
    <mergeCell ref="A40:C40"/>
    <mergeCell ref="A41:C41"/>
    <mergeCell ref="A2:M2"/>
    <mergeCell ref="A6:A7"/>
    <mergeCell ref="B6:B7"/>
    <mergeCell ref="C6:C7"/>
    <mergeCell ref="D6:E6"/>
    <mergeCell ref="F6:G6"/>
    <mergeCell ref="H6:I6"/>
    <mergeCell ref="J6:K6"/>
  </mergeCells>
  <hyperlinks>
    <hyperlink ref="M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51"/>
  <sheetViews>
    <sheetView topLeftCell="A22" zoomScale="80" zoomScaleNormal="80" workbookViewId="0">
      <selection activeCell="R9" sqref="R9"/>
    </sheetView>
  </sheetViews>
  <sheetFormatPr defaultColWidth="9.28515625" defaultRowHeight="15"/>
  <cols>
    <col min="1" max="1" width="4.7109375" style="143" customWidth="1"/>
    <col min="2" max="2" width="9" style="143" customWidth="1"/>
    <col min="3" max="3" width="16.28515625" style="143" customWidth="1"/>
    <col min="4" max="5" width="13.7109375" style="142" customWidth="1"/>
    <col min="6" max="9" width="11.28515625" style="142" customWidth="1"/>
    <col min="10" max="11" width="13" style="142" customWidth="1"/>
    <col min="12" max="13" width="11.42578125" style="143" customWidth="1"/>
    <col min="14" max="14" width="6.85546875" style="143" customWidth="1"/>
    <col min="15" max="16384" width="9.28515625" style="143"/>
  </cols>
  <sheetData>
    <row r="1" spans="1:14" ht="18" customHeight="1">
      <c r="A1" s="146" t="e">
        <f>'FRIT FV 090.540 - FTA'!#REF!</f>
        <v>#REF!</v>
      </c>
      <c r="B1" s="146"/>
      <c r="C1" s="146"/>
      <c r="D1" s="146"/>
      <c r="E1" s="146"/>
      <c r="F1" s="146"/>
    </row>
    <row r="2" spans="1:14" ht="18" customHeight="1">
      <c r="A2" s="146" t="e">
        <f>'FRIT FV 090.540 - FTA'!#REF!</f>
        <v>#REF!</v>
      </c>
      <c r="B2" s="146"/>
      <c r="C2" s="146"/>
      <c r="D2" s="144"/>
      <c r="E2" s="144"/>
      <c r="F2" s="144"/>
      <c r="K2" s="197" t="e">
        <f>'FRIT FV 090.540 - FTA'!#REF!</f>
        <v>#REF!</v>
      </c>
      <c r="L2" s="142"/>
    </row>
    <row r="3" spans="1:14" ht="33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14" ht="18.75" customHeight="1">
      <c r="B4" s="145"/>
      <c r="C4" s="145"/>
      <c r="D4" s="143" t="s">
        <v>33</v>
      </c>
      <c r="E4" s="184" t="s">
        <v>121</v>
      </c>
      <c r="H4" s="142" t="s">
        <v>114</v>
      </c>
      <c r="I4" s="146" t="s">
        <v>150</v>
      </c>
      <c r="J4" s="145"/>
      <c r="K4" s="145"/>
      <c r="L4" s="145"/>
      <c r="M4" s="145"/>
    </row>
    <row r="5" spans="1:14" ht="18.75" customHeight="1">
      <c r="B5" s="143" t="e">
        <f>'FRIT FV 090.540 - FTA'!#REF!</f>
        <v>#REF!</v>
      </c>
      <c r="C5" s="143" t="e">
        <f>'FRIT FV 090.540 - FTA'!#REF!</f>
        <v>#REF!</v>
      </c>
      <c r="D5" s="143" t="e">
        <f>'FRIT FV 090.540 - FTA'!#REF!</f>
        <v>#REF!</v>
      </c>
      <c r="E5" s="147" t="e">
        <f>'FRIT FV 090.540 - FTA'!#REF!</f>
        <v>#REF!</v>
      </c>
      <c r="F5" s="143" t="e">
        <f>'FRIT FV 090.540 - FTA'!#REF!</f>
        <v>#REF!</v>
      </c>
      <c r="G5" s="143" t="e">
        <f>'FRIT FV 090.540 - FTA'!#REF!</f>
        <v>#REF!</v>
      </c>
      <c r="H5" s="143" t="e">
        <f>'FRIT FV 090.540 - FTA'!#REF!</f>
        <v>#REF!</v>
      </c>
      <c r="I5" s="143" t="e">
        <f>'FRIT FV 090.540 - FTA'!#REF!</f>
        <v>#REF!</v>
      </c>
      <c r="J5" s="143"/>
      <c r="K5" s="143"/>
    </row>
    <row r="6" spans="1:14" ht="18" customHeight="1">
      <c r="F6" s="148"/>
      <c r="G6" s="148"/>
      <c r="H6" s="148"/>
      <c r="I6" s="148"/>
      <c r="L6" s="149" t="s">
        <v>26</v>
      </c>
      <c r="M6" s="198" t="e">
        <f>'FRIT FV 090.540 - FTA'!#REF!</f>
        <v>#REF!</v>
      </c>
    </row>
    <row r="7" spans="1:14" s="150" customFormat="1" ht="40.5" customHeight="1">
      <c r="A7" s="1506" t="s">
        <v>2</v>
      </c>
      <c r="B7" s="1508" t="s">
        <v>1</v>
      </c>
      <c r="C7" s="1508" t="s">
        <v>24</v>
      </c>
      <c r="D7" s="1501" t="s">
        <v>27</v>
      </c>
      <c r="E7" s="1502"/>
      <c r="F7" s="1501" t="s">
        <v>31</v>
      </c>
      <c r="G7" s="1502"/>
      <c r="H7" s="1501" t="s">
        <v>28</v>
      </c>
      <c r="I7" s="1502"/>
      <c r="J7" s="1501" t="s">
        <v>14</v>
      </c>
      <c r="K7" s="1502"/>
      <c r="L7" s="1501" t="s">
        <v>110</v>
      </c>
      <c r="M7" s="1502"/>
      <c r="N7" s="1508" t="s">
        <v>99</v>
      </c>
    </row>
    <row r="8" spans="1:14" s="150" customFormat="1" ht="27.75" customHeight="1">
      <c r="A8" s="1507"/>
      <c r="B8" s="1509"/>
      <c r="C8" s="1509"/>
      <c r="D8" s="157" t="s">
        <v>6</v>
      </c>
      <c r="E8" s="158" t="s">
        <v>25</v>
      </c>
      <c r="F8" s="157" t="s">
        <v>6</v>
      </c>
      <c r="G8" s="158" t="s">
        <v>12</v>
      </c>
      <c r="H8" s="157" t="s">
        <v>6</v>
      </c>
      <c r="I8" s="158" t="s">
        <v>12</v>
      </c>
      <c r="J8" s="157" t="s">
        <v>6</v>
      </c>
      <c r="K8" s="159" t="s">
        <v>12</v>
      </c>
      <c r="L8" s="160" t="s">
        <v>6</v>
      </c>
      <c r="M8" s="159" t="s">
        <v>12</v>
      </c>
      <c r="N8" s="1509"/>
    </row>
    <row r="9" spans="1:14" s="150" customFormat="1" ht="25.5" customHeight="1">
      <c r="A9" s="1510" t="s">
        <v>3</v>
      </c>
      <c r="B9" s="1511"/>
      <c r="C9" s="1512"/>
      <c r="D9" s="161">
        <f>J9</f>
        <v>0</v>
      </c>
      <c r="E9" s="162">
        <f>K9</f>
        <v>0</v>
      </c>
      <c r="F9" s="163"/>
      <c r="G9" s="162"/>
      <c r="H9" s="163"/>
      <c r="I9" s="162"/>
      <c r="J9" s="164">
        <f>K9-K9*N9</f>
        <v>0</v>
      </c>
      <c r="K9" s="165">
        <v>0</v>
      </c>
      <c r="L9" s="166"/>
      <c r="M9" s="167"/>
      <c r="N9" s="168"/>
    </row>
    <row r="10" spans="1:14" ht="16.5" customHeight="1">
      <c r="A10" s="169">
        <v>1</v>
      </c>
      <c r="B10" s="170">
        <f>'FRIT FV 090.540 - FTA'!B9</f>
        <v>46235</v>
      </c>
      <c r="C10" s="170" t="s">
        <v>17</v>
      </c>
      <c r="D10" s="171"/>
      <c r="E10" s="162"/>
      <c r="F10" s="163"/>
      <c r="G10" s="173">
        <f>F10</f>
        <v>0</v>
      </c>
      <c r="H10" s="174">
        <f>SUM($F$9:F10)/A10</f>
        <v>0</v>
      </c>
      <c r="I10" s="173">
        <f>SUM($G$9:G10)/A10</f>
        <v>0</v>
      </c>
      <c r="J10" s="175">
        <f>J9+D10-F10</f>
        <v>0</v>
      </c>
      <c r="K10" s="176">
        <f>K9+E10-G10</f>
        <v>0</v>
      </c>
      <c r="L10" s="177" t="e">
        <f>J10/H10</f>
        <v>#DIV/0!</v>
      </c>
      <c r="M10" s="161" t="e">
        <f>K10/I10</f>
        <v>#DIV/0!</v>
      </c>
      <c r="N10" s="168"/>
    </row>
    <row r="11" spans="1:14" ht="16.5" customHeight="1">
      <c r="A11" s="169">
        <v>2</v>
      </c>
      <c r="B11" s="170">
        <f>'FRIT FV 090.540 - FTA'!B10</f>
        <v>46236</v>
      </c>
      <c r="C11" s="170" t="str">
        <f>'FRIT VF1101N.A-VNF'!C10</f>
        <v>Không nhập - xuất</v>
      </c>
      <c r="D11" s="171"/>
      <c r="E11" s="162"/>
      <c r="F11" s="163"/>
      <c r="G11" s="173">
        <f t="shared" ref="G11:G40" si="0">F11</f>
        <v>0</v>
      </c>
      <c r="H11" s="174">
        <f>SUM($F$9:F11)/A11</f>
        <v>0</v>
      </c>
      <c r="I11" s="173">
        <f>SUM($G$9:G11)/A11</f>
        <v>0</v>
      </c>
      <c r="J11" s="175">
        <f t="shared" ref="J11:J40" si="1">J10+D11-F11</f>
        <v>0</v>
      </c>
      <c r="K11" s="176">
        <f t="shared" ref="K11:K40" si="2">K10+E11-G11</f>
        <v>0</v>
      </c>
      <c r="L11" s="177" t="e">
        <f t="shared" ref="L11:L40" si="3">J11/H11</f>
        <v>#DIV/0!</v>
      </c>
      <c r="M11" s="161" t="e">
        <f t="shared" ref="M11:M40" si="4">K11/I11</f>
        <v>#DIV/0!</v>
      </c>
      <c r="N11" s="168"/>
    </row>
    <row r="12" spans="1:14" ht="16.5" customHeight="1">
      <c r="A12" s="169">
        <v>3</v>
      </c>
      <c r="B12" s="170">
        <f>'FRIT FV 090.540 - FTA'!B11</f>
        <v>46237</v>
      </c>
      <c r="C12" s="170" t="str">
        <f>'FRIT VF1101N.A-VNF'!C11</f>
        <v>Không nhập - xuất</v>
      </c>
      <c r="D12" s="171"/>
      <c r="E12" s="162"/>
      <c r="F12" s="163"/>
      <c r="G12" s="173">
        <f t="shared" si="0"/>
        <v>0</v>
      </c>
      <c r="H12" s="174">
        <f>SUM($F$9:F12)/A12</f>
        <v>0</v>
      </c>
      <c r="I12" s="173">
        <f>SUM($G$9:G12)/A12</f>
        <v>0</v>
      </c>
      <c r="J12" s="175">
        <f t="shared" si="1"/>
        <v>0</v>
      </c>
      <c r="K12" s="176">
        <f t="shared" si="2"/>
        <v>0</v>
      </c>
      <c r="L12" s="177" t="e">
        <f t="shared" si="3"/>
        <v>#DIV/0!</v>
      </c>
      <c r="M12" s="161" t="e">
        <f t="shared" si="4"/>
        <v>#DIV/0!</v>
      </c>
      <c r="N12" s="168"/>
    </row>
    <row r="13" spans="1:14" ht="16.5" customHeight="1">
      <c r="A13" s="169">
        <v>4</v>
      </c>
      <c r="B13" s="170">
        <f>'FRIT FV 090.540 - FTA'!B12</f>
        <v>46238</v>
      </c>
      <c r="C13" s="170" t="s">
        <v>106</v>
      </c>
      <c r="D13" s="171"/>
      <c r="E13" s="162"/>
      <c r="F13" s="163"/>
      <c r="G13" s="173">
        <f t="shared" si="0"/>
        <v>0</v>
      </c>
      <c r="H13" s="174">
        <f>SUM($F$9:F13)/A13</f>
        <v>0</v>
      </c>
      <c r="I13" s="173">
        <f>SUM($G$9:G13)/A13</f>
        <v>0</v>
      </c>
      <c r="J13" s="175">
        <f t="shared" si="1"/>
        <v>0</v>
      </c>
      <c r="K13" s="176">
        <f t="shared" si="2"/>
        <v>0</v>
      </c>
      <c r="L13" s="177" t="e">
        <f t="shared" si="3"/>
        <v>#DIV/0!</v>
      </c>
      <c r="M13" s="161" t="e">
        <f t="shared" si="4"/>
        <v>#DIV/0!</v>
      </c>
      <c r="N13" s="168"/>
    </row>
    <row r="14" spans="1:14" ht="16.5" customHeight="1">
      <c r="A14" s="169">
        <v>5</v>
      </c>
      <c r="B14" s="170">
        <f>'FRIT FV 090.540 - FTA'!B13</f>
        <v>46239</v>
      </c>
      <c r="C14" s="170" t="s">
        <v>106</v>
      </c>
      <c r="D14" s="178"/>
      <c r="E14" s="162"/>
      <c r="F14" s="172"/>
      <c r="G14" s="173">
        <f t="shared" si="0"/>
        <v>0</v>
      </c>
      <c r="H14" s="174">
        <f>SUM($F$9:F14)/A14</f>
        <v>0</v>
      </c>
      <c r="I14" s="173">
        <f>SUM($G$9:G14)/A14</f>
        <v>0</v>
      </c>
      <c r="J14" s="175">
        <f t="shared" si="1"/>
        <v>0</v>
      </c>
      <c r="K14" s="176">
        <f t="shared" si="2"/>
        <v>0</v>
      </c>
      <c r="L14" s="177" t="e">
        <f t="shared" si="3"/>
        <v>#DIV/0!</v>
      </c>
      <c r="M14" s="161" t="e">
        <f t="shared" si="4"/>
        <v>#DIV/0!</v>
      </c>
      <c r="N14" s="168"/>
    </row>
    <row r="15" spans="1:14" ht="16.5" customHeight="1">
      <c r="A15" s="169">
        <v>6</v>
      </c>
      <c r="B15" s="170">
        <f>'FRIT FV 090.540 - FTA'!B14</f>
        <v>46240</v>
      </c>
      <c r="C15" s="170" t="s">
        <v>106</v>
      </c>
      <c r="D15" s="171"/>
      <c r="E15" s="162"/>
      <c r="F15" s="172"/>
      <c r="G15" s="173">
        <f t="shared" si="0"/>
        <v>0</v>
      </c>
      <c r="H15" s="174">
        <f>SUM($F$9:F15)/A15</f>
        <v>0</v>
      </c>
      <c r="I15" s="173">
        <f>SUM($G$9:G15)/A15</f>
        <v>0</v>
      </c>
      <c r="J15" s="175">
        <f t="shared" si="1"/>
        <v>0</v>
      </c>
      <c r="K15" s="176">
        <f t="shared" si="2"/>
        <v>0</v>
      </c>
      <c r="L15" s="177" t="e">
        <f t="shared" si="3"/>
        <v>#DIV/0!</v>
      </c>
      <c r="M15" s="161" t="e">
        <f t="shared" si="4"/>
        <v>#DIV/0!</v>
      </c>
      <c r="N15" s="168"/>
    </row>
    <row r="16" spans="1:14" ht="16.5" customHeight="1">
      <c r="A16" s="169">
        <v>7</v>
      </c>
      <c r="B16" s="170">
        <f>'FRIT FV 090.540 - FTA'!B15</f>
        <v>46241</v>
      </c>
      <c r="C16" s="170" t="s">
        <v>106</v>
      </c>
      <c r="D16" s="171"/>
      <c r="E16" s="162"/>
      <c r="F16" s="172"/>
      <c r="G16" s="173">
        <f t="shared" si="0"/>
        <v>0</v>
      </c>
      <c r="H16" s="174">
        <f>SUM($F$9:F16)/A16</f>
        <v>0</v>
      </c>
      <c r="I16" s="173">
        <f>SUM($G$9:G16)/A16</f>
        <v>0</v>
      </c>
      <c r="J16" s="175">
        <f t="shared" si="1"/>
        <v>0</v>
      </c>
      <c r="K16" s="176">
        <f t="shared" si="2"/>
        <v>0</v>
      </c>
      <c r="L16" s="177" t="e">
        <f t="shared" si="3"/>
        <v>#DIV/0!</v>
      </c>
      <c r="M16" s="161" t="e">
        <f t="shared" si="4"/>
        <v>#DIV/0!</v>
      </c>
      <c r="N16" s="168"/>
    </row>
    <row r="17" spans="1:14" ht="16.5" customHeight="1">
      <c r="A17" s="169">
        <v>8</v>
      </c>
      <c r="B17" s="170">
        <f>'FRIT FV 090.540 - FTA'!B16</f>
        <v>46242</v>
      </c>
      <c r="C17" s="170" t="s">
        <v>106</v>
      </c>
      <c r="D17" s="171"/>
      <c r="E17" s="162"/>
      <c r="F17" s="172"/>
      <c r="G17" s="173">
        <f t="shared" si="0"/>
        <v>0</v>
      </c>
      <c r="H17" s="174">
        <f>SUM($F$9:F17)/A17</f>
        <v>0</v>
      </c>
      <c r="I17" s="173">
        <f>SUM($G$9:G17)/A17</f>
        <v>0</v>
      </c>
      <c r="J17" s="175">
        <f t="shared" si="1"/>
        <v>0</v>
      </c>
      <c r="K17" s="176">
        <f t="shared" si="2"/>
        <v>0</v>
      </c>
      <c r="L17" s="177" t="e">
        <f t="shared" si="3"/>
        <v>#DIV/0!</v>
      </c>
      <c r="M17" s="161" t="e">
        <f t="shared" si="4"/>
        <v>#DIV/0!</v>
      </c>
      <c r="N17" s="168"/>
    </row>
    <row r="18" spans="1:14" ht="16.5" customHeight="1">
      <c r="A18" s="169">
        <v>9</v>
      </c>
      <c r="B18" s="170">
        <f>'FRIT FV 090.540 - FTA'!B17</f>
        <v>46243</v>
      </c>
      <c r="C18" s="170" t="s">
        <v>106</v>
      </c>
      <c r="D18" s="171"/>
      <c r="E18" s="162"/>
      <c r="F18" s="172"/>
      <c r="G18" s="173">
        <f t="shared" si="0"/>
        <v>0</v>
      </c>
      <c r="H18" s="174">
        <f>SUM($F$9:F18)/A18</f>
        <v>0</v>
      </c>
      <c r="I18" s="173">
        <f>SUM($G$9:G18)/A18</f>
        <v>0</v>
      </c>
      <c r="J18" s="175">
        <f t="shared" si="1"/>
        <v>0</v>
      </c>
      <c r="K18" s="176">
        <f t="shared" si="2"/>
        <v>0</v>
      </c>
      <c r="L18" s="177" t="e">
        <f t="shared" si="3"/>
        <v>#DIV/0!</v>
      </c>
      <c r="M18" s="161" t="e">
        <f t="shared" si="4"/>
        <v>#DIV/0!</v>
      </c>
      <c r="N18" s="168"/>
    </row>
    <row r="19" spans="1:14" ht="16.5" customHeight="1">
      <c r="A19" s="169">
        <v>10</v>
      </c>
      <c r="B19" s="170">
        <f>'FRIT FV 090.540 - FTA'!B18</f>
        <v>46244</v>
      </c>
      <c r="C19" s="170" t="s">
        <v>106</v>
      </c>
      <c r="D19" s="171"/>
      <c r="E19" s="162"/>
      <c r="F19" s="172"/>
      <c r="G19" s="173">
        <f t="shared" si="0"/>
        <v>0</v>
      </c>
      <c r="H19" s="174">
        <f>SUM($F$9:F19)/A19</f>
        <v>0</v>
      </c>
      <c r="I19" s="173">
        <f>SUM($G$9:G19)/A19</f>
        <v>0</v>
      </c>
      <c r="J19" s="175">
        <f t="shared" si="1"/>
        <v>0</v>
      </c>
      <c r="K19" s="176">
        <f t="shared" si="2"/>
        <v>0</v>
      </c>
      <c r="L19" s="177" t="e">
        <f t="shared" si="3"/>
        <v>#DIV/0!</v>
      </c>
      <c r="M19" s="161" t="e">
        <f t="shared" si="4"/>
        <v>#DIV/0!</v>
      </c>
      <c r="N19" s="168"/>
    </row>
    <row r="20" spans="1:14" ht="16.5" customHeight="1">
      <c r="A20" s="169">
        <v>11</v>
      </c>
      <c r="B20" s="170">
        <f>'FRIT FV 090.540 - FTA'!B19</f>
        <v>46245</v>
      </c>
      <c r="C20" s="170" t="s">
        <v>106</v>
      </c>
      <c r="D20" s="171"/>
      <c r="E20" s="162"/>
      <c r="F20" s="172"/>
      <c r="G20" s="173">
        <f t="shared" si="0"/>
        <v>0</v>
      </c>
      <c r="H20" s="174">
        <f>SUM($F$9:F20)/A20</f>
        <v>0</v>
      </c>
      <c r="I20" s="173">
        <f>SUM($G$9:G20)/A20</f>
        <v>0</v>
      </c>
      <c r="J20" s="175">
        <f t="shared" si="1"/>
        <v>0</v>
      </c>
      <c r="K20" s="176">
        <f t="shared" si="2"/>
        <v>0</v>
      </c>
      <c r="L20" s="177" t="e">
        <f t="shared" si="3"/>
        <v>#DIV/0!</v>
      </c>
      <c r="M20" s="161" t="e">
        <f t="shared" si="4"/>
        <v>#DIV/0!</v>
      </c>
      <c r="N20" s="168"/>
    </row>
    <row r="21" spans="1:14" ht="16.5" customHeight="1">
      <c r="A21" s="169">
        <v>12</v>
      </c>
      <c r="B21" s="170">
        <f>'FRIT FV 090.540 - FTA'!B20</f>
        <v>46246</v>
      </c>
      <c r="C21" s="170" t="s">
        <v>106</v>
      </c>
      <c r="D21" s="178"/>
      <c r="E21" s="162"/>
      <c r="F21" s="172"/>
      <c r="G21" s="173">
        <f t="shared" si="0"/>
        <v>0</v>
      </c>
      <c r="H21" s="174">
        <f>SUM($F$9:F21)/A21</f>
        <v>0</v>
      </c>
      <c r="I21" s="173">
        <f>SUM($G$9:G21)/A21</f>
        <v>0</v>
      </c>
      <c r="J21" s="175">
        <f t="shared" si="1"/>
        <v>0</v>
      </c>
      <c r="K21" s="176">
        <f t="shared" si="2"/>
        <v>0</v>
      </c>
      <c r="L21" s="177" t="e">
        <f t="shared" si="3"/>
        <v>#DIV/0!</v>
      </c>
      <c r="M21" s="161" t="e">
        <f t="shared" si="4"/>
        <v>#DIV/0!</v>
      </c>
      <c r="N21" s="168"/>
    </row>
    <row r="22" spans="1:14" ht="16.5" customHeight="1">
      <c r="A22" s="169">
        <v>13</v>
      </c>
      <c r="B22" s="170">
        <f>'FRIT FV 090.540 - FTA'!B21</f>
        <v>46247</v>
      </c>
      <c r="C22" s="170" t="s">
        <v>106</v>
      </c>
      <c r="D22" s="171"/>
      <c r="E22" s="162"/>
      <c r="F22" s="172"/>
      <c r="G22" s="173">
        <f t="shared" si="0"/>
        <v>0</v>
      </c>
      <c r="H22" s="174">
        <f>SUM($F$9:F22)/A22</f>
        <v>0</v>
      </c>
      <c r="I22" s="173">
        <f>SUM($G$9:G22)/A22</f>
        <v>0</v>
      </c>
      <c r="J22" s="175">
        <f t="shared" si="1"/>
        <v>0</v>
      </c>
      <c r="K22" s="176">
        <f t="shared" si="2"/>
        <v>0</v>
      </c>
      <c r="L22" s="177" t="e">
        <f t="shared" si="3"/>
        <v>#DIV/0!</v>
      </c>
      <c r="M22" s="161" t="e">
        <f t="shared" si="4"/>
        <v>#DIV/0!</v>
      </c>
      <c r="N22" s="168"/>
    </row>
    <row r="23" spans="1:14" ht="16.5" customHeight="1">
      <c r="A23" s="169">
        <v>14</v>
      </c>
      <c r="B23" s="170">
        <f>'FRIT FV 090.540 - FTA'!B22</f>
        <v>46248</v>
      </c>
      <c r="C23" s="170" t="s">
        <v>106</v>
      </c>
      <c r="D23" s="171"/>
      <c r="E23" s="162"/>
      <c r="F23" s="172"/>
      <c r="G23" s="173">
        <f t="shared" si="0"/>
        <v>0</v>
      </c>
      <c r="H23" s="174">
        <f>SUM($F$9:F23)/A23</f>
        <v>0</v>
      </c>
      <c r="I23" s="173">
        <f>SUM($G$9:G23)/A23</f>
        <v>0</v>
      </c>
      <c r="J23" s="175">
        <f t="shared" si="1"/>
        <v>0</v>
      </c>
      <c r="K23" s="176">
        <f t="shared" si="2"/>
        <v>0</v>
      </c>
      <c r="L23" s="177" t="e">
        <f t="shared" si="3"/>
        <v>#DIV/0!</v>
      </c>
      <c r="M23" s="161" t="e">
        <f t="shared" si="4"/>
        <v>#DIV/0!</v>
      </c>
      <c r="N23" s="168"/>
    </row>
    <row r="24" spans="1:14" ht="16.5" customHeight="1">
      <c r="A24" s="169">
        <v>15</v>
      </c>
      <c r="B24" s="170">
        <f>'FRIT FV 090.540 - FTA'!B23</f>
        <v>46249</v>
      </c>
      <c r="C24" s="170" t="s">
        <v>106</v>
      </c>
      <c r="D24" s="171"/>
      <c r="E24" s="162"/>
      <c r="F24" s="172"/>
      <c r="G24" s="173">
        <f t="shared" si="0"/>
        <v>0</v>
      </c>
      <c r="H24" s="174">
        <f>SUM($F$9:F24)/A24</f>
        <v>0</v>
      </c>
      <c r="I24" s="179">
        <f>SUM($G$9:G24)/A24</f>
        <v>0</v>
      </c>
      <c r="J24" s="175">
        <f t="shared" si="1"/>
        <v>0</v>
      </c>
      <c r="K24" s="176">
        <f t="shared" si="2"/>
        <v>0</v>
      </c>
      <c r="L24" s="177" t="e">
        <f t="shared" si="3"/>
        <v>#DIV/0!</v>
      </c>
      <c r="M24" s="161" t="e">
        <f t="shared" si="4"/>
        <v>#DIV/0!</v>
      </c>
      <c r="N24" s="168"/>
    </row>
    <row r="25" spans="1:14" ht="16.5" customHeight="1">
      <c r="A25" s="169">
        <v>16</v>
      </c>
      <c r="B25" s="170">
        <f>'FRIT FV 090.540 - FTA'!B24</f>
        <v>46250</v>
      </c>
      <c r="C25" s="170" t="s">
        <v>106</v>
      </c>
      <c r="D25" s="171"/>
      <c r="E25" s="162"/>
      <c r="F25" s="172"/>
      <c r="G25" s="173">
        <f t="shared" si="0"/>
        <v>0</v>
      </c>
      <c r="H25" s="174">
        <f>SUM($F$9:F25)/A25</f>
        <v>0</v>
      </c>
      <c r="I25" s="173">
        <f>SUM($G$9:G25)/A25</f>
        <v>0</v>
      </c>
      <c r="J25" s="175">
        <f t="shared" si="1"/>
        <v>0</v>
      </c>
      <c r="K25" s="176">
        <f t="shared" si="2"/>
        <v>0</v>
      </c>
      <c r="L25" s="177" t="e">
        <f t="shared" si="3"/>
        <v>#DIV/0!</v>
      </c>
      <c r="M25" s="161" t="e">
        <f t="shared" si="4"/>
        <v>#DIV/0!</v>
      </c>
      <c r="N25" s="168"/>
    </row>
    <row r="26" spans="1:14" ht="16.5" customHeight="1">
      <c r="A26" s="169">
        <v>17</v>
      </c>
      <c r="B26" s="170">
        <f>'FRIT FV 090.540 - FTA'!B25</f>
        <v>46251</v>
      </c>
      <c r="C26" s="170" t="s">
        <v>106</v>
      </c>
      <c r="D26" s="171"/>
      <c r="E26" s="162"/>
      <c r="F26" s="172"/>
      <c r="G26" s="173">
        <f t="shared" si="0"/>
        <v>0</v>
      </c>
      <c r="H26" s="174">
        <f>SUM($F$9:F26)/A26</f>
        <v>0</v>
      </c>
      <c r="I26" s="173">
        <f>SUM($G$9:G26)/A26</f>
        <v>0</v>
      </c>
      <c r="J26" s="175">
        <f t="shared" si="1"/>
        <v>0</v>
      </c>
      <c r="K26" s="176">
        <f t="shared" si="2"/>
        <v>0</v>
      </c>
      <c r="L26" s="177" t="e">
        <f t="shared" si="3"/>
        <v>#DIV/0!</v>
      </c>
      <c r="M26" s="161" t="e">
        <f t="shared" si="4"/>
        <v>#DIV/0!</v>
      </c>
      <c r="N26" s="168"/>
    </row>
    <row r="27" spans="1:14" ht="16.5" customHeight="1">
      <c r="A27" s="169">
        <v>18</v>
      </c>
      <c r="B27" s="170">
        <f>'FRIT FV 090.540 - FTA'!B26</f>
        <v>46252</v>
      </c>
      <c r="C27" s="170" t="s">
        <v>106</v>
      </c>
      <c r="D27" s="171"/>
      <c r="E27" s="162"/>
      <c r="F27" s="172"/>
      <c r="G27" s="173">
        <f t="shared" si="0"/>
        <v>0</v>
      </c>
      <c r="H27" s="174">
        <f>SUM($F$9:F27)/A27</f>
        <v>0</v>
      </c>
      <c r="I27" s="173">
        <f>SUM($G$9:G27)/A27</f>
        <v>0</v>
      </c>
      <c r="J27" s="175">
        <f t="shared" si="1"/>
        <v>0</v>
      </c>
      <c r="K27" s="176">
        <f t="shared" si="2"/>
        <v>0</v>
      </c>
      <c r="L27" s="177" t="e">
        <f t="shared" si="3"/>
        <v>#DIV/0!</v>
      </c>
      <c r="M27" s="161" t="e">
        <f t="shared" si="4"/>
        <v>#DIV/0!</v>
      </c>
      <c r="N27" s="168"/>
    </row>
    <row r="28" spans="1:14" ht="16.5" customHeight="1">
      <c r="A28" s="169">
        <v>19</v>
      </c>
      <c r="B28" s="170">
        <f>'FRIT FV 090.540 - FTA'!B27</f>
        <v>46253</v>
      </c>
      <c r="C28" s="170" t="s">
        <v>106</v>
      </c>
      <c r="D28" s="178"/>
      <c r="E28" s="162"/>
      <c r="F28" s="172"/>
      <c r="G28" s="173">
        <f t="shared" si="0"/>
        <v>0</v>
      </c>
      <c r="H28" s="174">
        <f>SUM($F$9:F28)/A28</f>
        <v>0</v>
      </c>
      <c r="I28" s="173">
        <f>SUM($G$9:G28)/A28</f>
        <v>0</v>
      </c>
      <c r="J28" s="175">
        <f t="shared" si="1"/>
        <v>0</v>
      </c>
      <c r="K28" s="176">
        <f t="shared" si="2"/>
        <v>0</v>
      </c>
      <c r="L28" s="177" t="e">
        <f t="shared" si="3"/>
        <v>#DIV/0!</v>
      </c>
      <c r="M28" s="161" t="e">
        <f t="shared" si="4"/>
        <v>#DIV/0!</v>
      </c>
      <c r="N28" s="168"/>
    </row>
    <row r="29" spans="1:14" ht="16.5" customHeight="1">
      <c r="A29" s="169">
        <v>20</v>
      </c>
      <c r="B29" s="170">
        <f>'FRIT FV 090.540 - FTA'!B28</f>
        <v>46254</v>
      </c>
      <c r="C29" s="170" t="s">
        <v>106</v>
      </c>
      <c r="D29" s="178"/>
      <c r="E29" s="162"/>
      <c r="F29" s="172"/>
      <c r="G29" s="173">
        <f t="shared" si="0"/>
        <v>0</v>
      </c>
      <c r="H29" s="174">
        <f>SUM($F$9:F29)/A29</f>
        <v>0</v>
      </c>
      <c r="I29" s="173">
        <f>SUM($G$9:G29)/A29</f>
        <v>0</v>
      </c>
      <c r="J29" s="175">
        <f t="shared" si="1"/>
        <v>0</v>
      </c>
      <c r="K29" s="176">
        <f t="shared" si="2"/>
        <v>0</v>
      </c>
      <c r="L29" s="177" t="e">
        <f t="shared" si="3"/>
        <v>#DIV/0!</v>
      </c>
      <c r="M29" s="161" t="e">
        <f t="shared" si="4"/>
        <v>#DIV/0!</v>
      </c>
      <c r="N29" s="168"/>
    </row>
    <row r="30" spans="1:14" ht="16.5" customHeight="1">
      <c r="A30" s="169">
        <v>21</v>
      </c>
      <c r="B30" s="170">
        <f>'FRIT FV 090.540 - FTA'!B29</f>
        <v>46255</v>
      </c>
      <c r="C30" s="170" t="s">
        <v>106</v>
      </c>
      <c r="D30" s="171"/>
      <c r="E30" s="162"/>
      <c r="F30" s="172"/>
      <c r="G30" s="173">
        <f t="shared" si="0"/>
        <v>0</v>
      </c>
      <c r="H30" s="174">
        <f>SUM($F$9:F30)/A30</f>
        <v>0</v>
      </c>
      <c r="I30" s="173">
        <f>SUM($G$9:G30)/A30</f>
        <v>0</v>
      </c>
      <c r="J30" s="175">
        <f t="shared" si="1"/>
        <v>0</v>
      </c>
      <c r="K30" s="176">
        <f t="shared" si="2"/>
        <v>0</v>
      </c>
      <c r="L30" s="177" t="e">
        <f t="shared" si="3"/>
        <v>#DIV/0!</v>
      </c>
      <c r="M30" s="161" t="e">
        <f t="shared" si="4"/>
        <v>#DIV/0!</v>
      </c>
      <c r="N30" s="168"/>
    </row>
    <row r="31" spans="1:14" ht="16.5" customHeight="1">
      <c r="A31" s="169">
        <v>22</v>
      </c>
      <c r="B31" s="170">
        <f>'FRIT FV 090.540 - FTA'!B30</f>
        <v>46256</v>
      </c>
      <c r="C31" s="170" t="s">
        <v>106</v>
      </c>
      <c r="D31" s="171"/>
      <c r="E31" s="162"/>
      <c r="F31" s="172"/>
      <c r="G31" s="173">
        <f t="shared" si="0"/>
        <v>0</v>
      </c>
      <c r="H31" s="174">
        <f>SUM($F$9:F31)/A31</f>
        <v>0</v>
      </c>
      <c r="I31" s="173">
        <f>SUM($G$9:G31)/A31</f>
        <v>0</v>
      </c>
      <c r="J31" s="175">
        <f t="shared" si="1"/>
        <v>0</v>
      </c>
      <c r="K31" s="176">
        <f t="shared" si="2"/>
        <v>0</v>
      </c>
      <c r="L31" s="177" t="e">
        <f t="shared" si="3"/>
        <v>#DIV/0!</v>
      </c>
      <c r="M31" s="161" t="e">
        <f t="shared" si="4"/>
        <v>#DIV/0!</v>
      </c>
      <c r="N31" s="168"/>
    </row>
    <row r="32" spans="1:14" ht="16.5" customHeight="1">
      <c r="A32" s="169">
        <v>23</v>
      </c>
      <c r="B32" s="170">
        <f>'FRIT FV 090.540 - FTA'!B31</f>
        <v>46257</v>
      </c>
      <c r="C32" s="170" t="s">
        <v>106</v>
      </c>
      <c r="D32" s="171"/>
      <c r="E32" s="162"/>
      <c r="F32" s="172"/>
      <c r="G32" s="173">
        <f t="shared" si="0"/>
        <v>0</v>
      </c>
      <c r="H32" s="174">
        <f>SUM($F$9:F32)/A32</f>
        <v>0</v>
      </c>
      <c r="I32" s="173">
        <f>SUM($G$9:G32)/A32</f>
        <v>0</v>
      </c>
      <c r="J32" s="175">
        <f t="shared" si="1"/>
        <v>0</v>
      </c>
      <c r="K32" s="176">
        <f t="shared" si="2"/>
        <v>0</v>
      </c>
      <c r="L32" s="177" t="e">
        <f t="shared" si="3"/>
        <v>#DIV/0!</v>
      </c>
      <c r="M32" s="161" t="e">
        <f t="shared" si="4"/>
        <v>#DIV/0!</v>
      </c>
      <c r="N32" s="168"/>
    </row>
    <row r="33" spans="1:14" ht="16.5" customHeight="1">
      <c r="A33" s="169">
        <v>24</v>
      </c>
      <c r="B33" s="170">
        <f>'FRIT FV 090.540 - FTA'!B32</f>
        <v>46258</v>
      </c>
      <c r="C33" s="170" t="s">
        <v>106</v>
      </c>
      <c r="D33" s="171"/>
      <c r="E33" s="162"/>
      <c r="F33" s="172"/>
      <c r="G33" s="173">
        <f t="shared" si="0"/>
        <v>0</v>
      </c>
      <c r="H33" s="174">
        <f>SUM($F$9:F33)/A33</f>
        <v>0</v>
      </c>
      <c r="I33" s="173">
        <f>SUM($G$9:G33)/A33</f>
        <v>0</v>
      </c>
      <c r="J33" s="175">
        <f t="shared" si="1"/>
        <v>0</v>
      </c>
      <c r="K33" s="176">
        <f t="shared" si="2"/>
        <v>0</v>
      </c>
      <c r="L33" s="177" t="e">
        <f t="shared" si="3"/>
        <v>#DIV/0!</v>
      </c>
      <c r="M33" s="161" t="e">
        <f t="shared" si="4"/>
        <v>#DIV/0!</v>
      </c>
      <c r="N33" s="168"/>
    </row>
    <row r="34" spans="1:14" ht="16.5" customHeight="1">
      <c r="A34" s="169">
        <v>25</v>
      </c>
      <c r="B34" s="170">
        <f>'FRIT FV 090.540 - FTA'!B33</f>
        <v>46259</v>
      </c>
      <c r="C34" s="170" t="s">
        <v>106</v>
      </c>
      <c r="D34" s="171"/>
      <c r="E34" s="162"/>
      <c r="F34" s="172"/>
      <c r="G34" s="173">
        <f t="shared" si="0"/>
        <v>0</v>
      </c>
      <c r="H34" s="174">
        <f>SUM($F$9:F33)/A34</f>
        <v>0</v>
      </c>
      <c r="I34" s="173">
        <f>SUM($G$9:G33)/A34</f>
        <v>0</v>
      </c>
      <c r="J34" s="175">
        <f t="shared" si="1"/>
        <v>0</v>
      </c>
      <c r="K34" s="176">
        <f t="shared" si="2"/>
        <v>0</v>
      </c>
      <c r="L34" s="177" t="e">
        <f t="shared" si="3"/>
        <v>#DIV/0!</v>
      </c>
      <c r="M34" s="161" t="e">
        <f t="shared" si="4"/>
        <v>#DIV/0!</v>
      </c>
      <c r="N34" s="168"/>
    </row>
    <row r="35" spans="1:14" ht="16.5" customHeight="1">
      <c r="A35" s="169">
        <v>26</v>
      </c>
      <c r="B35" s="170">
        <f>'FRIT FV 090.540 - FTA'!B34</f>
        <v>46260</v>
      </c>
      <c r="C35" s="170" t="s">
        <v>106</v>
      </c>
      <c r="D35" s="178"/>
      <c r="E35" s="162"/>
      <c r="F35" s="172"/>
      <c r="G35" s="173">
        <f t="shared" si="0"/>
        <v>0</v>
      </c>
      <c r="H35" s="174">
        <f>SUM($F$9:F33)/A35</f>
        <v>0</v>
      </c>
      <c r="I35" s="173">
        <f>SUM($G$9:G33)/A35</f>
        <v>0</v>
      </c>
      <c r="J35" s="175">
        <f t="shared" si="1"/>
        <v>0</v>
      </c>
      <c r="K35" s="176">
        <f t="shared" si="2"/>
        <v>0</v>
      </c>
      <c r="L35" s="177" t="e">
        <f t="shared" si="3"/>
        <v>#DIV/0!</v>
      </c>
      <c r="M35" s="161" t="e">
        <f t="shared" si="4"/>
        <v>#DIV/0!</v>
      </c>
      <c r="N35" s="168"/>
    </row>
    <row r="36" spans="1:14" ht="16.5" customHeight="1">
      <c r="A36" s="169">
        <v>27</v>
      </c>
      <c r="B36" s="170">
        <f>'FRIT FV 090.540 - FTA'!B35</f>
        <v>46261</v>
      </c>
      <c r="C36" s="170" t="s">
        <v>106</v>
      </c>
      <c r="D36" s="171"/>
      <c r="E36" s="162"/>
      <c r="F36" s="172"/>
      <c r="G36" s="173">
        <f t="shared" si="0"/>
        <v>0</v>
      </c>
      <c r="H36" s="174">
        <f>SUM($F$9:F33)/A36</f>
        <v>0</v>
      </c>
      <c r="I36" s="173">
        <f>SUM($G$9:G33)/A36</f>
        <v>0</v>
      </c>
      <c r="J36" s="175">
        <f t="shared" si="1"/>
        <v>0</v>
      </c>
      <c r="K36" s="176">
        <f t="shared" si="2"/>
        <v>0</v>
      </c>
      <c r="L36" s="177" t="e">
        <f t="shared" si="3"/>
        <v>#DIV/0!</v>
      </c>
      <c r="M36" s="161" t="e">
        <f t="shared" si="4"/>
        <v>#DIV/0!</v>
      </c>
      <c r="N36" s="168"/>
    </row>
    <row r="37" spans="1:14" ht="16.5" customHeight="1">
      <c r="A37" s="169">
        <v>28</v>
      </c>
      <c r="B37" s="170">
        <f>'FRIT FV 090.540 - FTA'!B36</f>
        <v>46262</v>
      </c>
      <c r="C37" s="170" t="s">
        <v>106</v>
      </c>
      <c r="D37" s="171"/>
      <c r="E37" s="162"/>
      <c r="F37" s="172"/>
      <c r="G37" s="173">
        <f t="shared" si="0"/>
        <v>0</v>
      </c>
      <c r="H37" s="174">
        <f>SUM($F$9:F33)/A37</f>
        <v>0</v>
      </c>
      <c r="I37" s="173">
        <f>SUM($G$9:G33)/A37</f>
        <v>0</v>
      </c>
      <c r="J37" s="175">
        <f t="shared" si="1"/>
        <v>0</v>
      </c>
      <c r="K37" s="176">
        <f t="shared" si="2"/>
        <v>0</v>
      </c>
      <c r="L37" s="177" t="e">
        <f t="shared" si="3"/>
        <v>#DIV/0!</v>
      </c>
      <c r="M37" s="161" t="e">
        <f t="shared" si="4"/>
        <v>#DIV/0!</v>
      </c>
      <c r="N37" s="168"/>
    </row>
    <row r="38" spans="1:14" ht="16.5" customHeight="1">
      <c r="A38" s="169">
        <v>29</v>
      </c>
      <c r="B38" s="170">
        <f>'FRIT FV 090.540 - FTA'!B37</f>
        <v>46263</v>
      </c>
      <c r="C38" s="170" t="s">
        <v>106</v>
      </c>
      <c r="D38" s="171"/>
      <c r="E38" s="162"/>
      <c r="F38" s="172"/>
      <c r="G38" s="173">
        <f t="shared" si="0"/>
        <v>0</v>
      </c>
      <c r="H38" s="174">
        <f>SUM($F$9:F33)/A38</f>
        <v>0</v>
      </c>
      <c r="I38" s="173">
        <f>SUM($G$9:G33)/A38</f>
        <v>0</v>
      </c>
      <c r="J38" s="175">
        <f t="shared" si="1"/>
        <v>0</v>
      </c>
      <c r="K38" s="176">
        <f t="shared" si="2"/>
        <v>0</v>
      </c>
      <c r="L38" s="177" t="e">
        <f t="shared" si="3"/>
        <v>#DIV/0!</v>
      </c>
      <c r="M38" s="161" t="e">
        <f t="shared" si="4"/>
        <v>#DIV/0!</v>
      </c>
      <c r="N38" s="168"/>
    </row>
    <row r="39" spans="1:14" ht="16.5" customHeight="1">
      <c r="A39" s="169">
        <v>30</v>
      </c>
      <c r="B39" s="170">
        <f>'FRIT FV 090.540 - FTA'!B38</f>
        <v>46264</v>
      </c>
      <c r="C39" s="170" t="s">
        <v>106</v>
      </c>
      <c r="D39" s="171"/>
      <c r="E39" s="162"/>
      <c r="F39" s="172"/>
      <c r="G39" s="173">
        <f t="shared" si="0"/>
        <v>0</v>
      </c>
      <c r="H39" s="174">
        <f>SUM($F$9:F33)/A39</f>
        <v>0</v>
      </c>
      <c r="I39" s="173">
        <f>SUM($G$9:G33)/A39</f>
        <v>0</v>
      </c>
      <c r="J39" s="175">
        <f t="shared" si="1"/>
        <v>0</v>
      </c>
      <c r="K39" s="176">
        <f t="shared" si="2"/>
        <v>0</v>
      </c>
      <c r="L39" s="177" t="e">
        <f t="shared" si="3"/>
        <v>#DIV/0!</v>
      </c>
      <c r="M39" s="161" t="e">
        <f t="shared" si="4"/>
        <v>#DIV/0!</v>
      </c>
      <c r="N39" s="168"/>
    </row>
    <row r="40" spans="1:14" ht="16.5" customHeight="1">
      <c r="A40" s="169">
        <v>31</v>
      </c>
      <c r="B40" s="170">
        <f>'FRIT FV 090.540 - FTA'!B39</f>
        <v>46265</v>
      </c>
      <c r="C40" s="170" t="s">
        <v>106</v>
      </c>
      <c r="D40" s="171"/>
      <c r="E40" s="162"/>
      <c r="F40" s="172"/>
      <c r="G40" s="173">
        <f t="shared" si="0"/>
        <v>0</v>
      </c>
      <c r="H40" s="174">
        <f>SUM($F$9:F33)/A40</f>
        <v>0</v>
      </c>
      <c r="I40" s="173">
        <f>SUM($G$9:G33)/A40</f>
        <v>0</v>
      </c>
      <c r="J40" s="175">
        <f t="shared" si="1"/>
        <v>0</v>
      </c>
      <c r="K40" s="176">
        <f t="shared" si="2"/>
        <v>0</v>
      </c>
      <c r="L40" s="177" t="e">
        <f t="shared" si="3"/>
        <v>#DIV/0!</v>
      </c>
      <c r="M40" s="161" t="e">
        <f t="shared" si="4"/>
        <v>#DIV/0!</v>
      </c>
      <c r="N40" s="168"/>
    </row>
    <row r="41" spans="1:14" s="151" customFormat="1" ht="23.25" customHeight="1">
      <c r="A41" s="1503" t="s">
        <v>29</v>
      </c>
      <c r="B41" s="1504"/>
      <c r="C41" s="1505"/>
      <c r="D41" s="180">
        <f>SUM(D10:D40)</f>
        <v>0</v>
      </c>
      <c r="E41" s="180">
        <f>SUM(E10:E40)</f>
        <v>0</v>
      </c>
      <c r="F41" s="206">
        <f>SUM(F10:F40)</f>
        <v>0</v>
      </c>
      <c r="G41" s="206">
        <f>SUM(G10:G40)</f>
        <v>0</v>
      </c>
      <c r="H41" s="181"/>
      <c r="I41" s="181"/>
      <c r="J41" s="203">
        <f>J40</f>
        <v>0</v>
      </c>
      <c r="K41" s="205">
        <f>K40</f>
        <v>0</v>
      </c>
      <c r="L41" s="163"/>
      <c r="M41" s="163"/>
      <c r="N41" s="183"/>
    </row>
    <row r="42" spans="1:14" s="151" customFormat="1" ht="23.25" customHeight="1">
      <c r="A42" s="1503" t="s">
        <v>15</v>
      </c>
      <c r="B42" s="1504"/>
      <c r="C42" s="1505"/>
      <c r="D42" s="204">
        <f>D9+D41</f>
        <v>0</v>
      </c>
      <c r="E42" s="204">
        <f>E9+E41</f>
        <v>0</v>
      </c>
      <c r="F42" s="206">
        <f>F9+F41</f>
        <v>0</v>
      </c>
      <c r="G42" s="206">
        <f>G9+G41</f>
        <v>0</v>
      </c>
      <c r="H42" s="181"/>
      <c r="I42" s="181"/>
      <c r="J42" s="203">
        <f>D42-F42</f>
        <v>0</v>
      </c>
      <c r="K42" s="203">
        <f>E42-G42</f>
        <v>0</v>
      </c>
      <c r="L42" s="163"/>
      <c r="M42" s="163"/>
      <c r="N42" s="183"/>
    </row>
    <row r="43" spans="1:14" ht="23.25" customHeight="1">
      <c r="A43" s="152"/>
      <c r="B43" s="152"/>
      <c r="C43" s="152"/>
      <c r="D43" s="153"/>
      <c r="E43" s="153"/>
      <c r="F43" s="153"/>
      <c r="G43" s="153"/>
      <c r="H43" s="153"/>
      <c r="I43" s="153"/>
      <c r="J43" s="153"/>
      <c r="K43" s="154" t="s">
        <v>13</v>
      </c>
      <c r="L43" s="153"/>
      <c r="N43" s="153"/>
    </row>
    <row r="44" spans="1:14">
      <c r="F44" s="153"/>
      <c r="G44" s="153"/>
      <c r="H44" s="153"/>
      <c r="I44" s="153"/>
      <c r="J44" s="153"/>
      <c r="K44" s="155"/>
      <c r="L44" s="153"/>
      <c r="N44" s="153"/>
    </row>
    <row r="45" spans="1:14">
      <c r="K45" s="155"/>
      <c r="L45" s="142"/>
      <c r="N45" s="142"/>
    </row>
    <row r="46" spans="1:14">
      <c r="K46" s="155"/>
      <c r="L46" s="142"/>
      <c r="N46" s="142"/>
    </row>
    <row r="47" spans="1:14">
      <c r="K47" s="154" t="s">
        <v>98</v>
      </c>
      <c r="L47" s="142"/>
      <c r="N47" s="142"/>
    </row>
    <row r="48" spans="1:14">
      <c r="G48" s="207"/>
      <c r="L48" s="142"/>
      <c r="M48" s="156"/>
      <c r="N48" s="142"/>
    </row>
    <row r="49" s="143" customFormat="1"/>
    <row r="50" s="143" customFormat="1"/>
    <row r="51" s="143" customFormat="1"/>
  </sheetData>
  <mergeCells count="13">
    <mergeCell ref="N7:N8"/>
    <mergeCell ref="A3:N3"/>
    <mergeCell ref="A42:C42"/>
    <mergeCell ref="A7:A8"/>
    <mergeCell ref="B7:B8"/>
    <mergeCell ref="C7:C8"/>
    <mergeCell ref="D7:E7"/>
    <mergeCell ref="F7:G7"/>
    <mergeCell ref="H7:I7"/>
    <mergeCell ref="J7:K7"/>
    <mergeCell ref="L7:M7"/>
    <mergeCell ref="A9:C9"/>
    <mergeCell ref="A41:C41"/>
  </mergeCells>
  <conditionalFormatting sqref="M36:M39">
    <cfRule type="cellIs" dxfId="12672" priority="1" operator="lessThan">
      <formula>15</formula>
    </cfRule>
    <cfRule type="cellIs" dxfId="12671" priority="2" operator="greaterThan">
      <formula>20</formula>
    </cfRule>
    <cfRule type="cellIs" dxfId="12670" priority="3" operator="between">
      <formula>15</formula>
      <formula>20</formula>
    </cfRule>
    <cfRule type="cellIs" dxfId="12669" priority="4" operator="between">
      <formula>15</formula>
      <formula>20</formula>
    </cfRule>
    <cfRule type="cellIs" dxfId="12668" priority="5" operator="lessThan">
      <formula>15</formula>
    </cfRule>
    <cfRule type="cellIs" dxfId="12667" priority="6" operator="greaterThan">
      <formula>20</formula>
    </cfRule>
    <cfRule type="cellIs" dxfId="12666" priority="7" operator="between">
      <formula>15</formula>
      <formula>21</formula>
    </cfRule>
    <cfRule type="cellIs" dxfId="12665" priority="8" operator="lessThan">
      <formula>15</formula>
    </cfRule>
    <cfRule type="cellIs" dxfId="12664" priority="9" operator="greaterThan">
      <formula>21</formula>
    </cfRule>
  </conditionalFormatting>
  <conditionalFormatting sqref="M14:M20 M22:M27 M40">
    <cfRule type="cellIs" dxfId="12663" priority="55" operator="lessThan">
      <formula>15</formula>
    </cfRule>
    <cfRule type="cellIs" dxfId="12662" priority="56" operator="greaterThan">
      <formula>20</formula>
    </cfRule>
    <cfRule type="cellIs" dxfId="12661" priority="57" operator="between">
      <formula>15</formula>
      <formula>20</formula>
    </cfRule>
    <cfRule type="cellIs" dxfId="12660" priority="58" operator="between">
      <formula>15</formula>
      <formula>20</formula>
    </cfRule>
    <cfRule type="cellIs" dxfId="12659" priority="59" operator="lessThan">
      <formula>15</formula>
    </cfRule>
    <cfRule type="cellIs" dxfId="12658" priority="60" operator="greaterThan">
      <formula>20</formula>
    </cfRule>
    <cfRule type="cellIs" dxfId="12657" priority="61" operator="between">
      <formula>15</formula>
      <formula>21</formula>
    </cfRule>
    <cfRule type="cellIs" dxfId="12656" priority="62" operator="lessThan">
      <formula>15</formula>
    </cfRule>
    <cfRule type="cellIs" dxfId="12655" priority="63" operator="greaterThan">
      <formula>21</formula>
    </cfRule>
  </conditionalFormatting>
  <conditionalFormatting sqref="M21">
    <cfRule type="cellIs" dxfId="12654" priority="46" operator="lessThan">
      <formula>15</formula>
    </cfRule>
    <cfRule type="cellIs" dxfId="12653" priority="47" operator="greaterThan">
      <formula>20</formula>
    </cfRule>
    <cfRule type="cellIs" dxfId="12652" priority="48" operator="between">
      <formula>15</formula>
      <formula>20</formula>
    </cfRule>
    <cfRule type="cellIs" dxfId="12651" priority="49" operator="between">
      <formula>15</formula>
      <formula>20</formula>
    </cfRule>
    <cfRule type="cellIs" dxfId="12650" priority="50" operator="lessThan">
      <formula>15</formula>
    </cfRule>
    <cfRule type="cellIs" dxfId="12649" priority="51" operator="greaterThan">
      <formula>20</formula>
    </cfRule>
    <cfRule type="cellIs" dxfId="12648" priority="52" operator="between">
      <formula>15</formula>
      <formula>21</formula>
    </cfRule>
    <cfRule type="cellIs" dxfId="12647" priority="53" operator="lessThan">
      <formula>15</formula>
    </cfRule>
    <cfRule type="cellIs" dxfId="12646" priority="54" operator="greaterThan">
      <formula>21</formula>
    </cfRule>
  </conditionalFormatting>
  <conditionalFormatting sqref="M28">
    <cfRule type="cellIs" dxfId="12645" priority="37" operator="lessThan">
      <formula>15</formula>
    </cfRule>
    <cfRule type="cellIs" dxfId="12644" priority="38" operator="greaterThan">
      <formula>20</formula>
    </cfRule>
    <cfRule type="cellIs" dxfId="12643" priority="39" operator="between">
      <formula>15</formula>
      <formula>20</formula>
    </cfRule>
    <cfRule type="cellIs" dxfId="12642" priority="40" operator="between">
      <formula>15</formula>
      <formula>20</formula>
    </cfRule>
    <cfRule type="cellIs" dxfId="12641" priority="41" operator="lessThan">
      <formula>15</formula>
    </cfRule>
    <cfRule type="cellIs" dxfId="12640" priority="42" operator="greaterThan">
      <formula>20</formula>
    </cfRule>
    <cfRule type="cellIs" dxfId="12639" priority="43" operator="between">
      <formula>15</formula>
      <formula>21</formula>
    </cfRule>
    <cfRule type="cellIs" dxfId="12638" priority="44" operator="lessThan">
      <formula>15</formula>
    </cfRule>
    <cfRule type="cellIs" dxfId="12637" priority="45" operator="greaterThan">
      <formula>21</formula>
    </cfRule>
  </conditionalFormatting>
  <conditionalFormatting sqref="M35">
    <cfRule type="cellIs" dxfId="12636" priority="28" operator="lessThan">
      <formula>15</formula>
    </cfRule>
    <cfRule type="cellIs" dxfId="12635" priority="29" operator="greaterThan">
      <formula>20</formula>
    </cfRule>
    <cfRule type="cellIs" dxfId="12634" priority="30" operator="between">
      <formula>15</formula>
      <formula>20</formula>
    </cfRule>
    <cfRule type="cellIs" dxfId="12633" priority="31" operator="between">
      <formula>15</formula>
      <formula>20</formula>
    </cfRule>
    <cfRule type="cellIs" dxfId="12632" priority="32" operator="lessThan">
      <formula>15</formula>
    </cfRule>
    <cfRule type="cellIs" dxfId="12631" priority="33" operator="greaterThan">
      <formula>20</formula>
    </cfRule>
    <cfRule type="cellIs" dxfId="12630" priority="34" operator="between">
      <formula>15</formula>
      <formula>21</formula>
    </cfRule>
    <cfRule type="cellIs" dxfId="12629" priority="35" operator="lessThan">
      <formula>15</formula>
    </cfRule>
    <cfRule type="cellIs" dxfId="12628" priority="36" operator="greaterThan">
      <formula>21</formula>
    </cfRule>
  </conditionalFormatting>
  <conditionalFormatting sqref="M10:M13">
    <cfRule type="cellIs" dxfId="12627" priority="19" operator="lessThan">
      <formula>15</formula>
    </cfRule>
    <cfRule type="cellIs" dxfId="12626" priority="20" operator="greaterThan">
      <formula>20</formula>
    </cfRule>
    <cfRule type="cellIs" dxfId="12625" priority="21" operator="between">
      <formula>15</formula>
      <formula>20</formula>
    </cfRule>
    <cfRule type="cellIs" dxfId="12624" priority="22" operator="between">
      <formula>15</formula>
      <formula>20</formula>
    </cfRule>
    <cfRule type="cellIs" dxfId="12623" priority="23" operator="lessThan">
      <formula>15</formula>
    </cfRule>
    <cfRule type="cellIs" dxfId="12622" priority="24" operator="greaterThan">
      <formula>20</formula>
    </cfRule>
    <cfRule type="cellIs" dxfId="12621" priority="25" operator="between">
      <formula>15</formula>
      <formula>21</formula>
    </cfRule>
    <cfRule type="cellIs" dxfId="12620" priority="26" operator="lessThan">
      <formula>15</formula>
    </cfRule>
    <cfRule type="cellIs" dxfId="12619" priority="27" operator="greaterThan">
      <formula>21</formula>
    </cfRule>
  </conditionalFormatting>
  <conditionalFormatting sqref="M29:M34">
    <cfRule type="cellIs" dxfId="12618" priority="10" operator="lessThan">
      <formula>15</formula>
    </cfRule>
    <cfRule type="cellIs" dxfId="12617" priority="11" operator="greaterThan">
      <formula>20</formula>
    </cfRule>
    <cfRule type="cellIs" dxfId="12616" priority="12" operator="between">
      <formula>15</formula>
      <formula>20</formula>
    </cfRule>
    <cfRule type="cellIs" dxfId="12615" priority="13" operator="between">
      <formula>15</formula>
      <formula>20</formula>
    </cfRule>
    <cfRule type="cellIs" dxfId="12614" priority="14" operator="lessThan">
      <formula>15</formula>
    </cfRule>
    <cfRule type="cellIs" dxfId="12613" priority="15" operator="greaterThan">
      <formula>20</formula>
    </cfRule>
    <cfRule type="cellIs" dxfId="12612" priority="16" operator="between">
      <formula>15</formula>
      <formula>21</formula>
    </cfRule>
    <cfRule type="cellIs" dxfId="12611" priority="17" operator="lessThan">
      <formula>15</formula>
    </cfRule>
    <cfRule type="cellIs" dxfId="12610" priority="18" operator="greaterThan">
      <formula>21</formula>
    </cfRule>
  </conditionalFormatting>
  <hyperlinks>
    <hyperlink ref="M6" location="'Tong hop T8.2019'!A1" display="YN!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51"/>
  <sheetViews>
    <sheetView zoomScale="80" zoomScaleNormal="80" workbookViewId="0">
      <pane ySplit="9" topLeftCell="A37" activePane="bottomLeft" state="frozen"/>
      <selection activeCell="P9" sqref="P9"/>
      <selection pane="bottomLeft" activeCell="P9" sqref="P9"/>
    </sheetView>
  </sheetViews>
  <sheetFormatPr defaultColWidth="9.28515625" defaultRowHeight="15"/>
  <cols>
    <col min="1" max="1" width="4.7109375" style="143" customWidth="1"/>
    <col min="2" max="2" width="9" style="143" customWidth="1"/>
    <col min="3" max="3" width="16.28515625" style="143" customWidth="1"/>
    <col min="4" max="5" width="13.7109375" style="142" customWidth="1"/>
    <col min="6" max="9" width="11.28515625" style="142" customWidth="1"/>
    <col min="10" max="11" width="13" style="142" customWidth="1"/>
    <col min="12" max="13" width="11.42578125" style="143" customWidth="1"/>
    <col min="14" max="14" width="6.85546875" style="143" customWidth="1"/>
    <col min="15" max="16384" width="9.28515625" style="143"/>
  </cols>
  <sheetData>
    <row r="1" spans="1:14" ht="18" customHeight="1">
      <c r="A1" s="146" t="e">
        <f>'FRIT FV 090.540 - FTA'!#REF!</f>
        <v>#REF!</v>
      </c>
      <c r="B1" s="146"/>
      <c r="C1" s="146"/>
      <c r="D1" s="146"/>
      <c r="E1" s="146"/>
      <c r="F1" s="146"/>
    </row>
    <row r="2" spans="1:14" ht="18" customHeight="1">
      <c r="A2" s="146" t="e">
        <f>'FRIT FV 090.540 - FTA'!#REF!</f>
        <v>#REF!</v>
      </c>
      <c r="B2" s="146"/>
      <c r="C2" s="146"/>
      <c r="D2" s="144"/>
      <c r="E2" s="144"/>
      <c r="F2" s="144"/>
      <c r="K2" s="197" t="e">
        <f>'FRIT FV 090.540 - FTA'!#REF!</f>
        <v>#REF!</v>
      </c>
      <c r="L2" s="142"/>
    </row>
    <row r="3" spans="1:14" ht="33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14" ht="18.75" customHeight="1">
      <c r="B4" s="145"/>
      <c r="C4" s="145"/>
      <c r="D4" s="143" t="s">
        <v>33</v>
      </c>
      <c r="E4" s="184" t="s">
        <v>128</v>
      </c>
      <c r="H4" s="142" t="s">
        <v>114</v>
      </c>
      <c r="I4" s="146" t="s">
        <v>137</v>
      </c>
      <c r="J4" s="145"/>
      <c r="K4" s="145"/>
      <c r="L4" s="145"/>
      <c r="M4" s="145"/>
    </row>
    <row r="5" spans="1:14" ht="18.75" customHeight="1">
      <c r="B5" s="143" t="e">
        <f>'FRIT FV 090.540 - FTA'!#REF!</f>
        <v>#REF!</v>
      </c>
      <c r="C5" s="143" t="e">
        <f>'FRIT FV 090.540 - FTA'!#REF!</f>
        <v>#REF!</v>
      </c>
      <c r="D5" s="143" t="e">
        <f>'FRIT FV 090.540 - FTA'!#REF!</f>
        <v>#REF!</v>
      </c>
      <c r="E5" s="147" t="e">
        <f>'FRIT FV 090.540 - FTA'!#REF!</f>
        <v>#REF!</v>
      </c>
      <c r="F5" s="143" t="e">
        <f>'FRIT FV 090.540 - FTA'!#REF!</f>
        <v>#REF!</v>
      </c>
      <c r="G5" s="143" t="e">
        <f>'FRIT FV 090.540 - FTA'!#REF!</f>
        <v>#REF!</v>
      </c>
      <c r="H5" s="143" t="e">
        <f>'FRIT FV 090.540 - FTA'!#REF!</f>
        <v>#REF!</v>
      </c>
      <c r="I5" s="143" t="e">
        <f>'FRIT FV 090.540 - FTA'!#REF!</f>
        <v>#REF!</v>
      </c>
      <c r="J5" s="143"/>
      <c r="K5" s="143"/>
    </row>
    <row r="6" spans="1:14" ht="18" customHeight="1">
      <c r="F6" s="148"/>
      <c r="G6" s="148"/>
      <c r="H6" s="148"/>
      <c r="I6" s="148"/>
      <c r="L6" s="149" t="s">
        <v>26</v>
      </c>
      <c r="M6" s="217" t="e">
        <f>'FRIT FV 090.540 - FTA'!#REF!</f>
        <v>#REF!</v>
      </c>
    </row>
    <row r="7" spans="1:14" s="150" customFormat="1" ht="40.5" customHeight="1">
      <c r="A7" s="1506" t="s">
        <v>2</v>
      </c>
      <c r="B7" s="1508" t="s">
        <v>1</v>
      </c>
      <c r="C7" s="1508" t="s">
        <v>24</v>
      </c>
      <c r="D7" s="1501" t="s">
        <v>27</v>
      </c>
      <c r="E7" s="1502"/>
      <c r="F7" s="1501" t="s">
        <v>31</v>
      </c>
      <c r="G7" s="1502"/>
      <c r="H7" s="1501" t="s">
        <v>28</v>
      </c>
      <c r="I7" s="1502"/>
      <c r="J7" s="1501" t="s">
        <v>14</v>
      </c>
      <c r="K7" s="1502"/>
      <c r="L7" s="1501" t="s">
        <v>110</v>
      </c>
      <c r="M7" s="1502"/>
      <c r="N7" s="1508"/>
    </row>
    <row r="8" spans="1:14" s="150" customFormat="1" ht="27.75" customHeight="1">
      <c r="A8" s="1507"/>
      <c r="B8" s="1509"/>
      <c r="C8" s="1509"/>
      <c r="D8" s="157" t="s">
        <v>6</v>
      </c>
      <c r="E8" s="158" t="s">
        <v>25</v>
      </c>
      <c r="F8" s="157" t="s">
        <v>6</v>
      </c>
      <c r="G8" s="158" t="s">
        <v>12</v>
      </c>
      <c r="H8" s="157" t="s">
        <v>6</v>
      </c>
      <c r="I8" s="158" t="s">
        <v>12</v>
      </c>
      <c r="J8" s="157" t="s">
        <v>6</v>
      </c>
      <c r="K8" s="159" t="s">
        <v>12</v>
      </c>
      <c r="L8" s="160" t="s">
        <v>6</v>
      </c>
      <c r="M8" s="159" t="s">
        <v>12</v>
      </c>
      <c r="N8" s="1509"/>
    </row>
    <row r="9" spans="1:14" s="150" customFormat="1" ht="25.5" customHeight="1">
      <c r="A9" s="1510" t="s">
        <v>3</v>
      </c>
      <c r="B9" s="1511"/>
      <c r="C9" s="1512"/>
      <c r="D9" s="161">
        <f>J9</f>
        <v>0</v>
      </c>
      <c r="E9" s="162">
        <f>K9</f>
        <v>0</v>
      </c>
      <c r="F9" s="163"/>
      <c r="G9" s="162"/>
      <c r="H9" s="163"/>
      <c r="I9" s="162"/>
      <c r="J9" s="164">
        <f>K9</f>
        <v>0</v>
      </c>
      <c r="K9" s="165">
        <v>0</v>
      </c>
      <c r="L9" s="166"/>
      <c r="M9" s="167"/>
      <c r="N9" s="168"/>
    </row>
    <row r="10" spans="1:14" ht="16.5" customHeight="1">
      <c r="A10" s="169">
        <v>1</v>
      </c>
      <c r="B10" s="170">
        <f>'FRIT FV 090.540 - FTA'!B9</f>
        <v>46235</v>
      </c>
      <c r="C10" s="170" t="s">
        <v>106</v>
      </c>
      <c r="D10" s="171"/>
      <c r="E10" s="162"/>
      <c r="F10" s="172"/>
      <c r="G10" s="173"/>
      <c r="H10" s="174">
        <f>SUM($F$9:F10)/A10</f>
        <v>0</v>
      </c>
      <c r="I10" s="173">
        <f>SUM($G$9:G10)/A10</f>
        <v>0</v>
      </c>
      <c r="J10" s="175">
        <f t="shared" ref="J10:K12" si="0">J9+D10-F10</f>
        <v>0</v>
      </c>
      <c r="K10" s="176">
        <f t="shared" si="0"/>
        <v>0</v>
      </c>
      <c r="L10" s="177" t="e">
        <f>J10/H10</f>
        <v>#DIV/0!</v>
      </c>
      <c r="M10" s="161" t="e">
        <f>K10/I10</f>
        <v>#DIV/0!</v>
      </c>
      <c r="N10" s="168"/>
    </row>
    <row r="11" spans="1:14" ht="16.5" customHeight="1">
      <c r="A11" s="169">
        <v>2</v>
      </c>
      <c r="B11" s="170">
        <f>'FRIT FV 090.540 - FTA'!B10</f>
        <v>46236</v>
      </c>
      <c r="C11" s="170" t="s">
        <v>106</v>
      </c>
      <c r="D11" s="171"/>
      <c r="E11" s="162"/>
      <c r="F11" s="172"/>
      <c r="G11" s="173"/>
      <c r="H11" s="174">
        <f>SUM($F$9:F11)/A11</f>
        <v>0</v>
      </c>
      <c r="I11" s="173">
        <f>SUM($G$9:G11)/A11</f>
        <v>0</v>
      </c>
      <c r="J11" s="175">
        <f t="shared" si="0"/>
        <v>0</v>
      </c>
      <c r="K11" s="176">
        <f t="shared" si="0"/>
        <v>0</v>
      </c>
      <c r="L11" s="177" t="e">
        <f t="shared" ref="L11:M40" si="1">J11/H11</f>
        <v>#DIV/0!</v>
      </c>
      <c r="M11" s="161" t="e">
        <f t="shared" si="1"/>
        <v>#DIV/0!</v>
      </c>
      <c r="N11" s="168"/>
    </row>
    <row r="12" spans="1:14" ht="16.5" customHeight="1">
      <c r="A12" s="169">
        <v>3</v>
      </c>
      <c r="B12" s="170">
        <f>'FRIT FV 090.540 - FTA'!B11</f>
        <v>46237</v>
      </c>
      <c r="C12" s="170" t="s">
        <v>106</v>
      </c>
      <c r="D12" s="171"/>
      <c r="E12" s="162"/>
      <c r="F12" s="172"/>
      <c r="G12" s="173"/>
      <c r="H12" s="174">
        <f>SUM($F$9:F12)/A12</f>
        <v>0</v>
      </c>
      <c r="I12" s="173">
        <f>SUM($G$9:G12)/A12</f>
        <v>0</v>
      </c>
      <c r="J12" s="175">
        <f t="shared" si="0"/>
        <v>0</v>
      </c>
      <c r="K12" s="176">
        <f t="shared" si="0"/>
        <v>0</v>
      </c>
      <c r="L12" s="177" t="e">
        <f t="shared" si="1"/>
        <v>#DIV/0!</v>
      </c>
      <c r="M12" s="161" t="e">
        <f t="shared" si="1"/>
        <v>#DIV/0!</v>
      </c>
      <c r="N12" s="168"/>
    </row>
    <row r="13" spans="1:14" ht="16.5" customHeight="1">
      <c r="A13" s="169">
        <v>4</v>
      </c>
      <c r="B13" s="170">
        <f>'FRIT FV 090.540 - FTA'!B12</f>
        <v>46238</v>
      </c>
      <c r="C13" s="170" t="s">
        <v>106</v>
      </c>
      <c r="D13" s="171"/>
      <c r="E13" s="162"/>
      <c r="F13" s="172"/>
      <c r="G13" s="173"/>
      <c r="H13" s="174">
        <f>SUM($F$9:F13)/A13</f>
        <v>0</v>
      </c>
      <c r="I13" s="173">
        <f>SUM($G$9:G13)/A13</f>
        <v>0</v>
      </c>
      <c r="J13" s="175">
        <f t="shared" ref="J13:K28" si="2">J12+D13-F13</f>
        <v>0</v>
      </c>
      <c r="K13" s="176">
        <f t="shared" si="2"/>
        <v>0</v>
      </c>
      <c r="L13" s="177" t="e">
        <f t="shared" si="1"/>
        <v>#DIV/0!</v>
      </c>
      <c r="M13" s="161" t="e">
        <f t="shared" si="1"/>
        <v>#DIV/0!</v>
      </c>
      <c r="N13" s="168"/>
    </row>
    <row r="14" spans="1:14" ht="16.5" customHeight="1">
      <c r="A14" s="169">
        <v>5</v>
      </c>
      <c r="B14" s="170">
        <f>'FRIT FV 090.540 - FTA'!B13</f>
        <v>46239</v>
      </c>
      <c r="C14" s="170" t="s">
        <v>106</v>
      </c>
      <c r="D14" s="178"/>
      <c r="E14" s="162"/>
      <c r="F14" s="172"/>
      <c r="G14" s="173"/>
      <c r="H14" s="174">
        <f>SUM($F$9:F14)/A14</f>
        <v>0</v>
      </c>
      <c r="I14" s="173">
        <f>SUM($G$9:G14)/A14</f>
        <v>0</v>
      </c>
      <c r="J14" s="175">
        <f t="shared" si="2"/>
        <v>0</v>
      </c>
      <c r="K14" s="176">
        <f t="shared" si="2"/>
        <v>0</v>
      </c>
      <c r="L14" s="177" t="e">
        <f t="shared" si="1"/>
        <v>#DIV/0!</v>
      </c>
      <c r="M14" s="161" t="e">
        <f t="shared" si="1"/>
        <v>#DIV/0!</v>
      </c>
      <c r="N14" s="168"/>
    </row>
    <row r="15" spans="1:14" ht="16.5" customHeight="1">
      <c r="A15" s="169">
        <v>6</v>
      </c>
      <c r="B15" s="170">
        <f>'FRIT FV 090.540 - FTA'!B14</f>
        <v>46240</v>
      </c>
      <c r="C15" s="170" t="s">
        <v>106</v>
      </c>
      <c r="D15" s="171"/>
      <c r="E15" s="162"/>
      <c r="F15" s="172"/>
      <c r="G15" s="173"/>
      <c r="H15" s="174">
        <f>SUM($F$9:F15)/A15</f>
        <v>0</v>
      </c>
      <c r="I15" s="173">
        <f>SUM($G$9:G15)/A15</f>
        <v>0</v>
      </c>
      <c r="J15" s="175">
        <f t="shared" si="2"/>
        <v>0</v>
      </c>
      <c r="K15" s="176">
        <f t="shared" si="2"/>
        <v>0</v>
      </c>
      <c r="L15" s="177" t="e">
        <f t="shared" si="1"/>
        <v>#DIV/0!</v>
      </c>
      <c r="M15" s="161" t="e">
        <f t="shared" si="1"/>
        <v>#DIV/0!</v>
      </c>
      <c r="N15" s="168"/>
    </row>
    <row r="16" spans="1:14" ht="16.5" customHeight="1">
      <c r="A16" s="169">
        <v>7</v>
      </c>
      <c r="B16" s="170">
        <f>'FRIT FV 090.540 - FTA'!B15</f>
        <v>46241</v>
      </c>
      <c r="C16" s="170" t="s">
        <v>106</v>
      </c>
      <c r="D16" s="171"/>
      <c r="E16" s="162"/>
      <c r="F16" s="172"/>
      <c r="G16" s="173"/>
      <c r="H16" s="174">
        <f>SUM($F$9:F16)/A16</f>
        <v>0</v>
      </c>
      <c r="I16" s="173">
        <f>SUM($G$9:G16)/A16</f>
        <v>0</v>
      </c>
      <c r="J16" s="175">
        <f t="shared" si="2"/>
        <v>0</v>
      </c>
      <c r="K16" s="176">
        <f t="shared" si="2"/>
        <v>0</v>
      </c>
      <c r="L16" s="177" t="e">
        <f t="shared" si="1"/>
        <v>#DIV/0!</v>
      </c>
      <c r="M16" s="161" t="e">
        <f t="shared" si="1"/>
        <v>#DIV/0!</v>
      </c>
      <c r="N16" s="168"/>
    </row>
    <row r="17" spans="1:14" ht="16.5" customHeight="1">
      <c r="A17" s="169">
        <v>8</v>
      </c>
      <c r="B17" s="170">
        <f>'FRIT FV 090.540 - FTA'!B16</f>
        <v>46242</v>
      </c>
      <c r="C17" s="170" t="s">
        <v>106</v>
      </c>
      <c r="D17" s="171"/>
      <c r="E17" s="162"/>
      <c r="F17" s="172"/>
      <c r="G17" s="173"/>
      <c r="H17" s="174">
        <f>SUM($F$9:F17)/A17</f>
        <v>0</v>
      </c>
      <c r="I17" s="173">
        <f>SUM($G$9:G17)/A17</f>
        <v>0</v>
      </c>
      <c r="J17" s="175">
        <f t="shared" si="2"/>
        <v>0</v>
      </c>
      <c r="K17" s="176">
        <f t="shared" si="2"/>
        <v>0</v>
      </c>
      <c r="L17" s="177" t="e">
        <f t="shared" si="1"/>
        <v>#DIV/0!</v>
      </c>
      <c r="M17" s="161" t="e">
        <f t="shared" si="1"/>
        <v>#DIV/0!</v>
      </c>
      <c r="N17" s="168"/>
    </row>
    <row r="18" spans="1:14" ht="16.5" customHeight="1">
      <c r="A18" s="169">
        <v>9</v>
      </c>
      <c r="B18" s="170">
        <f>'FRIT FV 090.540 - FTA'!B17</f>
        <v>46243</v>
      </c>
      <c r="C18" s="170" t="s">
        <v>106</v>
      </c>
      <c r="D18" s="171"/>
      <c r="E18" s="162"/>
      <c r="F18" s="172"/>
      <c r="G18" s="173"/>
      <c r="H18" s="174">
        <f>SUM($F$9:F18)/A18</f>
        <v>0</v>
      </c>
      <c r="I18" s="173">
        <f>SUM($G$9:G18)/A18</f>
        <v>0</v>
      </c>
      <c r="J18" s="175">
        <f t="shared" si="2"/>
        <v>0</v>
      </c>
      <c r="K18" s="176">
        <f t="shared" si="2"/>
        <v>0</v>
      </c>
      <c r="L18" s="177" t="e">
        <f t="shared" si="1"/>
        <v>#DIV/0!</v>
      </c>
      <c r="M18" s="161" t="e">
        <f t="shared" si="1"/>
        <v>#DIV/0!</v>
      </c>
      <c r="N18" s="168"/>
    </row>
    <row r="19" spans="1:14" ht="16.5" customHeight="1">
      <c r="A19" s="169">
        <v>10</v>
      </c>
      <c r="B19" s="170">
        <f>'FRIT FV 090.540 - FTA'!B18</f>
        <v>46244</v>
      </c>
      <c r="C19" s="170" t="s">
        <v>106</v>
      </c>
      <c r="D19" s="171"/>
      <c r="E19" s="162"/>
      <c r="F19" s="172"/>
      <c r="G19" s="173"/>
      <c r="H19" s="174">
        <f>SUM($F$9:F19)/A19</f>
        <v>0</v>
      </c>
      <c r="I19" s="173">
        <f>SUM($G$9:G19)/A19</f>
        <v>0</v>
      </c>
      <c r="J19" s="175">
        <f t="shared" si="2"/>
        <v>0</v>
      </c>
      <c r="K19" s="176">
        <f t="shared" si="2"/>
        <v>0</v>
      </c>
      <c r="L19" s="177" t="e">
        <f t="shared" si="1"/>
        <v>#DIV/0!</v>
      </c>
      <c r="M19" s="161" t="e">
        <f t="shared" si="1"/>
        <v>#DIV/0!</v>
      </c>
      <c r="N19" s="168"/>
    </row>
    <row r="20" spans="1:14" ht="16.5" customHeight="1">
      <c r="A20" s="169">
        <v>11</v>
      </c>
      <c r="B20" s="170">
        <f>'FRIT FV 090.540 - FTA'!B19</f>
        <v>46245</v>
      </c>
      <c r="C20" s="170" t="s">
        <v>106</v>
      </c>
      <c r="D20" s="171"/>
      <c r="E20" s="162"/>
      <c r="F20" s="172"/>
      <c r="G20" s="173"/>
      <c r="H20" s="174">
        <f>SUM($F$9:F20)/A20</f>
        <v>0</v>
      </c>
      <c r="I20" s="173">
        <f>SUM($G$9:G20)/A20</f>
        <v>0</v>
      </c>
      <c r="J20" s="175">
        <f t="shared" si="2"/>
        <v>0</v>
      </c>
      <c r="K20" s="176">
        <f t="shared" si="2"/>
        <v>0</v>
      </c>
      <c r="L20" s="177" t="e">
        <f t="shared" si="1"/>
        <v>#DIV/0!</v>
      </c>
      <c r="M20" s="161" t="e">
        <f t="shared" si="1"/>
        <v>#DIV/0!</v>
      </c>
      <c r="N20" s="168"/>
    </row>
    <row r="21" spans="1:14" ht="16.5" customHeight="1">
      <c r="A21" s="169">
        <v>12</v>
      </c>
      <c r="B21" s="170">
        <f>'FRIT FV 090.540 - FTA'!B20</f>
        <v>46246</v>
      </c>
      <c r="C21" s="170" t="s">
        <v>106</v>
      </c>
      <c r="D21" s="178"/>
      <c r="E21" s="162"/>
      <c r="F21" s="172"/>
      <c r="G21" s="173"/>
      <c r="H21" s="174">
        <f>SUM($F$9:F21)/A21</f>
        <v>0</v>
      </c>
      <c r="I21" s="173">
        <f>SUM($G$9:G21)/A21</f>
        <v>0</v>
      </c>
      <c r="J21" s="175">
        <f t="shared" si="2"/>
        <v>0</v>
      </c>
      <c r="K21" s="176">
        <f t="shared" si="2"/>
        <v>0</v>
      </c>
      <c r="L21" s="177" t="e">
        <f t="shared" si="1"/>
        <v>#DIV/0!</v>
      </c>
      <c r="M21" s="161" t="e">
        <f t="shared" si="1"/>
        <v>#DIV/0!</v>
      </c>
      <c r="N21" s="168"/>
    </row>
    <row r="22" spans="1:14" ht="16.5" customHeight="1">
      <c r="A22" s="169">
        <v>13</v>
      </c>
      <c r="B22" s="170">
        <f>'FRIT FV 090.540 - FTA'!B21</f>
        <v>46247</v>
      </c>
      <c r="C22" s="170" t="s">
        <v>106</v>
      </c>
      <c r="D22" s="171"/>
      <c r="E22" s="162"/>
      <c r="F22" s="172"/>
      <c r="G22" s="173"/>
      <c r="H22" s="174">
        <f>SUM($F$9:F22)/A22</f>
        <v>0</v>
      </c>
      <c r="I22" s="173">
        <f>SUM($G$9:G22)/A22</f>
        <v>0</v>
      </c>
      <c r="J22" s="175">
        <f t="shared" si="2"/>
        <v>0</v>
      </c>
      <c r="K22" s="176">
        <f>K21+E22-G22</f>
        <v>0</v>
      </c>
      <c r="L22" s="177" t="e">
        <f t="shared" si="1"/>
        <v>#DIV/0!</v>
      </c>
      <c r="M22" s="161" t="e">
        <f t="shared" si="1"/>
        <v>#DIV/0!</v>
      </c>
      <c r="N22" s="168"/>
    </row>
    <row r="23" spans="1:14" ht="16.5" customHeight="1">
      <c r="A23" s="169">
        <v>14</v>
      </c>
      <c r="B23" s="170">
        <f>'FRIT FV 090.540 - FTA'!B22</f>
        <v>46248</v>
      </c>
      <c r="C23" s="170" t="s">
        <v>106</v>
      </c>
      <c r="D23" s="171"/>
      <c r="E23" s="162"/>
      <c r="F23" s="172"/>
      <c r="G23" s="173"/>
      <c r="H23" s="174">
        <f>SUM($F$9:F23)/A23</f>
        <v>0</v>
      </c>
      <c r="I23" s="173">
        <f>SUM($G$9:G23)/A23</f>
        <v>0</v>
      </c>
      <c r="J23" s="175">
        <f t="shared" si="2"/>
        <v>0</v>
      </c>
      <c r="K23" s="176">
        <f>K22+E23-G23</f>
        <v>0</v>
      </c>
      <c r="L23" s="177" t="e">
        <f t="shared" si="1"/>
        <v>#DIV/0!</v>
      </c>
      <c r="M23" s="161" t="e">
        <f t="shared" si="1"/>
        <v>#DIV/0!</v>
      </c>
      <c r="N23" s="168"/>
    </row>
    <row r="24" spans="1:14" ht="16.5" customHeight="1">
      <c r="A24" s="169">
        <v>15</v>
      </c>
      <c r="B24" s="170">
        <f>'FRIT FV 090.540 - FTA'!B23</f>
        <v>46249</v>
      </c>
      <c r="C24" s="170" t="s">
        <v>106</v>
      </c>
      <c r="D24" s="171"/>
      <c r="E24" s="162"/>
      <c r="F24" s="172"/>
      <c r="G24" s="173"/>
      <c r="H24" s="174">
        <f>SUM($F$9:F24)/A24</f>
        <v>0</v>
      </c>
      <c r="I24" s="179">
        <f>SUM($G$9:G24)/A24</f>
        <v>0</v>
      </c>
      <c r="J24" s="175">
        <f t="shared" si="2"/>
        <v>0</v>
      </c>
      <c r="K24" s="176">
        <f t="shared" si="2"/>
        <v>0</v>
      </c>
      <c r="L24" s="177" t="e">
        <f t="shared" si="1"/>
        <v>#DIV/0!</v>
      </c>
      <c r="M24" s="161" t="e">
        <f t="shared" si="1"/>
        <v>#DIV/0!</v>
      </c>
      <c r="N24" s="168"/>
    </row>
    <row r="25" spans="1:14" ht="16.5" customHeight="1">
      <c r="A25" s="169">
        <v>16</v>
      </c>
      <c r="B25" s="170">
        <f>'FRIT FV 090.540 - FTA'!B24</f>
        <v>46250</v>
      </c>
      <c r="C25" s="170" t="s">
        <v>106</v>
      </c>
      <c r="D25" s="171"/>
      <c r="E25" s="162"/>
      <c r="F25" s="172"/>
      <c r="G25" s="173"/>
      <c r="H25" s="174">
        <f>SUM($F$9:F25)/A25</f>
        <v>0</v>
      </c>
      <c r="I25" s="173">
        <f>SUM($G$9:G25)/A25</f>
        <v>0</v>
      </c>
      <c r="J25" s="175">
        <f t="shared" si="2"/>
        <v>0</v>
      </c>
      <c r="K25" s="176">
        <f>K24+E25-G25</f>
        <v>0</v>
      </c>
      <c r="L25" s="177" t="e">
        <f t="shared" si="1"/>
        <v>#DIV/0!</v>
      </c>
      <c r="M25" s="161" t="e">
        <f t="shared" si="1"/>
        <v>#DIV/0!</v>
      </c>
      <c r="N25" s="168"/>
    </row>
    <row r="26" spans="1:14" ht="16.5" customHeight="1">
      <c r="A26" s="169">
        <v>17</v>
      </c>
      <c r="B26" s="170">
        <f>'FRIT FV 090.540 - FTA'!B25</f>
        <v>46251</v>
      </c>
      <c r="C26" s="170" t="s">
        <v>106</v>
      </c>
      <c r="D26" s="171"/>
      <c r="E26" s="162"/>
      <c r="F26" s="172"/>
      <c r="G26" s="173"/>
      <c r="H26" s="174">
        <f>SUM($F$9:F26)/A26</f>
        <v>0</v>
      </c>
      <c r="I26" s="173">
        <f>SUM($G$9:G26)/A26</f>
        <v>0</v>
      </c>
      <c r="J26" s="175">
        <f t="shared" si="2"/>
        <v>0</v>
      </c>
      <c r="K26" s="176">
        <f>K25+E26-G26</f>
        <v>0</v>
      </c>
      <c r="L26" s="177" t="e">
        <f t="shared" si="1"/>
        <v>#DIV/0!</v>
      </c>
      <c r="M26" s="161" t="e">
        <f t="shared" si="1"/>
        <v>#DIV/0!</v>
      </c>
      <c r="N26" s="168"/>
    </row>
    <row r="27" spans="1:14" ht="16.5" customHeight="1">
      <c r="A27" s="169">
        <v>18</v>
      </c>
      <c r="B27" s="170">
        <f>'FRIT FV 090.540 - FTA'!B26</f>
        <v>46252</v>
      </c>
      <c r="C27" s="170" t="s">
        <v>106</v>
      </c>
      <c r="D27" s="171"/>
      <c r="E27" s="162"/>
      <c r="F27" s="172"/>
      <c r="G27" s="173"/>
      <c r="H27" s="174">
        <f>SUM($F$9:F27)/A27</f>
        <v>0</v>
      </c>
      <c r="I27" s="173">
        <f>SUM($G$9:G27)/A27</f>
        <v>0</v>
      </c>
      <c r="J27" s="175">
        <f t="shared" si="2"/>
        <v>0</v>
      </c>
      <c r="K27" s="176">
        <f>K26+E27-G27</f>
        <v>0</v>
      </c>
      <c r="L27" s="177" t="e">
        <f t="shared" si="1"/>
        <v>#DIV/0!</v>
      </c>
      <c r="M27" s="161" t="e">
        <f t="shared" si="1"/>
        <v>#DIV/0!</v>
      </c>
      <c r="N27" s="168"/>
    </row>
    <row r="28" spans="1:14" ht="16.5" customHeight="1">
      <c r="A28" s="169">
        <v>19</v>
      </c>
      <c r="B28" s="170">
        <f>'FRIT FV 090.540 - FTA'!B27</f>
        <v>46253</v>
      </c>
      <c r="C28" s="170" t="s">
        <v>106</v>
      </c>
      <c r="D28" s="178"/>
      <c r="E28" s="162"/>
      <c r="F28" s="172"/>
      <c r="G28" s="173"/>
      <c r="H28" s="174">
        <f>SUM($F$9:F28)/A28</f>
        <v>0</v>
      </c>
      <c r="I28" s="173">
        <f>SUM($G$9:G28)/A28</f>
        <v>0</v>
      </c>
      <c r="J28" s="175">
        <f t="shared" si="2"/>
        <v>0</v>
      </c>
      <c r="K28" s="176">
        <f>K27+E28-G28</f>
        <v>0</v>
      </c>
      <c r="L28" s="177" t="e">
        <f t="shared" si="1"/>
        <v>#DIV/0!</v>
      </c>
      <c r="M28" s="161" t="e">
        <f t="shared" si="1"/>
        <v>#DIV/0!</v>
      </c>
      <c r="N28" s="168"/>
    </row>
    <row r="29" spans="1:14" ht="16.5" customHeight="1">
      <c r="A29" s="169">
        <v>20</v>
      </c>
      <c r="B29" s="170">
        <f>'FRIT FV 090.540 - FTA'!B28</f>
        <v>46254</v>
      </c>
      <c r="C29" s="170" t="s">
        <v>106</v>
      </c>
      <c r="D29" s="178"/>
      <c r="E29" s="162"/>
      <c r="F29" s="172"/>
      <c r="G29" s="173"/>
      <c r="H29" s="174">
        <f>SUM($F$9:F29)/A29</f>
        <v>0</v>
      </c>
      <c r="I29" s="173">
        <f>SUM($G$9:G29)/A29</f>
        <v>0</v>
      </c>
      <c r="J29" s="175">
        <f t="shared" ref="J29:K40" si="3">J28+D29-F29</f>
        <v>0</v>
      </c>
      <c r="K29" s="176">
        <f t="shared" si="3"/>
        <v>0</v>
      </c>
      <c r="L29" s="177" t="e">
        <f t="shared" si="1"/>
        <v>#DIV/0!</v>
      </c>
      <c r="M29" s="161" t="e">
        <f t="shared" si="1"/>
        <v>#DIV/0!</v>
      </c>
      <c r="N29" s="168"/>
    </row>
    <row r="30" spans="1:14" ht="16.5" customHeight="1">
      <c r="A30" s="169">
        <v>21</v>
      </c>
      <c r="B30" s="170">
        <f>'FRIT FV 090.540 - FTA'!B29</f>
        <v>46255</v>
      </c>
      <c r="C30" s="170" t="s">
        <v>106</v>
      </c>
      <c r="D30" s="171"/>
      <c r="E30" s="162"/>
      <c r="F30" s="172"/>
      <c r="G30" s="173"/>
      <c r="H30" s="174">
        <f>SUM($F$9:F30)/A30</f>
        <v>0</v>
      </c>
      <c r="I30" s="173">
        <f>SUM($G$9:G30)/A30</f>
        <v>0</v>
      </c>
      <c r="J30" s="175">
        <f t="shared" si="3"/>
        <v>0</v>
      </c>
      <c r="K30" s="176">
        <f t="shared" si="3"/>
        <v>0</v>
      </c>
      <c r="L30" s="177" t="e">
        <f t="shared" si="1"/>
        <v>#DIV/0!</v>
      </c>
      <c r="M30" s="161" t="e">
        <f t="shared" si="1"/>
        <v>#DIV/0!</v>
      </c>
      <c r="N30" s="168"/>
    </row>
    <row r="31" spans="1:14" ht="16.5" customHeight="1">
      <c r="A31" s="169">
        <v>22</v>
      </c>
      <c r="B31" s="170">
        <f>'FRIT FV 090.540 - FTA'!B30</f>
        <v>46256</v>
      </c>
      <c r="C31" s="170" t="s">
        <v>106</v>
      </c>
      <c r="D31" s="171"/>
      <c r="E31" s="162"/>
      <c r="F31" s="172"/>
      <c r="G31" s="173"/>
      <c r="H31" s="174">
        <f>SUM($F$9:F31)/A31</f>
        <v>0</v>
      </c>
      <c r="I31" s="173">
        <f>SUM($G$9:G31)/A31</f>
        <v>0</v>
      </c>
      <c r="J31" s="175">
        <f t="shared" si="3"/>
        <v>0</v>
      </c>
      <c r="K31" s="176">
        <f t="shared" si="3"/>
        <v>0</v>
      </c>
      <c r="L31" s="177" t="e">
        <f t="shared" si="1"/>
        <v>#DIV/0!</v>
      </c>
      <c r="M31" s="161" t="e">
        <f t="shared" si="1"/>
        <v>#DIV/0!</v>
      </c>
      <c r="N31" s="168"/>
    </row>
    <row r="32" spans="1:14" ht="16.5" customHeight="1">
      <c r="A32" s="169">
        <v>23</v>
      </c>
      <c r="B32" s="170">
        <f>'FRIT FV 090.540 - FTA'!B31</f>
        <v>46257</v>
      </c>
      <c r="C32" s="170" t="s">
        <v>106</v>
      </c>
      <c r="D32" s="171"/>
      <c r="E32" s="162"/>
      <c r="F32" s="172"/>
      <c r="G32" s="173"/>
      <c r="H32" s="174">
        <f>SUM($F$9:F32)/A32</f>
        <v>0</v>
      </c>
      <c r="I32" s="173">
        <f>SUM($G$9:G32)/A32</f>
        <v>0</v>
      </c>
      <c r="J32" s="175">
        <f t="shared" si="3"/>
        <v>0</v>
      </c>
      <c r="K32" s="176">
        <f t="shared" si="3"/>
        <v>0</v>
      </c>
      <c r="L32" s="177" t="e">
        <f t="shared" si="1"/>
        <v>#DIV/0!</v>
      </c>
      <c r="M32" s="161" t="e">
        <f t="shared" si="1"/>
        <v>#DIV/0!</v>
      </c>
      <c r="N32" s="168"/>
    </row>
    <row r="33" spans="1:14" ht="16.5" customHeight="1">
      <c r="A33" s="169">
        <v>24</v>
      </c>
      <c r="B33" s="170">
        <f>'FRIT FV 090.540 - FTA'!B32</f>
        <v>46258</v>
      </c>
      <c r="C33" s="170" t="s">
        <v>106</v>
      </c>
      <c r="D33" s="171"/>
      <c r="E33" s="162"/>
      <c r="F33" s="172"/>
      <c r="G33" s="173"/>
      <c r="H33" s="174">
        <f>SUM($F$9:F33)/A33</f>
        <v>0</v>
      </c>
      <c r="I33" s="173">
        <f>SUM($G$9:G33)/A33</f>
        <v>0</v>
      </c>
      <c r="J33" s="175">
        <f t="shared" si="3"/>
        <v>0</v>
      </c>
      <c r="K33" s="176">
        <f t="shared" si="3"/>
        <v>0</v>
      </c>
      <c r="L33" s="177" t="e">
        <f t="shared" si="1"/>
        <v>#DIV/0!</v>
      </c>
      <c r="M33" s="161" t="e">
        <f t="shared" si="1"/>
        <v>#DIV/0!</v>
      </c>
      <c r="N33" s="168"/>
    </row>
    <row r="34" spans="1:14" ht="16.5" customHeight="1">
      <c r="A34" s="169">
        <v>25</v>
      </c>
      <c r="B34" s="170">
        <f>'FRIT FV 090.540 - FTA'!B33</f>
        <v>46259</v>
      </c>
      <c r="C34" s="170" t="s">
        <v>106</v>
      </c>
      <c r="D34" s="171"/>
      <c r="E34" s="162"/>
      <c r="F34" s="188"/>
      <c r="G34" s="189"/>
      <c r="H34" s="174">
        <f>SUM($F$9:F34)/A34</f>
        <v>0</v>
      </c>
      <c r="I34" s="173">
        <f>SUM($G$9:G34)/A34</f>
        <v>0</v>
      </c>
      <c r="J34" s="175">
        <f t="shared" si="3"/>
        <v>0</v>
      </c>
      <c r="K34" s="176">
        <f t="shared" si="3"/>
        <v>0</v>
      </c>
      <c r="L34" s="177" t="e">
        <f t="shared" si="1"/>
        <v>#DIV/0!</v>
      </c>
      <c r="M34" s="161" t="e">
        <f t="shared" si="1"/>
        <v>#DIV/0!</v>
      </c>
      <c r="N34" s="168"/>
    </row>
    <row r="35" spans="1:14" ht="16.5" customHeight="1">
      <c r="A35" s="169">
        <v>26</v>
      </c>
      <c r="B35" s="170">
        <f>'FRIT FV 090.540 - FTA'!B34</f>
        <v>46260</v>
      </c>
      <c r="C35" s="170" t="s">
        <v>106</v>
      </c>
      <c r="D35" s="178"/>
      <c r="E35" s="162"/>
      <c r="F35" s="188"/>
      <c r="G35" s="189"/>
      <c r="H35" s="174">
        <f>SUM($F$9:F35)/A35</f>
        <v>0</v>
      </c>
      <c r="I35" s="173">
        <f>SUM($G$9:G35)/A35</f>
        <v>0</v>
      </c>
      <c r="J35" s="175">
        <f t="shared" si="3"/>
        <v>0</v>
      </c>
      <c r="K35" s="176">
        <f t="shared" si="3"/>
        <v>0</v>
      </c>
      <c r="L35" s="177" t="e">
        <f t="shared" si="1"/>
        <v>#DIV/0!</v>
      </c>
      <c r="M35" s="161" t="e">
        <f t="shared" si="1"/>
        <v>#DIV/0!</v>
      </c>
      <c r="N35" s="168"/>
    </row>
    <row r="36" spans="1:14" ht="16.5" customHeight="1">
      <c r="A36" s="169">
        <v>27</v>
      </c>
      <c r="B36" s="170">
        <f>'FRIT FV 090.540 - FTA'!B35</f>
        <v>46261</v>
      </c>
      <c r="C36" s="170" t="s">
        <v>106</v>
      </c>
      <c r="D36" s="171"/>
      <c r="E36" s="162"/>
      <c r="F36" s="188"/>
      <c r="G36" s="189"/>
      <c r="H36" s="174">
        <f>SUM($F$9:F36)/A36</f>
        <v>0</v>
      </c>
      <c r="I36" s="173">
        <f>SUM($G$9:G36)/A36</f>
        <v>0</v>
      </c>
      <c r="J36" s="175">
        <f t="shared" si="3"/>
        <v>0</v>
      </c>
      <c r="K36" s="176">
        <f t="shared" si="3"/>
        <v>0</v>
      </c>
      <c r="L36" s="177" t="e">
        <f t="shared" si="1"/>
        <v>#DIV/0!</v>
      </c>
      <c r="M36" s="161" t="e">
        <f t="shared" si="1"/>
        <v>#DIV/0!</v>
      </c>
      <c r="N36" s="168"/>
    </row>
    <row r="37" spans="1:14" ht="16.5" customHeight="1">
      <c r="A37" s="169">
        <v>28</v>
      </c>
      <c r="B37" s="170">
        <f>'FRIT FV 090.540 - FTA'!B36</f>
        <v>46262</v>
      </c>
      <c r="C37" s="170" t="s">
        <v>106</v>
      </c>
      <c r="D37" s="171"/>
      <c r="E37" s="162"/>
      <c r="F37" s="188"/>
      <c r="G37" s="189"/>
      <c r="H37" s="174">
        <f>SUM($F$9:F37)/A37</f>
        <v>0</v>
      </c>
      <c r="I37" s="173">
        <f>SUM($G$9:G37)/A37</f>
        <v>0</v>
      </c>
      <c r="J37" s="175">
        <f t="shared" si="3"/>
        <v>0</v>
      </c>
      <c r="K37" s="176">
        <f t="shared" si="3"/>
        <v>0</v>
      </c>
      <c r="L37" s="177" t="e">
        <f t="shared" si="1"/>
        <v>#DIV/0!</v>
      </c>
      <c r="M37" s="161" t="e">
        <f t="shared" si="1"/>
        <v>#DIV/0!</v>
      </c>
      <c r="N37" s="168"/>
    </row>
    <row r="38" spans="1:14" ht="16.5" customHeight="1">
      <c r="A38" s="169">
        <v>29</v>
      </c>
      <c r="B38" s="170">
        <f>'FRIT FV 090.540 - FTA'!B37</f>
        <v>46263</v>
      </c>
      <c r="C38" s="170" t="s">
        <v>106</v>
      </c>
      <c r="D38" s="171"/>
      <c r="E38" s="162"/>
      <c r="F38" s="188"/>
      <c r="G38" s="189"/>
      <c r="H38" s="174">
        <f>SUM($F$9:F38)/A38</f>
        <v>0</v>
      </c>
      <c r="I38" s="173">
        <f>SUM($G$9:G38)/A38</f>
        <v>0</v>
      </c>
      <c r="J38" s="175">
        <f t="shared" si="3"/>
        <v>0</v>
      </c>
      <c r="K38" s="176">
        <f t="shared" si="3"/>
        <v>0</v>
      </c>
      <c r="L38" s="177" t="e">
        <f t="shared" si="1"/>
        <v>#DIV/0!</v>
      </c>
      <c r="M38" s="161" t="e">
        <f t="shared" si="1"/>
        <v>#DIV/0!</v>
      </c>
      <c r="N38" s="168"/>
    </row>
    <row r="39" spans="1:14" ht="16.5" customHeight="1">
      <c r="A39" s="169">
        <v>30</v>
      </c>
      <c r="B39" s="170">
        <f>'FRIT FV 090.540 - FTA'!B38</f>
        <v>46264</v>
      </c>
      <c r="C39" s="170" t="s">
        <v>106</v>
      </c>
      <c r="D39" s="171"/>
      <c r="E39" s="162"/>
      <c r="F39" s="172"/>
      <c r="G39" s="173"/>
      <c r="H39" s="174">
        <f>SUM($F$9:F39)/A39</f>
        <v>0</v>
      </c>
      <c r="I39" s="173">
        <f>SUM($G$9:G39)/A39</f>
        <v>0</v>
      </c>
      <c r="J39" s="175">
        <f t="shared" si="3"/>
        <v>0</v>
      </c>
      <c r="K39" s="176">
        <f t="shared" si="3"/>
        <v>0</v>
      </c>
      <c r="L39" s="177" t="e">
        <f t="shared" si="1"/>
        <v>#DIV/0!</v>
      </c>
      <c r="M39" s="161" t="e">
        <f t="shared" si="1"/>
        <v>#DIV/0!</v>
      </c>
      <c r="N39" s="168"/>
    </row>
    <row r="40" spans="1:14" ht="16.5" customHeight="1">
      <c r="A40" s="169">
        <v>31</v>
      </c>
      <c r="B40" s="170">
        <f>'FRIT FV 090.540 - FTA'!B39</f>
        <v>46265</v>
      </c>
      <c r="C40" s="170" t="s">
        <v>106</v>
      </c>
      <c r="D40" s="171"/>
      <c r="E40" s="162"/>
      <c r="F40" s="172"/>
      <c r="G40" s="173"/>
      <c r="H40" s="174">
        <f>SUM($F$9:F40)/A40</f>
        <v>0</v>
      </c>
      <c r="I40" s="173">
        <f>SUM($G$9:G40)/A40</f>
        <v>0</v>
      </c>
      <c r="J40" s="175">
        <f t="shared" si="3"/>
        <v>0</v>
      </c>
      <c r="K40" s="176">
        <f t="shared" si="3"/>
        <v>0</v>
      </c>
      <c r="L40" s="177" t="e">
        <f t="shared" si="1"/>
        <v>#DIV/0!</v>
      </c>
      <c r="M40" s="161" t="e">
        <f t="shared" si="1"/>
        <v>#DIV/0!</v>
      </c>
      <c r="N40" s="168"/>
    </row>
    <row r="41" spans="1:14" s="151" customFormat="1" ht="23.25" customHeight="1">
      <c r="A41" s="1503" t="s">
        <v>29</v>
      </c>
      <c r="B41" s="1504"/>
      <c r="C41" s="1505"/>
      <c r="D41" s="180">
        <f>SUM(D10:D40)</f>
        <v>0</v>
      </c>
      <c r="E41" s="180">
        <f>SUM(E10:E40)</f>
        <v>0</v>
      </c>
      <c r="F41" s="181">
        <f>SUM(F10:F40)</f>
        <v>0</v>
      </c>
      <c r="G41" s="181">
        <f>SUM(G10:G40)</f>
        <v>0</v>
      </c>
      <c r="H41" s="181"/>
      <c r="I41" s="181"/>
      <c r="J41" s="181">
        <f>J40</f>
        <v>0</v>
      </c>
      <c r="K41" s="182">
        <f>K40</f>
        <v>0</v>
      </c>
      <c r="L41" s="163"/>
      <c r="M41" s="163"/>
      <c r="N41" s="183"/>
    </row>
    <row r="42" spans="1:14" s="151" customFormat="1" ht="23.25" customHeight="1">
      <c r="A42" s="1503" t="s">
        <v>15</v>
      </c>
      <c r="B42" s="1504"/>
      <c r="C42" s="1505"/>
      <c r="D42" s="180">
        <f>D9+D41</f>
        <v>0</v>
      </c>
      <c r="E42" s="180">
        <f>E9+E41</f>
        <v>0</v>
      </c>
      <c r="F42" s="181">
        <f>F9+F41</f>
        <v>0</v>
      </c>
      <c r="G42" s="181">
        <f>G9+G41</f>
        <v>0</v>
      </c>
      <c r="H42" s="181"/>
      <c r="I42" s="181"/>
      <c r="J42" s="181">
        <f>D42-F42</f>
        <v>0</v>
      </c>
      <c r="K42" s="181">
        <f>E42-G42</f>
        <v>0</v>
      </c>
      <c r="L42" s="163"/>
      <c r="M42" s="163"/>
      <c r="N42" s="183"/>
    </row>
    <row r="43" spans="1:14" ht="23.25" customHeight="1">
      <c r="A43" s="152"/>
      <c r="B43" s="152"/>
      <c r="C43" s="152"/>
      <c r="D43" s="153"/>
      <c r="E43" s="153"/>
      <c r="F43" s="153"/>
      <c r="G43" s="153"/>
      <c r="H43" s="153"/>
      <c r="I43" s="153"/>
      <c r="J43" s="153"/>
      <c r="K43" s="154" t="s">
        <v>13</v>
      </c>
      <c r="L43" s="153"/>
      <c r="N43" s="153"/>
    </row>
    <row r="44" spans="1:14">
      <c r="F44" s="153"/>
      <c r="G44" s="153"/>
      <c r="H44" s="153"/>
      <c r="I44" s="153"/>
      <c r="J44" s="153"/>
      <c r="K44" s="155"/>
      <c r="L44" s="153"/>
      <c r="N44" s="153"/>
    </row>
    <row r="45" spans="1:14">
      <c r="K45" s="155"/>
      <c r="L45" s="142"/>
      <c r="N45" s="142"/>
    </row>
    <row r="46" spans="1:14">
      <c r="K46" s="155"/>
      <c r="L46" s="142"/>
      <c r="N46" s="142"/>
    </row>
    <row r="47" spans="1:14">
      <c r="K47" s="154" t="s">
        <v>98</v>
      </c>
      <c r="L47" s="142"/>
      <c r="N47" s="142"/>
    </row>
    <row r="48" spans="1:14">
      <c r="L48" s="142"/>
      <c r="M48" s="156"/>
      <c r="N48" s="142"/>
    </row>
    <row r="49" s="143" customFormat="1"/>
    <row r="50" s="143" customFormat="1"/>
    <row r="51" s="143" customFormat="1"/>
  </sheetData>
  <mergeCells count="13">
    <mergeCell ref="A3:N3"/>
    <mergeCell ref="N7:N8"/>
    <mergeCell ref="A42:C42"/>
    <mergeCell ref="A7:A8"/>
    <mergeCell ref="B7:B8"/>
    <mergeCell ref="C7:C8"/>
    <mergeCell ref="D7:E7"/>
    <mergeCell ref="F7:G7"/>
    <mergeCell ref="H7:I7"/>
    <mergeCell ref="J7:K7"/>
    <mergeCell ref="L7:M7"/>
    <mergeCell ref="A9:C9"/>
    <mergeCell ref="A41:C41"/>
  </mergeCells>
  <conditionalFormatting sqref="M21">
    <cfRule type="cellIs" dxfId="12609" priority="46" operator="lessThan">
      <formula>15</formula>
    </cfRule>
    <cfRule type="cellIs" dxfId="12608" priority="47" operator="greaterThan">
      <formula>20</formula>
    </cfRule>
    <cfRule type="cellIs" dxfId="12607" priority="48" operator="between">
      <formula>15</formula>
      <formula>20</formula>
    </cfRule>
    <cfRule type="cellIs" dxfId="12606" priority="49" operator="between">
      <formula>15</formula>
      <formula>20</formula>
    </cfRule>
    <cfRule type="cellIs" dxfId="12605" priority="50" operator="lessThan">
      <formula>15</formula>
    </cfRule>
    <cfRule type="cellIs" dxfId="12604" priority="51" operator="greaterThan">
      <formula>20</formula>
    </cfRule>
    <cfRule type="cellIs" dxfId="12603" priority="52" operator="between">
      <formula>15</formula>
      <formula>21</formula>
    </cfRule>
    <cfRule type="cellIs" dxfId="12602" priority="53" operator="lessThan">
      <formula>15</formula>
    </cfRule>
    <cfRule type="cellIs" dxfId="12601" priority="54" operator="greaterThan">
      <formula>21</formula>
    </cfRule>
  </conditionalFormatting>
  <conditionalFormatting sqref="M28">
    <cfRule type="cellIs" dxfId="12600" priority="37" operator="lessThan">
      <formula>15</formula>
    </cfRule>
    <cfRule type="cellIs" dxfId="12599" priority="38" operator="greaterThan">
      <formula>20</formula>
    </cfRule>
    <cfRule type="cellIs" dxfId="12598" priority="39" operator="between">
      <formula>15</formula>
      <formula>20</formula>
    </cfRule>
    <cfRule type="cellIs" dxfId="12597" priority="40" operator="between">
      <formula>15</formula>
      <formula>20</formula>
    </cfRule>
    <cfRule type="cellIs" dxfId="12596" priority="41" operator="lessThan">
      <formula>15</formula>
    </cfRule>
    <cfRule type="cellIs" dxfId="12595" priority="42" operator="greaterThan">
      <formula>20</formula>
    </cfRule>
    <cfRule type="cellIs" dxfId="12594" priority="43" operator="between">
      <formula>15</formula>
      <formula>21</formula>
    </cfRule>
    <cfRule type="cellIs" dxfId="12593" priority="44" operator="lessThan">
      <formula>15</formula>
    </cfRule>
    <cfRule type="cellIs" dxfId="12592" priority="45" operator="greaterThan">
      <formula>21</formula>
    </cfRule>
  </conditionalFormatting>
  <conditionalFormatting sqref="M35">
    <cfRule type="cellIs" dxfId="12591" priority="28" operator="lessThan">
      <formula>15</formula>
    </cfRule>
    <cfRule type="cellIs" dxfId="12590" priority="29" operator="greaterThan">
      <formula>20</formula>
    </cfRule>
    <cfRule type="cellIs" dxfId="12589" priority="30" operator="between">
      <formula>15</formula>
      <formula>20</formula>
    </cfRule>
    <cfRule type="cellIs" dxfId="12588" priority="31" operator="between">
      <formula>15</formula>
      <formula>20</formula>
    </cfRule>
    <cfRule type="cellIs" dxfId="12587" priority="32" operator="lessThan">
      <formula>15</formula>
    </cfRule>
    <cfRule type="cellIs" dxfId="12586" priority="33" operator="greaterThan">
      <formula>20</formula>
    </cfRule>
    <cfRule type="cellIs" dxfId="12585" priority="34" operator="between">
      <formula>15</formula>
      <formula>21</formula>
    </cfRule>
    <cfRule type="cellIs" dxfId="12584" priority="35" operator="lessThan">
      <formula>15</formula>
    </cfRule>
    <cfRule type="cellIs" dxfId="12583" priority="36" operator="greaterThan">
      <formula>21</formula>
    </cfRule>
  </conditionalFormatting>
  <conditionalFormatting sqref="M14:M20 M22:M27 M40">
    <cfRule type="cellIs" dxfId="12582" priority="55" operator="lessThan">
      <formula>15</formula>
    </cfRule>
    <cfRule type="cellIs" dxfId="12581" priority="56" operator="greaterThan">
      <formula>20</formula>
    </cfRule>
    <cfRule type="cellIs" dxfId="12580" priority="57" operator="between">
      <formula>15</formula>
      <formula>20</formula>
    </cfRule>
    <cfRule type="cellIs" dxfId="12579" priority="58" operator="between">
      <formula>15</formula>
      <formula>20</formula>
    </cfRule>
    <cfRule type="cellIs" dxfId="12578" priority="59" operator="lessThan">
      <formula>15</formula>
    </cfRule>
    <cfRule type="cellIs" dxfId="12577" priority="60" operator="greaterThan">
      <formula>20</formula>
    </cfRule>
    <cfRule type="cellIs" dxfId="12576" priority="61" operator="between">
      <formula>15</formula>
      <formula>21</formula>
    </cfRule>
    <cfRule type="cellIs" dxfId="12575" priority="62" operator="lessThan">
      <formula>15</formula>
    </cfRule>
    <cfRule type="cellIs" dxfId="12574" priority="63" operator="greaterThan">
      <formula>21</formula>
    </cfRule>
  </conditionalFormatting>
  <conditionalFormatting sqref="M10:M13">
    <cfRule type="cellIs" dxfId="12573" priority="19" operator="lessThan">
      <formula>15</formula>
    </cfRule>
    <cfRule type="cellIs" dxfId="12572" priority="20" operator="greaterThan">
      <formula>20</formula>
    </cfRule>
    <cfRule type="cellIs" dxfId="12571" priority="21" operator="between">
      <formula>15</formula>
      <formula>20</formula>
    </cfRule>
    <cfRule type="cellIs" dxfId="12570" priority="22" operator="between">
      <formula>15</formula>
      <formula>20</formula>
    </cfRule>
    <cfRule type="cellIs" dxfId="12569" priority="23" operator="lessThan">
      <formula>15</formula>
    </cfRule>
    <cfRule type="cellIs" dxfId="12568" priority="24" operator="greaterThan">
      <formula>20</formula>
    </cfRule>
    <cfRule type="cellIs" dxfId="12567" priority="25" operator="between">
      <formula>15</formula>
      <formula>21</formula>
    </cfRule>
    <cfRule type="cellIs" dxfId="12566" priority="26" operator="lessThan">
      <formula>15</formula>
    </cfRule>
    <cfRule type="cellIs" dxfId="12565" priority="27" operator="greaterThan">
      <formula>21</formula>
    </cfRule>
  </conditionalFormatting>
  <conditionalFormatting sqref="M29:M34">
    <cfRule type="cellIs" dxfId="12564" priority="10" operator="lessThan">
      <formula>15</formula>
    </cfRule>
    <cfRule type="cellIs" dxfId="12563" priority="11" operator="greaterThan">
      <formula>20</formula>
    </cfRule>
    <cfRule type="cellIs" dxfId="12562" priority="12" operator="between">
      <formula>15</formula>
      <formula>20</formula>
    </cfRule>
    <cfRule type="cellIs" dxfId="12561" priority="13" operator="between">
      <formula>15</formula>
      <formula>20</formula>
    </cfRule>
    <cfRule type="cellIs" dxfId="12560" priority="14" operator="lessThan">
      <formula>15</formula>
    </cfRule>
    <cfRule type="cellIs" dxfId="12559" priority="15" operator="greaterThan">
      <formula>20</formula>
    </cfRule>
    <cfRule type="cellIs" dxfId="12558" priority="16" operator="between">
      <formula>15</formula>
      <formula>21</formula>
    </cfRule>
    <cfRule type="cellIs" dxfId="12557" priority="17" operator="lessThan">
      <formula>15</formula>
    </cfRule>
    <cfRule type="cellIs" dxfId="12556" priority="18" operator="greaterThan">
      <formula>21</formula>
    </cfRule>
  </conditionalFormatting>
  <conditionalFormatting sqref="M36:M39">
    <cfRule type="cellIs" dxfId="12555" priority="1" operator="lessThan">
      <formula>15</formula>
    </cfRule>
    <cfRule type="cellIs" dxfId="12554" priority="2" operator="greaterThan">
      <formula>20</formula>
    </cfRule>
    <cfRule type="cellIs" dxfId="12553" priority="3" operator="between">
      <formula>15</formula>
      <formula>20</formula>
    </cfRule>
    <cfRule type="cellIs" dxfId="12552" priority="4" operator="between">
      <formula>15</formula>
      <formula>20</formula>
    </cfRule>
    <cfRule type="cellIs" dxfId="12551" priority="5" operator="lessThan">
      <formula>15</formula>
    </cfRule>
    <cfRule type="cellIs" dxfId="12550" priority="6" operator="greaterThan">
      <formula>20</formula>
    </cfRule>
    <cfRule type="cellIs" dxfId="12549" priority="7" operator="between">
      <formula>15</formula>
      <formula>21</formula>
    </cfRule>
    <cfRule type="cellIs" dxfId="12548" priority="8" operator="lessThan">
      <formula>15</formula>
    </cfRule>
    <cfRule type="cellIs" dxfId="12547" priority="9" operator="greaterThan">
      <formula>21</formula>
    </cfRule>
  </conditionalFormatting>
  <hyperlinks>
    <hyperlink ref="M6" location="'Tong hop T11.2019'!A1" display="'Tong hop T11.2019'!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3399"/>
  </sheetPr>
  <dimension ref="A1:M47"/>
  <sheetViews>
    <sheetView zoomScale="70" zoomScaleNormal="70" workbookViewId="0">
      <pane ySplit="8" topLeftCell="A30" activePane="bottomLeft" state="frozen"/>
      <selection activeCell="R44" sqref="R44"/>
      <selection pane="bottomLeft" activeCell="R44" sqref="R44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6.28515625" style="42" customWidth="1"/>
    <col min="4" max="7" width="16.28515625" style="6" customWidth="1"/>
    <col min="8" max="8" width="17.42578125" style="42" customWidth="1"/>
    <col min="9" max="9" width="25.42578125" style="42" customWidth="1"/>
    <col min="10" max="13" width="9.28515625" style="42"/>
    <col min="14" max="14" width="6.5703125" style="42" customWidth="1"/>
    <col min="15" max="16384" width="9.28515625" style="42"/>
  </cols>
  <sheetData>
    <row r="1" spans="1:9" s="143" customFormat="1" ht="18" customHeight="1">
      <c r="A1" s="146" t="e">
        <f>'FRIT FV 090.540 - FTA'!#REF!</f>
        <v>#REF!</v>
      </c>
      <c r="B1" s="146"/>
      <c r="C1" s="146"/>
      <c r="D1" s="146"/>
      <c r="E1" s="146"/>
      <c r="F1" s="146"/>
      <c r="G1" s="142"/>
      <c r="H1" s="142"/>
      <c r="I1" s="142"/>
    </row>
    <row r="2" spans="1:9" s="143" customFormat="1" ht="18" customHeight="1">
      <c r="A2" s="146" t="e">
        <f>'FRIT FV 090.540 - FTA'!#REF!</f>
        <v>#REF!</v>
      </c>
      <c r="B2" s="146"/>
      <c r="C2" s="146"/>
      <c r="D2" s="144"/>
      <c r="E2" s="144"/>
      <c r="F2" s="144"/>
      <c r="G2" s="142"/>
      <c r="H2" s="142"/>
      <c r="I2" s="197" t="e">
        <f>'FRIT FV 090.540 - FTA'!#REF!</f>
        <v>#REF!</v>
      </c>
    </row>
    <row r="3" spans="1:9" ht="22.5" customHeight="1">
      <c r="A3" s="1500" t="e">
        <f>'FRIT FV 090.540 - FTA'!#REF!</f>
        <v>#REF!</v>
      </c>
      <c r="B3" s="1500"/>
      <c r="C3" s="1500"/>
      <c r="D3" s="1500"/>
      <c r="E3" s="1500"/>
      <c r="F3" s="1500"/>
      <c r="G3" s="1500"/>
      <c r="H3" s="1500"/>
      <c r="I3" s="1500"/>
    </row>
    <row r="4" spans="1:9" ht="21.75" customHeight="1">
      <c r="D4" s="134" t="s">
        <v>33</v>
      </c>
      <c r="E4" s="137" t="s">
        <v>117</v>
      </c>
      <c r="G4" s="6" t="s">
        <v>114</v>
      </c>
      <c r="H4" s="94" t="s">
        <v>196</v>
      </c>
      <c r="I4" s="6"/>
    </row>
    <row r="5" spans="1:9" ht="21.75" customHeight="1">
      <c r="B5" s="8" t="e">
        <f>'FRIT FV 090.540 - FTA'!#REF!</f>
        <v>#REF!</v>
      </c>
      <c r="C5" s="8" t="e">
        <f>'FRIT FV 090.540 - FTA'!#REF!</f>
        <v>#REF!</v>
      </c>
      <c r="D5" s="8" t="e">
        <f>'FRIT FV 090.540 - FTA'!#REF!</f>
        <v>#REF!</v>
      </c>
      <c r="E5" s="8" t="e">
        <f>'FRIT FV 090.540 - FTA'!#REF!</f>
        <v>#REF!</v>
      </c>
      <c r="F5" s="8" t="e">
        <f>'FRIT FV 090.540 - FTA'!#REF!</f>
        <v>#REF!</v>
      </c>
      <c r="G5" s="8" t="e">
        <f>'FRIT FV 090.540 - FTA'!#REF!</f>
        <v>#REF!</v>
      </c>
      <c r="H5" s="8" t="e">
        <f>'FRIT FV 090.540 - FTA'!#REF!</f>
        <v>#REF!</v>
      </c>
      <c r="I5" s="8" t="e">
        <f>'FRIT FV 090.540 - FTA'!#REF!</f>
        <v>#REF!</v>
      </c>
    </row>
    <row r="6" spans="1:9" ht="22.5" customHeight="1">
      <c r="E6" s="10"/>
      <c r="F6" s="10"/>
      <c r="H6" s="12" t="s">
        <v>40</v>
      </c>
      <c r="I6" s="217" t="s">
        <v>149</v>
      </c>
    </row>
    <row r="7" spans="1:9" s="13" customFormat="1" ht="41.25" customHeight="1">
      <c r="A7" s="246" t="s">
        <v>2</v>
      </c>
      <c r="B7" s="247" t="s">
        <v>1</v>
      </c>
      <c r="C7" s="247" t="s">
        <v>24</v>
      </c>
      <c r="D7" s="248" t="s">
        <v>27</v>
      </c>
      <c r="E7" s="248" t="s">
        <v>31</v>
      </c>
      <c r="F7" s="248" t="s">
        <v>28</v>
      </c>
      <c r="G7" s="248" t="s">
        <v>14</v>
      </c>
      <c r="H7" s="248" t="s">
        <v>30</v>
      </c>
      <c r="I7" s="245" t="s">
        <v>101</v>
      </c>
    </row>
    <row r="8" spans="1:9" s="280" customFormat="1" ht="21" customHeight="1">
      <c r="A8" s="1522" t="s">
        <v>3</v>
      </c>
      <c r="B8" s="1523"/>
      <c r="C8" s="1524"/>
      <c r="D8" s="266">
        <f>G8</f>
        <v>0</v>
      </c>
      <c r="E8" s="266">
        <f>E40</f>
        <v>0</v>
      </c>
      <c r="F8" s="266"/>
      <c r="G8" s="267"/>
      <c r="H8" s="266"/>
      <c r="I8" s="266"/>
    </row>
    <row r="9" spans="1:9" s="150" customFormat="1" ht="16.5" customHeight="1">
      <c r="A9" s="268">
        <v>1</v>
      </c>
      <c r="B9" s="269">
        <f>'FRIT FV 090.540 - FTA'!B9</f>
        <v>46235</v>
      </c>
      <c r="C9" s="269" t="s">
        <v>199</v>
      </c>
      <c r="D9" s="270"/>
      <c r="E9" s="270"/>
      <c r="F9" s="270">
        <f>SUM($E$8:E9)/A9</f>
        <v>0</v>
      </c>
      <c r="G9" s="270">
        <f t="shared" ref="G9:G38" si="0">G8+D9-E9</f>
        <v>0</v>
      </c>
      <c r="H9" s="271">
        <f t="shared" ref="H9:H39" si="1">G9/10417</f>
        <v>0</v>
      </c>
      <c r="I9" s="270"/>
    </row>
    <row r="10" spans="1:9" s="150" customFormat="1" ht="16.5" customHeight="1">
      <c r="A10" s="268">
        <v>2</v>
      </c>
      <c r="B10" s="269">
        <f>'FRIT FV 090.540 - FTA'!B10</f>
        <v>46236</v>
      </c>
      <c r="C10" s="269" t="s">
        <v>199</v>
      </c>
      <c r="D10" s="270"/>
      <c r="E10" s="270"/>
      <c r="F10" s="270">
        <f>SUM($E$8:E10)/A10</f>
        <v>0</v>
      </c>
      <c r="G10" s="270">
        <f t="shared" si="0"/>
        <v>0</v>
      </c>
      <c r="H10" s="271">
        <f t="shared" si="1"/>
        <v>0</v>
      </c>
      <c r="I10" s="270"/>
    </row>
    <row r="11" spans="1:9" s="150" customFormat="1" ht="16.5" customHeight="1">
      <c r="A11" s="268">
        <v>3</v>
      </c>
      <c r="B11" s="269">
        <f>'FRIT FV 090.540 - FTA'!B11</f>
        <v>46237</v>
      </c>
      <c r="C11" s="269" t="s">
        <v>199</v>
      </c>
      <c r="D11" s="270"/>
      <c r="E11" s="295"/>
      <c r="F11" s="270">
        <f>SUM($E$8:E11)/A11</f>
        <v>0</v>
      </c>
      <c r="G11" s="270">
        <f t="shared" si="0"/>
        <v>0</v>
      </c>
      <c r="H11" s="271">
        <f t="shared" si="1"/>
        <v>0</v>
      </c>
      <c r="I11" s="270"/>
    </row>
    <row r="12" spans="1:9" s="143" customFormat="1" ht="16.5" customHeight="1">
      <c r="A12" s="268">
        <v>4</v>
      </c>
      <c r="B12" s="269">
        <f>'FRIT FV 090.540 - FTA'!B12</f>
        <v>46238</v>
      </c>
      <c r="C12" s="269" t="s">
        <v>199</v>
      </c>
      <c r="D12" s="270"/>
      <c r="E12" s="270"/>
      <c r="F12" s="270">
        <f>SUM($E$8:E12)/A12</f>
        <v>0</v>
      </c>
      <c r="G12" s="270">
        <f t="shared" si="0"/>
        <v>0</v>
      </c>
      <c r="H12" s="271">
        <f t="shared" si="1"/>
        <v>0</v>
      </c>
      <c r="I12" s="270"/>
    </row>
    <row r="13" spans="1:9" s="143" customFormat="1" ht="16.5" customHeight="1">
      <c r="A13" s="272">
        <v>5</v>
      </c>
      <c r="B13" s="273">
        <f>'FRIT FV 090.540 - FTA'!B13</f>
        <v>46239</v>
      </c>
      <c r="C13" s="269" t="s">
        <v>199</v>
      </c>
      <c r="D13" s="278"/>
      <c r="E13" s="279"/>
      <c r="F13" s="278">
        <f>SUM($E$8:E13)/A13</f>
        <v>0</v>
      </c>
      <c r="G13" s="282">
        <f t="shared" si="0"/>
        <v>0</v>
      </c>
      <c r="H13" s="271">
        <f t="shared" si="1"/>
        <v>0</v>
      </c>
      <c r="I13" s="270"/>
    </row>
    <row r="14" spans="1:9" s="143" customFormat="1" ht="16.5" customHeight="1">
      <c r="A14" s="268">
        <v>6</v>
      </c>
      <c r="B14" s="269">
        <f>'FRIT FV 090.540 - FTA'!B14</f>
        <v>46240</v>
      </c>
      <c r="C14" s="269" t="s">
        <v>199</v>
      </c>
      <c r="D14" s="270"/>
      <c r="E14" s="270"/>
      <c r="F14" s="270">
        <f>SUM($E$8:E14)/A14</f>
        <v>0</v>
      </c>
      <c r="G14" s="270">
        <f t="shared" si="0"/>
        <v>0</v>
      </c>
      <c r="H14" s="271">
        <f t="shared" si="1"/>
        <v>0</v>
      </c>
      <c r="I14" s="270"/>
    </row>
    <row r="15" spans="1:9" s="143" customFormat="1" ht="16.5" customHeight="1">
      <c r="A15" s="268">
        <v>7</v>
      </c>
      <c r="B15" s="269">
        <f>'FRIT FV 090.540 - FTA'!B15</f>
        <v>46241</v>
      </c>
      <c r="C15" s="269" t="s">
        <v>199</v>
      </c>
      <c r="D15" s="270"/>
      <c r="E15" s="270"/>
      <c r="F15" s="270">
        <f>SUM($E$8:E15)/A15</f>
        <v>0</v>
      </c>
      <c r="G15" s="270">
        <f t="shared" si="0"/>
        <v>0</v>
      </c>
      <c r="H15" s="271">
        <f t="shared" si="1"/>
        <v>0</v>
      </c>
      <c r="I15" s="270"/>
    </row>
    <row r="16" spans="1:9" s="143" customFormat="1" ht="16.5" customHeight="1">
      <c r="A16" s="268">
        <v>8</v>
      </c>
      <c r="B16" s="269">
        <f>'FRIT FV 090.540 - FTA'!B16</f>
        <v>46242</v>
      </c>
      <c r="C16" s="269" t="s">
        <v>199</v>
      </c>
      <c r="D16" s="270"/>
      <c r="E16" s="270"/>
      <c r="F16" s="270">
        <f>SUM($E$8:E16)/A16</f>
        <v>0</v>
      </c>
      <c r="G16" s="270">
        <f t="shared" si="0"/>
        <v>0</v>
      </c>
      <c r="H16" s="271">
        <f t="shared" si="1"/>
        <v>0</v>
      </c>
      <c r="I16" s="270"/>
    </row>
    <row r="17" spans="1:13" s="143" customFormat="1" ht="16.5" customHeight="1">
      <c r="A17" s="268">
        <v>9</v>
      </c>
      <c r="B17" s="269">
        <f>'FRIT FV 090.540 - FTA'!B17</f>
        <v>46243</v>
      </c>
      <c r="C17" s="269" t="s">
        <v>199</v>
      </c>
      <c r="D17" s="270"/>
      <c r="E17" s="270"/>
      <c r="F17" s="270">
        <f>SUM($E$8:E17)/A17</f>
        <v>0</v>
      </c>
      <c r="G17" s="270">
        <f t="shared" si="0"/>
        <v>0</v>
      </c>
      <c r="H17" s="271">
        <f t="shared" si="1"/>
        <v>0</v>
      </c>
      <c r="I17" s="270"/>
    </row>
    <row r="18" spans="1:13" s="143" customFormat="1" ht="16.5" customHeight="1">
      <c r="A18" s="272">
        <v>10</v>
      </c>
      <c r="B18" s="273">
        <f>'FRIT FV 090.540 - FTA'!B18</f>
        <v>46244</v>
      </c>
      <c r="C18" s="269" t="s">
        <v>199</v>
      </c>
      <c r="D18" s="278"/>
      <c r="E18" s="279"/>
      <c r="F18" s="278">
        <f>SUM($E$8:E18)/A18</f>
        <v>0</v>
      </c>
      <c r="G18" s="282">
        <f t="shared" si="0"/>
        <v>0</v>
      </c>
      <c r="H18" s="271">
        <f t="shared" si="1"/>
        <v>0</v>
      </c>
      <c r="I18" s="270"/>
    </row>
    <row r="19" spans="1:13" s="143" customFormat="1" ht="16.5" customHeight="1">
      <c r="A19" s="268">
        <v>11</v>
      </c>
      <c r="B19" s="269">
        <f>'FRIT FV 090.540 - FTA'!B19</f>
        <v>46245</v>
      </c>
      <c r="C19" s="269" t="s">
        <v>199</v>
      </c>
      <c r="D19" s="270"/>
      <c r="E19" s="270"/>
      <c r="F19" s="270">
        <f>SUM($E$8:E19)/A19</f>
        <v>0</v>
      </c>
      <c r="G19" s="270">
        <f t="shared" si="0"/>
        <v>0</v>
      </c>
      <c r="H19" s="271">
        <f t="shared" si="1"/>
        <v>0</v>
      </c>
      <c r="I19" s="270"/>
    </row>
    <row r="20" spans="1:13" s="143" customFormat="1" ht="16.5" customHeight="1">
      <c r="A20" s="268">
        <v>12</v>
      </c>
      <c r="B20" s="269">
        <f>'FRIT FV 090.540 - FTA'!B20</f>
        <v>46246</v>
      </c>
      <c r="C20" s="269" t="s">
        <v>199</v>
      </c>
      <c r="D20" s="270"/>
      <c r="E20" s="270"/>
      <c r="F20" s="270">
        <f>SUM($E$8:E20)/A20</f>
        <v>0</v>
      </c>
      <c r="G20" s="270">
        <f t="shared" si="0"/>
        <v>0</v>
      </c>
      <c r="H20" s="271">
        <f t="shared" si="1"/>
        <v>0</v>
      </c>
      <c r="I20" s="270"/>
    </row>
    <row r="21" spans="1:13" s="143" customFormat="1" ht="16.5" customHeight="1">
      <c r="A21" s="268">
        <v>13</v>
      </c>
      <c r="B21" s="269">
        <f>'FRIT FV 090.540 - FTA'!B21</f>
        <v>46247</v>
      </c>
      <c r="C21" s="269" t="s">
        <v>199</v>
      </c>
      <c r="D21" s="270"/>
      <c r="E21" s="270"/>
      <c r="F21" s="270">
        <f>SUM($E$8:E21)/A21</f>
        <v>0</v>
      </c>
      <c r="G21" s="270">
        <f t="shared" si="0"/>
        <v>0</v>
      </c>
      <c r="H21" s="271">
        <f t="shared" si="1"/>
        <v>0</v>
      </c>
      <c r="I21" s="270"/>
    </row>
    <row r="22" spans="1:13" s="143" customFormat="1" ht="16.5" customHeight="1">
      <c r="A22" s="268">
        <v>14</v>
      </c>
      <c r="B22" s="269">
        <f>'FRIT FV 090.540 - FTA'!B22</f>
        <v>46248</v>
      </c>
      <c r="C22" s="269" t="s">
        <v>199</v>
      </c>
      <c r="D22" s="270"/>
      <c r="E22" s="270"/>
      <c r="F22" s="270">
        <f>SUM($E$8:E22)/A22</f>
        <v>0</v>
      </c>
      <c r="G22" s="270">
        <f t="shared" si="0"/>
        <v>0</v>
      </c>
      <c r="H22" s="271">
        <f t="shared" si="1"/>
        <v>0</v>
      </c>
      <c r="I22" s="270"/>
    </row>
    <row r="23" spans="1:13" s="143" customFormat="1" ht="16.5" customHeight="1">
      <c r="A23" s="272">
        <v>15</v>
      </c>
      <c r="B23" s="273">
        <f>'FRIT FV 090.540 - FTA'!B23</f>
        <v>46249</v>
      </c>
      <c r="C23" s="269" t="s">
        <v>199</v>
      </c>
      <c r="D23" s="278"/>
      <c r="E23" s="279"/>
      <c r="F23" s="278">
        <f>SUM($E$8:E23)/A23</f>
        <v>0</v>
      </c>
      <c r="G23" s="282">
        <f t="shared" si="0"/>
        <v>0</v>
      </c>
      <c r="H23" s="271">
        <f t="shared" si="1"/>
        <v>0</v>
      </c>
      <c r="I23" s="270"/>
    </row>
    <row r="24" spans="1:13" s="143" customFormat="1" ht="16.5" customHeight="1">
      <c r="A24" s="268">
        <v>16</v>
      </c>
      <c r="B24" s="269">
        <f>'FRIT FV 090.540 - FTA'!B24</f>
        <v>46250</v>
      </c>
      <c r="C24" s="269" t="s">
        <v>199</v>
      </c>
      <c r="D24" s="270"/>
      <c r="E24" s="270"/>
      <c r="F24" s="270">
        <f>SUM($E$8:E24)/A24</f>
        <v>0</v>
      </c>
      <c r="G24" s="270">
        <f t="shared" si="0"/>
        <v>0</v>
      </c>
      <c r="H24" s="271">
        <f t="shared" si="1"/>
        <v>0</v>
      </c>
      <c r="I24" s="270"/>
    </row>
    <row r="25" spans="1:13" s="143" customFormat="1" ht="16.5" customHeight="1">
      <c r="A25" s="268">
        <v>17</v>
      </c>
      <c r="B25" s="269">
        <f>'FRIT FV 090.540 - FTA'!B25</f>
        <v>46251</v>
      </c>
      <c r="C25" s="269" t="s">
        <v>199</v>
      </c>
      <c r="D25" s="270"/>
      <c r="E25" s="270"/>
      <c r="F25" s="270">
        <f>SUM($E$8:E25)/A25</f>
        <v>0</v>
      </c>
      <c r="G25" s="270">
        <f t="shared" si="0"/>
        <v>0</v>
      </c>
      <c r="H25" s="271">
        <f t="shared" si="1"/>
        <v>0</v>
      </c>
      <c r="I25" s="270"/>
    </row>
    <row r="26" spans="1:13" s="143" customFormat="1" ht="16.5" customHeight="1">
      <c r="A26" s="268">
        <v>18</v>
      </c>
      <c r="B26" s="269">
        <f>'FRIT FV 090.540 - FTA'!B26</f>
        <v>46252</v>
      </c>
      <c r="C26" s="269" t="s">
        <v>199</v>
      </c>
      <c r="D26" s="270"/>
      <c r="E26" s="270"/>
      <c r="F26" s="270">
        <f>SUM($E$8:E26)/A26</f>
        <v>0</v>
      </c>
      <c r="G26" s="270">
        <f t="shared" si="0"/>
        <v>0</v>
      </c>
      <c r="H26" s="271">
        <f t="shared" si="1"/>
        <v>0</v>
      </c>
      <c r="I26" s="270"/>
    </row>
    <row r="27" spans="1:13" s="143" customFormat="1" ht="16.5" customHeight="1">
      <c r="A27" s="268">
        <v>19</v>
      </c>
      <c r="B27" s="269">
        <f>'FRIT FV 090.540 - FTA'!B27</f>
        <v>46253</v>
      </c>
      <c r="C27" s="269" t="s">
        <v>199</v>
      </c>
      <c r="D27" s="270"/>
      <c r="E27" s="270"/>
      <c r="F27" s="270">
        <f>SUM($E$8:E27)/A27</f>
        <v>0</v>
      </c>
      <c r="G27" s="270">
        <f t="shared" si="0"/>
        <v>0</v>
      </c>
      <c r="H27" s="271">
        <f t="shared" si="1"/>
        <v>0</v>
      </c>
      <c r="I27" s="270"/>
      <c r="M27" s="143" t="s">
        <v>5</v>
      </c>
    </row>
    <row r="28" spans="1:13" s="143" customFormat="1" ht="16.5" customHeight="1">
      <c r="A28" s="272">
        <v>20</v>
      </c>
      <c r="B28" s="273">
        <f>'FRIT FV 090.540 - FTA'!B28</f>
        <v>46254</v>
      </c>
      <c r="C28" s="269" t="s">
        <v>199</v>
      </c>
      <c r="D28" s="278"/>
      <c r="E28" s="279"/>
      <c r="F28" s="278">
        <f>SUM($E$8:E28)/A28</f>
        <v>0</v>
      </c>
      <c r="G28" s="282">
        <f t="shared" si="0"/>
        <v>0</v>
      </c>
      <c r="H28" s="271">
        <f t="shared" si="1"/>
        <v>0</v>
      </c>
      <c r="I28" s="270"/>
    </row>
    <row r="29" spans="1:13" s="143" customFormat="1" ht="16.5" customHeight="1">
      <c r="A29" s="268">
        <v>21</v>
      </c>
      <c r="B29" s="269">
        <f>'FRIT FV 090.540 - FTA'!B29</f>
        <v>46255</v>
      </c>
      <c r="C29" s="269" t="s">
        <v>199</v>
      </c>
      <c r="D29" s="278"/>
      <c r="E29" s="279"/>
      <c r="F29" s="278">
        <f>SUM($E$8:E29)/A29</f>
        <v>0</v>
      </c>
      <c r="G29" s="283">
        <f t="shared" si="0"/>
        <v>0</v>
      </c>
      <c r="H29" s="271">
        <f t="shared" si="1"/>
        <v>0</v>
      </c>
      <c r="I29" s="270"/>
    </row>
    <row r="30" spans="1:13" s="143" customFormat="1" ht="16.5" customHeight="1">
      <c r="A30" s="268">
        <v>22</v>
      </c>
      <c r="B30" s="269">
        <f>'FRIT FV 090.540 - FTA'!B30</f>
        <v>46256</v>
      </c>
      <c r="C30" s="269" t="s">
        <v>199</v>
      </c>
      <c r="D30" s="278"/>
      <c r="E30" s="279"/>
      <c r="F30" s="278">
        <f>SUM($E$8:E30)/A30</f>
        <v>0</v>
      </c>
      <c r="G30" s="283">
        <f t="shared" si="0"/>
        <v>0</v>
      </c>
      <c r="H30" s="271">
        <f t="shared" si="1"/>
        <v>0</v>
      </c>
      <c r="I30" s="270"/>
    </row>
    <row r="31" spans="1:13" s="143" customFormat="1" ht="16.5" customHeight="1">
      <c r="A31" s="268">
        <v>23</v>
      </c>
      <c r="B31" s="269">
        <f>'FRIT FV 090.540 - FTA'!B31</f>
        <v>46257</v>
      </c>
      <c r="C31" s="269" t="s">
        <v>199</v>
      </c>
      <c r="D31" s="278"/>
      <c r="E31" s="279"/>
      <c r="F31" s="278">
        <f>SUM($E$8:E31)/A31</f>
        <v>0</v>
      </c>
      <c r="G31" s="283">
        <f t="shared" si="0"/>
        <v>0</v>
      </c>
      <c r="H31" s="271">
        <f t="shared" si="1"/>
        <v>0</v>
      </c>
      <c r="I31" s="270"/>
    </row>
    <row r="32" spans="1:13" s="143" customFormat="1" ht="16.5" customHeight="1">
      <c r="A32" s="268">
        <v>24</v>
      </c>
      <c r="B32" s="269">
        <f>'FRIT FV 090.540 - FTA'!B32</f>
        <v>46258</v>
      </c>
      <c r="C32" s="269" t="s">
        <v>199</v>
      </c>
      <c r="D32" s="278"/>
      <c r="E32" s="279"/>
      <c r="F32" s="278">
        <f>SUM($E$8:E32)/A32</f>
        <v>0</v>
      </c>
      <c r="G32" s="283">
        <f t="shared" si="0"/>
        <v>0</v>
      </c>
      <c r="H32" s="271">
        <f t="shared" si="1"/>
        <v>0</v>
      </c>
      <c r="I32" s="270"/>
    </row>
    <row r="33" spans="1:9" s="143" customFormat="1" ht="16.5" customHeight="1">
      <c r="A33" s="274">
        <v>25</v>
      </c>
      <c r="B33" s="275">
        <f>'FRIT FV 090.540 - FTA'!B33</f>
        <v>46259</v>
      </c>
      <c r="C33" s="269" t="s">
        <v>199</v>
      </c>
      <c r="D33" s="278"/>
      <c r="E33" s="279"/>
      <c r="F33" s="278">
        <f>SUM($E$8:E33)/A33</f>
        <v>0</v>
      </c>
      <c r="G33" s="284">
        <f t="shared" si="0"/>
        <v>0</v>
      </c>
      <c r="H33" s="271">
        <f t="shared" si="1"/>
        <v>0</v>
      </c>
      <c r="I33" s="270"/>
    </row>
    <row r="34" spans="1:9" s="143" customFormat="1" ht="16.5" customHeight="1">
      <c r="A34" s="268">
        <v>26</v>
      </c>
      <c r="B34" s="269">
        <f>'FRIT FV 090.540 - FTA'!B34</f>
        <v>46260</v>
      </c>
      <c r="C34" s="269" t="s">
        <v>199</v>
      </c>
      <c r="D34" s="270"/>
      <c r="E34" s="270"/>
      <c r="F34" s="270">
        <f>SUM($E$8:E34)/A34</f>
        <v>0</v>
      </c>
      <c r="G34" s="270">
        <f t="shared" si="0"/>
        <v>0</v>
      </c>
      <c r="H34" s="271">
        <f t="shared" si="1"/>
        <v>0</v>
      </c>
      <c r="I34" s="270"/>
    </row>
    <row r="35" spans="1:9" s="143" customFormat="1" ht="16.5" customHeight="1">
      <c r="A35" s="268">
        <v>27</v>
      </c>
      <c r="B35" s="269">
        <f>'FRIT FV 090.540 - FTA'!B35</f>
        <v>46261</v>
      </c>
      <c r="C35" s="269" t="s">
        <v>199</v>
      </c>
      <c r="D35" s="270"/>
      <c r="E35" s="270"/>
      <c r="F35" s="270">
        <f>SUM($E$8:E35)/A35</f>
        <v>0</v>
      </c>
      <c r="G35" s="270">
        <f t="shared" si="0"/>
        <v>0</v>
      </c>
      <c r="H35" s="271">
        <f t="shared" si="1"/>
        <v>0</v>
      </c>
      <c r="I35" s="270"/>
    </row>
    <row r="36" spans="1:9" s="143" customFormat="1" ht="16.5" customHeight="1">
      <c r="A36" s="268">
        <v>28</v>
      </c>
      <c r="B36" s="269">
        <f>'FRIT FV 090.540 - FTA'!B36</f>
        <v>46262</v>
      </c>
      <c r="C36" s="269" t="s">
        <v>199</v>
      </c>
      <c r="D36" s="270"/>
      <c r="E36" s="270"/>
      <c r="F36" s="270">
        <f>SUM($E$8:E36)/A36</f>
        <v>0</v>
      </c>
      <c r="G36" s="270">
        <f t="shared" si="0"/>
        <v>0</v>
      </c>
      <c r="H36" s="271">
        <f t="shared" si="1"/>
        <v>0</v>
      </c>
      <c r="I36" s="270"/>
    </row>
    <row r="37" spans="1:9" s="143" customFormat="1" ht="16.5" customHeight="1">
      <c r="A37" s="268">
        <v>29</v>
      </c>
      <c r="B37" s="269">
        <f>'FRIT FV 090.540 - FTA'!B37</f>
        <v>46263</v>
      </c>
      <c r="C37" s="269" t="s">
        <v>199</v>
      </c>
      <c r="D37" s="270"/>
      <c r="E37" s="270"/>
      <c r="F37" s="270">
        <f>SUM($E$8:E37)/A37</f>
        <v>0</v>
      </c>
      <c r="G37" s="270">
        <f t="shared" si="0"/>
        <v>0</v>
      </c>
      <c r="H37" s="271">
        <f t="shared" si="1"/>
        <v>0</v>
      </c>
      <c r="I37" s="270"/>
    </row>
    <row r="38" spans="1:9" s="143" customFormat="1" ht="16.5" customHeight="1">
      <c r="A38" s="272">
        <v>30</v>
      </c>
      <c r="B38" s="273">
        <f>'FRIT FV 090.540 - FTA'!B38</f>
        <v>46264</v>
      </c>
      <c r="C38" s="269" t="s">
        <v>199</v>
      </c>
      <c r="D38" s="278"/>
      <c r="E38" s="279"/>
      <c r="F38" s="278">
        <f>SUM($E$8:E38)/A38</f>
        <v>0</v>
      </c>
      <c r="G38" s="282">
        <f t="shared" si="0"/>
        <v>0</v>
      </c>
      <c r="H38" s="271">
        <f t="shared" si="1"/>
        <v>0</v>
      </c>
      <c r="I38" s="270"/>
    </row>
    <row r="39" spans="1:9" s="143" customFormat="1" ht="16.5" customHeight="1">
      <c r="A39" s="268">
        <v>31</v>
      </c>
      <c r="B39" s="269">
        <f>'FRIT FV 090.540 - FTA'!B39</f>
        <v>46265</v>
      </c>
      <c r="C39" s="269" t="s">
        <v>199</v>
      </c>
      <c r="D39" s="270"/>
      <c r="E39" s="270"/>
      <c r="F39" s="270">
        <f>SUM($E$8:E39)/A39</f>
        <v>0</v>
      </c>
      <c r="G39" s="270">
        <f>G38+D39-E39</f>
        <v>0</v>
      </c>
      <c r="H39" s="271">
        <f t="shared" si="1"/>
        <v>0</v>
      </c>
      <c r="I39" s="270"/>
    </row>
    <row r="40" spans="1:9" s="151" customFormat="1" ht="21" customHeight="1">
      <c r="A40" s="1525" t="s">
        <v>29</v>
      </c>
      <c r="B40" s="1525"/>
      <c r="C40" s="1525"/>
      <c r="D40" s="281">
        <f>SUM(D9:D39)</f>
        <v>0</v>
      </c>
      <c r="E40" s="267">
        <f>SUM(E9:E39)</f>
        <v>0</v>
      </c>
      <c r="F40" s="276"/>
      <c r="G40" s="277">
        <f>G39</f>
        <v>0</v>
      </c>
      <c r="H40" s="266"/>
      <c r="I40" s="266"/>
    </row>
    <row r="41" spans="1:9" s="151" customFormat="1" ht="21" customHeight="1">
      <c r="A41" s="1525" t="s">
        <v>15</v>
      </c>
      <c r="B41" s="1525"/>
      <c r="C41" s="1525"/>
      <c r="D41" s="281">
        <f>D8+D40</f>
        <v>0</v>
      </c>
      <c r="E41" s="267">
        <f>E40</f>
        <v>0</v>
      </c>
      <c r="F41" s="276"/>
      <c r="G41" s="277">
        <f>D41-E41</f>
        <v>0</v>
      </c>
      <c r="H41" s="266"/>
      <c r="I41" s="266"/>
    </row>
    <row r="42" spans="1:9" ht="23.25" customHeight="1">
      <c r="A42" s="5"/>
      <c r="B42" s="5"/>
      <c r="C42" s="5"/>
      <c r="D42" s="7"/>
      <c r="E42" s="24"/>
      <c r="F42" s="7"/>
      <c r="G42" s="7"/>
    </row>
    <row r="43" spans="1:9">
      <c r="E43" s="24"/>
      <c r="H43" s="101" t="s">
        <v>13</v>
      </c>
    </row>
    <row r="44" spans="1:9">
      <c r="H44" s="243"/>
    </row>
    <row r="45" spans="1:9">
      <c r="H45" s="243"/>
    </row>
    <row r="46" spans="1:9">
      <c r="H46" s="243"/>
    </row>
    <row r="47" spans="1:9">
      <c r="H47" s="101" t="s">
        <v>98</v>
      </c>
    </row>
  </sheetData>
  <mergeCells count="4">
    <mergeCell ref="A3:I3"/>
    <mergeCell ref="A8:C8"/>
    <mergeCell ref="A40:C40"/>
    <mergeCell ref="A41:C41"/>
  </mergeCells>
  <conditionalFormatting sqref="H38">
    <cfRule type="cellIs" dxfId="12546" priority="1" operator="between">
      <formula>3.5</formula>
      <formula>6</formula>
    </cfRule>
    <cfRule type="cellIs" dxfId="12545" priority="2" operator="lessThan">
      <formula>3.5</formula>
    </cfRule>
    <cfRule type="cellIs" dxfId="12544" priority="3" operator="greaterThan">
      <formula>6</formula>
    </cfRule>
  </conditionalFormatting>
  <conditionalFormatting sqref="H9:H12 H24:H37 H14:H17 H19:H22 H39">
    <cfRule type="cellIs" dxfId="12543" priority="13" operator="between">
      <formula>3.5</formula>
      <formula>6</formula>
    </cfRule>
    <cfRule type="cellIs" dxfId="12542" priority="14" operator="lessThan">
      <formula>3.5</formula>
    </cfRule>
    <cfRule type="cellIs" dxfId="12541" priority="15" operator="greaterThan">
      <formula>6</formula>
    </cfRule>
  </conditionalFormatting>
  <conditionalFormatting sqref="H23">
    <cfRule type="cellIs" dxfId="12540" priority="10" operator="between">
      <formula>3.5</formula>
      <formula>6</formula>
    </cfRule>
    <cfRule type="cellIs" dxfId="12539" priority="11" operator="lessThan">
      <formula>3.5</formula>
    </cfRule>
    <cfRule type="cellIs" dxfId="12538" priority="12" operator="greaterThan">
      <formula>6</formula>
    </cfRule>
  </conditionalFormatting>
  <conditionalFormatting sqref="H13">
    <cfRule type="cellIs" dxfId="12537" priority="7" operator="between">
      <formula>3.5</formula>
      <formula>6</formula>
    </cfRule>
    <cfRule type="cellIs" dxfId="12536" priority="8" operator="lessThan">
      <formula>3.5</formula>
    </cfRule>
    <cfRule type="cellIs" dxfId="12535" priority="9" operator="greaterThan">
      <formula>6</formula>
    </cfRule>
  </conditionalFormatting>
  <conditionalFormatting sqref="H18">
    <cfRule type="cellIs" dxfId="12534" priority="4" operator="between">
      <formula>3.5</formula>
      <formula>6</formula>
    </cfRule>
    <cfRule type="cellIs" dxfId="12533" priority="5" operator="lessThan">
      <formula>3.5</formula>
    </cfRule>
    <cfRule type="cellIs" dxfId="12532" priority="6" operator="greaterThan">
      <formula>6</formula>
    </cfRule>
  </conditionalFormatting>
  <hyperlinks>
    <hyperlink ref="I6" location="'Tong hop T11.2019'!A1" display="THA1"/>
  </hyperlinks>
  <pageMargins left="0.94488188976377963" right="0" top="0.23622047244094491" bottom="0.23622047244094491" header="0.74803149606299213" footer="0.31496062992125984"/>
  <pageSetup paperSize="8" scale="90" orientation="landscape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47"/>
  <sheetViews>
    <sheetView topLeftCell="A22" zoomScale="60" zoomScaleNormal="60" workbookViewId="0">
      <selection activeCell="G9" sqref="G9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9.42578125" style="42" customWidth="1"/>
    <col min="4" max="4" width="19.28515625" style="6" customWidth="1"/>
    <col min="5" max="5" width="17.42578125" style="6" customWidth="1"/>
    <col min="6" max="6" width="16.42578125" style="6" customWidth="1"/>
    <col min="7" max="7" width="14.85546875" style="6" customWidth="1"/>
    <col min="8" max="8" width="18.7109375" style="42" customWidth="1"/>
    <col min="9" max="9" width="14.7109375" style="42" customWidth="1"/>
    <col min="10" max="16384" width="9.28515625" style="42"/>
  </cols>
  <sheetData>
    <row r="1" spans="1:13" ht="25.5" customHeight="1">
      <c r="A1" s="67" t="e">
        <f>'FRIT FV 090.540 - FTA'!#REF!</f>
        <v>#REF!</v>
      </c>
      <c r="B1" s="67"/>
      <c r="C1" s="67"/>
      <c r="D1" s="67"/>
      <c r="E1" s="67"/>
      <c r="F1" s="67"/>
      <c r="H1" s="6"/>
      <c r="I1" s="6"/>
      <c r="J1" s="6"/>
      <c r="K1" s="6"/>
    </row>
    <row r="2" spans="1:13" ht="25.5" customHeight="1">
      <c r="A2" s="67" t="e">
        <f>'FRIT FV 090.540 - FTA'!#REF!</f>
        <v>#REF!</v>
      </c>
      <c r="B2" s="67"/>
      <c r="C2" s="67"/>
      <c r="D2" s="136"/>
      <c r="E2" s="136"/>
      <c r="F2" s="136"/>
      <c r="H2" s="6"/>
      <c r="I2" s="138" t="e">
        <f>'FRIT FV 090.540 - FTA'!#REF!</f>
        <v>#REF!</v>
      </c>
      <c r="J2" s="6"/>
    </row>
    <row r="3" spans="1:13" ht="22.5" customHeight="1">
      <c r="A3" s="1500" t="e">
        <f>'FRIT FV 090.540 - FTA'!#REF!</f>
        <v>#REF!</v>
      </c>
      <c r="B3" s="1500"/>
      <c r="C3" s="1500"/>
      <c r="D3" s="1500"/>
      <c r="E3" s="1500"/>
      <c r="F3" s="1500"/>
      <c r="G3" s="1500"/>
      <c r="H3" s="1500"/>
      <c r="I3" s="1500"/>
    </row>
    <row r="4" spans="1:13" ht="21.75" customHeight="1">
      <c r="D4" s="134" t="s">
        <v>33</v>
      </c>
      <c r="E4" s="137" t="s">
        <v>117</v>
      </c>
      <c r="G4" s="6" t="s">
        <v>114</v>
      </c>
      <c r="H4" s="94" t="s">
        <v>133</v>
      </c>
      <c r="I4" s="6"/>
    </row>
    <row r="5" spans="1:13" ht="21.75" customHeight="1">
      <c r="B5" s="65" t="e">
        <f>'FRIT FV 090.540 - FTA'!#REF!</f>
        <v>#REF!</v>
      </c>
      <c r="C5" s="8" t="e">
        <f>'FRIT FV 090.540 - FTA'!#REF!</f>
        <v>#REF!</v>
      </c>
      <c r="D5" s="65" t="e">
        <f>'FRIT FV 090.540 - FTA'!#REF!</f>
        <v>#REF!</v>
      </c>
      <c r="E5" s="65" t="e">
        <f>'FRIT FV 090.540 - FTA'!#REF!</f>
        <v>#REF!</v>
      </c>
      <c r="F5" s="65" t="e">
        <f>'FRIT FV 090.540 - FTA'!#REF!</f>
        <v>#REF!</v>
      </c>
      <c r="G5" s="65" t="e">
        <f>'FRIT FV 090.540 - FTA'!#REF!</f>
        <v>#REF!</v>
      </c>
      <c r="H5" s="65" t="e">
        <f>'FRIT FV 090.540 - FTA'!#REF!</f>
        <v>#REF!</v>
      </c>
      <c r="I5" s="65" t="e">
        <f>'FRIT FV 090.540 - FTA'!#REF!</f>
        <v>#REF!</v>
      </c>
      <c r="L5" s="75"/>
      <c r="M5" s="75"/>
    </row>
    <row r="6" spans="1:13" ht="22.5" customHeight="1">
      <c r="E6" s="10"/>
      <c r="F6" s="10"/>
      <c r="H6" s="6" t="s">
        <v>40</v>
      </c>
      <c r="I6" s="135" t="s">
        <v>18</v>
      </c>
    </row>
    <row r="7" spans="1:13" s="13" customFormat="1" ht="41.25" customHeight="1">
      <c r="A7" s="49" t="s">
        <v>2</v>
      </c>
      <c r="B7" s="50" t="s">
        <v>1</v>
      </c>
      <c r="C7" s="50" t="s">
        <v>24</v>
      </c>
      <c r="D7" s="51" t="s">
        <v>27</v>
      </c>
      <c r="E7" s="51" t="s">
        <v>31</v>
      </c>
      <c r="F7" s="51" t="s">
        <v>28</v>
      </c>
      <c r="G7" s="51" t="s">
        <v>14</v>
      </c>
      <c r="H7" s="52" t="s">
        <v>30</v>
      </c>
      <c r="I7" s="90" t="s">
        <v>101</v>
      </c>
    </row>
    <row r="8" spans="1:13" s="13" customFormat="1" ht="25.5" customHeight="1">
      <c r="A8" s="1514" t="s">
        <v>3</v>
      </c>
      <c r="B8" s="1515"/>
      <c r="C8" s="1516"/>
      <c r="D8" s="14">
        <f>G8</f>
        <v>0</v>
      </c>
      <c r="E8" s="14"/>
      <c r="F8" s="14"/>
      <c r="G8" s="25">
        <v>0</v>
      </c>
      <c r="H8" s="17"/>
      <c r="I8" s="17"/>
    </row>
    <row r="9" spans="1:13" s="13" customFormat="1" ht="23.25" customHeight="1">
      <c r="A9" s="18">
        <v>1</v>
      </c>
      <c r="B9" s="19">
        <f>'FRIT FV 090.540 - FTA'!B9</f>
        <v>46235</v>
      </c>
      <c r="C9" s="27" t="s">
        <v>106</v>
      </c>
      <c r="D9" s="1"/>
      <c r="E9" s="1"/>
      <c r="F9" s="41">
        <f>SUM($E$8:E9)/A9</f>
        <v>0</v>
      </c>
      <c r="G9" s="55">
        <f>G8+D9-E9</f>
        <v>0</v>
      </c>
      <c r="H9" s="82" t="e">
        <f>G9/F9</f>
        <v>#DIV/0!</v>
      </c>
      <c r="I9" s="82"/>
    </row>
    <row r="10" spans="1:13" s="13" customFormat="1" ht="23.25" customHeight="1">
      <c r="A10" s="18">
        <v>2</v>
      </c>
      <c r="B10" s="19">
        <f>'FRIT FV 090.540 - FTA'!B10</f>
        <v>46236</v>
      </c>
      <c r="C10" s="27" t="s">
        <v>106</v>
      </c>
      <c r="D10" s="1"/>
      <c r="E10" s="1"/>
      <c r="F10" s="41">
        <f>SUM($E$8:E10)/A10</f>
        <v>0</v>
      </c>
      <c r="G10" s="55">
        <f t="shared" ref="G10:G39" si="0">G9+D10-E10</f>
        <v>0</v>
      </c>
      <c r="H10" s="82" t="e">
        <f t="shared" ref="H10:H39" si="1">G10/F10</f>
        <v>#DIV/0!</v>
      </c>
      <c r="I10" s="82"/>
    </row>
    <row r="11" spans="1:13" s="13" customFormat="1" ht="23.25" customHeight="1">
      <c r="A11" s="18">
        <v>3</v>
      </c>
      <c r="B11" s="19">
        <f>'FRIT FV 090.540 - FTA'!B11</f>
        <v>46237</v>
      </c>
      <c r="C11" s="27" t="s">
        <v>106</v>
      </c>
      <c r="D11" s="1"/>
      <c r="E11" s="1"/>
      <c r="F11" s="41">
        <f>SUM($E$8:E11)/A11</f>
        <v>0</v>
      </c>
      <c r="G11" s="55">
        <f t="shared" si="0"/>
        <v>0</v>
      </c>
      <c r="H11" s="82" t="e">
        <f t="shared" si="1"/>
        <v>#DIV/0!</v>
      </c>
      <c r="I11" s="82"/>
    </row>
    <row r="12" spans="1:13" s="23" customFormat="1" ht="23.25" customHeight="1">
      <c r="A12" s="18">
        <v>4</v>
      </c>
      <c r="B12" s="19">
        <f>'FRIT FV 090.540 - FTA'!B12</f>
        <v>46238</v>
      </c>
      <c r="C12" s="27" t="s">
        <v>106</v>
      </c>
      <c r="D12" s="1"/>
      <c r="E12" s="1"/>
      <c r="F12" s="41">
        <f>SUM($E$8:E12)/A12</f>
        <v>0</v>
      </c>
      <c r="G12" s="55">
        <f t="shared" si="0"/>
        <v>0</v>
      </c>
      <c r="H12" s="82" t="e">
        <f t="shared" si="1"/>
        <v>#DIV/0!</v>
      </c>
      <c r="I12" s="82"/>
      <c r="J12" s="13"/>
      <c r="K12" s="13"/>
      <c r="L12" s="13"/>
    </row>
    <row r="13" spans="1:13" s="23" customFormat="1" ht="23.25" customHeight="1">
      <c r="A13" s="18">
        <v>5</v>
      </c>
      <c r="B13" s="19">
        <f>'FRIT FV 090.540 - FTA'!B13</f>
        <v>46239</v>
      </c>
      <c r="C13" s="27" t="s">
        <v>106</v>
      </c>
      <c r="D13" s="1"/>
      <c r="E13" s="1"/>
      <c r="F13" s="41">
        <f>SUM($E$8:E13)/A13</f>
        <v>0</v>
      </c>
      <c r="G13" s="55">
        <f t="shared" si="0"/>
        <v>0</v>
      </c>
      <c r="H13" s="82" t="e">
        <f t="shared" si="1"/>
        <v>#DIV/0!</v>
      </c>
      <c r="I13" s="82"/>
    </row>
    <row r="14" spans="1:13" s="23" customFormat="1" ht="23.25" customHeight="1">
      <c r="A14" s="18">
        <v>6</v>
      </c>
      <c r="B14" s="19">
        <f>'FRIT FV 090.540 - FTA'!B14</f>
        <v>46240</v>
      </c>
      <c r="C14" s="27" t="s">
        <v>106</v>
      </c>
      <c r="D14" s="1"/>
      <c r="E14" s="1"/>
      <c r="F14" s="41">
        <f>SUM($E$8:E14)/A14</f>
        <v>0</v>
      </c>
      <c r="G14" s="55">
        <f t="shared" si="0"/>
        <v>0</v>
      </c>
      <c r="H14" s="82" t="e">
        <f t="shared" si="1"/>
        <v>#DIV/0!</v>
      </c>
      <c r="I14" s="82"/>
    </row>
    <row r="15" spans="1:13" s="23" customFormat="1" ht="23.25" customHeight="1">
      <c r="A15" s="36">
        <v>7</v>
      </c>
      <c r="B15" s="19">
        <f>'FRIT FV 090.540 - FTA'!B15</f>
        <v>46241</v>
      </c>
      <c r="C15" s="27" t="s">
        <v>106</v>
      </c>
      <c r="D15" s="1"/>
      <c r="E15" s="1"/>
      <c r="F15" s="41">
        <f>SUM($E$8:E15)/A15</f>
        <v>0</v>
      </c>
      <c r="G15" s="55">
        <f t="shared" si="0"/>
        <v>0</v>
      </c>
      <c r="H15" s="82" t="e">
        <f t="shared" si="1"/>
        <v>#DIV/0!</v>
      </c>
      <c r="I15" s="82"/>
    </row>
    <row r="16" spans="1:13" s="23" customFormat="1" ht="23.25" customHeight="1">
      <c r="A16" s="18">
        <v>8</v>
      </c>
      <c r="B16" s="19">
        <f>'FRIT FV 090.540 - FTA'!B16</f>
        <v>46242</v>
      </c>
      <c r="C16" s="27" t="s">
        <v>106</v>
      </c>
      <c r="D16" s="1"/>
      <c r="E16" s="1"/>
      <c r="F16" s="41">
        <f>SUM($E$8:E16)/A16</f>
        <v>0</v>
      </c>
      <c r="G16" s="55">
        <f t="shared" si="0"/>
        <v>0</v>
      </c>
      <c r="H16" s="82" t="e">
        <f t="shared" si="1"/>
        <v>#DIV/0!</v>
      </c>
      <c r="I16" s="82"/>
    </row>
    <row r="17" spans="1:9" s="23" customFormat="1" ht="23.25" customHeight="1">
      <c r="A17" s="18">
        <v>9</v>
      </c>
      <c r="B17" s="19">
        <f>'FRIT FV 090.540 - FTA'!B17</f>
        <v>46243</v>
      </c>
      <c r="C17" s="27" t="s">
        <v>106</v>
      </c>
      <c r="D17" s="1"/>
      <c r="E17" s="1"/>
      <c r="F17" s="41">
        <f>SUM($E$8:E17)/A17</f>
        <v>0</v>
      </c>
      <c r="G17" s="55">
        <f t="shared" si="0"/>
        <v>0</v>
      </c>
      <c r="H17" s="82" t="e">
        <f t="shared" si="1"/>
        <v>#DIV/0!</v>
      </c>
      <c r="I17" s="82"/>
    </row>
    <row r="18" spans="1:9" s="23" customFormat="1" ht="23.25" customHeight="1">
      <c r="A18" s="18">
        <v>10</v>
      </c>
      <c r="B18" s="19">
        <f>'FRIT FV 090.540 - FTA'!B18</f>
        <v>46244</v>
      </c>
      <c r="C18" s="27" t="s">
        <v>106</v>
      </c>
      <c r="D18" s="1"/>
      <c r="E18" s="1"/>
      <c r="F18" s="41">
        <f>SUM($E$8:E18)/A18</f>
        <v>0</v>
      </c>
      <c r="G18" s="55">
        <f t="shared" si="0"/>
        <v>0</v>
      </c>
      <c r="H18" s="82" t="e">
        <f t="shared" si="1"/>
        <v>#DIV/0!</v>
      </c>
      <c r="I18" s="82"/>
    </row>
    <row r="19" spans="1:9" s="23" customFormat="1" ht="23.25" customHeight="1">
      <c r="A19" s="18">
        <v>11</v>
      </c>
      <c r="B19" s="19">
        <f>'FRIT FV 090.540 - FTA'!B19</f>
        <v>46245</v>
      </c>
      <c r="C19" s="27" t="s">
        <v>106</v>
      </c>
      <c r="D19" s="1"/>
      <c r="E19" s="1"/>
      <c r="F19" s="41">
        <f>SUM($E$8:E19)/A19</f>
        <v>0</v>
      </c>
      <c r="G19" s="55">
        <f t="shared" si="0"/>
        <v>0</v>
      </c>
      <c r="H19" s="82" t="e">
        <f t="shared" si="1"/>
        <v>#DIV/0!</v>
      </c>
      <c r="I19" s="82"/>
    </row>
    <row r="20" spans="1:9" s="23" customFormat="1" ht="23.25" customHeight="1">
      <c r="A20" s="18">
        <v>12</v>
      </c>
      <c r="B20" s="19">
        <f>'FRIT FV 090.540 - FTA'!B20</f>
        <v>46246</v>
      </c>
      <c r="C20" s="27" t="s">
        <v>106</v>
      </c>
      <c r="D20" s="1"/>
      <c r="E20" s="1"/>
      <c r="F20" s="41">
        <f>SUM($E$8:E20)/A20</f>
        <v>0</v>
      </c>
      <c r="G20" s="55">
        <f t="shared" si="0"/>
        <v>0</v>
      </c>
      <c r="H20" s="82" t="e">
        <f t="shared" si="1"/>
        <v>#DIV/0!</v>
      </c>
      <c r="I20" s="82"/>
    </row>
    <row r="21" spans="1:9" s="23" customFormat="1" ht="23.25" customHeight="1">
      <c r="A21" s="18">
        <v>13</v>
      </c>
      <c r="B21" s="19">
        <f>'FRIT FV 090.540 - FTA'!B21</f>
        <v>46247</v>
      </c>
      <c r="C21" s="27" t="s">
        <v>106</v>
      </c>
      <c r="D21" s="1"/>
      <c r="E21" s="1"/>
      <c r="F21" s="41">
        <f>SUM($E$8:E21)/A21</f>
        <v>0</v>
      </c>
      <c r="G21" s="55">
        <f t="shared" si="0"/>
        <v>0</v>
      </c>
      <c r="H21" s="82" t="e">
        <f t="shared" si="1"/>
        <v>#DIV/0!</v>
      </c>
      <c r="I21" s="82"/>
    </row>
    <row r="22" spans="1:9" s="23" customFormat="1" ht="23.25" customHeight="1">
      <c r="A22" s="36">
        <v>14</v>
      </c>
      <c r="B22" s="19">
        <f>'FRIT FV 090.540 - FTA'!B22</f>
        <v>46248</v>
      </c>
      <c r="C22" s="27" t="s">
        <v>106</v>
      </c>
      <c r="D22" s="1"/>
      <c r="E22" s="1"/>
      <c r="F22" s="41">
        <f>SUM($E$8:E22)/A22</f>
        <v>0</v>
      </c>
      <c r="G22" s="55">
        <f t="shared" si="0"/>
        <v>0</v>
      </c>
      <c r="H22" s="82" t="e">
        <f t="shared" si="1"/>
        <v>#DIV/0!</v>
      </c>
      <c r="I22" s="82"/>
    </row>
    <row r="23" spans="1:9" s="23" customFormat="1" ht="23.25" customHeight="1">
      <c r="A23" s="18">
        <v>15</v>
      </c>
      <c r="B23" s="19">
        <f>'FRIT FV 090.540 - FTA'!B23</f>
        <v>46249</v>
      </c>
      <c r="C23" s="27" t="s">
        <v>106</v>
      </c>
      <c r="D23" s="1"/>
      <c r="E23" s="1"/>
      <c r="F23" s="41">
        <f>SUM($E$8:E23)/A23</f>
        <v>0</v>
      </c>
      <c r="G23" s="55">
        <f t="shared" si="0"/>
        <v>0</v>
      </c>
      <c r="H23" s="82" t="e">
        <f t="shared" si="1"/>
        <v>#DIV/0!</v>
      </c>
      <c r="I23" s="82"/>
    </row>
    <row r="24" spans="1:9" s="23" customFormat="1" ht="23.25" customHeight="1">
      <c r="A24" s="18">
        <v>16</v>
      </c>
      <c r="B24" s="19">
        <f>'FRIT FV 090.540 - FTA'!B24</f>
        <v>46250</v>
      </c>
      <c r="C24" s="27" t="s">
        <v>106</v>
      </c>
      <c r="D24" s="1"/>
      <c r="E24" s="1"/>
      <c r="F24" s="41">
        <f>SUM($E$8:E24)/A24</f>
        <v>0</v>
      </c>
      <c r="G24" s="55">
        <f t="shared" si="0"/>
        <v>0</v>
      </c>
      <c r="H24" s="82" t="e">
        <f t="shared" si="1"/>
        <v>#DIV/0!</v>
      </c>
      <c r="I24" s="82"/>
    </row>
    <row r="25" spans="1:9" s="23" customFormat="1" ht="23.25" customHeight="1">
      <c r="A25" s="18">
        <v>17</v>
      </c>
      <c r="B25" s="19">
        <f>'FRIT FV 090.540 - FTA'!B25</f>
        <v>46251</v>
      </c>
      <c r="C25" s="27" t="s">
        <v>106</v>
      </c>
      <c r="D25" s="1"/>
      <c r="E25" s="1"/>
      <c r="F25" s="41">
        <f>SUM($E$8:E25)/A25</f>
        <v>0</v>
      </c>
      <c r="G25" s="55">
        <f t="shared" si="0"/>
        <v>0</v>
      </c>
      <c r="H25" s="82" t="e">
        <f t="shared" si="1"/>
        <v>#DIV/0!</v>
      </c>
      <c r="I25" s="82"/>
    </row>
    <row r="26" spans="1:9" s="23" customFormat="1" ht="23.25" customHeight="1">
      <c r="A26" s="18">
        <v>18</v>
      </c>
      <c r="B26" s="19">
        <f>'FRIT FV 090.540 - FTA'!B26</f>
        <v>46252</v>
      </c>
      <c r="C26" s="27" t="s">
        <v>106</v>
      </c>
      <c r="D26" s="1"/>
      <c r="E26" s="1"/>
      <c r="F26" s="41">
        <f>SUM($E$8:E26)/A26</f>
        <v>0</v>
      </c>
      <c r="G26" s="55">
        <f t="shared" si="0"/>
        <v>0</v>
      </c>
      <c r="H26" s="82" t="e">
        <f t="shared" si="1"/>
        <v>#DIV/0!</v>
      </c>
      <c r="I26" s="82"/>
    </row>
    <row r="27" spans="1:9" s="23" customFormat="1" ht="23.25" customHeight="1">
      <c r="A27" s="18">
        <v>19</v>
      </c>
      <c r="B27" s="19">
        <f>'FRIT FV 090.540 - FTA'!B27</f>
        <v>46253</v>
      </c>
      <c r="C27" s="27" t="s">
        <v>106</v>
      </c>
      <c r="D27" s="1"/>
      <c r="E27" s="1"/>
      <c r="F27" s="41">
        <f>SUM($E$8:E27)/A27</f>
        <v>0</v>
      </c>
      <c r="G27" s="55">
        <f t="shared" si="0"/>
        <v>0</v>
      </c>
      <c r="H27" s="82" t="e">
        <f t="shared" si="1"/>
        <v>#DIV/0!</v>
      </c>
      <c r="I27" s="82"/>
    </row>
    <row r="28" spans="1:9" s="23" customFormat="1" ht="23.25" customHeight="1">
      <c r="A28" s="18">
        <v>20</v>
      </c>
      <c r="B28" s="19">
        <f>'FRIT FV 090.540 - FTA'!B28</f>
        <v>46254</v>
      </c>
      <c r="C28" s="27" t="s">
        <v>106</v>
      </c>
      <c r="D28" s="1"/>
      <c r="E28" s="1"/>
      <c r="F28" s="41">
        <f>SUM($E$8:E28)/A28</f>
        <v>0</v>
      </c>
      <c r="G28" s="55">
        <f t="shared" si="0"/>
        <v>0</v>
      </c>
      <c r="H28" s="82" t="e">
        <f t="shared" si="1"/>
        <v>#DIV/0!</v>
      </c>
      <c r="I28" s="82"/>
    </row>
    <row r="29" spans="1:9" s="23" customFormat="1" ht="23.25" customHeight="1">
      <c r="A29" s="36">
        <v>21</v>
      </c>
      <c r="B29" s="19">
        <f>'FRIT FV 090.540 - FTA'!B29</f>
        <v>46255</v>
      </c>
      <c r="C29" s="27" t="s">
        <v>106</v>
      </c>
      <c r="D29" s="1"/>
      <c r="E29" s="1"/>
      <c r="F29" s="41">
        <f>SUM($E$8:E29)/A29</f>
        <v>0</v>
      </c>
      <c r="G29" s="55">
        <f t="shared" si="0"/>
        <v>0</v>
      </c>
      <c r="H29" s="82" t="e">
        <f t="shared" si="1"/>
        <v>#DIV/0!</v>
      </c>
      <c r="I29" s="82"/>
    </row>
    <row r="30" spans="1:9" s="23" customFormat="1" ht="23.25" customHeight="1">
      <c r="A30" s="18">
        <v>22</v>
      </c>
      <c r="B30" s="19">
        <f>'FRIT FV 090.540 - FTA'!B30</f>
        <v>46256</v>
      </c>
      <c r="C30" s="27" t="s">
        <v>106</v>
      </c>
      <c r="D30" s="1"/>
      <c r="E30" s="1"/>
      <c r="F30" s="41">
        <f>SUM($E$8:E30)/A30</f>
        <v>0</v>
      </c>
      <c r="G30" s="55">
        <f t="shared" si="0"/>
        <v>0</v>
      </c>
      <c r="H30" s="82" t="e">
        <f t="shared" si="1"/>
        <v>#DIV/0!</v>
      </c>
      <c r="I30" s="82"/>
    </row>
    <row r="31" spans="1:9" s="23" customFormat="1" ht="23.25" customHeight="1">
      <c r="A31" s="18">
        <v>23</v>
      </c>
      <c r="B31" s="19">
        <f>'FRIT FV 090.540 - FTA'!B31</f>
        <v>46257</v>
      </c>
      <c r="C31" s="27" t="s">
        <v>106</v>
      </c>
      <c r="D31" s="1"/>
      <c r="E31" s="1"/>
      <c r="F31" s="41">
        <f>SUM($E$8:E31)/A31</f>
        <v>0</v>
      </c>
      <c r="G31" s="55">
        <f t="shared" si="0"/>
        <v>0</v>
      </c>
      <c r="H31" s="82" t="e">
        <f t="shared" si="1"/>
        <v>#DIV/0!</v>
      </c>
      <c r="I31" s="82"/>
    </row>
    <row r="32" spans="1:9" s="23" customFormat="1" ht="23.25" customHeight="1">
      <c r="A32" s="18">
        <v>24</v>
      </c>
      <c r="B32" s="19">
        <f>'FRIT FV 090.540 - FTA'!B32</f>
        <v>46258</v>
      </c>
      <c r="C32" s="27" t="s">
        <v>106</v>
      </c>
      <c r="D32" s="1"/>
      <c r="E32" s="1"/>
      <c r="F32" s="41">
        <f>SUM($E$8:E32)/A32</f>
        <v>0</v>
      </c>
      <c r="G32" s="55">
        <f t="shared" si="0"/>
        <v>0</v>
      </c>
      <c r="H32" s="82" t="e">
        <f t="shared" si="1"/>
        <v>#DIV/0!</v>
      </c>
      <c r="I32" s="82"/>
    </row>
    <row r="33" spans="1:9" s="23" customFormat="1" ht="23.25" customHeight="1">
      <c r="A33" s="18">
        <v>25</v>
      </c>
      <c r="B33" s="19">
        <f>'FRIT FV 090.540 - FTA'!B33</f>
        <v>46259</v>
      </c>
      <c r="C33" s="27" t="s">
        <v>106</v>
      </c>
      <c r="D33" s="1"/>
      <c r="E33" s="1"/>
      <c r="F33" s="41">
        <f>SUM($E$8:E33)/A33</f>
        <v>0</v>
      </c>
      <c r="G33" s="55">
        <f t="shared" si="0"/>
        <v>0</v>
      </c>
      <c r="H33" s="82" t="e">
        <f t="shared" si="1"/>
        <v>#DIV/0!</v>
      </c>
      <c r="I33" s="82"/>
    </row>
    <row r="34" spans="1:9" s="23" customFormat="1" ht="23.25" customHeight="1">
      <c r="A34" s="18">
        <v>26</v>
      </c>
      <c r="B34" s="19">
        <f>'FRIT FV 090.540 - FTA'!B34</f>
        <v>46260</v>
      </c>
      <c r="C34" s="27" t="s">
        <v>106</v>
      </c>
      <c r="D34" s="1"/>
      <c r="E34" s="1"/>
      <c r="F34" s="41">
        <f>SUM($E$8:E34)/A34</f>
        <v>0</v>
      </c>
      <c r="G34" s="55">
        <f t="shared" si="0"/>
        <v>0</v>
      </c>
      <c r="H34" s="82" t="e">
        <f t="shared" si="1"/>
        <v>#DIV/0!</v>
      </c>
      <c r="I34" s="82"/>
    </row>
    <row r="35" spans="1:9" s="23" customFormat="1" ht="23.25" customHeight="1">
      <c r="A35" s="18">
        <v>27</v>
      </c>
      <c r="B35" s="19">
        <f>'FRIT FV 090.540 - FTA'!B35</f>
        <v>46261</v>
      </c>
      <c r="C35" s="27" t="s">
        <v>106</v>
      </c>
      <c r="D35" s="1"/>
      <c r="E35" s="1"/>
      <c r="F35" s="41">
        <f>SUM($E$8:E35)/A35</f>
        <v>0</v>
      </c>
      <c r="G35" s="55">
        <f t="shared" si="0"/>
        <v>0</v>
      </c>
      <c r="H35" s="82" t="e">
        <f t="shared" si="1"/>
        <v>#DIV/0!</v>
      </c>
      <c r="I35" s="82"/>
    </row>
    <row r="36" spans="1:9" s="23" customFormat="1" ht="23.25" customHeight="1">
      <c r="A36" s="36">
        <v>28</v>
      </c>
      <c r="B36" s="19">
        <f>'FRIT FV 090.540 - FTA'!B36</f>
        <v>46262</v>
      </c>
      <c r="C36" s="27" t="s">
        <v>106</v>
      </c>
      <c r="D36" s="1"/>
      <c r="E36" s="1"/>
      <c r="F36" s="41">
        <f>SUM($E$8:E36)/A36</f>
        <v>0</v>
      </c>
      <c r="G36" s="55">
        <f t="shared" si="0"/>
        <v>0</v>
      </c>
      <c r="H36" s="82" t="e">
        <f t="shared" si="1"/>
        <v>#DIV/0!</v>
      </c>
      <c r="I36" s="82"/>
    </row>
    <row r="37" spans="1:9" s="23" customFormat="1" ht="23.25" customHeight="1">
      <c r="A37" s="18">
        <v>29</v>
      </c>
      <c r="B37" s="19">
        <f>'FRIT FV 090.540 - FTA'!B37</f>
        <v>46263</v>
      </c>
      <c r="C37" s="27" t="s">
        <v>106</v>
      </c>
      <c r="D37" s="1"/>
      <c r="E37" s="1"/>
      <c r="F37" s="41">
        <f>SUM($E$8:E37)/A37</f>
        <v>0</v>
      </c>
      <c r="G37" s="55">
        <f t="shared" si="0"/>
        <v>0</v>
      </c>
      <c r="H37" s="82" t="e">
        <f t="shared" si="1"/>
        <v>#DIV/0!</v>
      </c>
      <c r="I37" s="82"/>
    </row>
    <row r="38" spans="1:9" s="23" customFormat="1" ht="23.25" customHeight="1">
      <c r="A38" s="18">
        <v>30</v>
      </c>
      <c r="B38" s="19">
        <f>'FRIT FV 090.540 - FTA'!B38</f>
        <v>46264</v>
      </c>
      <c r="C38" s="27" t="s">
        <v>106</v>
      </c>
      <c r="D38" s="1"/>
      <c r="E38" s="1"/>
      <c r="F38" s="41">
        <f>SUM($E$8:E38)/A38</f>
        <v>0</v>
      </c>
      <c r="G38" s="55">
        <f t="shared" si="0"/>
        <v>0</v>
      </c>
      <c r="H38" s="82" t="e">
        <f t="shared" si="1"/>
        <v>#DIV/0!</v>
      </c>
      <c r="I38" s="82"/>
    </row>
    <row r="39" spans="1:9" s="23" customFormat="1" ht="23.25" customHeight="1">
      <c r="A39" s="18">
        <v>31</v>
      </c>
      <c r="B39" s="19">
        <f>'FRIT FV 090.540 - FTA'!B39</f>
        <v>46265</v>
      </c>
      <c r="C39" s="27" t="s">
        <v>106</v>
      </c>
      <c r="D39" s="1"/>
      <c r="E39" s="1"/>
      <c r="F39" s="41">
        <f>SUM($E$8:E39)/A39</f>
        <v>0</v>
      </c>
      <c r="G39" s="55">
        <f t="shared" si="0"/>
        <v>0</v>
      </c>
      <c r="H39" s="82" t="e">
        <f t="shared" si="1"/>
        <v>#DIV/0!</v>
      </c>
      <c r="I39" s="82"/>
    </row>
    <row r="40" spans="1:9" s="32" customFormat="1" ht="23.25" customHeight="1">
      <c r="A40" s="1517" t="s">
        <v>29</v>
      </c>
      <c r="B40" s="1517"/>
      <c r="C40" s="1517"/>
      <c r="D40" s="57">
        <f>SUM(D9:D39)</f>
        <v>0</v>
      </c>
      <c r="E40" s="46">
        <f>SUM(E9:E39)</f>
        <v>0</v>
      </c>
      <c r="F40" s="46"/>
      <c r="G40" s="107"/>
      <c r="H40" s="31"/>
      <c r="I40" s="31"/>
    </row>
    <row r="41" spans="1:9" s="32" customFormat="1" ht="23.25" customHeight="1">
      <c r="A41" s="1517" t="s">
        <v>15</v>
      </c>
      <c r="B41" s="1517"/>
      <c r="C41" s="1517"/>
      <c r="D41" s="57">
        <f>D8+D40</f>
        <v>0</v>
      </c>
      <c r="E41" s="46">
        <f>E8+E40</f>
        <v>0</v>
      </c>
      <c r="F41" s="46"/>
      <c r="G41" s="53">
        <f>D41-E41</f>
        <v>0</v>
      </c>
      <c r="H41" s="31"/>
      <c r="I41" s="31"/>
    </row>
    <row r="42" spans="1:9" ht="23.25" customHeight="1">
      <c r="A42" s="5"/>
      <c r="B42" s="5"/>
      <c r="C42" s="5"/>
      <c r="D42" s="7"/>
      <c r="E42" s="24"/>
      <c r="F42" s="7"/>
      <c r="G42" s="7"/>
    </row>
    <row r="43" spans="1:9">
      <c r="E43" s="24"/>
      <c r="H43" s="101" t="s">
        <v>13</v>
      </c>
    </row>
    <row r="44" spans="1:9">
      <c r="H44" s="102"/>
    </row>
    <row r="45" spans="1:9">
      <c r="H45" s="102"/>
    </row>
    <row r="46" spans="1:9">
      <c r="H46" s="102"/>
    </row>
    <row r="47" spans="1:9">
      <c r="H47" s="101" t="s">
        <v>98</v>
      </c>
    </row>
  </sheetData>
  <mergeCells count="4">
    <mergeCell ref="A8:C8"/>
    <mergeCell ref="A40:C40"/>
    <mergeCell ref="A41:C41"/>
    <mergeCell ref="A3:I3"/>
  </mergeCells>
  <hyperlinks>
    <hyperlink ref="I6" location="'Tong hop T5.2019'!A1" display="YN!A1"/>
  </hyperlinks>
  <pageMargins left="0.196850393700787" right="0" top="0.23622047244094499" bottom="0.23622047244094499" header="0.74803149606299202" footer="0.31496062992126"/>
  <pageSetup paperSize="8" orientation="landscape" horizont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M42"/>
  <sheetViews>
    <sheetView zoomScale="70" zoomScaleNormal="70" workbookViewId="0">
      <pane ySplit="7" topLeftCell="A29" activePane="bottomLeft" state="frozen"/>
      <selection pane="bottomLeft" activeCell="J36" sqref="J36"/>
    </sheetView>
  </sheetViews>
  <sheetFormatPr defaultColWidth="9.28515625" defaultRowHeight="16.5"/>
  <cols>
    <col min="1" max="1" width="9.5703125" style="42" customWidth="1"/>
    <col min="2" max="2" width="9.85546875" style="42" customWidth="1"/>
    <col min="3" max="3" width="10.7109375" style="42" customWidth="1"/>
    <col min="4" max="7" width="18.7109375" style="6" customWidth="1"/>
    <col min="8" max="8" width="18.7109375" style="42" customWidth="1"/>
    <col min="9" max="9" width="19.28515625" style="42" customWidth="1"/>
    <col min="10" max="16384" width="9.28515625" style="42"/>
  </cols>
  <sheetData>
    <row r="1" spans="1:13" ht="114.75" customHeight="1"/>
    <row r="2" spans="1:13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</row>
    <row r="3" spans="1:13" ht="21.75" customHeight="1">
      <c r="B3" s="67"/>
      <c r="C3" s="8"/>
      <c r="D3" s="67"/>
      <c r="E3" s="67" t="s">
        <v>33</v>
      </c>
      <c r="F3" s="67" t="s">
        <v>102</v>
      </c>
      <c r="G3" s="67"/>
      <c r="H3" s="67"/>
      <c r="I3" s="67"/>
    </row>
    <row r="4" spans="1:13" ht="21.75" customHeight="1">
      <c r="B4" s="8" t="e">
        <f>'FRIT FV 090.540 - FTA'!#REF!</f>
        <v>#REF!</v>
      </c>
      <c r="C4" s="8" t="e">
        <f>'FRIT FV 090.540 - FTA'!#REF!</f>
        <v>#REF!</v>
      </c>
      <c r="D4" s="8" t="e">
        <f>'FRIT FV 090.540 - FTA'!#REF!</f>
        <v>#REF!</v>
      </c>
      <c r="E4" s="8" t="e">
        <f>'FRIT FV 090.540 - FTA'!#REF!</f>
        <v>#REF!</v>
      </c>
      <c r="F4" s="8" t="e">
        <f>'FRIT FV 090.540 - FTA'!#REF!</f>
        <v>#REF!</v>
      </c>
      <c r="G4" s="8" t="e">
        <f>'FRIT FV 090.540 - FTA'!#REF!</f>
        <v>#REF!</v>
      </c>
      <c r="H4" s="8" t="e">
        <f>'FRIT FV 090.540 - FTA'!#REF!</f>
        <v>#REF!</v>
      </c>
      <c r="I4" s="8" t="e">
        <f>'FRIT FV 090.540 - FTA'!#REF!</f>
        <v>#REF!</v>
      </c>
      <c r="L4" s="75"/>
      <c r="M4" s="75"/>
    </row>
    <row r="5" spans="1:13" ht="22.5" customHeight="1">
      <c r="E5" s="10"/>
      <c r="F5" s="10"/>
      <c r="H5" s="6" t="s">
        <v>40</v>
      </c>
      <c r="I5" s="35" t="s">
        <v>18</v>
      </c>
    </row>
    <row r="6" spans="1:13" s="13" customFormat="1" ht="41.25" customHeight="1">
      <c r="A6" s="49" t="s">
        <v>2</v>
      </c>
      <c r="B6" s="50" t="s">
        <v>1</v>
      </c>
      <c r="C6" s="50" t="s">
        <v>24</v>
      </c>
      <c r="D6" s="51" t="s">
        <v>27</v>
      </c>
      <c r="E6" s="51" t="s">
        <v>31</v>
      </c>
      <c r="F6" s="51" t="s">
        <v>28</v>
      </c>
      <c r="G6" s="51" t="s">
        <v>14</v>
      </c>
      <c r="H6" s="52" t="s">
        <v>30</v>
      </c>
      <c r="I6" s="90"/>
    </row>
    <row r="7" spans="1:13" s="13" customFormat="1" ht="25.5" customHeight="1">
      <c r="A7" s="1514" t="s">
        <v>3</v>
      </c>
      <c r="B7" s="1515"/>
      <c r="C7" s="1516"/>
      <c r="D7" s="72">
        <f>G7</f>
        <v>0</v>
      </c>
      <c r="E7" s="14"/>
      <c r="F7" s="14"/>
      <c r="G7" s="25">
        <v>0</v>
      </c>
      <c r="H7" s="17"/>
      <c r="I7" s="17"/>
    </row>
    <row r="8" spans="1:13" s="13" customFormat="1" ht="22.5" customHeight="1">
      <c r="A8" s="18">
        <v>1</v>
      </c>
      <c r="B8" s="19">
        <f>'FRIT FV 090.540 - FTA'!B9</f>
        <v>46235</v>
      </c>
      <c r="C8" s="69" t="s">
        <v>19</v>
      </c>
      <c r="D8" s="1"/>
      <c r="E8" s="1"/>
      <c r="F8" s="41">
        <f>SUM($E$7:E8)/A8</f>
        <v>0</v>
      </c>
      <c r="G8" s="55">
        <f>G7+D8-E8</f>
        <v>0</v>
      </c>
      <c r="H8" s="21" t="e">
        <f>G8/((SUM($E$7:E8)/A8))</f>
        <v>#DIV/0!</v>
      </c>
      <c r="I8" s="21"/>
    </row>
    <row r="9" spans="1:13" s="13" customFormat="1" ht="22.5" customHeight="1">
      <c r="A9" s="18">
        <v>2</v>
      </c>
      <c r="B9" s="19">
        <f>'FRIT FV 090.540 - FTA'!B10</f>
        <v>46236</v>
      </c>
      <c r="C9" s="69" t="s">
        <v>19</v>
      </c>
      <c r="D9" s="1"/>
      <c r="E9" s="1"/>
      <c r="F9" s="41">
        <f>SUM($E$7:E9)/A9</f>
        <v>0</v>
      </c>
      <c r="G9" s="55">
        <f>D8+G8-E9</f>
        <v>0</v>
      </c>
      <c r="H9" s="21" t="e">
        <f>G9/((SUM($E$7:E9)/A9))</f>
        <v>#DIV/0!</v>
      </c>
      <c r="I9" s="21"/>
    </row>
    <row r="10" spans="1:13" s="13" customFormat="1" ht="22.5" customHeight="1">
      <c r="A10" s="18">
        <v>3</v>
      </c>
      <c r="B10" s="19">
        <f>'FRIT FV 090.540 - FTA'!B11</f>
        <v>46237</v>
      </c>
      <c r="C10" s="69" t="s">
        <v>19</v>
      </c>
      <c r="D10" s="1"/>
      <c r="E10" s="1"/>
      <c r="F10" s="41">
        <f>SUM($E$7:E10)/A10</f>
        <v>0</v>
      </c>
      <c r="G10" s="55">
        <f t="shared" ref="G10:G38" si="0">D9+G9-E10</f>
        <v>0</v>
      </c>
      <c r="H10" s="21" t="e">
        <f>G10/((SUM($E$7:E10)/A10))</f>
        <v>#DIV/0!</v>
      </c>
      <c r="I10" s="21"/>
    </row>
    <row r="11" spans="1:13" s="23" customFormat="1" ht="22.5" customHeight="1">
      <c r="A11" s="18">
        <v>4</v>
      </c>
      <c r="B11" s="19">
        <f>'FRIT FV 090.540 - FTA'!B12</f>
        <v>46238</v>
      </c>
      <c r="C11" s="69" t="s">
        <v>19</v>
      </c>
      <c r="D11" s="1"/>
      <c r="E11" s="1"/>
      <c r="F11" s="41">
        <f>SUM($E$7:E11)/A11</f>
        <v>0</v>
      </c>
      <c r="G11" s="55">
        <f t="shared" si="0"/>
        <v>0</v>
      </c>
      <c r="H11" s="21" t="e">
        <f>G11/((SUM($E$7:E11)/A11))</f>
        <v>#DIV/0!</v>
      </c>
      <c r="I11" s="21"/>
      <c r="J11" s="13"/>
      <c r="K11" s="13"/>
      <c r="L11" s="13"/>
    </row>
    <row r="12" spans="1:13" s="23" customFormat="1" ht="22.5" customHeight="1">
      <c r="A12" s="18">
        <v>5</v>
      </c>
      <c r="B12" s="19">
        <f>'FRIT FV 090.540 - FTA'!B13</f>
        <v>46239</v>
      </c>
      <c r="C12" s="69" t="s">
        <v>19</v>
      </c>
      <c r="D12" s="1"/>
      <c r="E12" s="1"/>
      <c r="F12" s="41">
        <f>SUM($E$7:E12)/A12</f>
        <v>0</v>
      </c>
      <c r="G12" s="55">
        <f t="shared" si="0"/>
        <v>0</v>
      </c>
      <c r="H12" s="21" t="e">
        <f>G12/((SUM($E$7:E12)/A12))</f>
        <v>#DIV/0!</v>
      </c>
      <c r="I12" s="21"/>
    </row>
    <row r="13" spans="1:13" s="23" customFormat="1" ht="22.5" customHeight="1">
      <c r="A13" s="18">
        <v>6</v>
      </c>
      <c r="B13" s="19">
        <f>'FRIT FV 090.540 - FTA'!B14</f>
        <v>46240</v>
      </c>
      <c r="C13" s="69" t="s">
        <v>19</v>
      </c>
      <c r="D13" s="1"/>
      <c r="E13" s="1"/>
      <c r="F13" s="41">
        <f>SUM($E$7:E13)/A13</f>
        <v>0</v>
      </c>
      <c r="G13" s="55">
        <f t="shared" si="0"/>
        <v>0</v>
      </c>
      <c r="H13" s="21" t="e">
        <f>G13/((SUM($E$7:E13)/A13))</f>
        <v>#DIV/0!</v>
      </c>
      <c r="I13" s="21"/>
    </row>
    <row r="14" spans="1:13" s="23" customFormat="1" ht="22.5" customHeight="1">
      <c r="A14" s="36">
        <v>7</v>
      </c>
      <c r="B14" s="19">
        <f>'FRIT FV 090.540 - FTA'!B15</f>
        <v>46241</v>
      </c>
      <c r="C14" s="69" t="s">
        <v>19</v>
      </c>
      <c r="D14" s="1"/>
      <c r="E14" s="1"/>
      <c r="F14" s="41">
        <f>SUM($E$7:E14)/A14</f>
        <v>0</v>
      </c>
      <c r="G14" s="55">
        <f t="shared" si="0"/>
        <v>0</v>
      </c>
      <c r="H14" s="21" t="e">
        <f>G14/((SUM($E$7:E14)/A14))</f>
        <v>#DIV/0!</v>
      </c>
      <c r="I14" s="21"/>
    </row>
    <row r="15" spans="1:13" s="23" customFormat="1" ht="22.5" customHeight="1">
      <c r="A15" s="18">
        <v>8</v>
      </c>
      <c r="B15" s="19">
        <f>'FRIT FV 090.540 - FTA'!B16</f>
        <v>46242</v>
      </c>
      <c r="C15" s="69" t="s">
        <v>19</v>
      </c>
      <c r="D15" s="1"/>
      <c r="E15" s="1"/>
      <c r="F15" s="41">
        <f>SUM($E$7:E15)/A15</f>
        <v>0</v>
      </c>
      <c r="G15" s="55">
        <f t="shared" si="0"/>
        <v>0</v>
      </c>
      <c r="H15" s="21" t="e">
        <f>G15/((SUM($E$7:E15)/A15))</f>
        <v>#DIV/0!</v>
      </c>
      <c r="I15" s="21"/>
    </row>
    <row r="16" spans="1:13" s="23" customFormat="1" ht="22.5" customHeight="1">
      <c r="A16" s="18">
        <v>9</v>
      </c>
      <c r="B16" s="19">
        <f>'FRIT FV 090.540 - FTA'!B17</f>
        <v>46243</v>
      </c>
      <c r="C16" s="69" t="s">
        <v>19</v>
      </c>
      <c r="D16" s="1"/>
      <c r="E16" s="1"/>
      <c r="F16" s="41">
        <f>SUM($E$7:E16)/A16</f>
        <v>0</v>
      </c>
      <c r="G16" s="55">
        <f t="shared" si="0"/>
        <v>0</v>
      </c>
      <c r="H16" s="21" t="e">
        <f>G16/((SUM($E$7:E16)/A16))</f>
        <v>#DIV/0!</v>
      </c>
      <c r="I16" s="21"/>
    </row>
    <row r="17" spans="1:9" s="23" customFormat="1" ht="22.5" customHeight="1">
      <c r="A17" s="18">
        <v>10</v>
      </c>
      <c r="B17" s="19">
        <f>'FRIT FV 090.540 - FTA'!B18</f>
        <v>46244</v>
      </c>
      <c r="C17" s="69" t="s">
        <v>19</v>
      </c>
      <c r="D17" s="1"/>
      <c r="E17" s="1"/>
      <c r="F17" s="41">
        <f>SUM($E$7:E17)/A17</f>
        <v>0</v>
      </c>
      <c r="G17" s="55">
        <f t="shared" si="0"/>
        <v>0</v>
      </c>
      <c r="H17" s="21" t="e">
        <f>G17/((SUM($E$7:E17)/A17))</f>
        <v>#DIV/0!</v>
      </c>
      <c r="I17" s="21"/>
    </row>
    <row r="18" spans="1:9" s="23" customFormat="1" ht="22.5" customHeight="1">
      <c r="A18" s="18">
        <v>11</v>
      </c>
      <c r="B18" s="19">
        <f>'FRIT FV 090.540 - FTA'!B19</f>
        <v>46245</v>
      </c>
      <c r="C18" s="69" t="s">
        <v>19</v>
      </c>
      <c r="D18" s="1"/>
      <c r="E18" s="1"/>
      <c r="F18" s="41">
        <f>SUM($E$7:E18)/A18</f>
        <v>0</v>
      </c>
      <c r="G18" s="55">
        <f t="shared" si="0"/>
        <v>0</v>
      </c>
      <c r="H18" s="21" t="e">
        <f>G18/((SUM($E$7:E18)/A18))</f>
        <v>#DIV/0!</v>
      </c>
      <c r="I18" s="21"/>
    </row>
    <row r="19" spans="1:9" s="23" customFormat="1" ht="22.5" customHeight="1">
      <c r="A19" s="18">
        <v>12</v>
      </c>
      <c r="B19" s="19">
        <f>'FRIT FV 090.540 - FTA'!B20</f>
        <v>46246</v>
      </c>
      <c r="C19" s="69" t="s">
        <v>19</v>
      </c>
      <c r="D19" s="1"/>
      <c r="E19" s="1"/>
      <c r="F19" s="41">
        <f>SUM($E$7:E19)/A19</f>
        <v>0</v>
      </c>
      <c r="G19" s="55">
        <f t="shared" si="0"/>
        <v>0</v>
      </c>
      <c r="H19" s="21" t="e">
        <f>G19/((SUM($E$7:E19)/A19))</f>
        <v>#DIV/0!</v>
      </c>
      <c r="I19" s="21"/>
    </row>
    <row r="20" spans="1:9" s="23" customFormat="1" ht="22.5" customHeight="1">
      <c r="A20" s="18">
        <v>13</v>
      </c>
      <c r="B20" s="19">
        <f>'FRIT FV 090.540 - FTA'!B21</f>
        <v>46247</v>
      </c>
      <c r="C20" s="69" t="s">
        <v>19</v>
      </c>
      <c r="D20" s="1"/>
      <c r="E20" s="1"/>
      <c r="F20" s="41">
        <f>SUM($E$7:E20)/A20</f>
        <v>0</v>
      </c>
      <c r="G20" s="55">
        <f t="shared" si="0"/>
        <v>0</v>
      </c>
      <c r="H20" s="21" t="e">
        <f>G20/((SUM($E$7:E20)/A20))</f>
        <v>#DIV/0!</v>
      </c>
      <c r="I20" s="21"/>
    </row>
    <row r="21" spans="1:9" s="23" customFormat="1" ht="22.5" customHeight="1">
      <c r="A21" s="36">
        <v>14</v>
      </c>
      <c r="B21" s="19">
        <f>'FRIT FV 090.540 - FTA'!B22</f>
        <v>46248</v>
      </c>
      <c r="C21" s="69" t="s">
        <v>19</v>
      </c>
      <c r="D21" s="1"/>
      <c r="E21" s="1"/>
      <c r="F21" s="41">
        <f>SUM($E$7:E21)/A21</f>
        <v>0</v>
      </c>
      <c r="G21" s="55">
        <f t="shared" si="0"/>
        <v>0</v>
      </c>
      <c r="H21" s="21" t="e">
        <f>G21/((SUM($E$7:E21)/A21))</f>
        <v>#DIV/0!</v>
      </c>
      <c r="I21" s="21"/>
    </row>
    <row r="22" spans="1:9" s="23" customFormat="1" ht="22.5" customHeight="1">
      <c r="A22" s="18">
        <v>15</v>
      </c>
      <c r="B22" s="19">
        <f>'FRIT FV 090.540 - FTA'!B23</f>
        <v>46249</v>
      </c>
      <c r="C22" s="69" t="s">
        <v>19</v>
      </c>
      <c r="D22" s="1"/>
      <c r="E22" s="1"/>
      <c r="F22" s="41">
        <f>SUM($E$7:E22)/A22</f>
        <v>0</v>
      </c>
      <c r="G22" s="55">
        <f t="shared" si="0"/>
        <v>0</v>
      </c>
      <c r="H22" s="21" t="e">
        <f>G22/((SUM($E$7:E22)/A22))</f>
        <v>#DIV/0!</v>
      </c>
      <c r="I22" s="21"/>
    </row>
    <row r="23" spans="1:9" s="23" customFormat="1" ht="22.5" customHeight="1">
      <c r="A23" s="18">
        <v>16</v>
      </c>
      <c r="B23" s="19">
        <f>'FRIT FV 090.540 - FTA'!B24</f>
        <v>46250</v>
      </c>
      <c r="C23" s="69" t="s">
        <v>19</v>
      </c>
      <c r="D23" s="1"/>
      <c r="E23" s="1"/>
      <c r="F23" s="41">
        <f>SUM($E$7:E23)/A23</f>
        <v>0</v>
      </c>
      <c r="G23" s="55">
        <f t="shared" si="0"/>
        <v>0</v>
      </c>
      <c r="H23" s="21" t="e">
        <f>G23/((SUM($E$7:E23)/A23))</f>
        <v>#DIV/0!</v>
      </c>
      <c r="I23" s="21"/>
    </row>
    <row r="24" spans="1:9" s="23" customFormat="1" ht="22.5" customHeight="1">
      <c r="A24" s="18">
        <v>17</v>
      </c>
      <c r="B24" s="19">
        <f>'FRIT FV 090.540 - FTA'!B25</f>
        <v>46251</v>
      </c>
      <c r="C24" s="69" t="s">
        <v>5</v>
      </c>
      <c r="D24" s="1"/>
      <c r="E24" s="1"/>
      <c r="F24" s="41">
        <f>SUM($E$7:E24)/A24</f>
        <v>0</v>
      </c>
      <c r="G24" s="55">
        <f t="shared" si="0"/>
        <v>0</v>
      </c>
      <c r="H24" s="21" t="e">
        <f>G24/((SUM($E$7:E24)/A24))</f>
        <v>#DIV/0!</v>
      </c>
      <c r="I24" s="21"/>
    </row>
    <row r="25" spans="1:9" s="23" customFormat="1" ht="22.5" customHeight="1">
      <c r="A25" s="18">
        <v>18</v>
      </c>
      <c r="B25" s="19">
        <f>'FRIT FV 090.540 - FTA'!B26</f>
        <v>46252</v>
      </c>
      <c r="C25" s="69" t="s">
        <v>19</v>
      </c>
      <c r="D25" s="1"/>
      <c r="E25" s="1"/>
      <c r="F25" s="41">
        <f>SUM($E$7:E25)/A25</f>
        <v>0</v>
      </c>
      <c r="G25" s="55">
        <f t="shared" si="0"/>
        <v>0</v>
      </c>
      <c r="H25" s="21" t="e">
        <f>G25/((SUM($E$7:E25)/A25))</f>
        <v>#DIV/0!</v>
      </c>
      <c r="I25" s="21"/>
    </row>
    <row r="26" spans="1:9" s="23" customFormat="1" ht="22.5" customHeight="1">
      <c r="A26" s="18">
        <v>19</v>
      </c>
      <c r="B26" s="19">
        <f>'FRIT FV 090.540 - FTA'!B27</f>
        <v>46253</v>
      </c>
      <c r="C26" s="69" t="s">
        <v>19</v>
      </c>
      <c r="D26" s="1"/>
      <c r="E26" s="1"/>
      <c r="F26" s="41">
        <f>SUM($E$7:E26)/A26</f>
        <v>0</v>
      </c>
      <c r="G26" s="55">
        <f t="shared" si="0"/>
        <v>0</v>
      </c>
      <c r="H26" s="21" t="e">
        <f>G26/((SUM($E$7:E26)/A26))</f>
        <v>#DIV/0!</v>
      </c>
      <c r="I26" s="21"/>
    </row>
    <row r="27" spans="1:9" s="23" customFormat="1" ht="22.5" customHeight="1">
      <c r="A27" s="18">
        <v>20</v>
      </c>
      <c r="B27" s="19">
        <f>'FRIT FV 090.540 - FTA'!B28</f>
        <v>46254</v>
      </c>
      <c r="C27" s="69" t="s">
        <v>19</v>
      </c>
      <c r="D27" s="1"/>
      <c r="E27" s="1"/>
      <c r="F27" s="41">
        <f>SUM($E$7:E27)/A27</f>
        <v>0</v>
      </c>
      <c r="G27" s="55">
        <f t="shared" si="0"/>
        <v>0</v>
      </c>
      <c r="H27" s="21" t="e">
        <f>G27/((SUM($E$7:E27)/A27))</f>
        <v>#DIV/0!</v>
      </c>
      <c r="I27" s="21"/>
    </row>
    <row r="28" spans="1:9" s="23" customFormat="1" ht="22.5" customHeight="1">
      <c r="A28" s="36">
        <v>21</v>
      </c>
      <c r="B28" s="19">
        <f>'FRIT FV 090.540 - FTA'!B29</f>
        <v>46255</v>
      </c>
      <c r="C28" s="69" t="s">
        <v>19</v>
      </c>
      <c r="D28" s="1"/>
      <c r="E28" s="1"/>
      <c r="F28" s="41">
        <f>SUM($E$7:E28)/A28</f>
        <v>0</v>
      </c>
      <c r="G28" s="55">
        <f t="shared" si="0"/>
        <v>0</v>
      </c>
      <c r="H28" s="21" t="e">
        <f>G28/((SUM($E$7:E28)/A28))</f>
        <v>#DIV/0!</v>
      </c>
      <c r="I28" s="21"/>
    </row>
    <row r="29" spans="1:9" s="23" customFormat="1" ht="22.5" customHeight="1">
      <c r="A29" s="18">
        <v>22</v>
      </c>
      <c r="B29" s="19">
        <f>'FRIT FV 090.540 - FTA'!B30</f>
        <v>46256</v>
      </c>
      <c r="C29" s="69" t="s">
        <v>19</v>
      </c>
      <c r="D29" s="1"/>
      <c r="E29" s="1"/>
      <c r="F29" s="41">
        <f>SUM($E$7:E29)/A29</f>
        <v>0</v>
      </c>
      <c r="G29" s="55">
        <f t="shared" si="0"/>
        <v>0</v>
      </c>
      <c r="H29" s="21" t="e">
        <f>G29/((SUM($E$7:E29)/A29))</f>
        <v>#DIV/0!</v>
      </c>
      <c r="I29" s="21"/>
    </row>
    <row r="30" spans="1:9" s="23" customFormat="1" ht="22.5" customHeight="1">
      <c r="A30" s="18">
        <v>23</v>
      </c>
      <c r="B30" s="19">
        <f>'FRIT FV 090.540 - FTA'!B31</f>
        <v>46257</v>
      </c>
      <c r="C30" s="69" t="s">
        <v>19</v>
      </c>
      <c r="D30" s="1"/>
      <c r="E30" s="1"/>
      <c r="F30" s="41">
        <f>SUM($E$7:E30)/A30</f>
        <v>0</v>
      </c>
      <c r="G30" s="55">
        <f t="shared" si="0"/>
        <v>0</v>
      </c>
      <c r="H30" s="21" t="e">
        <f>G30/((SUM($E$7:E30)/A30))</f>
        <v>#DIV/0!</v>
      </c>
      <c r="I30" s="21"/>
    </row>
    <row r="31" spans="1:9" s="23" customFormat="1" ht="22.5" customHeight="1">
      <c r="A31" s="18">
        <v>24</v>
      </c>
      <c r="B31" s="19">
        <f>'FRIT FV 090.540 - FTA'!B32</f>
        <v>46258</v>
      </c>
      <c r="C31" s="69" t="s">
        <v>19</v>
      </c>
      <c r="D31" s="1"/>
      <c r="E31" s="1"/>
      <c r="F31" s="41">
        <f>SUM($E$7:E31)/A31</f>
        <v>0</v>
      </c>
      <c r="G31" s="55">
        <f t="shared" si="0"/>
        <v>0</v>
      </c>
      <c r="H31" s="21" t="e">
        <f>G31/((SUM($E$7:E31)/A31))</f>
        <v>#DIV/0!</v>
      </c>
      <c r="I31" s="21"/>
    </row>
    <row r="32" spans="1:9" s="23" customFormat="1" ht="22.5" customHeight="1">
      <c r="A32" s="18">
        <v>25</v>
      </c>
      <c r="B32" s="19">
        <f>'FRIT FV 090.540 - FTA'!B33</f>
        <v>46259</v>
      </c>
      <c r="C32" s="69" t="s">
        <v>19</v>
      </c>
      <c r="D32" s="1"/>
      <c r="E32" s="1"/>
      <c r="F32" s="41">
        <f>SUM($E$7:E32)/A32</f>
        <v>0</v>
      </c>
      <c r="G32" s="55">
        <f t="shared" si="0"/>
        <v>0</v>
      </c>
      <c r="H32" s="21" t="e">
        <f>G32/((SUM($E$7:E32)/A32))</f>
        <v>#DIV/0!</v>
      </c>
      <c r="I32" s="21"/>
    </row>
    <row r="33" spans="1:9" s="23" customFormat="1" ht="22.5" customHeight="1">
      <c r="A33" s="18">
        <v>26</v>
      </c>
      <c r="B33" s="19">
        <f>'FRIT FV 090.540 - FTA'!B34</f>
        <v>46260</v>
      </c>
      <c r="C33" s="69" t="s">
        <v>19</v>
      </c>
      <c r="D33" s="1"/>
      <c r="E33" s="1"/>
      <c r="F33" s="41">
        <f>SUM($E$7:E33)/A33</f>
        <v>0</v>
      </c>
      <c r="G33" s="55">
        <f t="shared" si="0"/>
        <v>0</v>
      </c>
      <c r="H33" s="21" t="e">
        <f>G33/((SUM($E$7:E33)/A33))</f>
        <v>#DIV/0!</v>
      </c>
      <c r="I33" s="21"/>
    </row>
    <row r="34" spans="1:9" s="23" customFormat="1" ht="22.5" customHeight="1">
      <c r="A34" s="18">
        <v>27</v>
      </c>
      <c r="B34" s="19">
        <f>'FRIT FV 090.540 - FTA'!B35</f>
        <v>46261</v>
      </c>
      <c r="C34" s="69" t="s">
        <v>19</v>
      </c>
      <c r="D34" s="1"/>
      <c r="E34" s="1"/>
      <c r="F34" s="41">
        <f>SUM($E$7:E34)/A34</f>
        <v>0</v>
      </c>
      <c r="G34" s="55">
        <f t="shared" si="0"/>
        <v>0</v>
      </c>
      <c r="H34" s="21" t="e">
        <f>G34/((SUM($E$7:E34)/A34))</f>
        <v>#DIV/0!</v>
      </c>
      <c r="I34" s="21"/>
    </row>
    <row r="35" spans="1:9" s="23" customFormat="1" ht="22.5" customHeight="1">
      <c r="A35" s="36">
        <v>28</v>
      </c>
      <c r="B35" s="19">
        <f>'FRIT FV 090.540 - FTA'!B36</f>
        <v>46262</v>
      </c>
      <c r="C35" s="69" t="s">
        <v>19</v>
      </c>
      <c r="D35" s="1"/>
      <c r="E35" s="1"/>
      <c r="F35" s="41">
        <f>SUM($E$7:E35)/A35</f>
        <v>0</v>
      </c>
      <c r="G35" s="55">
        <f t="shared" si="0"/>
        <v>0</v>
      </c>
      <c r="H35" s="21" t="e">
        <f>G35/((SUM($E$7:E35)/A35))</f>
        <v>#DIV/0!</v>
      </c>
      <c r="I35" s="21"/>
    </row>
    <row r="36" spans="1:9" s="23" customFormat="1" ht="22.5" customHeight="1">
      <c r="A36" s="18">
        <v>29</v>
      </c>
      <c r="B36" s="19">
        <f>'FRIT FV 090.540 - FTA'!B37</f>
        <v>46263</v>
      </c>
      <c r="C36" s="69" t="s">
        <v>19</v>
      </c>
      <c r="D36" s="1"/>
      <c r="E36" s="1"/>
      <c r="F36" s="41">
        <f>SUM($E$7:E36)/A36</f>
        <v>0</v>
      </c>
      <c r="G36" s="55">
        <f t="shared" si="0"/>
        <v>0</v>
      </c>
      <c r="H36" s="21" t="e">
        <f>G36/((SUM($E$7:E36)/A36))</f>
        <v>#DIV/0!</v>
      </c>
      <c r="I36" s="21"/>
    </row>
    <row r="37" spans="1:9" s="23" customFormat="1" ht="22.5" customHeight="1">
      <c r="A37" s="18">
        <v>30</v>
      </c>
      <c r="B37" s="19">
        <f>'FRIT FV 090.540 - FTA'!B38</f>
        <v>46264</v>
      </c>
      <c r="C37" s="69" t="s">
        <v>19</v>
      </c>
      <c r="D37" s="1"/>
      <c r="E37" s="1"/>
      <c r="F37" s="41">
        <f>SUM($E$7:E37)/A37</f>
        <v>0</v>
      </c>
      <c r="G37" s="55">
        <f t="shared" si="0"/>
        <v>0</v>
      </c>
      <c r="H37" s="21" t="e">
        <f>G37/((SUM($E$7:E37)/A37))</f>
        <v>#DIV/0!</v>
      </c>
      <c r="I37" s="21"/>
    </row>
    <row r="38" spans="1:9" s="23" customFormat="1" ht="22.5" customHeight="1">
      <c r="A38" s="18">
        <v>31</v>
      </c>
      <c r="B38" s="19">
        <f>'FRIT FV 090.540 - FTA'!B39</f>
        <v>46265</v>
      </c>
      <c r="C38" s="69" t="s">
        <v>19</v>
      </c>
      <c r="D38" s="1"/>
      <c r="E38" s="1"/>
      <c r="F38" s="41">
        <f>SUM($E$7:E38)/A38</f>
        <v>0</v>
      </c>
      <c r="G38" s="55">
        <f t="shared" si="0"/>
        <v>0</v>
      </c>
      <c r="H38" s="21" t="e">
        <f>G38/((SUM($E$7:E38)/A38))</f>
        <v>#DIV/0!</v>
      </c>
      <c r="I38" s="21"/>
    </row>
    <row r="39" spans="1:9" s="32" customFormat="1" ht="26.25" customHeight="1">
      <c r="A39" s="1517" t="s">
        <v>29</v>
      </c>
      <c r="B39" s="1517"/>
      <c r="C39" s="1517"/>
      <c r="D39" s="57">
        <f>SUM(D8:D38)</f>
        <v>0</v>
      </c>
      <c r="E39" s="46">
        <f>SUM(E8:E38)</f>
        <v>0</v>
      </c>
      <c r="F39" s="46"/>
      <c r="G39" s="56">
        <f>G38</f>
        <v>0</v>
      </c>
      <c r="H39" s="31"/>
      <c r="I39" s="31"/>
    </row>
    <row r="40" spans="1:9" s="32" customFormat="1" ht="26.25" customHeight="1">
      <c r="A40" s="1517" t="s">
        <v>15</v>
      </c>
      <c r="B40" s="1517"/>
      <c r="C40" s="1517"/>
      <c r="D40" s="57">
        <f>D7+D39</f>
        <v>0</v>
      </c>
      <c r="E40" s="46">
        <f>E7+E39</f>
        <v>0</v>
      </c>
      <c r="F40" s="46"/>
      <c r="G40" s="46">
        <f>D40-E40</f>
        <v>0</v>
      </c>
      <c r="H40" s="31"/>
      <c r="I40" s="31"/>
    </row>
    <row r="41" spans="1:9" ht="23.25" customHeight="1">
      <c r="A41" s="5"/>
      <c r="B41" s="5"/>
      <c r="C41" s="5"/>
      <c r="D41" s="7"/>
      <c r="E41" s="24"/>
      <c r="F41" s="7"/>
      <c r="G41" s="7"/>
    </row>
    <row r="42" spans="1:9">
      <c r="E42" s="24"/>
    </row>
  </sheetData>
  <mergeCells count="4">
    <mergeCell ref="A7:C7"/>
    <mergeCell ref="A39:C39"/>
    <mergeCell ref="A40:C40"/>
    <mergeCell ref="A2:I2"/>
  </mergeCells>
  <hyperlinks>
    <hyperlink ref="I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M42"/>
  <sheetViews>
    <sheetView zoomScale="70" zoomScaleNormal="70" workbookViewId="0">
      <pane ySplit="7" topLeftCell="A8" activePane="bottomLeft" state="frozen"/>
      <selection pane="bottomLeft" activeCell="E34" sqref="E34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0.7109375" style="42" customWidth="1"/>
    <col min="4" max="5" width="18.28515625" style="6" customWidth="1"/>
    <col min="6" max="6" width="22" style="6" customWidth="1"/>
    <col min="7" max="7" width="15.28515625" style="6" customWidth="1"/>
    <col min="8" max="9" width="19.28515625" style="42" customWidth="1"/>
    <col min="10" max="16384" width="9.28515625" style="42"/>
  </cols>
  <sheetData>
    <row r="1" spans="1:13" ht="114.75" customHeight="1"/>
    <row r="2" spans="1:13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</row>
    <row r="3" spans="1:13" ht="21.75" customHeight="1">
      <c r="B3" s="67"/>
      <c r="C3" s="67"/>
      <c r="D3" s="67"/>
      <c r="E3" s="67" t="s">
        <v>33</v>
      </c>
      <c r="F3" s="67" t="s">
        <v>41</v>
      </c>
      <c r="G3" s="67"/>
      <c r="H3" s="67"/>
      <c r="I3" s="67"/>
    </row>
    <row r="4" spans="1:13" ht="21.75" customHeight="1">
      <c r="B4" s="42" t="e">
        <f>'FRIT FV 090.540 - FTA'!#REF!</f>
        <v>#REF!</v>
      </c>
      <c r="C4" s="42" t="e">
        <f>'FRIT FV 090.540 - FTA'!#REF!</f>
        <v>#REF!</v>
      </c>
      <c r="D4" s="42" t="e">
        <f>'FRIT FV 090.540 - FTA'!#REF!</f>
        <v>#REF!</v>
      </c>
      <c r="E4" s="42" t="e">
        <f>'FRIT FV 090.540 - FTA'!#REF!</f>
        <v>#REF!</v>
      </c>
      <c r="F4" s="42" t="e">
        <f>'FRIT FV 090.540 - FTA'!#REF!</f>
        <v>#REF!</v>
      </c>
      <c r="G4" s="42" t="e">
        <f>'FRIT FV 090.540 - FTA'!#REF!</f>
        <v>#REF!</v>
      </c>
      <c r="H4" s="42" t="e">
        <f>'FRIT FV 090.540 - FTA'!#REF!</f>
        <v>#REF!</v>
      </c>
      <c r="I4" s="42" t="e">
        <f>'FRIT FV 090.540 - FTA'!#REF!</f>
        <v>#REF!</v>
      </c>
      <c r="L4" s="75"/>
      <c r="M4" s="75"/>
    </row>
    <row r="5" spans="1:13" ht="22.5" customHeight="1">
      <c r="E5" s="10"/>
      <c r="F5" s="10"/>
      <c r="H5" s="6" t="s">
        <v>40</v>
      </c>
      <c r="I5" s="35" t="s">
        <v>18</v>
      </c>
    </row>
    <row r="6" spans="1:13" s="13" customFormat="1" ht="41.25" customHeight="1">
      <c r="A6" s="49" t="s">
        <v>2</v>
      </c>
      <c r="B6" s="50" t="s">
        <v>1</v>
      </c>
      <c r="C6" s="50" t="s">
        <v>24</v>
      </c>
      <c r="D6" s="51" t="s">
        <v>27</v>
      </c>
      <c r="E6" s="51" t="s">
        <v>31</v>
      </c>
      <c r="F6" s="51" t="s">
        <v>28</v>
      </c>
      <c r="G6" s="51" t="s">
        <v>14</v>
      </c>
      <c r="H6" s="52" t="s">
        <v>30</v>
      </c>
      <c r="I6" s="90" t="s">
        <v>101</v>
      </c>
    </row>
    <row r="7" spans="1:13" s="13" customFormat="1" ht="25.5" customHeight="1">
      <c r="A7" s="1514" t="s">
        <v>3</v>
      </c>
      <c r="B7" s="1515"/>
      <c r="C7" s="1516"/>
      <c r="D7" s="72">
        <f>G7</f>
        <v>0</v>
      </c>
      <c r="E7" s="14"/>
      <c r="F7" s="14"/>
      <c r="G7" s="25">
        <v>0</v>
      </c>
      <c r="H7" s="17"/>
      <c r="I7" s="17"/>
    </row>
    <row r="8" spans="1:13" s="13" customFormat="1" ht="22.5" customHeight="1">
      <c r="A8" s="18">
        <v>1</v>
      </c>
      <c r="B8" s="19">
        <f>'FRIT FV 090.540 - FTA'!B9</f>
        <v>46235</v>
      </c>
      <c r="C8" s="69" t="s">
        <v>19</v>
      </c>
      <c r="D8" s="1"/>
      <c r="E8" s="1"/>
      <c r="F8" s="41">
        <f>SUM($E$7:E8)/A8</f>
        <v>0</v>
      </c>
      <c r="G8" s="55">
        <f>G7+D8-E8</f>
        <v>0</v>
      </c>
      <c r="H8" s="21" t="e">
        <f>G8/((SUM($E$7:E8)/A8))</f>
        <v>#DIV/0!</v>
      </c>
      <c r="I8" s="21"/>
    </row>
    <row r="9" spans="1:13" s="13" customFormat="1" ht="22.5" customHeight="1">
      <c r="A9" s="18">
        <v>2</v>
      </c>
      <c r="B9" s="19">
        <f>'FRIT FV 090.540 - FTA'!B10</f>
        <v>46236</v>
      </c>
      <c r="C9" s="69" t="s">
        <v>19</v>
      </c>
      <c r="D9" s="1"/>
      <c r="E9" s="1"/>
      <c r="F9" s="41">
        <f>SUM($E$7:E9)/A9</f>
        <v>0</v>
      </c>
      <c r="G9" s="55">
        <f>D8+G8-E9</f>
        <v>0</v>
      </c>
      <c r="H9" s="21" t="e">
        <f>G9/((SUM($E$7:E9)/A9))</f>
        <v>#DIV/0!</v>
      </c>
      <c r="I9" s="21"/>
    </row>
    <row r="10" spans="1:13" s="13" customFormat="1" ht="22.5" customHeight="1">
      <c r="A10" s="18">
        <v>3</v>
      </c>
      <c r="B10" s="19">
        <f>'FRIT FV 090.540 - FTA'!B11</f>
        <v>46237</v>
      </c>
      <c r="C10" s="69" t="s">
        <v>19</v>
      </c>
      <c r="D10" s="1"/>
      <c r="E10" s="1"/>
      <c r="F10" s="41">
        <f>SUM($E$7:E10)/A10</f>
        <v>0</v>
      </c>
      <c r="G10" s="55">
        <f t="shared" ref="G10:G38" si="0">D9+G9-E10</f>
        <v>0</v>
      </c>
      <c r="H10" s="21" t="e">
        <f>G10/((SUM($E$7:E10)/A10))</f>
        <v>#DIV/0!</v>
      </c>
      <c r="I10" s="21"/>
    </row>
    <row r="11" spans="1:13" s="23" customFormat="1" ht="22.5" customHeight="1">
      <c r="A11" s="18">
        <v>4</v>
      </c>
      <c r="B11" s="19">
        <f>'FRIT FV 090.540 - FTA'!B12</f>
        <v>46238</v>
      </c>
      <c r="C11" s="69" t="s">
        <v>19</v>
      </c>
      <c r="D11" s="1"/>
      <c r="E11" s="1"/>
      <c r="F11" s="41">
        <f>SUM($E$7:E11)/A11</f>
        <v>0</v>
      </c>
      <c r="G11" s="55">
        <f t="shared" si="0"/>
        <v>0</v>
      </c>
      <c r="H11" s="21" t="e">
        <f>G11/((SUM($E$7:E11)/A11))</f>
        <v>#DIV/0!</v>
      </c>
      <c r="I11" s="21"/>
      <c r="J11" s="13"/>
      <c r="K11" s="13"/>
      <c r="L11" s="13"/>
    </row>
    <row r="12" spans="1:13" s="23" customFormat="1" ht="22.5" customHeight="1">
      <c r="A12" s="18">
        <v>5</v>
      </c>
      <c r="B12" s="19">
        <f>'FRIT FV 090.540 - FTA'!B13</f>
        <v>46239</v>
      </c>
      <c r="C12" s="69" t="s">
        <v>19</v>
      </c>
      <c r="D12" s="1"/>
      <c r="E12" s="1"/>
      <c r="F12" s="41">
        <f>SUM($E$7:E12)/A12</f>
        <v>0</v>
      </c>
      <c r="G12" s="55">
        <f t="shared" si="0"/>
        <v>0</v>
      </c>
      <c r="H12" s="21" t="e">
        <f>G12/((SUM($E$7:E12)/A12))</f>
        <v>#DIV/0!</v>
      </c>
      <c r="I12" s="21"/>
    </row>
    <row r="13" spans="1:13" s="23" customFormat="1" ht="22.5" customHeight="1">
      <c r="A13" s="18">
        <v>6</v>
      </c>
      <c r="B13" s="19">
        <f>'FRIT FV 090.540 - FTA'!B14</f>
        <v>46240</v>
      </c>
      <c r="C13" s="69" t="s">
        <v>19</v>
      </c>
      <c r="D13" s="1"/>
      <c r="E13" s="1"/>
      <c r="F13" s="41">
        <f>SUM($E$7:E13)/A13</f>
        <v>0</v>
      </c>
      <c r="G13" s="55">
        <f t="shared" si="0"/>
        <v>0</v>
      </c>
      <c r="H13" s="21" t="e">
        <f>G13/((SUM($E$7:E13)/A13))</f>
        <v>#DIV/0!</v>
      </c>
      <c r="I13" s="21"/>
    </row>
    <row r="14" spans="1:13" s="23" customFormat="1" ht="22.5" customHeight="1">
      <c r="A14" s="36">
        <v>7</v>
      </c>
      <c r="B14" s="19">
        <f>'FRIT FV 090.540 - FTA'!B15</f>
        <v>46241</v>
      </c>
      <c r="C14" s="69" t="s">
        <v>19</v>
      </c>
      <c r="D14" s="1"/>
      <c r="E14" s="1"/>
      <c r="F14" s="41">
        <f>SUM($E$7:E14)/A14</f>
        <v>0</v>
      </c>
      <c r="G14" s="55">
        <f t="shared" si="0"/>
        <v>0</v>
      </c>
      <c r="H14" s="21" t="e">
        <f>G14/((SUM($E$7:E14)/A14))</f>
        <v>#DIV/0!</v>
      </c>
      <c r="I14" s="21"/>
    </row>
    <row r="15" spans="1:13" s="23" customFormat="1" ht="22.5" customHeight="1">
      <c r="A15" s="18">
        <v>8</v>
      </c>
      <c r="B15" s="19">
        <f>'FRIT FV 090.540 - FTA'!B16</f>
        <v>46242</v>
      </c>
      <c r="C15" s="69" t="s">
        <v>19</v>
      </c>
      <c r="D15" s="1"/>
      <c r="E15" s="1"/>
      <c r="F15" s="41">
        <f>SUM($E$7:E15)/A15</f>
        <v>0</v>
      </c>
      <c r="G15" s="55">
        <f t="shared" si="0"/>
        <v>0</v>
      </c>
      <c r="H15" s="21" t="e">
        <f>G15/((SUM($E$7:E15)/A15))</f>
        <v>#DIV/0!</v>
      </c>
      <c r="I15" s="21"/>
    </row>
    <row r="16" spans="1:13" s="23" customFormat="1" ht="22.5" customHeight="1">
      <c r="A16" s="18">
        <v>9</v>
      </c>
      <c r="B16" s="19">
        <f>'FRIT FV 090.540 - FTA'!B17</f>
        <v>46243</v>
      </c>
      <c r="C16" s="69" t="s">
        <v>19</v>
      </c>
      <c r="D16" s="1"/>
      <c r="E16" s="1"/>
      <c r="F16" s="41">
        <f>SUM($E$7:E16)/A16</f>
        <v>0</v>
      </c>
      <c r="G16" s="55">
        <f t="shared" si="0"/>
        <v>0</v>
      </c>
      <c r="H16" s="21" t="e">
        <f>G16/((SUM($E$7:E16)/A16))</f>
        <v>#DIV/0!</v>
      </c>
      <c r="I16" s="21"/>
    </row>
    <row r="17" spans="1:9" s="23" customFormat="1" ht="22.5" customHeight="1">
      <c r="A17" s="18">
        <v>10</v>
      </c>
      <c r="B17" s="19">
        <f>'FRIT FV 090.540 - FTA'!B18</f>
        <v>46244</v>
      </c>
      <c r="C17" s="69" t="s">
        <v>19</v>
      </c>
      <c r="D17" s="1"/>
      <c r="E17" s="1"/>
      <c r="F17" s="41">
        <f>SUM($E$7:E17)/A17</f>
        <v>0</v>
      </c>
      <c r="G17" s="55">
        <f t="shared" si="0"/>
        <v>0</v>
      </c>
      <c r="H17" s="21" t="e">
        <f>G17/((SUM($E$7:E17)/A17))</f>
        <v>#DIV/0!</v>
      </c>
      <c r="I17" s="21"/>
    </row>
    <row r="18" spans="1:9" s="23" customFormat="1" ht="22.5" customHeight="1">
      <c r="A18" s="18">
        <v>11</v>
      </c>
      <c r="B18" s="19">
        <f>'FRIT FV 090.540 - FTA'!B19</f>
        <v>46245</v>
      </c>
      <c r="C18" s="69" t="s">
        <v>19</v>
      </c>
      <c r="D18" s="1"/>
      <c r="E18" s="1"/>
      <c r="F18" s="41">
        <f>SUM($E$7:E18)/A18</f>
        <v>0</v>
      </c>
      <c r="G18" s="55">
        <f t="shared" si="0"/>
        <v>0</v>
      </c>
      <c r="H18" s="21" t="e">
        <f>G18/((SUM($E$7:E18)/A18))</f>
        <v>#DIV/0!</v>
      </c>
      <c r="I18" s="21"/>
    </row>
    <row r="19" spans="1:9" s="23" customFormat="1" ht="22.5" customHeight="1">
      <c r="A19" s="18">
        <v>12</v>
      </c>
      <c r="B19" s="19">
        <f>'FRIT FV 090.540 - FTA'!B20</f>
        <v>46246</v>
      </c>
      <c r="C19" s="69" t="s">
        <v>19</v>
      </c>
      <c r="D19" s="1"/>
      <c r="E19" s="1"/>
      <c r="F19" s="41">
        <f>SUM($E$7:E19)/A19</f>
        <v>0</v>
      </c>
      <c r="G19" s="55">
        <f t="shared" si="0"/>
        <v>0</v>
      </c>
      <c r="H19" s="21" t="e">
        <f>G19/((SUM($E$7:E19)/A19))</f>
        <v>#DIV/0!</v>
      </c>
      <c r="I19" s="21"/>
    </row>
    <row r="20" spans="1:9" s="23" customFormat="1" ht="22.5" customHeight="1">
      <c r="A20" s="18">
        <v>13</v>
      </c>
      <c r="B20" s="19">
        <f>'FRIT FV 090.540 - FTA'!B21</f>
        <v>46247</v>
      </c>
      <c r="C20" s="69" t="s">
        <v>19</v>
      </c>
      <c r="D20" s="1"/>
      <c r="E20" s="1"/>
      <c r="F20" s="41">
        <f>SUM($E$7:E20)/A20</f>
        <v>0</v>
      </c>
      <c r="G20" s="55">
        <f t="shared" si="0"/>
        <v>0</v>
      </c>
      <c r="H20" s="21" t="e">
        <f>G20/((SUM($E$7:E20)/A20))</f>
        <v>#DIV/0!</v>
      </c>
      <c r="I20" s="21"/>
    </row>
    <row r="21" spans="1:9" s="23" customFormat="1" ht="22.5" customHeight="1">
      <c r="A21" s="36">
        <v>14</v>
      </c>
      <c r="B21" s="19">
        <f>'FRIT FV 090.540 - FTA'!B22</f>
        <v>46248</v>
      </c>
      <c r="C21" s="69" t="s">
        <v>19</v>
      </c>
      <c r="D21" s="1"/>
      <c r="E21" s="1"/>
      <c r="F21" s="41">
        <f>SUM($E$7:E21)/A21</f>
        <v>0</v>
      </c>
      <c r="G21" s="55">
        <f t="shared" si="0"/>
        <v>0</v>
      </c>
      <c r="H21" s="21" t="e">
        <f>G21/((SUM($E$7:E21)/A21))</f>
        <v>#DIV/0!</v>
      </c>
      <c r="I21" s="21"/>
    </row>
    <row r="22" spans="1:9" s="23" customFormat="1" ht="22.5" customHeight="1">
      <c r="A22" s="18">
        <v>15</v>
      </c>
      <c r="B22" s="19">
        <f>'FRIT FV 090.540 - FTA'!B23</f>
        <v>46249</v>
      </c>
      <c r="C22" s="69" t="s">
        <v>19</v>
      </c>
      <c r="D22" s="1"/>
      <c r="E22" s="1"/>
      <c r="F22" s="41">
        <f>SUM($E$7:E22)/A22</f>
        <v>0</v>
      </c>
      <c r="G22" s="55">
        <f t="shared" si="0"/>
        <v>0</v>
      </c>
      <c r="H22" s="21" t="e">
        <f>G22/((SUM($E$7:E22)/A22))</f>
        <v>#DIV/0!</v>
      </c>
      <c r="I22" s="21"/>
    </row>
    <row r="23" spans="1:9" s="23" customFormat="1" ht="22.5" customHeight="1">
      <c r="A23" s="18">
        <v>16</v>
      </c>
      <c r="B23" s="19">
        <f>'FRIT FV 090.540 - FTA'!B24</f>
        <v>46250</v>
      </c>
      <c r="C23" s="69" t="s">
        <v>19</v>
      </c>
      <c r="D23" s="1"/>
      <c r="E23" s="1"/>
      <c r="F23" s="41">
        <f>SUM($E$7:E23)/A23</f>
        <v>0</v>
      </c>
      <c r="G23" s="55">
        <f t="shared" si="0"/>
        <v>0</v>
      </c>
      <c r="H23" s="21" t="e">
        <f>G23/((SUM($E$7:E23)/A23))</f>
        <v>#DIV/0!</v>
      </c>
      <c r="I23" s="21"/>
    </row>
    <row r="24" spans="1:9" s="23" customFormat="1" ht="22.5" customHeight="1">
      <c r="A24" s="18">
        <v>17</v>
      </c>
      <c r="B24" s="19">
        <f>'FRIT FV 090.540 - FTA'!B25</f>
        <v>46251</v>
      </c>
      <c r="C24" s="69" t="s">
        <v>19</v>
      </c>
      <c r="D24" s="1"/>
      <c r="E24" s="1"/>
      <c r="F24" s="41">
        <f>SUM($E$7:E24)/A24</f>
        <v>0</v>
      </c>
      <c r="G24" s="55">
        <f t="shared" si="0"/>
        <v>0</v>
      </c>
      <c r="H24" s="21" t="e">
        <f>G24/((SUM($E$7:E24)/A24))</f>
        <v>#DIV/0!</v>
      </c>
      <c r="I24" s="21"/>
    </row>
    <row r="25" spans="1:9" s="23" customFormat="1" ht="22.5" customHeight="1">
      <c r="A25" s="18">
        <v>18</v>
      </c>
      <c r="B25" s="19">
        <f>'FRIT FV 090.540 - FTA'!B26</f>
        <v>46252</v>
      </c>
      <c r="C25" s="69" t="s">
        <v>19</v>
      </c>
      <c r="D25" s="1"/>
      <c r="E25" s="1"/>
      <c r="F25" s="41">
        <f>SUM($E$7:E25)/A25</f>
        <v>0</v>
      </c>
      <c r="G25" s="55">
        <f t="shared" si="0"/>
        <v>0</v>
      </c>
      <c r="H25" s="21" t="e">
        <f>G25/((SUM($E$7:E25)/A25))</f>
        <v>#DIV/0!</v>
      </c>
      <c r="I25" s="21"/>
    </row>
    <row r="26" spans="1:9" s="23" customFormat="1" ht="22.5" customHeight="1">
      <c r="A26" s="18">
        <v>19</v>
      </c>
      <c r="B26" s="19">
        <f>'FRIT FV 090.540 - FTA'!B27</f>
        <v>46253</v>
      </c>
      <c r="C26" s="69" t="s">
        <v>19</v>
      </c>
      <c r="D26" s="1"/>
      <c r="E26" s="1"/>
      <c r="F26" s="41">
        <f>SUM($E$7:E26)/A26</f>
        <v>0</v>
      </c>
      <c r="G26" s="55">
        <f t="shared" si="0"/>
        <v>0</v>
      </c>
      <c r="H26" s="21" t="e">
        <f>G26/((SUM($E$7:E26)/A26))</f>
        <v>#DIV/0!</v>
      </c>
      <c r="I26" s="21"/>
    </row>
    <row r="27" spans="1:9" s="23" customFormat="1" ht="22.5" customHeight="1">
      <c r="A27" s="18">
        <v>20</v>
      </c>
      <c r="B27" s="19">
        <f>'FRIT FV 090.540 - FTA'!B28</f>
        <v>46254</v>
      </c>
      <c r="C27" s="69" t="s">
        <v>19</v>
      </c>
      <c r="D27" s="1"/>
      <c r="E27" s="1"/>
      <c r="F27" s="41">
        <f>SUM($E$7:E27)/A27</f>
        <v>0</v>
      </c>
      <c r="G27" s="55">
        <f t="shared" si="0"/>
        <v>0</v>
      </c>
      <c r="H27" s="21" t="e">
        <f>G27/((SUM($E$7:E27)/A27))</f>
        <v>#DIV/0!</v>
      </c>
      <c r="I27" s="21"/>
    </row>
    <row r="28" spans="1:9" s="23" customFormat="1" ht="22.5" customHeight="1">
      <c r="A28" s="36">
        <v>21</v>
      </c>
      <c r="B28" s="19">
        <f>'FRIT FV 090.540 - FTA'!B29</f>
        <v>46255</v>
      </c>
      <c r="C28" s="69" t="s">
        <v>19</v>
      </c>
      <c r="D28" s="1"/>
      <c r="E28" s="1"/>
      <c r="F28" s="41">
        <f>SUM($E$7:E28)/A28</f>
        <v>0</v>
      </c>
      <c r="G28" s="55">
        <f t="shared" si="0"/>
        <v>0</v>
      </c>
      <c r="H28" s="21" t="e">
        <f>G28/((SUM($E$7:E28)/A28))</f>
        <v>#DIV/0!</v>
      </c>
      <c r="I28" s="21"/>
    </row>
    <row r="29" spans="1:9" s="23" customFormat="1" ht="22.5" customHeight="1">
      <c r="A29" s="18">
        <v>22</v>
      </c>
      <c r="B29" s="19">
        <f>'FRIT FV 090.540 - FTA'!B30</f>
        <v>46256</v>
      </c>
      <c r="C29" s="69" t="s">
        <v>19</v>
      </c>
      <c r="D29" s="1"/>
      <c r="E29" s="1"/>
      <c r="F29" s="41">
        <f>SUM($E$7:E29)/A29</f>
        <v>0</v>
      </c>
      <c r="G29" s="55">
        <f t="shared" si="0"/>
        <v>0</v>
      </c>
      <c r="H29" s="21" t="e">
        <f>G29/((SUM($E$7:E29)/A29))</f>
        <v>#DIV/0!</v>
      </c>
      <c r="I29" s="21"/>
    </row>
    <row r="30" spans="1:9" s="23" customFormat="1" ht="22.5" customHeight="1">
      <c r="A30" s="18">
        <v>23</v>
      </c>
      <c r="B30" s="19">
        <f>'FRIT FV 090.540 - FTA'!B31</f>
        <v>46257</v>
      </c>
      <c r="C30" s="69" t="s">
        <v>19</v>
      </c>
      <c r="D30" s="1"/>
      <c r="E30" s="1"/>
      <c r="F30" s="41">
        <f>SUM($E$7:E30)/A30</f>
        <v>0</v>
      </c>
      <c r="G30" s="55">
        <f t="shared" si="0"/>
        <v>0</v>
      </c>
      <c r="H30" s="21" t="e">
        <f>G30/((SUM($E$7:E30)/A30))</f>
        <v>#DIV/0!</v>
      </c>
      <c r="I30" s="21"/>
    </row>
    <row r="31" spans="1:9" s="23" customFormat="1" ht="22.5" customHeight="1">
      <c r="A31" s="18">
        <v>24</v>
      </c>
      <c r="B31" s="19">
        <f>'FRIT FV 090.540 - FTA'!B32</f>
        <v>46258</v>
      </c>
      <c r="C31" s="69" t="s">
        <v>19</v>
      </c>
      <c r="D31" s="1"/>
      <c r="E31" s="1"/>
      <c r="F31" s="41">
        <f>SUM($E$7:E31)/A31</f>
        <v>0</v>
      </c>
      <c r="G31" s="55">
        <f t="shared" si="0"/>
        <v>0</v>
      </c>
      <c r="H31" s="21" t="e">
        <f>G31/((SUM($E$7:E31)/A31))</f>
        <v>#DIV/0!</v>
      </c>
      <c r="I31" s="21"/>
    </row>
    <row r="32" spans="1:9" s="23" customFormat="1" ht="22.5" customHeight="1">
      <c r="A32" s="18">
        <v>25</v>
      </c>
      <c r="B32" s="19">
        <f>'FRIT FV 090.540 - FTA'!B33</f>
        <v>46259</v>
      </c>
      <c r="C32" s="69" t="s">
        <v>19</v>
      </c>
      <c r="D32" s="1"/>
      <c r="E32" s="1"/>
      <c r="F32" s="41">
        <f>SUM($E$7:E32)/A32</f>
        <v>0</v>
      </c>
      <c r="G32" s="55">
        <f t="shared" si="0"/>
        <v>0</v>
      </c>
      <c r="H32" s="21" t="e">
        <f>G32/((SUM($E$7:E32)/A32))</f>
        <v>#DIV/0!</v>
      </c>
      <c r="I32" s="21"/>
    </row>
    <row r="33" spans="1:9" s="23" customFormat="1" ht="22.5" customHeight="1">
      <c r="A33" s="18">
        <v>26</v>
      </c>
      <c r="B33" s="19">
        <f>'FRIT FV 090.540 - FTA'!B34</f>
        <v>46260</v>
      </c>
      <c r="C33" s="69" t="s">
        <v>19</v>
      </c>
      <c r="D33" s="1"/>
      <c r="E33" s="1"/>
      <c r="F33" s="41">
        <f>SUM($E$7:E33)/A33</f>
        <v>0</v>
      </c>
      <c r="G33" s="55">
        <f t="shared" si="0"/>
        <v>0</v>
      </c>
      <c r="H33" s="21" t="e">
        <f>G33/((SUM($E$7:E33)/A33))</f>
        <v>#DIV/0!</v>
      </c>
      <c r="I33" s="21"/>
    </row>
    <row r="34" spans="1:9" s="23" customFormat="1" ht="22.5" customHeight="1">
      <c r="A34" s="18">
        <v>27</v>
      </c>
      <c r="B34" s="19">
        <f>'FRIT FV 090.540 - FTA'!B35</f>
        <v>46261</v>
      </c>
      <c r="C34" s="69" t="s">
        <v>104</v>
      </c>
      <c r="D34" s="1"/>
      <c r="E34" s="1"/>
      <c r="F34" s="41">
        <f>SUM($E$7:E34)/A34</f>
        <v>0</v>
      </c>
      <c r="G34" s="55">
        <f t="shared" si="0"/>
        <v>0</v>
      </c>
      <c r="H34" s="21" t="e">
        <f>G34/((SUM($E$7:E34)/A34))</f>
        <v>#DIV/0!</v>
      </c>
      <c r="I34" s="21"/>
    </row>
    <row r="35" spans="1:9" s="23" customFormat="1" ht="22.5" customHeight="1">
      <c r="A35" s="36">
        <v>28</v>
      </c>
      <c r="B35" s="19">
        <f>'FRIT FV 090.540 - FTA'!B36</f>
        <v>46262</v>
      </c>
      <c r="C35" s="69" t="s">
        <v>19</v>
      </c>
      <c r="D35" s="1"/>
      <c r="E35" s="1"/>
      <c r="F35" s="41">
        <f>SUM($E$7:E35)/A35</f>
        <v>0</v>
      </c>
      <c r="G35" s="55">
        <f t="shared" si="0"/>
        <v>0</v>
      </c>
      <c r="H35" s="21" t="e">
        <f>G35/((SUM($E$7:E35)/A35))</f>
        <v>#DIV/0!</v>
      </c>
      <c r="I35" s="21"/>
    </row>
    <row r="36" spans="1:9" s="23" customFormat="1" ht="22.5" customHeight="1">
      <c r="A36" s="18">
        <v>29</v>
      </c>
      <c r="B36" s="19">
        <f>'FRIT FV 090.540 - FTA'!B37</f>
        <v>46263</v>
      </c>
      <c r="C36" s="69" t="s">
        <v>19</v>
      </c>
      <c r="D36" s="1"/>
      <c r="E36" s="1"/>
      <c r="F36" s="41">
        <f>SUM($E$7:E36)/A36</f>
        <v>0</v>
      </c>
      <c r="G36" s="55">
        <f t="shared" si="0"/>
        <v>0</v>
      </c>
      <c r="H36" s="21" t="e">
        <f>G36/((SUM($E$7:E36)/A36))</f>
        <v>#DIV/0!</v>
      </c>
      <c r="I36" s="21"/>
    </row>
    <row r="37" spans="1:9" s="23" customFormat="1" ht="22.5" customHeight="1">
      <c r="A37" s="18">
        <v>30</v>
      </c>
      <c r="B37" s="19">
        <f>'FRIT FV 090.540 - FTA'!B38</f>
        <v>46264</v>
      </c>
      <c r="C37" s="69" t="s">
        <v>19</v>
      </c>
      <c r="D37" s="1"/>
      <c r="E37" s="1"/>
      <c r="F37" s="41">
        <f>SUM($E$7:E37)/A37</f>
        <v>0</v>
      </c>
      <c r="G37" s="55">
        <f t="shared" si="0"/>
        <v>0</v>
      </c>
      <c r="H37" s="21" t="e">
        <f>G37/((SUM($E$7:E37)/A37))</f>
        <v>#DIV/0!</v>
      </c>
      <c r="I37" s="21"/>
    </row>
    <row r="38" spans="1:9" s="23" customFormat="1" ht="22.5" customHeight="1">
      <c r="A38" s="18">
        <v>31</v>
      </c>
      <c r="B38" s="19">
        <f>'FRIT FV 090.540 - FTA'!B39</f>
        <v>46265</v>
      </c>
      <c r="C38" s="69" t="s">
        <v>19</v>
      </c>
      <c r="D38" s="1"/>
      <c r="E38" s="1"/>
      <c r="F38" s="41">
        <f>SUM($E$7:E38)/A38</f>
        <v>0</v>
      </c>
      <c r="G38" s="55">
        <f t="shared" si="0"/>
        <v>0</v>
      </c>
      <c r="H38" s="21" t="e">
        <f>G38/((SUM($E$7:E38)/A38))</f>
        <v>#DIV/0!</v>
      </c>
      <c r="I38" s="21"/>
    </row>
    <row r="39" spans="1:9" s="32" customFormat="1" ht="26.25" customHeight="1">
      <c r="A39" s="1517" t="s">
        <v>29</v>
      </c>
      <c r="B39" s="1517"/>
      <c r="C39" s="1517"/>
      <c r="D39" s="57">
        <f>SUM(D8:D38)</f>
        <v>0</v>
      </c>
      <c r="E39" s="46">
        <f>SUM(E8:E38)</f>
        <v>0</v>
      </c>
      <c r="F39" s="46"/>
      <c r="G39" s="56">
        <f>G38</f>
        <v>0</v>
      </c>
      <c r="H39" s="31"/>
      <c r="I39" s="31"/>
    </row>
    <row r="40" spans="1:9" s="32" customFormat="1" ht="26.25" customHeight="1">
      <c r="A40" s="1517" t="s">
        <v>15</v>
      </c>
      <c r="B40" s="1517"/>
      <c r="C40" s="1517"/>
      <c r="D40" s="57">
        <f>D7+D39</f>
        <v>0</v>
      </c>
      <c r="E40" s="46">
        <f>E7+E39</f>
        <v>0</v>
      </c>
      <c r="F40" s="46"/>
      <c r="G40" s="46">
        <f>D40-E40</f>
        <v>0</v>
      </c>
      <c r="H40" s="31"/>
      <c r="I40" s="31"/>
    </row>
    <row r="41" spans="1:9" ht="23.25" customHeight="1">
      <c r="A41" s="5"/>
      <c r="B41" s="5"/>
      <c r="C41" s="5"/>
      <c r="D41" s="7"/>
      <c r="E41" s="24"/>
      <c r="F41" s="7"/>
      <c r="G41" s="7"/>
    </row>
    <row r="42" spans="1:9">
      <c r="E42" s="24"/>
    </row>
  </sheetData>
  <mergeCells count="4">
    <mergeCell ref="A7:C7"/>
    <mergeCell ref="A39:C39"/>
    <mergeCell ref="A40:C40"/>
    <mergeCell ref="A2:I2"/>
  </mergeCells>
  <hyperlinks>
    <hyperlink ref="I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M48"/>
  <sheetViews>
    <sheetView zoomScale="70" zoomScaleNormal="70" workbookViewId="0">
      <pane ySplit="9" topLeftCell="A10" activePane="bottomLeft" state="frozen"/>
      <selection pane="bottomLeft" activeCell="J10" sqref="J10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8.7109375" style="42" customWidth="1"/>
    <col min="4" max="4" width="12.5703125" style="6" customWidth="1"/>
    <col min="5" max="5" width="9.5703125" style="6" customWidth="1"/>
    <col min="6" max="6" width="12.5703125" style="6" customWidth="1"/>
    <col min="7" max="7" width="9.28515625" style="6" customWidth="1"/>
    <col min="8" max="8" width="9.7109375" style="6" customWidth="1"/>
    <col min="9" max="10" width="12.85546875" style="6" customWidth="1"/>
    <col min="11" max="11" width="10.28515625" style="6" customWidth="1"/>
    <col min="12" max="12" width="9.42578125" style="42" customWidth="1"/>
    <col min="13" max="13" width="8.85546875" style="42" customWidth="1"/>
    <col min="14" max="16384" width="9.28515625" style="42"/>
  </cols>
  <sheetData>
    <row r="1" spans="1:13" s="143" customFormat="1" ht="18" customHeight="1">
      <c r="A1" s="146" t="e">
        <f>'FRIT FV 090.540 - FTA'!#REF!</f>
        <v>#REF!</v>
      </c>
      <c r="B1" s="146"/>
      <c r="C1" s="146"/>
      <c r="D1" s="146"/>
      <c r="E1" s="146"/>
      <c r="F1" s="146"/>
      <c r="G1" s="142"/>
      <c r="H1" s="142"/>
      <c r="I1" s="142"/>
      <c r="J1" s="142"/>
      <c r="K1" s="142"/>
    </row>
    <row r="2" spans="1:13" s="143" customFormat="1" ht="18" customHeight="1">
      <c r="A2" s="146" t="e">
        <f>'FRIT FV 090.540 - FTA'!#REF!</f>
        <v>#REF!</v>
      </c>
      <c r="B2" s="146"/>
      <c r="C2" s="146"/>
      <c r="D2" s="144"/>
      <c r="E2" s="144"/>
      <c r="F2" s="144"/>
      <c r="G2" s="142"/>
      <c r="H2" s="142"/>
      <c r="I2" s="197" t="e">
        <f>'FRIT FV 090.540 - FTA'!#REF!</f>
        <v>#REF!</v>
      </c>
      <c r="J2" s="142"/>
      <c r="L2" s="142"/>
    </row>
    <row r="3" spans="1:13" ht="22.5" customHeight="1">
      <c r="A3" s="1500" t="e">
        <f>'FRIT FV 090.540 - FTA'!#REF!</f>
        <v>#REF!</v>
      </c>
      <c r="B3" s="1500"/>
      <c r="C3" s="1500"/>
      <c r="D3" s="1500"/>
      <c r="E3" s="1500"/>
      <c r="F3" s="1500"/>
      <c r="G3" s="1500"/>
      <c r="H3" s="1500"/>
      <c r="I3" s="1500"/>
      <c r="J3" s="42"/>
      <c r="K3" s="42"/>
    </row>
    <row r="4" spans="1:13" ht="21.75" customHeight="1">
      <c r="D4" s="139" t="s">
        <v>33</v>
      </c>
      <c r="E4" s="137" t="s">
        <v>42</v>
      </c>
      <c r="G4" s="6" t="s">
        <v>114</v>
      </c>
      <c r="H4" s="94" t="s">
        <v>118</v>
      </c>
      <c r="J4" s="42"/>
      <c r="K4" s="42"/>
    </row>
    <row r="5" spans="1:13" ht="21.75" customHeight="1">
      <c r="B5" s="8" t="e">
        <f>'FRIT FV 090.540 - FTA'!#REF!</f>
        <v>#REF!</v>
      </c>
      <c r="C5" s="8" t="e">
        <f>'FRIT FV 090.540 - FTA'!#REF!</f>
        <v>#REF!</v>
      </c>
      <c r="D5" s="8" t="e">
        <f>'FRIT FV 090.540 - FTA'!#REF!</f>
        <v>#REF!</v>
      </c>
      <c r="E5" s="8" t="e">
        <f>'FRIT FV 090.540 - FTA'!#REF!</f>
        <v>#REF!</v>
      </c>
      <c r="F5" s="8" t="e">
        <f>'FRIT FV 090.540 - FTA'!#REF!</f>
        <v>#REF!</v>
      </c>
      <c r="G5" s="8" t="e">
        <f>'FRIT FV 090.540 - FTA'!#REF!</f>
        <v>#REF!</v>
      </c>
      <c r="H5" s="8" t="e">
        <f>'FRIT FV 090.540 - FTA'!#REF!</f>
        <v>#REF!</v>
      </c>
      <c r="I5" s="8" t="e">
        <f>'FRIT FV 090.540 - FTA'!#REF!</f>
        <v>#REF!</v>
      </c>
      <c r="J5" s="42"/>
      <c r="K5" s="42"/>
      <c r="L5" s="75"/>
      <c r="M5" s="75"/>
    </row>
    <row r="6" spans="1:13" ht="22.5" customHeight="1">
      <c r="F6" s="10"/>
      <c r="G6" s="10"/>
      <c r="H6" s="10"/>
      <c r="I6" s="10"/>
      <c r="L6" s="12" t="s">
        <v>26</v>
      </c>
      <c r="M6" s="217" t="s">
        <v>149</v>
      </c>
    </row>
    <row r="7" spans="1:13" s="13" customFormat="1" ht="41.25" customHeight="1">
      <c r="A7" s="1518" t="s">
        <v>2</v>
      </c>
      <c r="B7" s="1520" t="s">
        <v>1</v>
      </c>
      <c r="C7" s="1520" t="s">
        <v>24</v>
      </c>
      <c r="D7" s="1529" t="s">
        <v>27</v>
      </c>
      <c r="E7" s="1530"/>
      <c r="F7" s="1529" t="s">
        <v>31</v>
      </c>
      <c r="G7" s="1530"/>
      <c r="H7" s="1529" t="s">
        <v>28</v>
      </c>
      <c r="I7" s="1530"/>
      <c r="J7" s="1529" t="s">
        <v>14</v>
      </c>
      <c r="K7" s="1530"/>
      <c r="L7" s="1529" t="s">
        <v>30</v>
      </c>
      <c r="M7" s="1530"/>
    </row>
    <row r="8" spans="1:13" s="13" customFormat="1" ht="25.5" customHeight="1">
      <c r="A8" s="1519"/>
      <c r="B8" s="1521"/>
      <c r="C8" s="1521"/>
      <c r="D8" s="38" t="s">
        <v>10</v>
      </c>
      <c r="E8" s="34" t="s">
        <v>11</v>
      </c>
      <c r="F8" s="38" t="s">
        <v>10</v>
      </c>
      <c r="G8" s="34" t="s">
        <v>11</v>
      </c>
      <c r="H8" s="38" t="s">
        <v>10</v>
      </c>
      <c r="I8" s="34" t="s">
        <v>11</v>
      </c>
      <c r="J8" s="38" t="s">
        <v>10</v>
      </c>
      <c r="K8" s="34" t="s">
        <v>11</v>
      </c>
      <c r="L8" s="38" t="s">
        <v>10</v>
      </c>
      <c r="M8" s="34" t="s">
        <v>11</v>
      </c>
    </row>
    <row r="9" spans="1:13" s="13" customFormat="1" ht="18" customHeight="1">
      <c r="A9" s="1514" t="s">
        <v>3</v>
      </c>
      <c r="B9" s="1515"/>
      <c r="C9" s="1516"/>
      <c r="D9" s="63">
        <f>J9</f>
        <v>0</v>
      </c>
      <c r="E9" s="86">
        <f>K9</f>
        <v>0</v>
      </c>
      <c r="F9" s="14"/>
      <c r="G9" s="14"/>
      <c r="H9" s="14"/>
      <c r="I9" s="14"/>
      <c r="J9" s="63">
        <v>0</v>
      </c>
      <c r="K9" s="86">
        <v>0</v>
      </c>
      <c r="L9" s="192"/>
      <c r="M9" s="17"/>
    </row>
    <row r="10" spans="1:13" s="13" customFormat="1" ht="18" customHeight="1">
      <c r="A10" s="185">
        <v>1</v>
      </c>
      <c r="B10" s="19">
        <f>'FRIT FV 090.540 - FTA'!B9</f>
        <v>46235</v>
      </c>
      <c r="C10" s="19" t="s">
        <v>141</v>
      </c>
      <c r="D10" s="2"/>
      <c r="E10" s="62"/>
      <c r="F10" s="2"/>
      <c r="G10" s="68"/>
      <c r="H10" s="40">
        <f>SUM($F$9:F10)/A10</f>
        <v>0</v>
      </c>
      <c r="I10" s="41">
        <f>SUM($G$9:G10)/A10</f>
        <v>0</v>
      </c>
      <c r="J10" s="20">
        <f>J9+D10-F10</f>
        <v>0</v>
      </c>
      <c r="K10" s="22">
        <f>K9+E10-G10</f>
        <v>0</v>
      </c>
      <c r="L10" s="187" t="e">
        <f>J10/H10</f>
        <v>#DIV/0!</v>
      </c>
      <c r="M10" s="187" t="e">
        <f>K10/I10</f>
        <v>#DIV/0!</v>
      </c>
    </row>
    <row r="11" spans="1:13" s="13" customFormat="1" ht="18" customHeight="1">
      <c r="A11" s="185">
        <v>2</v>
      </c>
      <c r="B11" s="19">
        <f>'FRIT FV 090.540 - FTA'!B10</f>
        <v>46236</v>
      </c>
      <c r="C11" s="19" t="s">
        <v>141</v>
      </c>
      <c r="D11" s="2"/>
      <c r="E11" s="62"/>
      <c r="F11" s="2"/>
      <c r="G11" s="68"/>
      <c r="H11" s="40">
        <f>SUM($F$9:F11)/A11</f>
        <v>0</v>
      </c>
      <c r="I11" s="41">
        <f>SUM($G$9:G11)/A11</f>
        <v>0</v>
      </c>
      <c r="J11" s="20">
        <f t="shared" ref="J11:J40" si="0">J10+D11-F11</f>
        <v>0</v>
      </c>
      <c r="K11" s="22">
        <f t="shared" ref="K11:K40" si="1">K10+E11-G11</f>
        <v>0</v>
      </c>
      <c r="L11" s="187" t="e">
        <f t="shared" ref="L11:L40" si="2">J11/H11</f>
        <v>#DIV/0!</v>
      </c>
      <c r="M11" s="187" t="e">
        <f t="shared" ref="M11:M40" si="3">K11/I11</f>
        <v>#DIV/0!</v>
      </c>
    </row>
    <row r="12" spans="1:13" s="13" customFormat="1" ht="18" customHeight="1">
      <c r="A12" s="185">
        <v>3</v>
      </c>
      <c r="B12" s="19">
        <f>'FRIT FV 090.540 - FTA'!B11</f>
        <v>46237</v>
      </c>
      <c r="C12" s="19" t="s">
        <v>141</v>
      </c>
      <c r="D12" s="2"/>
      <c r="E12" s="62"/>
      <c r="F12" s="2"/>
      <c r="G12" s="68"/>
      <c r="H12" s="40">
        <f>SUM($F$9:F12)/A12</f>
        <v>0</v>
      </c>
      <c r="I12" s="41">
        <f>SUM($G$9:G12)/A12</f>
        <v>0</v>
      </c>
      <c r="J12" s="20">
        <f t="shared" si="0"/>
        <v>0</v>
      </c>
      <c r="K12" s="22">
        <f t="shared" si="1"/>
        <v>0</v>
      </c>
      <c r="L12" s="187" t="e">
        <f t="shared" si="2"/>
        <v>#DIV/0!</v>
      </c>
      <c r="M12" s="187" t="e">
        <f t="shared" si="3"/>
        <v>#DIV/0!</v>
      </c>
    </row>
    <row r="13" spans="1:13" s="140" customFormat="1" ht="18" customHeight="1">
      <c r="A13" s="185">
        <v>4</v>
      </c>
      <c r="B13" s="19">
        <f>'FRIT FV 090.540 - FTA'!B12</f>
        <v>46238</v>
      </c>
      <c r="C13" s="19" t="s">
        <v>141</v>
      </c>
      <c r="D13" s="2"/>
      <c r="E13" s="62"/>
      <c r="F13" s="2"/>
      <c r="G13" s="68"/>
      <c r="H13" s="40">
        <f>SUM($F$9:F13)/A13</f>
        <v>0</v>
      </c>
      <c r="I13" s="41">
        <f>SUM($G$9:G13)/A13</f>
        <v>0</v>
      </c>
      <c r="J13" s="20">
        <f t="shared" si="0"/>
        <v>0</v>
      </c>
      <c r="K13" s="22">
        <f t="shared" si="1"/>
        <v>0</v>
      </c>
      <c r="L13" s="187" t="e">
        <f t="shared" si="2"/>
        <v>#DIV/0!</v>
      </c>
      <c r="M13" s="187" t="e">
        <f t="shared" si="3"/>
        <v>#DIV/0!</v>
      </c>
    </row>
    <row r="14" spans="1:13" s="140" customFormat="1" ht="18" customHeight="1">
      <c r="A14" s="185">
        <v>5</v>
      </c>
      <c r="B14" s="19">
        <f>'FRIT FV 090.540 - FTA'!B13</f>
        <v>46239</v>
      </c>
      <c r="C14" s="19" t="s">
        <v>141</v>
      </c>
      <c r="D14" s="2"/>
      <c r="E14" s="62"/>
      <c r="F14" s="2"/>
      <c r="G14" s="68"/>
      <c r="H14" s="40">
        <f>SUM($F$9:F14)/A14</f>
        <v>0</v>
      </c>
      <c r="I14" s="41">
        <f>SUM($G$9:G14)/A14</f>
        <v>0</v>
      </c>
      <c r="J14" s="20">
        <f t="shared" si="0"/>
        <v>0</v>
      </c>
      <c r="K14" s="22">
        <f t="shared" si="1"/>
        <v>0</v>
      </c>
      <c r="L14" s="187" t="e">
        <f t="shared" si="2"/>
        <v>#DIV/0!</v>
      </c>
      <c r="M14" s="187" t="e">
        <f t="shared" si="3"/>
        <v>#DIV/0!</v>
      </c>
    </row>
    <row r="15" spans="1:13" s="140" customFormat="1" ht="18" customHeight="1">
      <c r="A15" s="185">
        <v>6</v>
      </c>
      <c r="B15" s="19">
        <f>'FRIT FV 090.540 - FTA'!B14</f>
        <v>46240</v>
      </c>
      <c r="C15" s="19" t="s">
        <v>141</v>
      </c>
      <c r="D15" s="2"/>
      <c r="E15" s="62"/>
      <c r="F15" s="2"/>
      <c r="G15" s="68"/>
      <c r="H15" s="40">
        <f>SUM($F$9:F15)/A15</f>
        <v>0</v>
      </c>
      <c r="I15" s="41">
        <f>SUM($G$9:G15)/A15</f>
        <v>0</v>
      </c>
      <c r="J15" s="20">
        <f t="shared" si="0"/>
        <v>0</v>
      </c>
      <c r="K15" s="22">
        <f t="shared" si="1"/>
        <v>0</v>
      </c>
      <c r="L15" s="187" t="e">
        <f t="shared" si="2"/>
        <v>#DIV/0!</v>
      </c>
      <c r="M15" s="187" t="e">
        <f t="shared" si="3"/>
        <v>#DIV/0!</v>
      </c>
    </row>
    <row r="16" spans="1:13" s="140" customFormat="1" ht="18" customHeight="1">
      <c r="A16" s="185">
        <v>7</v>
      </c>
      <c r="B16" s="19">
        <f>'FRIT FV 090.540 - FTA'!B15</f>
        <v>46241</v>
      </c>
      <c r="C16" s="19" t="s">
        <v>141</v>
      </c>
      <c r="D16" s="2"/>
      <c r="E16" s="62"/>
      <c r="F16" s="2"/>
      <c r="G16" s="68"/>
      <c r="H16" s="40">
        <f>SUM($F$9:F16)/A16</f>
        <v>0</v>
      </c>
      <c r="I16" s="41">
        <f>SUM($G$9:G16)/A16</f>
        <v>0</v>
      </c>
      <c r="J16" s="20">
        <f t="shared" si="0"/>
        <v>0</v>
      </c>
      <c r="K16" s="22">
        <f t="shared" si="1"/>
        <v>0</v>
      </c>
      <c r="L16" s="187" t="e">
        <f t="shared" si="2"/>
        <v>#DIV/0!</v>
      </c>
      <c r="M16" s="187" t="e">
        <f t="shared" si="3"/>
        <v>#DIV/0!</v>
      </c>
    </row>
    <row r="17" spans="1:13" s="140" customFormat="1" ht="18" customHeight="1">
      <c r="A17" s="185">
        <v>8</v>
      </c>
      <c r="B17" s="19">
        <f>'FRIT FV 090.540 - FTA'!B16</f>
        <v>46242</v>
      </c>
      <c r="C17" s="19" t="s">
        <v>141</v>
      </c>
      <c r="D17" s="2"/>
      <c r="E17" s="62"/>
      <c r="F17" s="2"/>
      <c r="G17" s="68"/>
      <c r="H17" s="40">
        <f>SUM($F$9:F17)/A17</f>
        <v>0</v>
      </c>
      <c r="I17" s="41">
        <f>SUM($G$9:G17)/A17</f>
        <v>0</v>
      </c>
      <c r="J17" s="20">
        <f t="shared" si="0"/>
        <v>0</v>
      </c>
      <c r="K17" s="22">
        <f t="shared" si="1"/>
        <v>0</v>
      </c>
      <c r="L17" s="187" t="e">
        <f t="shared" si="2"/>
        <v>#DIV/0!</v>
      </c>
      <c r="M17" s="187" t="e">
        <f t="shared" si="3"/>
        <v>#DIV/0!</v>
      </c>
    </row>
    <row r="18" spans="1:13" s="140" customFormat="1" ht="18" customHeight="1">
      <c r="A18" s="185">
        <v>9</v>
      </c>
      <c r="B18" s="19">
        <f>'FRIT FV 090.540 - FTA'!B17</f>
        <v>46243</v>
      </c>
      <c r="C18" s="19" t="s">
        <v>141</v>
      </c>
      <c r="D18" s="2"/>
      <c r="E18" s="62"/>
      <c r="F18" s="2"/>
      <c r="G18" s="68"/>
      <c r="H18" s="40">
        <f>SUM($F$9:F18)/A18</f>
        <v>0</v>
      </c>
      <c r="I18" s="41">
        <f>SUM($G$9:G18)/A18</f>
        <v>0</v>
      </c>
      <c r="J18" s="20">
        <f t="shared" si="0"/>
        <v>0</v>
      </c>
      <c r="K18" s="22">
        <f t="shared" si="1"/>
        <v>0</v>
      </c>
      <c r="L18" s="187" t="e">
        <f t="shared" si="2"/>
        <v>#DIV/0!</v>
      </c>
      <c r="M18" s="187" t="e">
        <f t="shared" si="3"/>
        <v>#DIV/0!</v>
      </c>
    </row>
    <row r="19" spans="1:13" s="140" customFormat="1" ht="18" customHeight="1">
      <c r="A19" s="185">
        <v>10</v>
      </c>
      <c r="B19" s="19">
        <f>'FRIT FV 090.540 - FTA'!B18</f>
        <v>46244</v>
      </c>
      <c r="C19" s="19" t="s">
        <v>141</v>
      </c>
      <c r="D19" s="2"/>
      <c r="E19" s="62"/>
      <c r="F19" s="2"/>
      <c r="G19" s="68"/>
      <c r="H19" s="40">
        <f>SUM($F$9:F19)/A19</f>
        <v>0</v>
      </c>
      <c r="I19" s="41">
        <f>SUM($G$9:G19)/A19</f>
        <v>0</v>
      </c>
      <c r="J19" s="20">
        <f t="shared" si="0"/>
        <v>0</v>
      </c>
      <c r="K19" s="22">
        <f t="shared" si="1"/>
        <v>0</v>
      </c>
      <c r="L19" s="187" t="e">
        <f t="shared" si="2"/>
        <v>#DIV/0!</v>
      </c>
      <c r="M19" s="187" t="e">
        <f t="shared" si="3"/>
        <v>#DIV/0!</v>
      </c>
    </row>
    <row r="20" spans="1:13" s="140" customFormat="1" ht="18" customHeight="1">
      <c r="A20" s="185">
        <v>11</v>
      </c>
      <c r="B20" s="19">
        <f>'FRIT FV 090.540 - FTA'!B19</f>
        <v>46245</v>
      </c>
      <c r="C20" s="19" t="s">
        <v>141</v>
      </c>
      <c r="D20" s="2"/>
      <c r="E20" s="62"/>
      <c r="F20" s="2"/>
      <c r="G20" s="68"/>
      <c r="H20" s="40">
        <f>SUM($F$9:F20)/A20</f>
        <v>0</v>
      </c>
      <c r="I20" s="41">
        <f>SUM($G$9:G20)/A20</f>
        <v>0</v>
      </c>
      <c r="J20" s="20">
        <f t="shared" si="0"/>
        <v>0</v>
      </c>
      <c r="K20" s="22">
        <f t="shared" si="1"/>
        <v>0</v>
      </c>
      <c r="L20" s="187" t="e">
        <f t="shared" si="2"/>
        <v>#DIV/0!</v>
      </c>
      <c r="M20" s="187" t="e">
        <f t="shared" si="3"/>
        <v>#DIV/0!</v>
      </c>
    </row>
    <row r="21" spans="1:13" s="140" customFormat="1" ht="18" customHeight="1">
      <c r="A21" s="185">
        <v>12</v>
      </c>
      <c r="B21" s="19">
        <f>'FRIT FV 090.540 - FTA'!B20</f>
        <v>46246</v>
      </c>
      <c r="C21" s="19" t="s">
        <v>141</v>
      </c>
      <c r="D21" s="2"/>
      <c r="E21" s="62"/>
      <c r="F21" s="2"/>
      <c r="G21" s="68"/>
      <c r="H21" s="40">
        <f>SUM($F$9:F21)/A21</f>
        <v>0</v>
      </c>
      <c r="I21" s="41">
        <f>SUM($G$9:G21)/A21</f>
        <v>0</v>
      </c>
      <c r="J21" s="20">
        <f t="shared" si="0"/>
        <v>0</v>
      </c>
      <c r="K21" s="22">
        <f t="shared" si="1"/>
        <v>0</v>
      </c>
      <c r="L21" s="187" t="e">
        <f t="shared" si="2"/>
        <v>#DIV/0!</v>
      </c>
      <c r="M21" s="187" t="e">
        <f t="shared" si="3"/>
        <v>#DIV/0!</v>
      </c>
    </row>
    <row r="22" spans="1:13" s="140" customFormat="1" ht="18" customHeight="1">
      <c r="A22" s="185">
        <v>13</v>
      </c>
      <c r="B22" s="19">
        <f>'FRIT FV 090.540 - FTA'!B21</f>
        <v>46247</v>
      </c>
      <c r="C22" s="19" t="s">
        <v>141</v>
      </c>
      <c r="D22" s="2"/>
      <c r="E22" s="62"/>
      <c r="F22" s="2"/>
      <c r="G22" s="68"/>
      <c r="H22" s="40">
        <f>SUM($F$9:F22)/A22</f>
        <v>0</v>
      </c>
      <c r="I22" s="41">
        <f>SUM($G$9:G22)/A22</f>
        <v>0</v>
      </c>
      <c r="J22" s="20">
        <f t="shared" si="0"/>
        <v>0</v>
      </c>
      <c r="K22" s="22">
        <f t="shared" si="1"/>
        <v>0</v>
      </c>
      <c r="L22" s="187" t="e">
        <f t="shared" si="2"/>
        <v>#DIV/0!</v>
      </c>
      <c r="M22" s="187" t="e">
        <f t="shared" si="3"/>
        <v>#DIV/0!</v>
      </c>
    </row>
    <row r="23" spans="1:13" s="140" customFormat="1" ht="18" customHeight="1">
      <c r="A23" s="185">
        <v>14</v>
      </c>
      <c r="B23" s="19">
        <f>'FRIT FV 090.540 - FTA'!B22</f>
        <v>46248</v>
      </c>
      <c r="C23" s="19" t="s">
        <v>141</v>
      </c>
      <c r="D23" s="2"/>
      <c r="E23" s="62"/>
      <c r="F23" s="2"/>
      <c r="G23" s="68"/>
      <c r="H23" s="40">
        <f>SUM($F$9:F23)/A23</f>
        <v>0</v>
      </c>
      <c r="I23" s="41">
        <f>SUM($G$9:G23)/A23</f>
        <v>0</v>
      </c>
      <c r="J23" s="20">
        <f t="shared" si="0"/>
        <v>0</v>
      </c>
      <c r="K23" s="22">
        <f t="shared" si="1"/>
        <v>0</v>
      </c>
      <c r="L23" s="187" t="e">
        <f t="shared" si="2"/>
        <v>#DIV/0!</v>
      </c>
      <c r="M23" s="187" t="e">
        <f t="shared" si="3"/>
        <v>#DIV/0!</v>
      </c>
    </row>
    <row r="24" spans="1:13" s="140" customFormat="1" ht="18" customHeight="1">
      <c r="A24" s="185">
        <v>15</v>
      </c>
      <c r="B24" s="19">
        <f>'FRIT FV 090.540 - FTA'!B23</f>
        <v>46249</v>
      </c>
      <c r="C24" s="19" t="s">
        <v>141</v>
      </c>
      <c r="D24" s="2"/>
      <c r="E24" s="62"/>
      <c r="F24" s="2"/>
      <c r="G24" s="68"/>
      <c r="H24" s="128">
        <f>SUM($F$9:F24)/A24</f>
        <v>0</v>
      </c>
      <c r="I24" s="41">
        <f>SUM($G$9:G24)/A24</f>
        <v>0</v>
      </c>
      <c r="J24" s="20">
        <f t="shared" si="0"/>
        <v>0</v>
      </c>
      <c r="K24" s="22">
        <f t="shared" si="1"/>
        <v>0</v>
      </c>
      <c r="L24" s="187" t="e">
        <f t="shared" si="2"/>
        <v>#DIV/0!</v>
      </c>
      <c r="M24" s="187" t="e">
        <f t="shared" si="3"/>
        <v>#DIV/0!</v>
      </c>
    </row>
    <row r="25" spans="1:13" s="140" customFormat="1" ht="18" customHeight="1">
      <c r="A25" s="185">
        <v>16</v>
      </c>
      <c r="B25" s="19">
        <f>'FRIT FV 090.540 - FTA'!B24</f>
        <v>46250</v>
      </c>
      <c r="C25" s="19" t="s">
        <v>141</v>
      </c>
      <c r="D25" s="2"/>
      <c r="E25" s="62"/>
      <c r="F25" s="2"/>
      <c r="G25" s="68"/>
      <c r="H25" s="40">
        <f>SUM($F$9:F25)/A25</f>
        <v>0</v>
      </c>
      <c r="I25" s="41">
        <f>SUM($G$9:G25)/A25</f>
        <v>0</v>
      </c>
      <c r="J25" s="20">
        <f t="shared" si="0"/>
        <v>0</v>
      </c>
      <c r="K25" s="22">
        <f t="shared" si="1"/>
        <v>0</v>
      </c>
      <c r="L25" s="187" t="e">
        <f t="shared" si="2"/>
        <v>#DIV/0!</v>
      </c>
      <c r="M25" s="187" t="e">
        <f t="shared" si="3"/>
        <v>#DIV/0!</v>
      </c>
    </row>
    <row r="26" spans="1:13" s="140" customFormat="1" ht="18" customHeight="1">
      <c r="A26" s="185">
        <v>17</v>
      </c>
      <c r="B26" s="19">
        <f>'FRIT FV 090.540 - FTA'!B25</f>
        <v>46251</v>
      </c>
      <c r="C26" s="19" t="s">
        <v>141</v>
      </c>
      <c r="D26" s="2"/>
      <c r="E26" s="62"/>
      <c r="F26" s="2"/>
      <c r="G26" s="68"/>
      <c r="H26" s="40">
        <f>SUM($F$9:F26)/A26</f>
        <v>0</v>
      </c>
      <c r="I26" s="41">
        <f>SUM($G$9:G26)/A26</f>
        <v>0</v>
      </c>
      <c r="J26" s="20">
        <f t="shared" si="0"/>
        <v>0</v>
      </c>
      <c r="K26" s="22">
        <f t="shared" si="1"/>
        <v>0</v>
      </c>
      <c r="L26" s="187" t="e">
        <f t="shared" si="2"/>
        <v>#DIV/0!</v>
      </c>
      <c r="M26" s="187" t="e">
        <f t="shared" si="3"/>
        <v>#DIV/0!</v>
      </c>
    </row>
    <row r="27" spans="1:13" s="140" customFormat="1" ht="18" customHeight="1">
      <c r="A27" s="185">
        <v>18</v>
      </c>
      <c r="B27" s="19">
        <f>'FRIT FV 090.540 - FTA'!B26</f>
        <v>46252</v>
      </c>
      <c r="C27" s="19" t="s">
        <v>60</v>
      </c>
      <c r="D27" s="2"/>
      <c r="E27" s="62"/>
      <c r="F27" s="2"/>
      <c r="G27" s="2"/>
      <c r="H27" s="40">
        <f>SUM($F$9:F27)/A27</f>
        <v>0</v>
      </c>
      <c r="I27" s="41">
        <f>SUM($G$9:G27)/A27</f>
        <v>0</v>
      </c>
      <c r="J27" s="20">
        <f t="shared" si="0"/>
        <v>0</v>
      </c>
      <c r="K27" s="22">
        <f t="shared" si="1"/>
        <v>0</v>
      </c>
      <c r="L27" s="187" t="e">
        <f t="shared" si="2"/>
        <v>#DIV/0!</v>
      </c>
      <c r="M27" s="187" t="e">
        <f t="shared" si="3"/>
        <v>#DIV/0!</v>
      </c>
    </row>
    <row r="28" spans="1:13" s="140" customFormat="1" ht="18" customHeight="1">
      <c r="A28" s="185">
        <v>19</v>
      </c>
      <c r="B28" s="19">
        <f>'FRIT FV 090.540 - FTA'!B27</f>
        <v>46253</v>
      </c>
      <c r="C28" s="19" t="s">
        <v>141</v>
      </c>
      <c r="D28" s="2"/>
      <c r="E28" s="62"/>
      <c r="F28" s="2"/>
      <c r="G28" s="68"/>
      <c r="H28" s="40">
        <f>SUM($F$9:F28)/A28</f>
        <v>0</v>
      </c>
      <c r="I28" s="41">
        <f>SUM($G$9:G28)/A28</f>
        <v>0</v>
      </c>
      <c r="J28" s="20">
        <f t="shared" si="0"/>
        <v>0</v>
      </c>
      <c r="K28" s="22">
        <f t="shared" si="1"/>
        <v>0</v>
      </c>
      <c r="L28" s="187" t="e">
        <f t="shared" si="2"/>
        <v>#DIV/0!</v>
      </c>
      <c r="M28" s="187" t="e">
        <f t="shared" si="3"/>
        <v>#DIV/0!</v>
      </c>
    </row>
    <row r="29" spans="1:13" s="140" customFormat="1" ht="18" customHeight="1">
      <c r="A29" s="185">
        <v>20</v>
      </c>
      <c r="B29" s="19">
        <f>'FRIT FV 090.540 - FTA'!B28</f>
        <v>46254</v>
      </c>
      <c r="C29" s="19" t="s">
        <v>141</v>
      </c>
      <c r="D29" s="2"/>
      <c r="E29" s="62"/>
      <c r="F29" s="2"/>
      <c r="G29" s="68"/>
      <c r="H29" s="40">
        <f>SUM($F$9:F29)/A29</f>
        <v>0</v>
      </c>
      <c r="I29" s="41">
        <f>SUM($G$9:G29)/A29</f>
        <v>0</v>
      </c>
      <c r="J29" s="20">
        <f t="shared" si="0"/>
        <v>0</v>
      </c>
      <c r="K29" s="22">
        <f t="shared" si="1"/>
        <v>0</v>
      </c>
      <c r="L29" s="187" t="e">
        <f t="shared" si="2"/>
        <v>#DIV/0!</v>
      </c>
      <c r="M29" s="187" t="e">
        <f t="shared" si="3"/>
        <v>#DIV/0!</v>
      </c>
    </row>
    <row r="30" spans="1:13" s="140" customFormat="1" ht="18" customHeight="1">
      <c r="A30" s="185">
        <v>21</v>
      </c>
      <c r="B30" s="19">
        <f>'FRIT FV 090.540 - FTA'!B29</f>
        <v>46255</v>
      </c>
      <c r="C30" s="19" t="s">
        <v>141</v>
      </c>
      <c r="D30" s="2"/>
      <c r="E30" s="62"/>
      <c r="F30" s="2"/>
      <c r="G30" s="68"/>
      <c r="H30" s="40">
        <f>SUM($F$9:F30)/A30</f>
        <v>0</v>
      </c>
      <c r="I30" s="41">
        <f>SUM($G$9:G30)/A30</f>
        <v>0</v>
      </c>
      <c r="J30" s="20">
        <f t="shared" si="0"/>
        <v>0</v>
      </c>
      <c r="K30" s="22">
        <f t="shared" si="1"/>
        <v>0</v>
      </c>
      <c r="L30" s="187" t="e">
        <f t="shared" si="2"/>
        <v>#DIV/0!</v>
      </c>
      <c r="M30" s="187" t="e">
        <f t="shared" si="3"/>
        <v>#DIV/0!</v>
      </c>
    </row>
    <row r="31" spans="1:13" s="140" customFormat="1" ht="18" customHeight="1">
      <c r="A31" s="185">
        <v>22</v>
      </c>
      <c r="B31" s="19">
        <f>'FRIT FV 090.540 - FTA'!B30</f>
        <v>46256</v>
      </c>
      <c r="C31" s="19" t="s">
        <v>141</v>
      </c>
      <c r="D31" s="2"/>
      <c r="E31" s="62"/>
      <c r="F31" s="2"/>
      <c r="G31" s="68"/>
      <c r="H31" s="40">
        <f>SUM($F$9:F31)/A31</f>
        <v>0</v>
      </c>
      <c r="I31" s="41">
        <f>SUM($G$9:G31)/A31</f>
        <v>0</v>
      </c>
      <c r="J31" s="20">
        <f t="shared" si="0"/>
        <v>0</v>
      </c>
      <c r="K31" s="22">
        <f t="shared" si="1"/>
        <v>0</v>
      </c>
      <c r="L31" s="187" t="e">
        <f t="shared" si="2"/>
        <v>#DIV/0!</v>
      </c>
      <c r="M31" s="187" t="e">
        <f t="shared" si="3"/>
        <v>#DIV/0!</v>
      </c>
    </row>
    <row r="32" spans="1:13" s="140" customFormat="1" ht="18" customHeight="1">
      <c r="A32" s="185">
        <v>23</v>
      </c>
      <c r="B32" s="19">
        <f>'FRIT FV 090.540 - FTA'!B31</f>
        <v>46257</v>
      </c>
      <c r="C32" s="19" t="s">
        <v>141</v>
      </c>
      <c r="D32" s="2"/>
      <c r="E32" s="62"/>
      <c r="F32" s="2"/>
      <c r="G32" s="68"/>
      <c r="H32" s="40">
        <f>SUM($F$9:F32)/A32</f>
        <v>0</v>
      </c>
      <c r="I32" s="41">
        <f>SUM($G$9:G32)/A32</f>
        <v>0</v>
      </c>
      <c r="J32" s="20">
        <f t="shared" si="0"/>
        <v>0</v>
      </c>
      <c r="K32" s="22">
        <f t="shared" si="1"/>
        <v>0</v>
      </c>
      <c r="L32" s="187" t="e">
        <f t="shared" si="2"/>
        <v>#DIV/0!</v>
      </c>
      <c r="M32" s="187" t="e">
        <f t="shared" si="3"/>
        <v>#DIV/0!</v>
      </c>
    </row>
    <row r="33" spans="1:13" s="140" customFormat="1" ht="18" customHeight="1">
      <c r="A33" s="185">
        <v>24</v>
      </c>
      <c r="B33" s="19">
        <f>'FRIT FV 090.540 - FTA'!B32</f>
        <v>46258</v>
      </c>
      <c r="C33" s="19" t="s">
        <v>141</v>
      </c>
      <c r="D33" s="2"/>
      <c r="E33" s="62"/>
      <c r="F33" s="2"/>
      <c r="G33" s="68"/>
      <c r="H33" s="40">
        <f>SUM($F$9:F33)/A33</f>
        <v>0</v>
      </c>
      <c r="I33" s="41">
        <f>SUM($G$9:G33)/A33</f>
        <v>0</v>
      </c>
      <c r="J33" s="20">
        <f t="shared" si="0"/>
        <v>0</v>
      </c>
      <c r="K33" s="22">
        <f t="shared" si="1"/>
        <v>0</v>
      </c>
      <c r="L33" s="187" t="e">
        <f t="shared" si="2"/>
        <v>#DIV/0!</v>
      </c>
      <c r="M33" s="187" t="e">
        <f t="shared" si="3"/>
        <v>#DIV/0!</v>
      </c>
    </row>
    <row r="34" spans="1:13" s="140" customFormat="1" ht="18" customHeight="1">
      <c r="A34" s="185">
        <v>25</v>
      </c>
      <c r="B34" s="19">
        <f>'FRIT FV 090.540 - FTA'!B33</f>
        <v>46259</v>
      </c>
      <c r="C34" s="19" t="s">
        <v>141</v>
      </c>
      <c r="D34" s="2"/>
      <c r="E34" s="62"/>
      <c r="F34" s="2"/>
      <c r="G34" s="121"/>
      <c r="H34" s="40">
        <f>SUM($F$9:F34)/A34</f>
        <v>0</v>
      </c>
      <c r="I34" s="41">
        <f>SUM($G$9:G34)/A34</f>
        <v>0</v>
      </c>
      <c r="J34" s="20">
        <f t="shared" si="0"/>
        <v>0</v>
      </c>
      <c r="K34" s="22">
        <f t="shared" si="1"/>
        <v>0</v>
      </c>
      <c r="L34" s="187" t="e">
        <f t="shared" si="2"/>
        <v>#DIV/0!</v>
      </c>
      <c r="M34" s="187" t="e">
        <f t="shared" si="3"/>
        <v>#DIV/0!</v>
      </c>
    </row>
    <row r="35" spans="1:13" s="140" customFormat="1" ht="18" customHeight="1">
      <c r="A35" s="185">
        <v>26</v>
      </c>
      <c r="B35" s="19">
        <f>'FRIT FV 090.540 - FTA'!B34</f>
        <v>46260</v>
      </c>
      <c r="C35" s="19" t="s">
        <v>141</v>
      </c>
      <c r="D35" s="2"/>
      <c r="E35" s="62"/>
      <c r="F35" s="2"/>
      <c r="G35" s="121"/>
      <c r="H35" s="40">
        <f>SUM($F$9:F35)/A35</f>
        <v>0</v>
      </c>
      <c r="I35" s="41">
        <f>SUM($G$9:G35)/A35</f>
        <v>0</v>
      </c>
      <c r="J35" s="20">
        <f t="shared" si="0"/>
        <v>0</v>
      </c>
      <c r="K35" s="22">
        <f t="shared" si="1"/>
        <v>0</v>
      </c>
      <c r="L35" s="187" t="e">
        <f t="shared" si="2"/>
        <v>#DIV/0!</v>
      </c>
      <c r="M35" s="187" t="e">
        <f t="shared" si="3"/>
        <v>#DIV/0!</v>
      </c>
    </row>
    <row r="36" spans="1:13" s="140" customFormat="1" ht="18" customHeight="1">
      <c r="A36" s="185">
        <v>27</v>
      </c>
      <c r="B36" s="19">
        <f>'FRIT FV 090.540 - FTA'!B35</f>
        <v>46261</v>
      </c>
      <c r="C36" s="19" t="s">
        <v>141</v>
      </c>
      <c r="D36" s="2"/>
      <c r="E36" s="62"/>
      <c r="F36" s="2"/>
      <c r="G36" s="121"/>
      <c r="H36" s="40">
        <f>SUM($F$9:F36)/A36</f>
        <v>0</v>
      </c>
      <c r="I36" s="41">
        <f>SUM($G$9:G36)/A36</f>
        <v>0</v>
      </c>
      <c r="J36" s="20">
        <f t="shared" si="0"/>
        <v>0</v>
      </c>
      <c r="K36" s="22">
        <f t="shared" si="1"/>
        <v>0</v>
      </c>
      <c r="L36" s="187" t="e">
        <f t="shared" si="2"/>
        <v>#DIV/0!</v>
      </c>
      <c r="M36" s="187" t="e">
        <f t="shared" si="3"/>
        <v>#DIV/0!</v>
      </c>
    </row>
    <row r="37" spans="1:13" s="140" customFormat="1" ht="18" customHeight="1">
      <c r="A37" s="185">
        <v>28</v>
      </c>
      <c r="B37" s="19">
        <f>'FRIT FV 090.540 - FTA'!B36</f>
        <v>46262</v>
      </c>
      <c r="C37" s="19" t="s">
        <v>141</v>
      </c>
      <c r="D37" s="2"/>
      <c r="E37" s="62"/>
      <c r="F37" s="2"/>
      <c r="G37" s="121"/>
      <c r="H37" s="40">
        <f>SUM($F$9:F37)/A37</f>
        <v>0</v>
      </c>
      <c r="I37" s="41">
        <f>SUM($G$9:G37)/A37</f>
        <v>0</v>
      </c>
      <c r="J37" s="20">
        <f t="shared" si="0"/>
        <v>0</v>
      </c>
      <c r="K37" s="22">
        <f t="shared" si="1"/>
        <v>0</v>
      </c>
      <c r="L37" s="187" t="e">
        <f t="shared" si="2"/>
        <v>#DIV/0!</v>
      </c>
      <c r="M37" s="187" t="e">
        <f t="shared" si="3"/>
        <v>#DIV/0!</v>
      </c>
    </row>
    <row r="38" spans="1:13" s="140" customFormat="1" ht="18" customHeight="1">
      <c r="A38" s="185">
        <v>29</v>
      </c>
      <c r="B38" s="19">
        <f>'FRIT FV 090.540 - FTA'!B37</f>
        <v>46263</v>
      </c>
      <c r="C38" s="19" t="s">
        <v>141</v>
      </c>
      <c r="D38" s="2"/>
      <c r="E38" s="62"/>
      <c r="F38" s="2"/>
      <c r="G38" s="121"/>
      <c r="H38" s="40">
        <f>SUM($F$9:F38)/A38</f>
        <v>0</v>
      </c>
      <c r="I38" s="41">
        <f>SUM($G$9:G38)/A38</f>
        <v>0</v>
      </c>
      <c r="J38" s="20">
        <f t="shared" si="0"/>
        <v>0</v>
      </c>
      <c r="K38" s="22">
        <f t="shared" si="1"/>
        <v>0</v>
      </c>
      <c r="L38" s="187" t="e">
        <f t="shared" si="2"/>
        <v>#DIV/0!</v>
      </c>
      <c r="M38" s="187" t="e">
        <f t="shared" si="3"/>
        <v>#DIV/0!</v>
      </c>
    </row>
    <row r="39" spans="1:13" s="140" customFormat="1" ht="18" customHeight="1">
      <c r="A39" s="185">
        <v>30</v>
      </c>
      <c r="B39" s="19">
        <f>'FRIT FV 090.540 - FTA'!B38</f>
        <v>46264</v>
      </c>
      <c r="C39" s="19" t="s">
        <v>60</v>
      </c>
      <c r="D39" s="68"/>
      <c r="E39" s="62"/>
      <c r="F39" s="2"/>
      <c r="G39" s="121"/>
      <c r="H39" s="40">
        <f>SUM($F$9:F39)/A39</f>
        <v>0</v>
      </c>
      <c r="I39" s="41">
        <f>SUM($G$9:G39)/A39</f>
        <v>0</v>
      </c>
      <c r="J39" s="20">
        <f t="shared" si="0"/>
        <v>0</v>
      </c>
      <c r="K39" s="22">
        <f t="shared" si="1"/>
        <v>0</v>
      </c>
      <c r="L39" s="187" t="e">
        <f t="shared" si="2"/>
        <v>#DIV/0!</v>
      </c>
      <c r="M39" s="187" t="e">
        <f t="shared" si="3"/>
        <v>#DIV/0!</v>
      </c>
    </row>
    <row r="40" spans="1:13" s="140" customFormat="1" ht="18" customHeight="1">
      <c r="A40" s="185">
        <v>31</v>
      </c>
      <c r="B40" s="19">
        <f>'FRIT FV 090.540 - FTA'!B39</f>
        <v>46265</v>
      </c>
      <c r="C40" s="19" t="s">
        <v>141</v>
      </c>
      <c r="D40" s="68"/>
      <c r="E40" s="62"/>
      <c r="F40" s="2"/>
      <c r="G40" s="121"/>
      <c r="H40" s="40">
        <f>SUM($F$9:F40)/A40</f>
        <v>0</v>
      </c>
      <c r="I40" s="41">
        <f>SUM($G$9:G40)/A40</f>
        <v>0</v>
      </c>
      <c r="J40" s="20">
        <f t="shared" si="0"/>
        <v>0</v>
      </c>
      <c r="K40" s="22">
        <f t="shared" si="1"/>
        <v>0</v>
      </c>
      <c r="L40" s="187" t="e">
        <f t="shared" si="2"/>
        <v>#DIV/0!</v>
      </c>
      <c r="M40" s="187" t="e">
        <f t="shared" si="3"/>
        <v>#DIV/0!</v>
      </c>
    </row>
    <row r="41" spans="1:13" s="32" customFormat="1" ht="18" customHeight="1">
      <c r="A41" s="1526" t="s">
        <v>29</v>
      </c>
      <c r="B41" s="1527"/>
      <c r="C41" s="1528"/>
      <c r="D41" s="28">
        <f>SUM(D10:D40)</f>
        <v>0</v>
      </c>
      <c r="E41" s="28">
        <f>SUM(E10:E40)</f>
        <v>0</v>
      </c>
      <c r="F41" s="30">
        <f>SUM(F10:F40)</f>
        <v>0</v>
      </c>
      <c r="G41" s="30">
        <f>SUM(G10:G40)</f>
        <v>0</v>
      </c>
      <c r="H41" s="30"/>
      <c r="I41" s="30"/>
      <c r="J41" s="30">
        <f>J40</f>
        <v>0</v>
      </c>
      <c r="K41" s="33">
        <f>K40</f>
        <v>0</v>
      </c>
      <c r="L41" s="31"/>
      <c r="M41" s="31"/>
    </row>
    <row r="42" spans="1:13" s="32" customFormat="1" ht="18" customHeight="1">
      <c r="A42" s="1526" t="s">
        <v>15</v>
      </c>
      <c r="B42" s="1527"/>
      <c r="C42" s="1528"/>
      <c r="D42" s="28">
        <f>D9+D41</f>
        <v>0</v>
      </c>
      <c r="E42" s="28">
        <f>E9+E41</f>
        <v>0</v>
      </c>
      <c r="F42" s="30">
        <f>F9+F41</f>
        <v>0</v>
      </c>
      <c r="G42" s="30">
        <f>G9+G41</f>
        <v>0</v>
      </c>
      <c r="H42" s="30"/>
      <c r="I42" s="30"/>
      <c r="J42" s="30">
        <f>D42-F42</f>
        <v>0</v>
      </c>
      <c r="K42" s="30">
        <f>E42-G42</f>
        <v>0</v>
      </c>
      <c r="L42" s="31"/>
      <c r="M42" s="31"/>
    </row>
    <row r="43" spans="1:13" ht="23.25" customHeight="1">
      <c r="A43" s="5"/>
      <c r="B43" s="5"/>
      <c r="C43" s="5"/>
      <c r="D43" s="7"/>
      <c r="E43" s="7"/>
      <c r="F43" s="24"/>
      <c r="G43" s="24"/>
      <c r="H43" s="7"/>
      <c r="I43" s="7"/>
    </row>
    <row r="44" spans="1:13">
      <c r="F44" s="24"/>
      <c r="G44" s="24"/>
      <c r="K44" s="101" t="s">
        <v>13</v>
      </c>
    </row>
    <row r="45" spans="1:13">
      <c r="K45" s="102"/>
    </row>
    <row r="46" spans="1:13">
      <c r="K46" s="102"/>
    </row>
    <row r="47" spans="1:13">
      <c r="K47" s="102"/>
    </row>
    <row r="48" spans="1:13">
      <c r="K48" s="101" t="s">
        <v>98</v>
      </c>
    </row>
  </sheetData>
  <mergeCells count="12">
    <mergeCell ref="F7:G7"/>
    <mergeCell ref="H7:I7"/>
    <mergeCell ref="J7:K7"/>
    <mergeCell ref="A3:I3"/>
    <mergeCell ref="L7:M7"/>
    <mergeCell ref="A42:C42"/>
    <mergeCell ref="A7:A8"/>
    <mergeCell ref="B7:B8"/>
    <mergeCell ref="C7:C8"/>
    <mergeCell ref="D7:E7"/>
    <mergeCell ref="A9:C9"/>
    <mergeCell ref="A41:C41"/>
  </mergeCells>
  <conditionalFormatting sqref="M10:M40">
    <cfRule type="cellIs" dxfId="12531" priority="1" operator="between">
      <formula>3</formula>
      <formula>6</formula>
    </cfRule>
    <cfRule type="cellIs" dxfId="12530" priority="2" operator="lessThan">
      <formula>3</formula>
    </cfRule>
    <cfRule type="cellIs" dxfId="12529" priority="3" operator="greaterThan">
      <formula>6</formula>
    </cfRule>
  </conditionalFormatting>
  <hyperlinks>
    <hyperlink ref="M6" location="'Tong hop T11.2019'!A1" display="TH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L47"/>
  <sheetViews>
    <sheetView zoomScale="80" zoomScaleNormal="80" workbookViewId="0">
      <pane ySplit="8" topLeftCell="A18" activePane="bottomLeft" state="frozen"/>
      <selection pane="bottomLeft" activeCell="K15" sqref="K15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9" style="42" customWidth="1"/>
    <col min="4" max="4" width="19.28515625" style="6" customWidth="1"/>
    <col min="5" max="5" width="17.85546875" style="6" customWidth="1"/>
    <col min="6" max="6" width="16.28515625" style="6" customWidth="1"/>
    <col min="7" max="7" width="13.42578125" style="6" customWidth="1"/>
    <col min="8" max="8" width="19.28515625" style="42" customWidth="1"/>
    <col min="9" max="9" width="14.5703125" style="42" customWidth="1"/>
    <col min="10" max="16384" width="9.28515625" style="42"/>
  </cols>
  <sheetData>
    <row r="1" spans="1:12" s="143" customFormat="1" ht="18" customHeight="1">
      <c r="A1" s="146" t="e">
        <f>'FRIT FV 090.540 - FTA'!#REF!</f>
        <v>#REF!</v>
      </c>
      <c r="B1" s="146"/>
      <c r="C1" s="146"/>
      <c r="D1" s="146"/>
      <c r="E1" s="146"/>
      <c r="F1" s="146"/>
      <c r="G1" s="142"/>
      <c r="H1" s="142"/>
      <c r="I1" s="142"/>
      <c r="J1" s="142"/>
      <c r="K1" s="142"/>
    </row>
    <row r="2" spans="1:12" s="143" customFormat="1" ht="18" customHeight="1">
      <c r="A2" s="146" t="e">
        <f>'FRIT FV 090.540 - FTA'!#REF!</f>
        <v>#REF!</v>
      </c>
      <c r="B2" s="146"/>
      <c r="C2" s="146"/>
      <c r="D2" s="144"/>
      <c r="E2" s="144"/>
      <c r="F2" s="144"/>
      <c r="G2" s="142"/>
      <c r="H2" s="142"/>
      <c r="I2" s="197" t="e">
        <f>'FRIT FV 090.540 - FTA'!#REF!</f>
        <v>#REF!</v>
      </c>
      <c r="J2" s="142"/>
      <c r="L2" s="142"/>
    </row>
    <row r="3" spans="1:12" ht="22.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</row>
    <row r="4" spans="1:12" ht="21.75" customHeight="1">
      <c r="D4" s="134" t="s">
        <v>33</v>
      </c>
      <c r="E4" s="67" t="s">
        <v>145</v>
      </c>
      <c r="G4" s="6" t="s">
        <v>114</v>
      </c>
      <c r="H4" s="137" t="s">
        <v>119</v>
      </c>
    </row>
    <row r="5" spans="1:12" s="8" customFormat="1" ht="21.75" customHeight="1">
      <c r="B5" s="8" t="e">
        <f>'FRIT FV 090.540 - FTA'!#REF!</f>
        <v>#REF!</v>
      </c>
      <c r="C5" s="8" t="e">
        <f>'FRIT FV 090.540 - FTA'!#REF!</f>
        <v>#REF!</v>
      </c>
      <c r="D5" s="8" t="e">
        <f>'FRIT FV 090.540 - FTA'!#REF!</f>
        <v>#REF!</v>
      </c>
      <c r="E5" s="8" t="e">
        <f>'FRIT FV 090.540 - FTA'!#REF!</f>
        <v>#REF!</v>
      </c>
      <c r="F5" s="8" t="e">
        <f>'FRIT FV 090.540 - FTA'!#REF!</f>
        <v>#REF!</v>
      </c>
      <c r="G5" s="8" t="e">
        <f>'FRIT FV 090.540 - FTA'!#REF!</f>
        <v>#REF!</v>
      </c>
      <c r="H5" s="8" t="e">
        <f>'FRIT FV 090.540 - FTA'!#REF!</f>
        <v>#REF!</v>
      </c>
      <c r="I5" s="8" t="e">
        <f>'FRIT FV 090.540 - FTA'!#REF!</f>
        <v>#REF!</v>
      </c>
    </row>
    <row r="6" spans="1:12" ht="22.5" customHeight="1">
      <c r="E6" s="10"/>
      <c r="F6" s="10"/>
      <c r="H6" s="12" t="s">
        <v>40</v>
      </c>
      <c r="I6" s="135" t="s">
        <v>149</v>
      </c>
    </row>
    <row r="7" spans="1:12" s="13" customFormat="1" ht="40.5" customHeight="1">
      <c r="A7" s="87" t="s">
        <v>2</v>
      </c>
      <c r="B7" s="89" t="s">
        <v>1</v>
      </c>
      <c r="C7" s="88" t="s">
        <v>24</v>
      </c>
      <c r="D7" s="91" t="s">
        <v>27</v>
      </c>
      <c r="E7" s="91" t="s">
        <v>31</v>
      </c>
      <c r="F7" s="90" t="s">
        <v>28</v>
      </c>
      <c r="G7" s="91" t="s">
        <v>14</v>
      </c>
      <c r="H7" s="90" t="s">
        <v>30</v>
      </c>
      <c r="I7" s="90" t="s">
        <v>101</v>
      </c>
    </row>
    <row r="8" spans="1:12" s="13" customFormat="1" ht="25.5" customHeight="1">
      <c r="A8" s="1514" t="s">
        <v>3</v>
      </c>
      <c r="B8" s="1515"/>
      <c r="C8" s="1516"/>
      <c r="D8" s="74">
        <f>G8</f>
        <v>0</v>
      </c>
      <c r="E8" s="43"/>
      <c r="F8" s="43"/>
      <c r="G8" s="92">
        <v>0</v>
      </c>
      <c r="H8" s="58"/>
      <c r="I8" s="58"/>
    </row>
    <row r="9" spans="1:12" s="13" customFormat="1" ht="20.25" customHeight="1">
      <c r="A9" s="18">
        <v>1</v>
      </c>
      <c r="B9" s="19">
        <f>'FRIT FV 090.540 - FTA'!B9</f>
        <v>46235</v>
      </c>
      <c r="C9" s="77" t="s">
        <v>106</v>
      </c>
      <c r="D9" s="3"/>
      <c r="E9" s="3"/>
      <c r="F9" s="41">
        <f>(SUM($E$8:E9)/A9)</f>
        <v>0</v>
      </c>
      <c r="G9" s="93">
        <f>G8+D9-E9</f>
        <v>0</v>
      </c>
      <c r="H9" s="82" t="e">
        <f t="shared" ref="H9:H39" si="0">G9/F9</f>
        <v>#DIV/0!</v>
      </c>
      <c r="I9" s="21"/>
    </row>
    <row r="10" spans="1:12" s="13" customFormat="1" ht="20.25" customHeight="1">
      <c r="A10" s="18">
        <v>2</v>
      </c>
      <c r="B10" s="19">
        <f>'FRIT FV 090.540 - FTA'!B10</f>
        <v>46236</v>
      </c>
      <c r="C10" s="77" t="s">
        <v>106</v>
      </c>
      <c r="D10" s="3"/>
      <c r="E10" s="3"/>
      <c r="F10" s="41">
        <f>(SUM($E$8:E10)/A10)</f>
        <v>0</v>
      </c>
      <c r="G10" s="93">
        <f t="shared" ref="G10:G37" si="1">G9+D10-E10</f>
        <v>0</v>
      </c>
      <c r="H10" s="82" t="e">
        <f t="shared" si="0"/>
        <v>#DIV/0!</v>
      </c>
      <c r="I10" s="21"/>
    </row>
    <row r="11" spans="1:12" s="13" customFormat="1" ht="20.25" customHeight="1">
      <c r="A11" s="18">
        <v>3</v>
      </c>
      <c r="B11" s="19">
        <f>'FRIT FV 090.540 - FTA'!B11</f>
        <v>46237</v>
      </c>
      <c r="C11" s="77" t="s">
        <v>60</v>
      </c>
      <c r="D11" s="3"/>
      <c r="E11" s="3"/>
      <c r="F11" s="41">
        <f>(SUM($E$8:E11)/A11)</f>
        <v>0</v>
      </c>
      <c r="G11" s="93">
        <f t="shared" si="1"/>
        <v>0</v>
      </c>
      <c r="H11" s="83" t="e">
        <f t="shared" si="0"/>
        <v>#DIV/0!</v>
      </c>
      <c r="I11" s="21"/>
    </row>
    <row r="12" spans="1:12" s="23" customFormat="1" ht="20.25" customHeight="1">
      <c r="A12" s="18">
        <v>4</v>
      </c>
      <c r="B12" s="19">
        <f>'FRIT FV 090.540 - FTA'!B12</f>
        <v>46238</v>
      </c>
      <c r="C12" s="77" t="s">
        <v>106</v>
      </c>
      <c r="D12" s="3"/>
      <c r="E12" s="3"/>
      <c r="F12" s="41">
        <f>(SUM($E$8:E12)/A12)</f>
        <v>0</v>
      </c>
      <c r="G12" s="93">
        <f t="shared" si="1"/>
        <v>0</v>
      </c>
      <c r="H12" s="83" t="e">
        <f t="shared" si="0"/>
        <v>#DIV/0!</v>
      </c>
      <c r="I12" s="21"/>
    </row>
    <row r="13" spans="1:12" s="23" customFormat="1" ht="20.25" customHeight="1">
      <c r="A13" s="18">
        <v>5</v>
      </c>
      <c r="B13" s="19">
        <f>'FRIT FV 090.540 - FTA'!B13</f>
        <v>46239</v>
      </c>
      <c r="C13" s="77" t="s">
        <v>106</v>
      </c>
      <c r="D13" s="3"/>
      <c r="E13" s="3"/>
      <c r="F13" s="41">
        <f>(SUM($E$8:E13)/A13)</f>
        <v>0</v>
      </c>
      <c r="G13" s="93">
        <f t="shared" si="1"/>
        <v>0</v>
      </c>
      <c r="H13" s="83" t="e">
        <f t="shared" si="0"/>
        <v>#DIV/0!</v>
      </c>
      <c r="I13" s="21"/>
    </row>
    <row r="14" spans="1:12" s="23" customFormat="1" ht="20.25" customHeight="1">
      <c r="A14" s="18">
        <v>6</v>
      </c>
      <c r="B14" s="19">
        <f>'FRIT FV 090.540 - FTA'!B14</f>
        <v>46240</v>
      </c>
      <c r="C14" s="77" t="s">
        <v>106</v>
      </c>
      <c r="D14" s="3"/>
      <c r="E14" s="3"/>
      <c r="F14" s="41">
        <f>(SUM($E$8:E14)/A14)</f>
        <v>0</v>
      </c>
      <c r="G14" s="93">
        <f t="shared" si="1"/>
        <v>0</v>
      </c>
      <c r="H14" s="83" t="e">
        <f t="shared" si="0"/>
        <v>#DIV/0!</v>
      </c>
      <c r="I14" s="21"/>
    </row>
    <row r="15" spans="1:12" s="23" customFormat="1" ht="20.25" customHeight="1">
      <c r="A15" s="201">
        <v>7</v>
      </c>
      <c r="B15" s="202">
        <f>'FRIT FV 090.540 - FTA'!B15</f>
        <v>46241</v>
      </c>
      <c r="C15" s="77" t="s">
        <v>106</v>
      </c>
      <c r="D15" s="3"/>
      <c r="E15" s="3"/>
      <c r="F15" s="41">
        <f>(SUM($E$8:E15)/A15)</f>
        <v>0</v>
      </c>
      <c r="G15" s="93">
        <f t="shared" si="1"/>
        <v>0</v>
      </c>
      <c r="H15" s="83" t="e">
        <f t="shared" si="0"/>
        <v>#DIV/0!</v>
      </c>
      <c r="I15" s="21"/>
    </row>
    <row r="16" spans="1:12" s="23" customFormat="1" ht="20.25" customHeight="1">
      <c r="A16" s="18">
        <v>8</v>
      </c>
      <c r="B16" s="19">
        <f>'FRIT FV 090.540 - FTA'!B16</f>
        <v>46242</v>
      </c>
      <c r="C16" s="77" t="s">
        <v>106</v>
      </c>
      <c r="D16" s="3"/>
      <c r="E16" s="3"/>
      <c r="F16" s="41">
        <f>(SUM($E$8:E16)/A16)</f>
        <v>0</v>
      </c>
      <c r="G16" s="93">
        <f t="shared" si="1"/>
        <v>0</v>
      </c>
      <c r="H16" s="83" t="e">
        <f t="shared" si="0"/>
        <v>#DIV/0!</v>
      </c>
      <c r="I16" s="21"/>
    </row>
    <row r="17" spans="1:9" s="23" customFormat="1" ht="20.25" customHeight="1">
      <c r="A17" s="18">
        <v>9</v>
      </c>
      <c r="B17" s="19">
        <f>'FRIT FV 090.540 - FTA'!B17</f>
        <v>46243</v>
      </c>
      <c r="C17" s="77" t="s">
        <v>106</v>
      </c>
      <c r="D17" s="3"/>
      <c r="E17" s="3"/>
      <c r="F17" s="41">
        <f>(SUM($E$8:E17)/A17)</f>
        <v>0</v>
      </c>
      <c r="G17" s="93">
        <f t="shared" si="1"/>
        <v>0</v>
      </c>
      <c r="H17" s="83" t="e">
        <f t="shared" si="0"/>
        <v>#DIV/0!</v>
      </c>
      <c r="I17" s="21"/>
    </row>
    <row r="18" spans="1:9" s="23" customFormat="1" ht="20.25" customHeight="1">
      <c r="A18" s="18">
        <v>10</v>
      </c>
      <c r="B18" s="19">
        <f>'FRIT FV 090.540 - FTA'!B18</f>
        <v>46244</v>
      </c>
      <c r="C18" s="77" t="s">
        <v>106</v>
      </c>
      <c r="D18" s="3"/>
      <c r="E18" s="3"/>
      <c r="F18" s="41">
        <f>(SUM($E$8:E18)/A18)</f>
        <v>0</v>
      </c>
      <c r="G18" s="93">
        <f t="shared" si="1"/>
        <v>0</v>
      </c>
      <c r="H18" s="83" t="e">
        <f t="shared" si="0"/>
        <v>#DIV/0!</v>
      </c>
      <c r="I18" s="21"/>
    </row>
    <row r="19" spans="1:9" s="23" customFormat="1" ht="20.25" customHeight="1">
      <c r="A19" s="18">
        <v>11</v>
      </c>
      <c r="B19" s="19">
        <f>'FRIT FV 090.540 - FTA'!B19</f>
        <v>46245</v>
      </c>
      <c r="C19" s="77" t="s">
        <v>106</v>
      </c>
      <c r="D19" s="3"/>
      <c r="E19" s="3"/>
      <c r="F19" s="41">
        <f>(SUM($E$8:E19)/A19)</f>
        <v>0</v>
      </c>
      <c r="G19" s="93">
        <f t="shared" si="1"/>
        <v>0</v>
      </c>
      <c r="H19" s="83" t="e">
        <f t="shared" si="0"/>
        <v>#DIV/0!</v>
      </c>
      <c r="I19" s="21"/>
    </row>
    <row r="20" spans="1:9" s="23" customFormat="1" ht="20.25" customHeight="1">
      <c r="A20" s="18">
        <v>12</v>
      </c>
      <c r="B20" s="19">
        <f>'FRIT FV 090.540 - FTA'!B20</f>
        <v>46246</v>
      </c>
      <c r="C20" s="77" t="s">
        <v>106</v>
      </c>
      <c r="D20" s="3"/>
      <c r="E20" s="3"/>
      <c r="F20" s="41">
        <f>(SUM($E$8:E20)/A20)</f>
        <v>0</v>
      </c>
      <c r="G20" s="93">
        <f t="shared" si="1"/>
        <v>0</v>
      </c>
      <c r="H20" s="83" t="e">
        <f t="shared" si="0"/>
        <v>#DIV/0!</v>
      </c>
      <c r="I20" s="21"/>
    </row>
    <row r="21" spans="1:9" s="23" customFormat="1" ht="20.25" customHeight="1">
      <c r="A21" s="18">
        <v>13</v>
      </c>
      <c r="B21" s="19">
        <f>'FRIT FV 090.540 - FTA'!B21</f>
        <v>46247</v>
      </c>
      <c r="C21" s="77" t="s">
        <v>106</v>
      </c>
      <c r="D21" s="3"/>
      <c r="E21" s="3"/>
      <c r="F21" s="41">
        <f>(SUM($E$8:E21)/A21)</f>
        <v>0</v>
      </c>
      <c r="G21" s="93">
        <f t="shared" si="1"/>
        <v>0</v>
      </c>
      <c r="H21" s="83" t="e">
        <f t="shared" si="0"/>
        <v>#DIV/0!</v>
      </c>
      <c r="I21" s="21"/>
    </row>
    <row r="22" spans="1:9" s="23" customFormat="1" ht="20.25" customHeight="1">
      <c r="A22" s="18">
        <v>14</v>
      </c>
      <c r="B22" s="19">
        <f>'FRIT FV 090.540 - FTA'!B22</f>
        <v>46248</v>
      </c>
      <c r="C22" s="77" t="s">
        <v>106</v>
      </c>
      <c r="D22" s="3"/>
      <c r="E22" s="3"/>
      <c r="F22" s="41">
        <f>(SUM($E$8:E22)/A22)</f>
        <v>0</v>
      </c>
      <c r="G22" s="93">
        <f t="shared" si="1"/>
        <v>0</v>
      </c>
      <c r="H22" s="83" t="e">
        <f t="shared" si="0"/>
        <v>#DIV/0!</v>
      </c>
      <c r="I22" s="21"/>
    </row>
    <row r="23" spans="1:9" s="23" customFormat="1" ht="20.25" customHeight="1">
      <c r="A23" s="18">
        <v>15</v>
      </c>
      <c r="B23" s="19">
        <f>'FRIT FV 090.540 - FTA'!B23</f>
        <v>46249</v>
      </c>
      <c r="C23" s="77" t="s">
        <v>106</v>
      </c>
      <c r="D23" s="3"/>
      <c r="E23" s="3"/>
      <c r="F23" s="41">
        <f>(SUM($E$8:E23)/A23)</f>
        <v>0</v>
      </c>
      <c r="G23" s="93">
        <f t="shared" si="1"/>
        <v>0</v>
      </c>
      <c r="H23" s="83" t="e">
        <f t="shared" si="0"/>
        <v>#DIV/0!</v>
      </c>
      <c r="I23" s="21"/>
    </row>
    <row r="24" spans="1:9" s="23" customFormat="1" ht="20.25" customHeight="1">
      <c r="A24" s="18">
        <v>16</v>
      </c>
      <c r="B24" s="19">
        <f>'FRIT FV 090.540 - FTA'!B24</f>
        <v>46250</v>
      </c>
      <c r="C24" s="77" t="s">
        <v>106</v>
      </c>
      <c r="D24" s="3"/>
      <c r="E24" s="3"/>
      <c r="F24" s="41">
        <f>(SUM($E$8:E24)/A24)</f>
        <v>0</v>
      </c>
      <c r="G24" s="93">
        <f t="shared" si="1"/>
        <v>0</v>
      </c>
      <c r="H24" s="83" t="e">
        <f t="shared" si="0"/>
        <v>#DIV/0!</v>
      </c>
      <c r="I24" s="21"/>
    </row>
    <row r="25" spans="1:9" s="23" customFormat="1" ht="20.25" customHeight="1">
      <c r="A25" s="18">
        <v>17</v>
      </c>
      <c r="B25" s="19">
        <f>'FRIT FV 090.540 - FTA'!B25</f>
        <v>46251</v>
      </c>
      <c r="C25" s="77" t="s">
        <v>106</v>
      </c>
      <c r="D25" s="3"/>
      <c r="E25" s="3"/>
      <c r="F25" s="41">
        <f>(SUM($E$8:E25)/A25)</f>
        <v>0</v>
      </c>
      <c r="G25" s="93">
        <f t="shared" si="1"/>
        <v>0</v>
      </c>
      <c r="H25" s="83" t="e">
        <f t="shared" si="0"/>
        <v>#DIV/0!</v>
      </c>
      <c r="I25" s="21"/>
    </row>
    <row r="26" spans="1:9" s="23" customFormat="1" ht="20.25" customHeight="1">
      <c r="A26" s="18">
        <v>18</v>
      </c>
      <c r="B26" s="19">
        <f>'FRIT FV 090.540 - FTA'!B26</f>
        <v>46252</v>
      </c>
      <c r="C26" s="77" t="s">
        <v>106</v>
      </c>
      <c r="D26" s="3"/>
      <c r="E26" s="3"/>
      <c r="F26" s="41">
        <f>(SUM($E$8:E26)/A26)</f>
        <v>0</v>
      </c>
      <c r="G26" s="93">
        <f t="shared" si="1"/>
        <v>0</v>
      </c>
      <c r="H26" s="83" t="e">
        <f t="shared" si="0"/>
        <v>#DIV/0!</v>
      </c>
      <c r="I26" s="21"/>
    </row>
    <row r="27" spans="1:9" s="23" customFormat="1" ht="20.25" customHeight="1">
      <c r="A27" s="18">
        <v>19</v>
      </c>
      <c r="B27" s="19">
        <f>'FRIT FV 090.540 - FTA'!B27</f>
        <v>46253</v>
      </c>
      <c r="C27" s="77" t="s">
        <v>106</v>
      </c>
      <c r="D27" s="3"/>
      <c r="E27" s="3"/>
      <c r="F27" s="41">
        <f>(SUM($E$8:E27)/A27)</f>
        <v>0</v>
      </c>
      <c r="G27" s="93">
        <f t="shared" si="1"/>
        <v>0</v>
      </c>
      <c r="H27" s="83" t="e">
        <f t="shared" si="0"/>
        <v>#DIV/0!</v>
      </c>
      <c r="I27" s="21"/>
    </row>
    <row r="28" spans="1:9" s="23" customFormat="1" ht="20.25" customHeight="1">
      <c r="A28" s="18">
        <v>20</v>
      </c>
      <c r="B28" s="19">
        <f>'FRIT FV 090.540 - FTA'!B28</f>
        <v>46254</v>
      </c>
      <c r="C28" s="77" t="s">
        <v>106</v>
      </c>
      <c r="D28" s="3"/>
      <c r="E28" s="3"/>
      <c r="F28" s="41">
        <f>(SUM($E$8:E28)/A28)</f>
        <v>0</v>
      </c>
      <c r="G28" s="93">
        <f t="shared" si="1"/>
        <v>0</v>
      </c>
      <c r="H28" s="83" t="e">
        <f t="shared" si="0"/>
        <v>#DIV/0!</v>
      </c>
      <c r="I28" s="21"/>
    </row>
    <row r="29" spans="1:9" s="23" customFormat="1" ht="20.25" customHeight="1">
      <c r="A29" s="18">
        <v>21</v>
      </c>
      <c r="B29" s="19">
        <f>'FRIT FV 090.540 - FTA'!B29</f>
        <v>46255</v>
      </c>
      <c r="C29" s="77" t="s">
        <v>106</v>
      </c>
      <c r="D29" s="3"/>
      <c r="E29" s="3"/>
      <c r="F29" s="41">
        <f>(SUM($E$8:E29)/A29)</f>
        <v>0</v>
      </c>
      <c r="G29" s="93">
        <f t="shared" si="1"/>
        <v>0</v>
      </c>
      <c r="H29" s="83" t="e">
        <f t="shared" si="0"/>
        <v>#DIV/0!</v>
      </c>
      <c r="I29" s="21"/>
    </row>
    <row r="30" spans="1:9" s="23" customFormat="1" ht="20.25" customHeight="1">
      <c r="A30" s="18">
        <v>22</v>
      </c>
      <c r="B30" s="19">
        <f>'FRIT FV 090.540 - FTA'!B30</f>
        <v>46256</v>
      </c>
      <c r="C30" s="77" t="s">
        <v>106</v>
      </c>
      <c r="D30" s="3"/>
      <c r="E30" s="3"/>
      <c r="F30" s="41">
        <f>(SUM($E$8:E30)/A30)</f>
        <v>0</v>
      </c>
      <c r="G30" s="93">
        <f t="shared" si="1"/>
        <v>0</v>
      </c>
      <c r="H30" s="83" t="e">
        <f t="shared" si="0"/>
        <v>#DIV/0!</v>
      </c>
      <c r="I30" s="21"/>
    </row>
    <row r="31" spans="1:9" s="23" customFormat="1" ht="20.25" customHeight="1">
      <c r="A31" s="18">
        <v>23</v>
      </c>
      <c r="B31" s="19">
        <f>'FRIT FV 090.540 - FTA'!B31</f>
        <v>46257</v>
      </c>
      <c r="C31" s="77" t="s">
        <v>106</v>
      </c>
      <c r="D31" s="3"/>
      <c r="E31" s="3"/>
      <c r="F31" s="41">
        <f>(SUM($E$8:E31)/A31)</f>
        <v>0</v>
      </c>
      <c r="G31" s="93">
        <f t="shared" si="1"/>
        <v>0</v>
      </c>
      <c r="H31" s="83" t="e">
        <f t="shared" si="0"/>
        <v>#DIV/0!</v>
      </c>
      <c r="I31" s="21"/>
    </row>
    <row r="32" spans="1:9" s="23" customFormat="1" ht="20.25" customHeight="1">
      <c r="A32" s="18">
        <v>24</v>
      </c>
      <c r="B32" s="19">
        <f>'FRIT FV 090.540 - FTA'!B32</f>
        <v>46258</v>
      </c>
      <c r="C32" s="77" t="s">
        <v>106</v>
      </c>
      <c r="D32" s="3"/>
      <c r="E32" s="3"/>
      <c r="F32" s="41">
        <f>(SUM($E$8:E32)/A32)</f>
        <v>0</v>
      </c>
      <c r="G32" s="93">
        <f t="shared" si="1"/>
        <v>0</v>
      </c>
      <c r="H32" s="83" t="e">
        <f t="shared" si="0"/>
        <v>#DIV/0!</v>
      </c>
      <c r="I32" s="21"/>
    </row>
    <row r="33" spans="1:9" s="23" customFormat="1" ht="20.25" customHeight="1">
      <c r="A33" s="18">
        <v>25</v>
      </c>
      <c r="B33" s="19">
        <f>'FRIT FV 090.540 - FTA'!B33</f>
        <v>46259</v>
      </c>
      <c r="C33" s="77" t="s">
        <v>106</v>
      </c>
      <c r="D33" s="191"/>
      <c r="E33" s="190"/>
      <c r="F33" s="41">
        <f>(SUM($E$8:E33)/A33)</f>
        <v>0</v>
      </c>
      <c r="G33" s="93">
        <f t="shared" si="1"/>
        <v>0</v>
      </c>
      <c r="H33" s="83" t="e">
        <f t="shared" si="0"/>
        <v>#DIV/0!</v>
      </c>
      <c r="I33" s="21"/>
    </row>
    <row r="34" spans="1:9" s="23" customFormat="1" ht="20.25" customHeight="1">
      <c r="A34" s="18">
        <v>26</v>
      </c>
      <c r="B34" s="19">
        <f>'FRIT FV 090.540 - FTA'!B34</f>
        <v>46260</v>
      </c>
      <c r="C34" s="77" t="s">
        <v>106</v>
      </c>
      <c r="D34" s="191"/>
      <c r="E34" s="190"/>
      <c r="F34" s="41">
        <f>(SUM($E$8:E34)/A34)</f>
        <v>0</v>
      </c>
      <c r="G34" s="93">
        <f t="shared" si="1"/>
        <v>0</v>
      </c>
      <c r="H34" s="83" t="e">
        <f t="shared" si="0"/>
        <v>#DIV/0!</v>
      </c>
      <c r="I34" s="21"/>
    </row>
    <row r="35" spans="1:9" s="23" customFormat="1" ht="20.25" customHeight="1">
      <c r="A35" s="18">
        <v>27</v>
      </c>
      <c r="B35" s="19">
        <f>'FRIT FV 090.540 - FTA'!B35</f>
        <v>46261</v>
      </c>
      <c r="C35" s="77" t="s">
        <v>106</v>
      </c>
      <c r="D35" s="191"/>
      <c r="E35" s="190"/>
      <c r="F35" s="41">
        <f>(SUM($E$8:E35)/A35)</f>
        <v>0</v>
      </c>
      <c r="G35" s="93">
        <f t="shared" si="1"/>
        <v>0</v>
      </c>
      <c r="H35" s="83" t="e">
        <f t="shared" si="0"/>
        <v>#DIV/0!</v>
      </c>
      <c r="I35" s="21"/>
    </row>
    <row r="36" spans="1:9" s="23" customFormat="1" ht="20.25" customHeight="1">
      <c r="A36" s="18">
        <v>28</v>
      </c>
      <c r="B36" s="19">
        <f>'FRIT FV 090.540 - FTA'!B36</f>
        <v>46262</v>
      </c>
      <c r="C36" s="77" t="s">
        <v>106</v>
      </c>
      <c r="D36" s="191"/>
      <c r="E36" s="190"/>
      <c r="F36" s="41">
        <f>(SUM($E$8:E36)/A36)</f>
        <v>0</v>
      </c>
      <c r="G36" s="93">
        <f>G35+D36-E36</f>
        <v>0</v>
      </c>
      <c r="H36" s="83" t="e">
        <f t="shared" si="0"/>
        <v>#DIV/0!</v>
      </c>
      <c r="I36" s="21"/>
    </row>
    <row r="37" spans="1:9" s="23" customFormat="1" ht="20.25" customHeight="1">
      <c r="A37" s="18">
        <v>29</v>
      </c>
      <c r="B37" s="19">
        <f>'FRIT FV 090.540 - FTA'!B37</f>
        <v>46263</v>
      </c>
      <c r="C37" s="77" t="s">
        <v>106</v>
      </c>
      <c r="D37" s="191"/>
      <c r="E37" s="190"/>
      <c r="F37" s="41">
        <f>(SUM($E$8:E37)/A37)</f>
        <v>0</v>
      </c>
      <c r="G37" s="93">
        <f t="shared" si="1"/>
        <v>0</v>
      </c>
      <c r="H37" s="83" t="e">
        <f t="shared" si="0"/>
        <v>#DIV/0!</v>
      </c>
      <c r="I37" s="21"/>
    </row>
    <row r="38" spans="1:9" s="23" customFormat="1" ht="20.25" customHeight="1">
      <c r="A38" s="18">
        <v>30</v>
      </c>
      <c r="B38" s="19">
        <f>'FRIT FV 090.540 - FTA'!B38</f>
        <v>46264</v>
      </c>
      <c r="C38" s="77" t="s">
        <v>106</v>
      </c>
      <c r="D38" s="191"/>
      <c r="E38" s="190"/>
      <c r="F38" s="41">
        <f>(SUM($E$8:E38)/A38)</f>
        <v>0</v>
      </c>
      <c r="G38" s="93">
        <f>G37+D38-E38</f>
        <v>0</v>
      </c>
      <c r="H38" s="83" t="e">
        <f t="shared" si="0"/>
        <v>#DIV/0!</v>
      </c>
      <c r="I38" s="21"/>
    </row>
    <row r="39" spans="1:9" s="23" customFormat="1" ht="20.25" customHeight="1">
      <c r="A39" s="18">
        <v>31</v>
      </c>
      <c r="B39" s="19">
        <f>'FRIT FV 090.540 - FTA'!B39</f>
        <v>46265</v>
      </c>
      <c r="C39" s="77" t="s">
        <v>106</v>
      </c>
      <c r="D39" s="191"/>
      <c r="E39" s="190"/>
      <c r="F39" s="41">
        <f>(SUM($E$8:E39)/A39)</f>
        <v>0</v>
      </c>
      <c r="G39" s="93">
        <f>G38+D39-E39</f>
        <v>0</v>
      </c>
      <c r="H39" s="83" t="e">
        <f t="shared" si="0"/>
        <v>#DIV/0!</v>
      </c>
      <c r="I39" s="21"/>
    </row>
    <row r="40" spans="1:9" s="32" customFormat="1" ht="20.25" customHeight="1">
      <c r="A40" s="1517" t="s">
        <v>29</v>
      </c>
      <c r="B40" s="1517"/>
      <c r="C40" s="1517"/>
      <c r="D40" s="60">
        <f>SUM(D9:D39)</f>
        <v>0</v>
      </c>
      <c r="E40" s="29">
        <f>SUM(E9:E39)</f>
        <v>0</v>
      </c>
      <c r="F40" s="29"/>
      <c r="G40" s="61">
        <f>G39</f>
        <v>0</v>
      </c>
      <c r="H40" s="59"/>
      <c r="I40" s="59"/>
    </row>
    <row r="41" spans="1:9" s="32" customFormat="1" ht="20.25" customHeight="1">
      <c r="A41" s="1517" t="s">
        <v>15</v>
      </c>
      <c r="B41" s="1517"/>
      <c r="C41" s="1517"/>
      <c r="D41" s="60">
        <f>D40+D8</f>
        <v>0</v>
      </c>
      <c r="E41" s="29">
        <f>E40+E8</f>
        <v>0</v>
      </c>
      <c r="F41" s="29"/>
      <c r="G41" s="29">
        <f>D41-E41</f>
        <v>0</v>
      </c>
      <c r="H41" s="59"/>
      <c r="I41" s="59"/>
    </row>
    <row r="42" spans="1:9" ht="23.25" customHeight="1">
      <c r="A42" s="5"/>
      <c r="B42" s="5"/>
      <c r="C42" s="5"/>
      <c r="D42" s="7"/>
      <c r="E42" s="24"/>
      <c r="F42" s="7"/>
      <c r="G42" s="7"/>
    </row>
    <row r="43" spans="1:9">
      <c r="D43" s="7"/>
      <c r="E43" s="24"/>
      <c r="H43" s="101" t="s">
        <v>13</v>
      </c>
    </row>
    <row r="44" spans="1:9">
      <c r="D44" s="7"/>
      <c r="H44" s="102"/>
    </row>
    <row r="45" spans="1:9">
      <c r="D45" s="7"/>
      <c r="H45" s="102"/>
    </row>
    <row r="46" spans="1:9">
      <c r="D46" s="7"/>
      <c r="H46" s="102"/>
    </row>
    <row r="47" spans="1:9">
      <c r="D47" s="7"/>
      <c r="H47" s="101" t="s">
        <v>98</v>
      </c>
    </row>
  </sheetData>
  <mergeCells count="4">
    <mergeCell ref="A41:C41"/>
    <mergeCell ref="A3:I3"/>
    <mergeCell ref="A8:C8"/>
    <mergeCell ref="A40:C40"/>
  </mergeCells>
  <conditionalFormatting sqref="H9:H39">
    <cfRule type="cellIs" dxfId="12528" priority="1" operator="between">
      <formula>3</formula>
      <formula>6</formula>
    </cfRule>
    <cfRule type="cellIs" dxfId="12527" priority="2" operator="lessThan">
      <formula>3</formula>
    </cfRule>
    <cfRule type="cellIs" dxfId="12526" priority="3" operator="greaterThan">
      <formula>6</formula>
    </cfRule>
  </conditionalFormatting>
  <hyperlinks>
    <hyperlink ref="I6" location="'Tong hop T8.2019'!A1" display="YN!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L47"/>
  <sheetViews>
    <sheetView zoomScale="80" zoomScaleNormal="80" workbookViewId="0">
      <pane ySplit="8" topLeftCell="A9" activePane="bottomLeft" state="frozen"/>
      <selection pane="bottomLeft" activeCell="G9" sqref="G9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9" style="42" customWidth="1"/>
    <col min="4" max="4" width="19.28515625" style="6" customWidth="1"/>
    <col min="5" max="5" width="17.85546875" style="6" customWidth="1"/>
    <col min="6" max="6" width="16.28515625" style="6" customWidth="1"/>
    <col min="7" max="7" width="13.42578125" style="6" customWidth="1"/>
    <col min="8" max="8" width="19.28515625" style="42" customWidth="1"/>
    <col min="9" max="9" width="14.5703125" style="42" customWidth="1"/>
    <col min="10" max="13" width="0" style="42" hidden="1" customWidth="1"/>
    <col min="14" max="16384" width="9.28515625" style="42"/>
  </cols>
  <sheetData>
    <row r="1" spans="1:12" s="143" customFormat="1" ht="18" customHeight="1">
      <c r="A1" s="146" t="e">
        <f>'FRIT FV 090.540 - FTA'!#REF!</f>
        <v>#REF!</v>
      </c>
      <c r="B1" s="146"/>
      <c r="C1" s="146"/>
      <c r="D1" s="146"/>
      <c r="E1" s="146"/>
      <c r="F1" s="146"/>
      <c r="G1" s="142"/>
      <c r="H1" s="142"/>
      <c r="I1" s="142"/>
    </row>
    <row r="2" spans="1:12" s="143" customFormat="1" ht="18" customHeight="1">
      <c r="A2" s="146" t="e">
        <f>'FRIT FV 090.540 - FTA'!#REF!</f>
        <v>#REF!</v>
      </c>
      <c r="B2" s="146"/>
      <c r="C2" s="146"/>
      <c r="D2" s="144"/>
      <c r="E2" s="144"/>
      <c r="F2" s="144"/>
      <c r="G2" s="142"/>
      <c r="H2" s="142"/>
      <c r="I2" s="197" t="e">
        <f>'FRIT FV 090.540 - FTA'!#REF!</f>
        <v>#REF!</v>
      </c>
    </row>
    <row r="3" spans="1:12" ht="22.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</row>
    <row r="4" spans="1:12" ht="21.75" customHeight="1">
      <c r="D4" s="134" t="s">
        <v>33</v>
      </c>
      <c r="E4" s="67" t="s">
        <v>155</v>
      </c>
      <c r="G4" s="6" t="s">
        <v>114</v>
      </c>
      <c r="H4" s="137" t="s">
        <v>154</v>
      </c>
    </row>
    <row r="5" spans="1:12" s="8" customFormat="1" ht="21.75" customHeight="1">
      <c r="B5" s="8" t="e">
        <f>'FRIT FV 090.540 - FTA'!#REF!</f>
        <v>#REF!</v>
      </c>
      <c r="C5" s="8" t="e">
        <f>'FRIT FV 090.540 - FTA'!#REF!</f>
        <v>#REF!</v>
      </c>
      <c r="D5" s="8" t="e">
        <f>'FRIT FV 090.540 - FTA'!#REF!</f>
        <v>#REF!</v>
      </c>
      <c r="E5" s="8" t="e">
        <f>'FRIT FV 090.540 - FTA'!#REF!</f>
        <v>#REF!</v>
      </c>
      <c r="F5" s="8" t="e">
        <f>'FRIT FV 090.540 - FTA'!#REF!</f>
        <v>#REF!</v>
      </c>
      <c r="G5" s="8" t="e">
        <f>'FRIT FV 090.540 - FTA'!#REF!</f>
        <v>#REF!</v>
      </c>
      <c r="H5" s="8" t="e">
        <f>'FRIT FV 090.540 - FTA'!#REF!</f>
        <v>#REF!</v>
      </c>
      <c r="I5" s="8" t="e">
        <f>'FRIT FV 090.540 - FTA'!#REF!</f>
        <v>#REF!</v>
      </c>
    </row>
    <row r="6" spans="1:12" ht="22.5" customHeight="1">
      <c r="E6" s="10"/>
      <c r="F6" s="10"/>
      <c r="H6" s="12" t="s">
        <v>40</v>
      </c>
      <c r="I6" s="217" t="s">
        <v>149</v>
      </c>
    </row>
    <row r="7" spans="1:12" s="13" customFormat="1" ht="40.5" customHeight="1">
      <c r="A7" s="194" t="s">
        <v>2</v>
      </c>
      <c r="B7" s="195" t="s">
        <v>1</v>
      </c>
      <c r="C7" s="192" t="s">
        <v>24</v>
      </c>
      <c r="D7" s="193" t="s">
        <v>27</v>
      </c>
      <c r="E7" s="193" t="s">
        <v>31</v>
      </c>
      <c r="F7" s="196" t="s">
        <v>28</v>
      </c>
      <c r="G7" s="193" t="s">
        <v>14</v>
      </c>
      <c r="H7" s="196" t="s">
        <v>30</v>
      </c>
      <c r="I7" s="196" t="s">
        <v>101</v>
      </c>
    </row>
    <row r="8" spans="1:12" s="13" customFormat="1" ht="25.5" customHeight="1">
      <c r="A8" s="1514" t="s">
        <v>3</v>
      </c>
      <c r="B8" s="1515"/>
      <c r="C8" s="1516"/>
      <c r="D8" s="74">
        <f>G8</f>
        <v>0</v>
      </c>
      <c r="E8" s="43"/>
      <c r="F8" s="43"/>
      <c r="G8" s="92">
        <v>0</v>
      </c>
      <c r="H8" s="58"/>
      <c r="I8" s="58"/>
    </row>
    <row r="9" spans="1:12" s="13" customFormat="1" ht="20.25" customHeight="1">
      <c r="A9" s="185">
        <v>1</v>
      </c>
      <c r="B9" s="19">
        <f>'FRIT FV 090.540 - FTA'!B9</f>
        <v>46235</v>
      </c>
      <c r="C9" s="77" t="s">
        <v>106</v>
      </c>
      <c r="D9" s="43"/>
      <c r="E9" s="43"/>
      <c r="F9" s="41">
        <f>(SUM($E$8:E9)/A9)</f>
        <v>0</v>
      </c>
      <c r="G9" s="93">
        <f>G8+D9-E9</f>
        <v>0</v>
      </c>
      <c r="H9" s="82" t="e">
        <f t="shared" ref="H9:H39" si="0">G9/F9</f>
        <v>#DIV/0!</v>
      </c>
      <c r="I9" s="21"/>
      <c r="K9" s="13">
        <v>2876</v>
      </c>
    </row>
    <row r="10" spans="1:12" s="13" customFormat="1" ht="20.25" customHeight="1">
      <c r="A10" s="185">
        <v>2</v>
      </c>
      <c r="B10" s="19">
        <f>'FRIT FV 090.540 - FTA'!B10</f>
        <v>46236</v>
      </c>
      <c r="C10" s="77" t="s">
        <v>106</v>
      </c>
      <c r="D10" s="43"/>
      <c r="E10" s="43"/>
      <c r="F10" s="41">
        <f>(SUM($E$8:E10)/A10)</f>
        <v>0</v>
      </c>
      <c r="G10" s="93">
        <f t="shared" ref="G10:G37" si="1">G9+D10-E10</f>
        <v>0</v>
      </c>
      <c r="H10" s="82" t="e">
        <f t="shared" si="0"/>
        <v>#DIV/0!</v>
      </c>
      <c r="I10" s="21"/>
      <c r="K10" s="13">
        <v>250</v>
      </c>
      <c r="L10" s="208">
        <v>43739</v>
      </c>
    </row>
    <row r="11" spans="1:12" s="13" customFormat="1" ht="20.25" customHeight="1">
      <c r="A11" s="185">
        <v>3</v>
      </c>
      <c r="B11" s="19">
        <f>'FRIT FV 090.540 - FTA'!B11</f>
        <v>46237</v>
      </c>
      <c r="C11" s="77" t="s">
        <v>106</v>
      </c>
      <c r="D11" s="43"/>
      <c r="E11" s="43"/>
      <c r="F11" s="41">
        <f>(SUM($E$8:E11)/A11)</f>
        <v>0</v>
      </c>
      <c r="G11" s="93">
        <f t="shared" si="1"/>
        <v>0</v>
      </c>
      <c r="H11" s="83" t="e">
        <f t="shared" si="0"/>
        <v>#DIV/0!</v>
      </c>
      <c r="I11" s="21"/>
      <c r="K11" s="13">
        <v>207</v>
      </c>
      <c r="L11" s="208">
        <v>43741</v>
      </c>
    </row>
    <row r="12" spans="1:12" s="140" customFormat="1" ht="20.25" customHeight="1">
      <c r="A12" s="185">
        <v>4</v>
      </c>
      <c r="B12" s="19">
        <f>'FRIT FV 090.540 - FTA'!B12</f>
        <v>46238</v>
      </c>
      <c r="C12" s="77" t="s">
        <v>104</v>
      </c>
      <c r="D12" s="43"/>
      <c r="E12" s="43"/>
      <c r="F12" s="41">
        <f>(SUM($E$8:E12)/A12)</f>
        <v>0</v>
      </c>
      <c r="G12" s="93">
        <f t="shared" si="1"/>
        <v>0</v>
      </c>
      <c r="H12" s="83" t="e">
        <f t="shared" si="0"/>
        <v>#DIV/0!</v>
      </c>
      <c r="I12" s="21"/>
      <c r="K12" s="140">
        <v>500</v>
      </c>
      <c r="L12" s="209">
        <v>43742</v>
      </c>
    </row>
    <row r="13" spans="1:12" s="140" customFormat="1" ht="20.25" customHeight="1">
      <c r="A13" s="185">
        <v>5</v>
      </c>
      <c r="B13" s="19">
        <f>'FRIT FV 090.540 - FTA'!B13</f>
        <v>46239</v>
      </c>
      <c r="C13" s="77" t="s">
        <v>104</v>
      </c>
      <c r="D13" s="43"/>
      <c r="E13" s="43"/>
      <c r="F13" s="41">
        <f>(SUM($E$8:E13)/A13)</f>
        <v>0</v>
      </c>
      <c r="G13" s="93">
        <f t="shared" si="1"/>
        <v>0</v>
      </c>
      <c r="H13" s="83" t="e">
        <f t="shared" si="0"/>
        <v>#DIV/0!</v>
      </c>
      <c r="I13" s="21"/>
      <c r="K13" s="140">
        <v>250</v>
      </c>
      <c r="L13" s="209">
        <v>43743</v>
      </c>
    </row>
    <row r="14" spans="1:12" s="140" customFormat="1" ht="20.25" customHeight="1">
      <c r="A14" s="185">
        <v>6</v>
      </c>
      <c r="B14" s="19">
        <f>'FRIT FV 090.540 - FTA'!B14</f>
        <v>46240</v>
      </c>
      <c r="C14" s="77" t="s">
        <v>106</v>
      </c>
      <c r="D14" s="43"/>
      <c r="E14" s="43"/>
      <c r="F14" s="41">
        <f>(SUM($E$8:E14)/A14)</f>
        <v>0</v>
      </c>
      <c r="G14" s="93">
        <f t="shared" si="1"/>
        <v>0</v>
      </c>
      <c r="H14" s="83" t="e">
        <f t="shared" si="0"/>
        <v>#DIV/0!</v>
      </c>
      <c r="I14" s="21"/>
      <c r="K14" s="140">
        <v>250</v>
      </c>
      <c r="L14" s="209">
        <v>43745</v>
      </c>
    </row>
    <row r="15" spans="1:12" s="140" customFormat="1" ht="20.25" customHeight="1">
      <c r="A15" s="185">
        <v>7</v>
      </c>
      <c r="B15" s="19">
        <f>'FRIT FV 090.540 - FTA'!B15</f>
        <v>46241</v>
      </c>
      <c r="C15" s="77" t="s">
        <v>106</v>
      </c>
      <c r="D15" s="43"/>
      <c r="E15" s="43"/>
      <c r="F15" s="41">
        <f>(SUM($E$8:E15)/A15)</f>
        <v>0</v>
      </c>
      <c r="G15" s="93">
        <f t="shared" si="1"/>
        <v>0</v>
      </c>
      <c r="H15" s="83" t="e">
        <f t="shared" si="0"/>
        <v>#DIV/0!</v>
      </c>
      <c r="I15" s="21"/>
      <c r="K15" s="140">
        <v>250</v>
      </c>
      <c r="L15" s="209">
        <v>43746</v>
      </c>
    </row>
    <row r="16" spans="1:12" s="140" customFormat="1" ht="20.25" customHeight="1">
      <c r="A16" s="185">
        <v>8</v>
      </c>
      <c r="B16" s="19">
        <f>'FRIT FV 090.540 - FTA'!B16</f>
        <v>46242</v>
      </c>
      <c r="C16" s="77" t="s">
        <v>106</v>
      </c>
      <c r="D16" s="43"/>
      <c r="E16" s="43"/>
      <c r="F16" s="41">
        <f>(SUM($E$8:E16)/A16)</f>
        <v>0</v>
      </c>
      <c r="G16" s="93">
        <f t="shared" si="1"/>
        <v>0</v>
      </c>
      <c r="H16" s="83" t="e">
        <f t="shared" si="0"/>
        <v>#DIV/0!</v>
      </c>
      <c r="I16" s="21"/>
      <c r="K16" s="140">
        <v>250</v>
      </c>
      <c r="L16" s="209">
        <v>43748</v>
      </c>
    </row>
    <row r="17" spans="1:12" s="140" customFormat="1" ht="20.25" customHeight="1">
      <c r="A17" s="185">
        <v>9</v>
      </c>
      <c r="B17" s="19">
        <f>'FRIT FV 090.540 - FTA'!B17</f>
        <v>46243</v>
      </c>
      <c r="C17" s="77" t="s">
        <v>103</v>
      </c>
      <c r="D17" s="43"/>
      <c r="E17" s="43"/>
      <c r="F17" s="41">
        <f>(SUM($E$8:E17)/A17)</f>
        <v>0</v>
      </c>
      <c r="G17" s="93">
        <f t="shared" si="1"/>
        <v>0</v>
      </c>
      <c r="H17" s="83" t="e">
        <f t="shared" si="0"/>
        <v>#DIV/0!</v>
      </c>
      <c r="I17" s="21"/>
      <c r="K17" s="140">
        <v>250</v>
      </c>
      <c r="L17" s="209">
        <v>43749</v>
      </c>
    </row>
    <row r="18" spans="1:12" s="140" customFormat="1" ht="20.25" customHeight="1">
      <c r="A18" s="185">
        <v>10</v>
      </c>
      <c r="B18" s="19">
        <f>'FRIT FV 090.540 - FTA'!B18</f>
        <v>46244</v>
      </c>
      <c r="C18" s="77" t="s">
        <v>106</v>
      </c>
      <c r="D18" s="43"/>
      <c r="E18" s="43"/>
      <c r="F18" s="41">
        <f>(SUM($E$8:E18)/A18)</f>
        <v>0</v>
      </c>
      <c r="G18" s="93">
        <f t="shared" si="1"/>
        <v>0</v>
      </c>
      <c r="H18" s="83" t="e">
        <f t="shared" si="0"/>
        <v>#DIV/0!</v>
      </c>
      <c r="I18" s="21"/>
      <c r="K18" s="140">
        <v>250</v>
      </c>
      <c r="L18" s="209">
        <v>43750</v>
      </c>
    </row>
    <row r="19" spans="1:12" s="140" customFormat="1" ht="20.25" customHeight="1">
      <c r="A19" s="185">
        <v>11</v>
      </c>
      <c r="B19" s="19">
        <f>'FRIT FV 090.540 - FTA'!B19</f>
        <v>46245</v>
      </c>
      <c r="C19" s="77" t="s">
        <v>106</v>
      </c>
      <c r="D19" s="43"/>
      <c r="E19" s="43"/>
      <c r="F19" s="41">
        <f>(SUM($E$8:E19)/A19)</f>
        <v>0</v>
      </c>
      <c r="G19" s="93">
        <f t="shared" si="1"/>
        <v>0</v>
      </c>
      <c r="H19" s="83" t="e">
        <f t="shared" si="0"/>
        <v>#DIV/0!</v>
      </c>
      <c r="I19" s="21"/>
      <c r="K19" s="140">
        <v>139</v>
      </c>
      <c r="L19" s="209">
        <v>43753</v>
      </c>
    </row>
    <row r="20" spans="1:12" s="140" customFormat="1" ht="20.25" customHeight="1">
      <c r="A20" s="185">
        <v>12</v>
      </c>
      <c r="B20" s="19">
        <f>'FRIT FV 090.540 - FTA'!B20</f>
        <v>46246</v>
      </c>
      <c r="C20" s="77" t="s">
        <v>104</v>
      </c>
      <c r="D20" s="43"/>
      <c r="E20" s="43"/>
      <c r="F20" s="41">
        <f>(SUM($E$8:E20)/A20)</f>
        <v>0</v>
      </c>
      <c r="G20" s="93">
        <f t="shared" si="1"/>
        <v>0</v>
      </c>
      <c r="H20" s="83" t="e">
        <f t="shared" si="0"/>
        <v>#DIV/0!</v>
      </c>
      <c r="I20" s="21"/>
      <c r="K20" s="140">
        <f>SUM(K9:K19)</f>
        <v>5472</v>
      </c>
    </row>
    <row r="21" spans="1:12" s="140" customFormat="1" ht="20.25" customHeight="1">
      <c r="A21" s="185">
        <v>13</v>
      </c>
      <c r="B21" s="19">
        <f>'FRIT FV 090.540 - FTA'!B21</f>
        <v>46247</v>
      </c>
      <c r="C21" s="77" t="s">
        <v>104</v>
      </c>
      <c r="D21" s="43"/>
      <c r="E21" s="43"/>
      <c r="F21" s="41">
        <f>(SUM($E$8:E21)/A21)</f>
        <v>0</v>
      </c>
      <c r="G21" s="93">
        <f t="shared" si="1"/>
        <v>0</v>
      </c>
      <c r="H21" s="83" t="e">
        <f t="shared" si="0"/>
        <v>#DIV/0!</v>
      </c>
      <c r="I21" s="21"/>
    </row>
    <row r="22" spans="1:12" s="140" customFormat="1" ht="20.25" customHeight="1">
      <c r="A22" s="185">
        <v>14</v>
      </c>
      <c r="B22" s="19">
        <f>'FRIT FV 090.540 - FTA'!B22</f>
        <v>46248</v>
      </c>
      <c r="C22" s="77" t="s">
        <v>106</v>
      </c>
      <c r="D22" s="43"/>
      <c r="E22" s="43"/>
      <c r="F22" s="41">
        <f>(SUM($E$8:E22)/A22)</f>
        <v>0</v>
      </c>
      <c r="G22" s="93">
        <f t="shared" si="1"/>
        <v>0</v>
      </c>
      <c r="H22" s="83" t="e">
        <f t="shared" si="0"/>
        <v>#DIV/0!</v>
      </c>
      <c r="I22" s="21"/>
    </row>
    <row r="23" spans="1:12" s="140" customFormat="1" ht="20.25" customHeight="1">
      <c r="A23" s="185">
        <v>15</v>
      </c>
      <c r="B23" s="19">
        <f>'FRIT FV 090.540 - FTA'!B23</f>
        <v>46249</v>
      </c>
      <c r="C23" s="77" t="s">
        <v>106</v>
      </c>
      <c r="D23" s="43"/>
      <c r="E23" s="43"/>
      <c r="F23" s="41">
        <f>(SUM($E$8:E23)/A23)</f>
        <v>0</v>
      </c>
      <c r="G23" s="93">
        <f t="shared" si="1"/>
        <v>0</v>
      </c>
      <c r="H23" s="83" t="e">
        <f t="shared" si="0"/>
        <v>#DIV/0!</v>
      </c>
      <c r="I23" s="21"/>
    </row>
    <row r="24" spans="1:12" s="140" customFormat="1" ht="20.25" customHeight="1">
      <c r="A24" s="185">
        <v>16</v>
      </c>
      <c r="B24" s="19">
        <f>'FRIT FV 090.540 - FTA'!B24</f>
        <v>46250</v>
      </c>
      <c r="C24" s="77" t="s">
        <v>104</v>
      </c>
      <c r="D24" s="43"/>
      <c r="E24" s="43"/>
      <c r="F24" s="41">
        <f>(SUM($E$8:E24)/A24)</f>
        <v>0</v>
      </c>
      <c r="G24" s="93">
        <f t="shared" si="1"/>
        <v>0</v>
      </c>
      <c r="H24" s="83" t="e">
        <f t="shared" si="0"/>
        <v>#DIV/0!</v>
      </c>
      <c r="I24" s="21"/>
    </row>
    <row r="25" spans="1:12" s="140" customFormat="1" ht="20.25" customHeight="1">
      <c r="A25" s="185">
        <v>17</v>
      </c>
      <c r="B25" s="19">
        <f>'FRIT FV 090.540 - FTA'!B25</f>
        <v>46251</v>
      </c>
      <c r="C25" s="77" t="s">
        <v>106</v>
      </c>
      <c r="D25" s="43"/>
      <c r="E25" s="43"/>
      <c r="F25" s="41">
        <f>(SUM($E$8:E25)/A25)</f>
        <v>0</v>
      </c>
      <c r="G25" s="93">
        <f t="shared" si="1"/>
        <v>0</v>
      </c>
      <c r="H25" s="83" t="e">
        <f t="shared" si="0"/>
        <v>#DIV/0!</v>
      </c>
      <c r="I25" s="21"/>
    </row>
    <row r="26" spans="1:12" s="140" customFormat="1" ht="20.25" customHeight="1">
      <c r="A26" s="185">
        <v>18</v>
      </c>
      <c r="B26" s="19">
        <f>'FRIT FV 090.540 - FTA'!B26</f>
        <v>46252</v>
      </c>
      <c r="C26" s="77" t="s">
        <v>106</v>
      </c>
      <c r="D26" s="43"/>
      <c r="E26" s="43"/>
      <c r="F26" s="41">
        <f>(SUM($E$8:E26)/A26)</f>
        <v>0</v>
      </c>
      <c r="G26" s="93">
        <f t="shared" si="1"/>
        <v>0</v>
      </c>
      <c r="H26" s="83" t="e">
        <f t="shared" si="0"/>
        <v>#DIV/0!</v>
      </c>
      <c r="I26" s="21"/>
    </row>
    <row r="27" spans="1:12" s="140" customFormat="1" ht="20.25" customHeight="1">
      <c r="A27" s="185">
        <v>19</v>
      </c>
      <c r="B27" s="19">
        <f>'FRIT FV 090.540 - FTA'!B27</f>
        <v>46253</v>
      </c>
      <c r="C27" s="77" t="s">
        <v>106</v>
      </c>
      <c r="D27" s="43"/>
      <c r="E27" s="43"/>
      <c r="F27" s="41">
        <f>(SUM($E$8:E27)/A27)</f>
        <v>0</v>
      </c>
      <c r="G27" s="93">
        <f t="shared" si="1"/>
        <v>0</v>
      </c>
      <c r="H27" s="83" t="e">
        <f t="shared" si="0"/>
        <v>#DIV/0!</v>
      </c>
      <c r="I27" s="21"/>
    </row>
    <row r="28" spans="1:12" s="140" customFormat="1" ht="20.25" customHeight="1">
      <c r="A28" s="185">
        <v>20</v>
      </c>
      <c r="B28" s="19">
        <f>'FRIT FV 090.540 - FTA'!B28</f>
        <v>46254</v>
      </c>
      <c r="C28" s="77" t="s">
        <v>106</v>
      </c>
      <c r="D28" s="43"/>
      <c r="E28" s="43"/>
      <c r="F28" s="41">
        <f>(SUM($E$8:E28)/A28)</f>
        <v>0</v>
      </c>
      <c r="G28" s="93">
        <f t="shared" si="1"/>
        <v>0</v>
      </c>
      <c r="H28" s="83" t="e">
        <f t="shared" si="0"/>
        <v>#DIV/0!</v>
      </c>
      <c r="I28" s="21"/>
    </row>
    <row r="29" spans="1:12" s="140" customFormat="1" ht="20.25" customHeight="1">
      <c r="A29" s="185">
        <v>21</v>
      </c>
      <c r="B29" s="19">
        <f>'FRIT FV 090.540 - FTA'!B29</f>
        <v>46255</v>
      </c>
      <c r="C29" s="77" t="s">
        <v>106</v>
      </c>
      <c r="D29" s="43"/>
      <c r="E29" s="43"/>
      <c r="F29" s="41">
        <f>(SUM($E$8:E29)/A29)</f>
        <v>0</v>
      </c>
      <c r="G29" s="93">
        <f t="shared" si="1"/>
        <v>0</v>
      </c>
      <c r="H29" s="83" t="e">
        <f t="shared" si="0"/>
        <v>#DIV/0!</v>
      </c>
      <c r="I29" s="21"/>
    </row>
    <row r="30" spans="1:12" s="140" customFormat="1" ht="20.25" customHeight="1">
      <c r="A30" s="185">
        <v>22</v>
      </c>
      <c r="B30" s="19">
        <f>'FRIT FV 090.540 - FTA'!B30</f>
        <v>46256</v>
      </c>
      <c r="C30" s="77" t="s">
        <v>106</v>
      </c>
      <c r="D30" s="43"/>
      <c r="E30" s="43"/>
      <c r="F30" s="41">
        <f>(SUM($E$8:E30)/A30)</f>
        <v>0</v>
      </c>
      <c r="G30" s="93">
        <f t="shared" si="1"/>
        <v>0</v>
      </c>
      <c r="H30" s="83" t="e">
        <f t="shared" si="0"/>
        <v>#DIV/0!</v>
      </c>
      <c r="I30" s="21"/>
    </row>
    <row r="31" spans="1:12" s="140" customFormat="1" ht="20.25" customHeight="1">
      <c r="A31" s="185">
        <v>23</v>
      </c>
      <c r="B31" s="19">
        <f>'FRIT FV 090.540 - FTA'!B31</f>
        <v>46257</v>
      </c>
      <c r="C31" s="77" t="s">
        <v>106</v>
      </c>
      <c r="D31" s="43"/>
      <c r="E31" s="43"/>
      <c r="F31" s="41">
        <f>(SUM($E$8:E31)/A31)</f>
        <v>0</v>
      </c>
      <c r="G31" s="93">
        <f t="shared" si="1"/>
        <v>0</v>
      </c>
      <c r="H31" s="83" t="e">
        <f t="shared" si="0"/>
        <v>#DIV/0!</v>
      </c>
      <c r="I31" s="21"/>
    </row>
    <row r="32" spans="1:12" s="140" customFormat="1" ht="20.25" customHeight="1">
      <c r="A32" s="185">
        <v>24</v>
      </c>
      <c r="B32" s="19">
        <f>'FRIT FV 090.540 - FTA'!B32</f>
        <v>46258</v>
      </c>
      <c r="C32" s="77" t="s">
        <v>106</v>
      </c>
      <c r="D32" s="43"/>
      <c r="E32" s="43"/>
      <c r="F32" s="41">
        <f>(SUM($E$8:E32)/A32)</f>
        <v>0</v>
      </c>
      <c r="G32" s="93">
        <f t="shared" si="1"/>
        <v>0</v>
      </c>
      <c r="H32" s="83" t="e">
        <f t="shared" si="0"/>
        <v>#DIV/0!</v>
      </c>
      <c r="I32" s="21"/>
    </row>
    <row r="33" spans="1:9" s="140" customFormat="1" ht="20.25" customHeight="1">
      <c r="A33" s="185">
        <v>25</v>
      </c>
      <c r="B33" s="19">
        <f>'FRIT FV 090.540 - FTA'!B33</f>
        <v>46259</v>
      </c>
      <c r="C33" s="77" t="s">
        <v>106</v>
      </c>
      <c r="D33" s="43"/>
      <c r="E33" s="43"/>
      <c r="F33" s="41">
        <f>(SUM($E$8:E33)/A33)</f>
        <v>0</v>
      </c>
      <c r="G33" s="93">
        <f t="shared" si="1"/>
        <v>0</v>
      </c>
      <c r="H33" s="83" t="e">
        <f t="shared" si="0"/>
        <v>#DIV/0!</v>
      </c>
      <c r="I33" s="21"/>
    </row>
    <row r="34" spans="1:9" s="140" customFormat="1" ht="20.25" customHeight="1">
      <c r="A34" s="185">
        <v>26</v>
      </c>
      <c r="B34" s="19">
        <f>'FRIT FV 090.540 - FTA'!B34</f>
        <v>46260</v>
      </c>
      <c r="C34" s="77" t="s">
        <v>106</v>
      </c>
      <c r="D34" s="43"/>
      <c r="E34" s="43"/>
      <c r="F34" s="41">
        <f>(SUM($E$8:E34)/A34)</f>
        <v>0</v>
      </c>
      <c r="G34" s="93">
        <f t="shared" si="1"/>
        <v>0</v>
      </c>
      <c r="H34" s="83" t="e">
        <f t="shared" si="0"/>
        <v>#DIV/0!</v>
      </c>
      <c r="I34" s="21"/>
    </row>
    <row r="35" spans="1:9" s="140" customFormat="1" ht="20.25" customHeight="1">
      <c r="A35" s="185">
        <v>27</v>
      </c>
      <c r="B35" s="19">
        <f>'FRIT FV 090.540 - FTA'!B35</f>
        <v>46261</v>
      </c>
      <c r="C35" s="77" t="s">
        <v>106</v>
      </c>
      <c r="D35" s="43"/>
      <c r="E35" s="43"/>
      <c r="F35" s="41">
        <f>(SUM($E$8:E35)/A35)</f>
        <v>0</v>
      </c>
      <c r="G35" s="93">
        <f t="shared" si="1"/>
        <v>0</v>
      </c>
      <c r="H35" s="83" t="e">
        <f t="shared" si="0"/>
        <v>#DIV/0!</v>
      </c>
      <c r="I35" s="21"/>
    </row>
    <row r="36" spans="1:9" s="140" customFormat="1" ht="20.25" customHeight="1">
      <c r="A36" s="185">
        <v>28</v>
      </c>
      <c r="B36" s="19">
        <f>'FRIT FV 090.540 - FTA'!B36</f>
        <v>46262</v>
      </c>
      <c r="C36" s="77" t="s">
        <v>106</v>
      </c>
      <c r="D36" s="43"/>
      <c r="E36" s="43"/>
      <c r="F36" s="41">
        <f>(SUM($E$8:E36)/A36)</f>
        <v>0</v>
      </c>
      <c r="G36" s="93">
        <f>G35+D36-E36</f>
        <v>0</v>
      </c>
      <c r="H36" s="83" t="e">
        <f t="shared" si="0"/>
        <v>#DIV/0!</v>
      </c>
      <c r="I36" s="21"/>
    </row>
    <row r="37" spans="1:9" s="140" customFormat="1" ht="20.25" customHeight="1">
      <c r="A37" s="185">
        <v>29</v>
      </c>
      <c r="B37" s="19">
        <f>'FRIT FV 090.540 - FTA'!B37</f>
        <v>46263</v>
      </c>
      <c r="C37" s="77" t="s">
        <v>106</v>
      </c>
      <c r="D37" s="43"/>
      <c r="E37" s="43"/>
      <c r="F37" s="41">
        <f>(SUM($E$8:E37)/A37)</f>
        <v>0</v>
      </c>
      <c r="G37" s="93">
        <f t="shared" si="1"/>
        <v>0</v>
      </c>
      <c r="H37" s="83" t="e">
        <f t="shared" si="0"/>
        <v>#DIV/0!</v>
      </c>
      <c r="I37" s="21"/>
    </row>
    <row r="38" spans="1:9" s="140" customFormat="1" ht="20.25" customHeight="1">
      <c r="A38" s="185">
        <v>30</v>
      </c>
      <c r="B38" s="19">
        <f>'FRIT FV 090.540 - FTA'!B38</f>
        <v>46264</v>
      </c>
      <c r="C38" s="77" t="s">
        <v>106</v>
      </c>
      <c r="D38" s="43"/>
      <c r="E38" s="43"/>
      <c r="F38" s="41">
        <f>(SUM($E$8:E38)/A38)</f>
        <v>0</v>
      </c>
      <c r="G38" s="93">
        <f>G37+D38-E38</f>
        <v>0</v>
      </c>
      <c r="H38" s="83" t="e">
        <f t="shared" si="0"/>
        <v>#DIV/0!</v>
      </c>
      <c r="I38" s="21"/>
    </row>
    <row r="39" spans="1:9" s="140" customFormat="1" ht="20.25" customHeight="1">
      <c r="A39" s="185">
        <v>31</v>
      </c>
      <c r="B39" s="19">
        <f>'FRIT FV 090.540 - FTA'!B39</f>
        <v>46265</v>
      </c>
      <c r="C39" s="77" t="s">
        <v>106</v>
      </c>
      <c r="D39" s="43"/>
      <c r="E39" s="43"/>
      <c r="F39" s="41">
        <f>(SUM($E$8:E39)/A39)</f>
        <v>0</v>
      </c>
      <c r="G39" s="93">
        <f>G38+D39-E39</f>
        <v>0</v>
      </c>
      <c r="H39" s="83" t="e">
        <f t="shared" si="0"/>
        <v>#DIV/0!</v>
      </c>
      <c r="I39" s="21"/>
    </row>
    <row r="40" spans="1:9" s="32" customFormat="1" ht="20.25" customHeight="1">
      <c r="A40" s="1517" t="s">
        <v>29</v>
      </c>
      <c r="B40" s="1517"/>
      <c r="C40" s="1517"/>
      <c r="D40" s="60">
        <f>SUM(D9:D39)</f>
        <v>0</v>
      </c>
      <c r="E40" s="29">
        <f>SUM(E9:E39)</f>
        <v>0</v>
      </c>
      <c r="F40" s="29"/>
      <c r="G40" s="61">
        <f>G39</f>
        <v>0</v>
      </c>
      <c r="H40" s="59"/>
      <c r="I40" s="59"/>
    </row>
    <row r="41" spans="1:9" s="32" customFormat="1" ht="20.25" customHeight="1">
      <c r="A41" s="1517" t="s">
        <v>15</v>
      </c>
      <c r="B41" s="1517"/>
      <c r="C41" s="1517"/>
      <c r="D41" s="60">
        <f>D40+D8</f>
        <v>0</v>
      </c>
      <c r="E41" s="29">
        <f>E40+E8</f>
        <v>0</v>
      </c>
      <c r="F41" s="29"/>
      <c r="G41" s="29">
        <f>D41-E41</f>
        <v>0</v>
      </c>
      <c r="H41" s="59"/>
      <c r="I41" s="59"/>
    </row>
    <row r="42" spans="1:9" ht="23.25" customHeight="1">
      <c r="A42" s="5"/>
      <c r="B42" s="5"/>
      <c r="C42" s="5"/>
      <c r="D42" s="7"/>
      <c r="E42" s="24"/>
      <c r="F42" s="7"/>
      <c r="G42" s="7"/>
    </row>
    <row r="43" spans="1:9">
      <c r="D43" s="7"/>
      <c r="E43" s="24"/>
      <c r="H43" s="101" t="s">
        <v>13</v>
      </c>
    </row>
    <row r="44" spans="1:9">
      <c r="D44" s="7"/>
      <c r="H44" s="102"/>
    </row>
    <row r="45" spans="1:9">
      <c r="D45" s="7"/>
      <c r="H45" s="102"/>
    </row>
    <row r="46" spans="1:9">
      <c r="D46" s="7"/>
      <c r="H46" s="102"/>
    </row>
    <row r="47" spans="1:9">
      <c r="D47" s="7"/>
      <c r="H47" s="101" t="s">
        <v>98</v>
      </c>
    </row>
  </sheetData>
  <mergeCells count="4">
    <mergeCell ref="A3:I3"/>
    <mergeCell ref="A8:C8"/>
    <mergeCell ref="A40:C40"/>
    <mergeCell ref="A41:C41"/>
  </mergeCells>
  <conditionalFormatting sqref="H9:H39">
    <cfRule type="cellIs" dxfId="12525" priority="1" operator="between">
      <formula>3</formula>
      <formula>6</formula>
    </cfRule>
    <cfRule type="cellIs" dxfId="12524" priority="2" operator="lessThan">
      <formula>3</formula>
    </cfRule>
    <cfRule type="cellIs" dxfId="12523" priority="3" operator="greaterThan">
      <formula>6</formula>
    </cfRule>
  </conditionalFormatting>
  <hyperlinks>
    <hyperlink ref="I6" location="'Tong hop T11.2019'!A1" display="TH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V49"/>
  <sheetViews>
    <sheetView zoomScale="70" zoomScaleNormal="70" workbookViewId="0">
      <pane ySplit="8" topLeftCell="A24" activePane="bottomLeft" state="frozen"/>
      <selection pane="bottomLeft" activeCell="Q28" sqref="Q28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20.28515625" style="42" customWidth="1"/>
    <col min="4" max="7" width="15.42578125" style="6" customWidth="1"/>
    <col min="8" max="8" width="24.7109375" style="42" customWidth="1"/>
    <col min="9" max="9" width="17.42578125" style="42" customWidth="1"/>
    <col min="10" max="11" width="0" style="42" hidden="1" customWidth="1"/>
    <col min="12" max="12" width="11" style="42" customWidth="1"/>
    <col min="13" max="13" width="9.28515625" style="42"/>
    <col min="14" max="14" width="11.42578125" style="42" customWidth="1"/>
    <col min="15" max="15" width="11.7109375" style="42" customWidth="1"/>
    <col min="16" max="16" width="12.7109375" style="42" customWidth="1"/>
    <col min="17" max="19" width="11.7109375" style="42" customWidth="1"/>
    <col min="20" max="20" width="11.28515625" style="42" customWidth="1"/>
    <col min="21" max="21" width="14.7109375" style="42" customWidth="1"/>
    <col min="22" max="22" width="11.28515625" style="42" customWidth="1"/>
    <col min="23" max="16384" width="9.28515625" style="42"/>
  </cols>
  <sheetData>
    <row r="1" spans="1:22" s="143" customFormat="1" ht="18" customHeight="1">
      <c r="A1" s="146" t="e">
        <f>'FRIT FV 090.540 - FTA'!#REF!</f>
        <v>#REF!</v>
      </c>
      <c r="B1" s="146"/>
      <c r="C1" s="146"/>
      <c r="D1" s="146"/>
      <c r="E1" s="146"/>
      <c r="F1" s="146"/>
      <c r="G1" s="142"/>
      <c r="H1" s="142"/>
      <c r="I1" s="142"/>
      <c r="J1" s="142"/>
      <c r="K1" s="142"/>
      <c r="L1" s="142"/>
      <c r="O1" s="142"/>
      <c r="P1" s="142"/>
      <c r="Q1" s="142"/>
      <c r="R1" s="142"/>
    </row>
    <row r="2" spans="1:22" s="143" customFormat="1" ht="18" customHeight="1">
      <c r="A2" s="146" t="e">
        <f>'FRIT FV 090.540 - FTA'!#REF!</f>
        <v>#REF!</v>
      </c>
      <c r="B2" s="146"/>
      <c r="C2" s="146"/>
      <c r="D2" s="144"/>
      <c r="E2" s="144"/>
      <c r="F2" s="144"/>
      <c r="G2" s="142"/>
      <c r="H2" s="142"/>
      <c r="I2" s="197" t="e">
        <f>'FRIT FV 090.540 - FTA'!#REF!</f>
        <v>#REF!</v>
      </c>
      <c r="J2" s="142"/>
      <c r="M2" s="142"/>
      <c r="O2" s="142"/>
      <c r="P2" s="142"/>
      <c r="S2" s="142"/>
    </row>
    <row r="3" spans="1:22" ht="22.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</row>
    <row r="4" spans="1:22" ht="21.75" customHeight="1">
      <c r="D4" s="134" t="s">
        <v>33</v>
      </c>
      <c r="E4" s="67" t="s">
        <v>146</v>
      </c>
      <c r="G4" s="6" t="s">
        <v>114</v>
      </c>
      <c r="H4" s="137"/>
    </row>
    <row r="5" spans="1:22" s="8" customFormat="1" ht="21.75" customHeight="1">
      <c r="B5" s="8" t="e">
        <f>'FRIT FV 090.540 - FTA'!#REF!</f>
        <v>#REF!</v>
      </c>
      <c r="C5" s="8" t="e">
        <f>'FRIT FV 090.540 - FTA'!#REF!</f>
        <v>#REF!</v>
      </c>
      <c r="D5" s="8" t="e">
        <f>'FRIT FV 090.540 - FTA'!#REF!</f>
        <v>#REF!</v>
      </c>
      <c r="E5" s="8" t="e">
        <f>'FRIT FV 090.540 - FTA'!#REF!</f>
        <v>#REF!</v>
      </c>
      <c r="F5" s="8" t="e">
        <f>'FRIT FV 090.540 - FTA'!#REF!</f>
        <v>#REF!</v>
      </c>
      <c r="G5" s="8" t="e">
        <f>'FRIT FV 090.540 - FTA'!#REF!</f>
        <v>#REF!</v>
      </c>
      <c r="H5" s="8" t="e">
        <f>'FRIT FV 090.540 - FTA'!#REF!</f>
        <v>#REF!</v>
      </c>
      <c r="I5" s="8" t="e">
        <f>'FRIT FV 090.540 - FTA'!#REF!</f>
        <v>#REF!</v>
      </c>
    </row>
    <row r="6" spans="1:22" ht="22.5" customHeight="1">
      <c r="E6" s="10"/>
      <c r="F6" s="10"/>
      <c r="H6" s="12" t="s">
        <v>40</v>
      </c>
      <c r="I6" s="261" t="s">
        <v>149</v>
      </c>
    </row>
    <row r="7" spans="1:22" s="13" customFormat="1" ht="40.5" customHeight="1">
      <c r="A7" s="249" t="s">
        <v>2</v>
      </c>
      <c r="B7" s="250" t="s">
        <v>1</v>
      </c>
      <c r="C7" s="244" t="s">
        <v>24</v>
      </c>
      <c r="D7" s="193" t="s">
        <v>27</v>
      </c>
      <c r="E7" s="193" t="s">
        <v>31</v>
      </c>
      <c r="F7" s="251" t="s">
        <v>28</v>
      </c>
      <c r="G7" s="193" t="s">
        <v>14</v>
      </c>
      <c r="H7" s="251" t="s">
        <v>30</v>
      </c>
      <c r="I7" s="251" t="s">
        <v>101</v>
      </c>
      <c r="J7" s="13" t="s">
        <v>169</v>
      </c>
      <c r="K7" s="13" t="s">
        <v>171</v>
      </c>
    </row>
    <row r="8" spans="1:22" s="288" customFormat="1" ht="36" customHeight="1">
      <c r="A8" s="1514" t="s">
        <v>3</v>
      </c>
      <c r="B8" s="1515"/>
      <c r="C8" s="1516"/>
      <c r="D8" s="74">
        <f>G8</f>
        <v>0</v>
      </c>
      <c r="E8" s="43"/>
      <c r="F8" s="43"/>
      <c r="G8" s="92">
        <v>0</v>
      </c>
      <c r="H8" s="58"/>
      <c r="I8" s="58"/>
      <c r="J8" s="253"/>
      <c r="K8" s="287"/>
      <c r="L8" s="253" t="s">
        <v>168</v>
      </c>
      <c r="M8" s="253" t="s">
        <v>171</v>
      </c>
      <c r="N8" s="287" t="s">
        <v>170</v>
      </c>
      <c r="O8" s="252" t="s">
        <v>171</v>
      </c>
      <c r="P8" s="287" t="s">
        <v>197</v>
      </c>
      <c r="Q8" s="252" t="s">
        <v>198</v>
      </c>
      <c r="R8" s="287"/>
      <c r="S8" s="252"/>
      <c r="T8" s="287"/>
      <c r="U8" s="253"/>
      <c r="V8" s="287"/>
    </row>
    <row r="9" spans="1:22" s="13" customFormat="1" ht="20.25" customHeight="1">
      <c r="A9" s="185">
        <v>1</v>
      </c>
      <c r="B9" s="19">
        <f>'FRIT FV 090.540 - FTA'!B9</f>
        <v>46235</v>
      </c>
      <c r="C9" s="77" t="s">
        <v>199</v>
      </c>
      <c r="D9" s="3"/>
      <c r="E9" s="3"/>
      <c r="F9" s="41">
        <f>SUM($E$8:E9)/A9</f>
        <v>0</v>
      </c>
      <c r="G9" s="93">
        <f>G8+D9-E9</f>
        <v>0</v>
      </c>
      <c r="H9" s="82" t="e">
        <f t="shared" ref="H9:H39" si="0">G9/F9</f>
        <v>#DIV/0!</v>
      </c>
      <c r="I9" s="59"/>
      <c r="J9" s="109"/>
      <c r="K9" s="221"/>
      <c r="L9" s="232"/>
      <c r="M9" s="109"/>
      <c r="N9" s="221"/>
      <c r="O9" s="109"/>
      <c r="P9" s="221"/>
      <c r="Q9" s="109"/>
      <c r="R9" s="221"/>
      <c r="S9" s="109"/>
      <c r="T9" s="221"/>
      <c r="U9" s="109"/>
      <c r="V9" s="221"/>
    </row>
    <row r="10" spans="1:22" s="13" customFormat="1" ht="20.25" customHeight="1">
      <c r="A10" s="185">
        <v>2</v>
      </c>
      <c r="B10" s="19">
        <f>'FRIT FV 090.540 - FTA'!B10</f>
        <v>46236</v>
      </c>
      <c r="C10" s="77" t="s">
        <v>199</v>
      </c>
      <c r="D10" s="3"/>
      <c r="E10" s="3"/>
      <c r="F10" s="41">
        <f>SUM($E$8:E10)/A10</f>
        <v>0</v>
      </c>
      <c r="G10" s="93">
        <f t="shared" ref="G10:G39" si="1">G9+D10-E10</f>
        <v>0</v>
      </c>
      <c r="H10" s="82" t="e">
        <f t="shared" si="0"/>
        <v>#DIV/0!</v>
      </c>
      <c r="I10" s="59"/>
      <c r="J10" s="109"/>
      <c r="K10" s="221"/>
      <c r="L10" s="232"/>
      <c r="M10" s="109"/>
      <c r="N10" s="221"/>
      <c r="O10" s="109"/>
      <c r="P10" s="221"/>
      <c r="Q10" s="109"/>
      <c r="R10" s="221"/>
      <c r="S10" s="109"/>
      <c r="T10" s="221"/>
      <c r="U10" s="109"/>
      <c r="V10" s="221"/>
    </row>
    <row r="11" spans="1:22" s="13" customFormat="1" ht="20.25" customHeight="1">
      <c r="A11" s="185">
        <v>3</v>
      </c>
      <c r="B11" s="19">
        <f>'FRIT FV 090.540 - FTA'!B11</f>
        <v>46237</v>
      </c>
      <c r="C11" s="77" t="s">
        <v>199</v>
      </c>
      <c r="D11" s="3"/>
      <c r="E11" s="3"/>
      <c r="F11" s="41">
        <f>SUM($E$8:E11)/A11</f>
        <v>0</v>
      </c>
      <c r="G11" s="93">
        <f t="shared" si="1"/>
        <v>0</v>
      </c>
      <c r="H11" s="83" t="e">
        <f t="shared" si="0"/>
        <v>#DIV/0!</v>
      </c>
      <c r="I11" s="59"/>
      <c r="J11" s="109"/>
      <c r="K11" s="221"/>
      <c r="L11" s="232"/>
      <c r="M11" s="109"/>
      <c r="N11" s="221"/>
      <c r="O11" s="109"/>
      <c r="P11" s="221"/>
      <c r="Q11" s="109"/>
      <c r="R11" s="221"/>
      <c r="S11" s="109"/>
      <c r="T11" s="221"/>
      <c r="U11" s="109"/>
      <c r="V11" s="221"/>
    </row>
    <row r="12" spans="1:22" s="140" customFormat="1" ht="20.25" customHeight="1">
      <c r="A12" s="185">
        <v>4</v>
      </c>
      <c r="B12" s="19">
        <f>'FRIT FV 090.540 - FTA'!B12</f>
        <v>46238</v>
      </c>
      <c r="C12" s="77" t="s">
        <v>156</v>
      </c>
      <c r="D12" s="3"/>
      <c r="E12" s="3"/>
      <c r="F12" s="41">
        <f>SUM($E$8:E12)/A12</f>
        <v>0</v>
      </c>
      <c r="G12" s="93">
        <f t="shared" si="1"/>
        <v>0</v>
      </c>
      <c r="H12" s="83" t="e">
        <f t="shared" si="0"/>
        <v>#DIV/0!</v>
      </c>
      <c r="I12" s="59"/>
      <c r="J12" s="186"/>
      <c r="K12" s="221"/>
      <c r="L12" s="232"/>
      <c r="M12" s="186"/>
      <c r="N12" s="221"/>
      <c r="O12" s="109"/>
      <c r="P12" s="221"/>
      <c r="Q12" s="109"/>
      <c r="R12" s="221"/>
      <c r="S12" s="109"/>
      <c r="T12" s="221"/>
      <c r="U12" s="109"/>
      <c r="V12" s="221"/>
    </row>
    <row r="13" spans="1:22" s="140" customFormat="1" ht="20.25" customHeight="1">
      <c r="A13" s="264">
        <v>5</v>
      </c>
      <c r="B13" s="265">
        <f>'FRIT FV 090.540 - FTA'!B13</f>
        <v>46239</v>
      </c>
      <c r="C13" s="77" t="s">
        <v>199</v>
      </c>
      <c r="D13" s="3"/>
      <c r="E13" s="3"/>
      <c r="F13" s="41">
        <f>SUM($E$8:E13)/A13</f>
        <v>0</v>
      </c>
      <c r="G13" s="285">
        <f t="shared" si="1"/>
        <v>0</v>
      </c>
      <c r="H13" s="83" t="e">
        <f t="shared" si="0"/>
        <v>#DIV/0!</v>
      </c>
      <c r="I13" s="59"/>
      <c r="J13" s="186"/>
      <c r="K13" s="221"/>
      <c r="L13" s="232"/>
      <c r="M13" s="186"/>
      <c r="N13" s="221"/>
      <c r="O13" s="109"/>
      <c r="P13" s="221"/>
      <c r="Q13" s="109"/>
      <c r="R13" s="221"/>
      <c r="S13" s="109"/>
      <c r="T13" s="221"/>
      <c r="U13" s="109"/>
      <c r="V13" s="221"/>
    </row>
    <row r="14" spans="1:22" s="140" customFormat="1" ht="20.25" customHeight="1">
      <c r="A14" s="185">
        <v>6</v>
      </c>
      <c r="B14" s="19">
        <f>'FRIT FV 090.540 - FTA'!B14</f>
        <v>46240</v>
      </c>
      <c r="C14" s="77" t="s">
        <v>156</v>
      </c>
      <c r="D14" s="3"/>
      <c r="E14" s="3"/>
      <c r="F14" s="41">
        <f>SUM($E$8:E14)/A14</f>
        <v>0</v>
      </c>
      <c r="G14" s="93">
        <f t="shared" si="1"/>
        <v>0</v>
      </c>
      <c r="H14" s="83" t="e">
        <f t="shared" si="0"/>
        <v>#DIV/0!</v>
      </c>
      <c r="I14" s="59"/>
      <c r="J14" s="186"/>
      <c r="K14" s="221"/>
      <c r="L14" s="232"/>
      <c r="M14" s="186"/>
      <c r="N14" s="221"/>
      <c r="O14" s="109"/>
      <c r="P14" s="221"/>
      <c r="Q14" s="109"/>
      <c r="R14" s="221"/>
      <c r="S14" s="109"/>
      <c r="T14" s="221"/>
      <c r="U14" s="109"/>
      <c r="V14" s="221"/>
    </row>
    <row r="15" spans="1:22" s="140" customFormat="1" ht="20.25" customHeight="1">
      <c r="A15" s="185">
        <v>7</v>
      </c>
      <c r="B15" s="19">
        <f>'FRIT FV 090.540 - FTA'!B15</f>
        <v>46241</v>
      </c>
      <c r="C15" s="77" t="s">
        <v>60</v>
      </c>
      <c r="D15" s="3"/>
      <c r="E15" s="3"/>
      <c r="F15" s="41">
        <f>SUM($E$8:E15)/A15</f>
        <v>0</v>
      </c>
      <c r="G15" s="93">
        <f t="shared" si="1"/>
        <v>0</v>
      </c>
      <c r="H15" s="83" t="e">
        <f t="shared" si="0"/>
        <v>#DIV/0!</v>
      </c>
      <c r="I15" s="59"/>
      <c r="J15" s="186"/>
      <c r="K15" s="221"/>
      <c r="L15" s="232"/>
      <c r="M15" s="186"/>
      <c r="N15" s="221"/>
      <c r="O15" s="109"/>
      <c r="P15" s="221"/>
      <c r="Q15" s="109"/>
      <c r="R15" s="221"/>
      <c r="S15" s="109"/>
      <c r="T15" s="221"/>
      <c r="U15" s="109"/>
      <c r="V15" s="221"/>
    </row>
    <row r="16" spans="1:22" s="140" customFormat="1" ht="20.25" customHeight="1">
      <c r="A16" s="185">
        <v>8</v>
      </c>
      <c r="B16" s="19">
        <f>'FRIT FV 090.540 - FTA'!B16</f>
        <v>46242</v>
      </c>
      <c r="C16" s="77" t="s">
        <v>60</v>
      </c>
      <c r="D16" s="3"/>
      <c r="E16" s="3"/>
      <c r="F16" s="41">
        <f>SUM($E$8:E16)/A16</f>
        <v>0</v>
      </c>
      <c r="G16" s="93">
        <f t="shared" si="1"/>
        <v>0</v>
      </c>
      <c r="H16" s="83" t="e">
        <f t="shared" si="0"/>
        <v>#DIV/0!</v>
      </c>
      <c r="I16" s="59"/>
      <c r="J16" s="186"/>
      <c r="K16" s="221"/>
      <c r="L16" s="232"/>
      <c r="M16" s="186"/>
      <c r="N16" s="221"/>
      <c r="O16" s="109"/>
      <c r="P16" s="221"/>
      <c r="Q16" s="109"/>
      <c r="R16" s="221"/>
      <c r="S16" s="109"/>
      <c r="T16" s="221"/>
      <c r="U16" s="109"/>
      <c r="V16" s="221"/>
    </row>
    <row r="17" spans="1:22" s="140" customFormat="1" ht="20.25" customHeight="1">
      <c r="A17" s="185">
        <v>9</v>
      </c>
      <c r="B17" s="19">
        <f>'FRIT FV 090.540 - FTA'!B17</f>
        <v>46243</v>
      </c>
      <c r="C17" s="77" t="s">
        <v>199</v>
      </c>
      <c r="D17" s="3"/>
      <c r="E17" s="3"/>
      <c r="F17" s="41">
        <f>SUM($E$8:E17)/A17</f>
        <v>0</v>
      </c>
      <c r="G17" s="93">
        <f t="shared" si="1"/>
        <v>0</v>
      </c>
      <c r="H17" s="83" t="e">
        <f t="shared" si="0"/>
        <v>#DIV/0!</v>
      </c>
      <c r="I17" s="59"/>
      <c r="J17" s="186"/>
      <c r="K17" s="221"/>
      <c r="L17" s="232"/>
      <c r="M17" s="186"/>
      <c r="N17" s="221"/>
      <c r="O17" s="109"/>
      <c r="P17" s="221"/>
      <c r="Q17" s="109"/>
      <c r="R17" s="221"/>
      <c r="S17" s="109"/>
      <c r="T17" s="221"/>
      <c r="U17" s="109"/>
      <c r="V17" s="221"/>
    </row>
    <row r="18" spans="1:22" s="140" customFormat="1" ht="20.25" customHeight="1">
      <c r="A18" s="264">
        <v>10</v>
      </c>
      <c r="B18" s="265">
        <f>'FRIT FV 090.540 - FTA'!B18</f>
        <v>46244</v>
      </c>
      <c r="C18" s="77" t="s">
        <v>156</v>
      </c>
      <c r="D18" s="3"/>
      <c r="E18" s="3"/>
      <c r="F18" s="41">
        <f>SUM($E$8:E18)/A18</f>
        <v>0</v>
      </c>
      <c r="G18" s="285">
        <f t="shared" si="1"/>
        <v>0</v>
      </c>
      <c r="H18" s="83" t="e">
        <f t="shared" si="0"/>
        <v>#DIV/0!</v>
      </c>
      <c r="I18" s="59"/>
      <c r="J18" s="186"/>
      <c r="K18" s="221"/>
      <c r="L18" s="232"/>
      <c r="M18" s="186"/>
      <c r="N18" s="221"/>
      <c r="O18" s="109"/>
      <c r="P18" s="221"/>
      <c r="Q18" s="109"/>
      <c r="R18" s="221"/>
      <c r="S18" s="109"/>
      <c r="T18" s="221"/>
      <c r="U18" s="109"/>
      <c r="V18" s="221"/>
    </row>
    <row r="19" spans="1:22" s="140" customFormat="1" ht="20.25" customHeight="1">
      <c r="A19" s="185">
        <v>11</v>
      </c>
      <c r="B19" s="19">
        <f>'FRIT FV 090.540 - FTA'!B19</f>
        <v>46245</v>
      </c>
      <c r="C19" s="77" t="s">
        <v>156</v>
      </c>
      <c r="D19" s="3"/>
      <c r="E19" s="3"/>
      <c r="F19" s="41">
        <f>SUM($E$8:E19)/A19</f>
        <v>0</v>
      </c>
      <c r="G19" s="93">
        <f t="shared" si="1"/>
        <v>0</v>
      </c>
      <c r="H19" s="83" t="e">
        <f t="shared" si="0"/>
        <v>#DIV/0!</v>
      </c>
      <c r="I19" s="59"/>
      <c r="J19" s="186"/>
      <c r="K19" s="221"/>
      <c r="L19" s="232"/>
      <c r="M19" s="186"/>
      <c r="N19" s="221"/>
      <c r="O19" s="109"/>
      <c r="P19" s="221"/>
      <c r="Q19" s="109"/>
      <c r="R19" s="221"/>
      <c r="S19" s="109"/>
      <c r="T19" s="221"/>
      <c r="U19" s="109"/>
      <c r="V19" s="221"/>
    </row>
    <row r="20" spans="1:22" s="140" customFormat="1" ht="20.25" customHeight="1">
      <c r="A20" s="185">
        <v>12</v>
      </c>
      <c r="B20" s="19">
        <f>'FRIT FV 090.540 - FTA'!B20</f>
        <v>46246</v>
      </c>
      <c r="C20" s="77" t="s">
        <v>199</v>
      </c>
      <c r="D20" s="3"/>
      <c r="E20" s="3"/>
      <c r="F20" s="41">
        <f>SUM($E$8:E20)/A20</f>
        <v>0</v>
      </c>
      <c r="G20" s="93">
        <f t="shared" si="1"/>
        <v>0</v>
      </c>
      <c r="H20" s="83" t="e">
        <f t="shared" si="0"/>
        <v>#DIV/0!</v>
      </c>
      <c r="I20" s="59"/>
      <c r="J20" s="186"/>
      <c r="K20" s="221"/>
      <c r="L20" s="232"/>
      <c r="M20" s="186"/>
      <c r="N20" s="221"/>
      <c r="O20" s="109"/>
      <c r="P20" s="221"/>
      <c r="Q20" s="109"/>
      <c r="R20" s="221"/>
      <c r="S20" s="109"/>
      <c r="T20" s="221"/>
      <c r="U20" s="109"/>
      <c r="V20" s="221"/>
    </row>
    <row r="21" spans="1:22" s="140" customFormat="1" ht="20.25" customHeight="1">
      <c r="A21" s="185">
        <v>13</v>
      </c>
      <c r="B21" s="19">
        <f>'FRIT FV 090.540 - FTA'!B21</f>
        <v>46247</v>
      </c>
      <c r="C21" s="77" t="s">
        <v>60</v>
      </c>
      <c r="D21" s="3"/>
      <c r="E21" s="3"/>
      <c r="F21" s="41">
        <f>SUM($E$8:E21)/A21</f>
        <v>0</v>
      </c>
      <c r="G21" s="93">
        <f t="shared" si="1"/>
        <v>0</v>
      </c>
      <c r="H21" s="83" t="e">
        <f t="shared" si="0"/>
        <v>#DIV/0!</v>
      </c>
      <c r="I21" s="59"/>
      <c r="J21" s="186"/>
      <c r="K21" s="221"/>
      <c r="L21" s="232"/>
      <c r="M21" s="186"/>
      <c r="N21" s="221"/>
      <c r="O21" s="109"/>
      <c r="P21" s="221"/>
      <c r="Q21" s="109"/>
      <c r="R21" s="221"/>
      <c r="S21" s="109"/>
      <c r="T21" s="221"/>
      <c r="U21" s="109"/>
      <c r="V21" s="221"/>
    </row>
    <row r="22" spans="1:22" s="140" customFormat="1" ht="20.25" customHeight="1">
      <c r="A22" s="185">
        <v>14</v>
      </c>
      <c r="B22" s="19">
        <f>'FRIT FV 090.540 - FTA'!B22</f>
        <v>46248</v>
      </c>
      <c r="C22" s="77" t="s">
        <v>60</v>
      </c>
      <c r="D22" s="3"/>
      <c r="E22" s="3"/>
      <c r="F22" s="41">
        <f>SUM($E$8:E22)/A22</f>
        <v>0</v>
      </c>
      <c r="G22" s="93">
        <f t="shared" si="1"/>
        <v>0</v>
      </c>
      <c r="H22" s="83" t="e">
        <f t="shared" si="0"/>
        <v>#DIV/0!</v>
      </c>
      <c r="I22" s="59"/>
      <c r="J22" s="186"/>
      <c r="K22" s="222"/>
      <c r="L22" s="232"/>
      <c r="M22" s="186"/>
      <c r="N22" s="222"/>
      <c r="O22" s="109"/>
      <c r="P22" s="221"/>
      <c r="Q22" s="109"/>
      <c r="R22" s="221"/>
      <c r="S22" s="109"/>
      <c r="T22" s="221"/>
      <c r="U22" s="109"/>
      <c r="V22" s="221"/>
    </row>
    <row r="23" spans="1:22" s="140" customFormat="1" ht="20.25" customHeight="1">
      <c r="A23" s="264">
        <v>15</v>
      </c>
      <c r="B23" s="265">
        <f>'FRIT FV 090.540 - FTA'!B23</f>
        <v>46249</v>
      </c>
      <c r="C23" s="77" t="s">
        <v>60</v>
      </c>
      <c r="D23" s="3"/>
      <c r="E23" s="3"/>
      <c r="F23" s="41">
        <f>SUM($E$8:E23)/A23</f>
        <v>0</v>
      </c>
      <c r="G23" s="285">
        <f t="shared" si="1"/>
        <v>0</v>
      </c>
      <c r="H23" s="83" t="e">
        <f t="shared" si="0"/>
        <v>#DIV/0!</v>
      </c>
      <c r="I23" s="59"/>
      <c r="J23" s="186"/>
      <c r="K23" s="221"/>
      <c r="L23" s="232"/>
      <c r="M23" s="186"/>
      <c r="N23" s="221"/>
      <c r="O23" s="109"/>
      <c r="P23" s="221"/>
      <c r="Q23" s="109"/>
      <c r="R23" s="221"/>
      <c r="S23" s="109"/>
      <c r="T23" s="221"/>
      <c r="U23" s="109"/>
      <c r="V23" s="221"/>
    </row>
    <row r="24" spans="1:22" s="140" customFormat="1" ht="20.25" customHeight="1">
      <c r="A24" s="185">
        <v>16</v>
      </c>
      <c r="B24" s="19">
        <f>'FRIT FV 090.540 - FTA'!B24</f>
        <v>46250</v>
      </c>
      <c r="C24" s="77" t="s">
        <v>199</v>
      </c>
      <c r="D24" s="3"/>
      <c r="E24" s="3"/>
      <c r="F24" s="41">
        <f>SUM($E$8:E24)/A24</f>
        <v>0</v>
      </c>
      <c r="G24" s="93">
        <f t="shared" si="1"/>
        <v>0</v>
      </c>
      <c r="H24" s="83" t="e">
        <f t="shared" si="0"/>
        <v>#DIV/0!</v>
      </c>
      <c r="I24" s="59"/>
      <c r="J24" s="186"/>
      <c r="K24" s="222"/>
      <c r="L24" s="232"/>
      <c r="M24" s="186"/>
      <c r="N24" s="222"/>
      <c r="O24" s="109"/>
      <c r="P24" s="221"/>
      <c r="Q24" s="109"/>
      <c r="R24" s="221"/>
      <c r="S24" s="109"/>
      <c r="T24" s="221"/>
      <c r="U24" s="109"/>
      <c r="V24" s="221"/>
    </row>
    <row r="25" spans="1:22" s="140" customFormat="1" ht="20.25" customHeight="1">
      <c r="A25" s="185">
        <v>17</v>
      </c>
      <c r="B25" s="19">
        <f>'FRIT FV 090.540 - FTA'!B25</f>
        <v>46251</v>
      </c>
      <c r="C25" s="77" t="s">
        <v>60</v>
      </c>
      <c r="D25" s="3"/>
      <c r="E25" s="3"/>
      <c r="F25" s="41">
        <f>SUM($E$8:E25)/A25</f>
        <v>0</v>
      </c>
      <c r="G25" s="93">
        <f t="shared" si="1"/>
        <v>0</v>
      </c>
      <c r="H25" s="83" t="e">
        <f t="shared" si="0"/>
        <v>#DIV/0!</v>
      </c>
      <c r="I25" s="59"/>
      <c r="J25" s="186"/>
      <c r="K25" s="222"/>
      <c r="L25" s="232"/>
      <c r="M25" s="186"/>
      <c r="N25" s="222"/>
      <c r="O25" s="109"/>
      <c r="P25" s="221"/>
      <c r="Q25" s="109"/>
      <c r="R25" s="221"/>
      <c r="S25" s="109"/>
      <c r="T25" s="221"/>
      <c r="U25" s="109"/>
      <c r="V25" s="221"/>
    </row>
    <row r="26" spans="1:22" s="140" customFormat="1" ht="20.25" customHeight="1">
      <c r="A26" s="185">
        <v>18</v>
      </c>
      <c r="B26" s="19">
        <f>'FRIT FV 090.540 - FTA'!B26</f>
        <v>46252</v>
      </c>
      <c r="C26" s="77" t="s">
        <v>156</v>
      </c>
      <c r="D26" s="3"/>
      <c r="E26" s="3"/>
      <c r="F26" s="41">
        <f>SUM($E$8:E26)/A26</f>
        <v>0</v>
      </c>
      <c r="G26" s="93">
        <f t="shared" si="1"/>
        <v>0</v>
      </c>
      <c r="H26" s="83" t="e">
        <f t="shared" si="0"/>
        <v>#DIV/0!</v>
      </c>
      <c r="I26" s="59"/>
      <c r="J26" s="186"/>
      <c r="K26" s="222"/>
      <c r="L26" s="232"/>
      <c r="M26" s="186"/>
      <c r="N26" s="222"/>
      <c r="O26" s="109"/>
      <c r="P26" s="221"/>
      <c r="Q26" s="109"/>
      <c r="R26" s="221"/>
      <c r="S26" s="109"/>
      <c r="T26" s="221"/>
      <c r="U26" s="109"/>
      <c r="V26" s="221"/>
    </row>
    <row r="27" spans="1:22" s="140" customFormat="1" ht="20.25" customHeight="1">
      <c r="A27" s="185">
        <v>19</v>
      </c>
      <c r="B27" s="19">
        <f>'FRIT FV 090.540 - FTA'!B27</f>
        <v>46253</v>
      </c>
      <c r="C27" s="77" t="s">
        <v>199</v>
      </c>
      <c r="D27" s="3"/>
      <c r="E27" s="3"/>
      <c r="F27" s="41">
        <f>SUM($E$8:E27)/A27</f>
        <v>0</v>
      </c>
      <c r="G27" s="93">
        <f t="shared" si="1"/>
        <v>0</v>
      </c>
      <c r="H27" s="83" t="e">
        <f t="shared" si="0"/>
        <v>#DIV/0!</v>
      </c>
      <c r="I27" s="59"/>
      <c r="J27" s="186"/>
      <c r="K27" s="222"/>
      <c r="L27" s="232"/>
      <c r="M27" s="186"/>
      <c r="N27" s="222"/>
      <c r="O27" s="109"/>
      <c r="P27" s="221"/>
      <c r="Q27" s="109"/>
      <c r="R27" s="221"/>
      <c r="S27" s="109"/>
      <c r="T27" s="221"/>
      <c r="U27" s="109"/>
      <c r="V27" s="221"/>
    </row>
    <row r="28" spans="1:22" s="140" customFormat="1" ht="20.25" customHeight="1">
      <c r="A28" s="264">
        <v>20</v>
      </c>
      <c r="B28" s="265">
        <f>'FRIT FV 090.540 - FTA'!B28</f>
        <v>46254</v>
      </c>
      <c r="C28" s="77" t="s">
        <v>199</v>
      </c>
      <c r="D28" s="3"/>
      <c r="E28" s="3"/>
      <c r="F28" s="41">
        <f>SUM($E$8:E28)/A28</f>
        <v>0</v>
      </c>
      <c r="G28" s="285">
        <f t="shared" si="1"/>
        <v>0</v>
      </c>
      <c r="H28" s="83" t="e">
        <f t="shared" si="0"/>
        <v>#DIV/0!</v>
      </c>
      <c r="I28" s="59"/>
      <c r="J28" s="186"/>
      <c r="K28" s="221"/>
      <c r="L28" s="232"/>
      <c r="M28" s="186"/>
      <c r="N28" s="221"/>
      <c r="O28" s="109"/>
      <c r="P28" s="221"/>
      <c r="Q28" s="109"/>
      <c r="R28" s="221"/>
      <c r="S28" s="109"/>
      <c r="T28" s="221"/>
      <c r="U28" s="109"/>
      <c r="V28" s="221"/>
    </row>
    <row r="29" spans="1:22" s="140" customFormat="1" ht="20.25" customHeight="1">
      <c r="A29" s="185">
        <v>21</v>
      </c>
      <c r="B29" s="19">
        <f>'FRIT FV 090.540 - FTA'!B29</f>
        <v>46255</v>
      </c>
      <c r="C29" s="77" t="s">
        <v>156</v>
      </c>
      <c r="D29" s="3"/>
      <c r="E29" s="3"/>
      <c r="F29" s="41">
        <f>SUM($E$8:E29)/A29</f>
        <v>0</v>
      </c>
      <c r="G29" s="93">
        <f t="shared" si="1"/>
        <v>0</v>
      </c>
      <c r="H29" s="83" t="e">
        <f t="shared" si="0"/>
        <v>#DIV/0!</v>
      </c>
      <c r="I29" s="59"/>
      <c r="J29" s="186"/>
      <c r="K29" s="222"/>
      <c r="L29" s="232"/>
      <c r="M29" s="186"/>
      <c r="N29" s="222"/>
      <c r="O29" s="109"/>
      <c r="P29" s="221"/>
      <c r="Q29" s="109"/>
      <c r="R29" s="221"/>
      <c r="S29" s="109"/>
      <c r="T29" s="221"/>
      <c r="U29" s="109"/>
      <c r="V29" s="221"/>
    </row>
    <row r="30" spans="1:22" s="140" customFormat="1" ht="20.25" customHeight="1">
      <c r="A30" s="185">
        <v>22</v>
      </c>
      <c r="B30" s="19">
        <f>'FRIT FV 090.540 - FTA'!B30</f>
        <v>46256</v>
      </c>
      <c r="C30" s="77" t="s">
        <v>156</v>
      </c>
      <c r="D30" s="3"/>
      <c r="E30" s="3"/>
      <c r="F30" s="41">
        <f>SUM($E$8:E30)/A30</f>
        <v>0</v>
      </c>
      <c r="G30" s="93">
        <f t="shared" si="1"/>
        <v>0</v>
      </c>
      <c r="H30" s="83" t="e">
        <f t="shared" si="0"/>
        <v>#DIV/0!</v>
      </c>
      <c r="I30" s="59"/>
      <c r="J30" s="186"/>
      <c r="K30" s="222"/>
      <c r="L30" s="232"/>
      <c r="M30" s="186"/>
      <c r="N30" s="222"/>
      <c r="O30" s="109"/>
      <c r="P30" s="221"/>
      <c r="Q30" s="109"/>
      <c r="R30" s="221"/>
      <c r="S30" s="109"/>
      <c r="T30" s="221"/>
      <c r="U30" s="109"/>
      <c r="V30" s="221"/>
    </row>
    <row r="31" spans="1:22" s="140" customFormat="1" ht="20.25" customHeight="1">
      <c r="A31" s="185">
        <v>23</v>
      </c>
      <c r="B31" s="19">
        <f>'FRIT FV 090.540 - FTA'!B31</f>
        <v>46257</v>
      </c>
      <c r="C31" s="77" t="s">
        <v>199</v>
      </c>
      <c r="D31" s="3"/>
      <c r="E31" s="3"/>
      <c r="F31" s="41">
        <f>SUM($E$8:E31)/A31</f>
        <v>0</v>
      </c>
      <c r="G31" s="93">
        <f t="shared" si="1"/>
        <v>0</v>
      </c>
      <c r="H31" s="83" t="e">
        <f t="shared" si="0"/>
        <v>#DIV/0!</v>
      </c>
      <c r="I31" s="59"/>
      <c r="J31" s="186"/>
      <c r="K31" s="222"/>
      <c r="L31" s="232"/>
      <c r="M31" s="186"/>
      <c r="N31" s="222"/>
      <c r="O31" s="109"/>
      <c r="P31" s="221"/>
      <c r="Q31" s="109"/>
      <c r="R31" s="221"/>
      <c r="S31" s="109"/>
      <c r="T31" s="221"/>
      <c r="U31" s="109"/>
      <c r="V31" s="221"/>
    </row>
    <row r="32" spans="1:22" s="140" customFormat="1" ht="20.25" customHeight="1">
      <c r="A32" s="185">
        <v>24</v>
      </c>
      <c r="B32" s="19">
        <f>'FRIT FV 090.540 - FTA'!B32</f>
        <v>46258</v>
      </c>
      <c r="C32" s="77" t="s">
        <v>60</v>
      </c>
      <c r="D32" s="3"/>
      <c r="E32" s="3"/>
      <c r="F32" s="41">
        <f>SUM($E$8:E32)/A32</f>
        <v>0</v>
      </c>
      <c r="G32" s="93">
        <f t="shared" si="1"/>
        <v>0</v>
      </c>
      <c r="H32" s="83" t="e">
        <f t="shared" si="0"/>
        <v>#DIV/0!</v>
      </c>
      <c r="I32" s="59"/>
      <c r="J32" s="186"/>
      <c r="K32" s="222"/>
      <c r="L32" s="232"/>
      <c r="M32" s="186"/>
      <c r="N32" s="222"/>
      <c r="O32" s="109"/>
      <c r="P32" s="221"/>
      <c r="Q32" s="109"/>
      <c r="R32" s="221"/>
      <c r="S32" s="109"/>
      <c r="T32" s="221"/>
      <c r="U32" s="109"/>
      <c r="V32" s="221"/>
    </row>
    <row r="33" spans="1:22" s="140" customFormat="1" ht="20.25" customHeight="1">
      <c r="A33" s="262">
        <v>25</v>
      </c>
      <c r="B33" s="263">
        <f>'FRIT FV 090.540 - FTA'!B33</f>
        <v>46259</v>
      </c>
      <c r="C33" s="77" t="s">
        <v>156</v>
      </c>
      <c r="D33" s="3"/>
      <c r="E33" s="3"/>
      <c r="F33" s="41">
        <f>SUM($E$8:E33)/A33</f>
        <v>0</v>
      </c>
      <c r="G33" s="286">
        <f t="shared" si="1"/>
        <v>0</v>
      </c>
      <c r="H33" s="83" t="e">
        <f t="shared" si="0"/>
        <v>#DIV/0!</v>
      </c>
      <c r="I33" s="59"/>
      <c r="J33" s="186"/>
      <c r="K33" s="221"/>
      <c r="L33" s="232"/>
      <c r="M33" s="186"/>
      <c r="N33" s="221"/>
      <c r="O33" s="109"/>
      <c r="P33" s="221"/>
      <c r="Q33" s="109"/>
      <c r="R33" s="221"/>
      <c r="S33" s="109"/>
      <c r="T33" s="221"/>
      <c r="U33" s="109"/>
      <c r="V33" s="221"/>
    </row>
    <row r="34" spans="1:22" s="140" customFormat="1" ht="20.25" customHeight="1">
      <c r="A34" s="185">
        <v>26</v>
      </c>
      <c r="B34" s="19">
        <f>'FRIT FV 090.540 - FTA'!B34</f>
        <v>46260</v>
      </c>
      <c r="C34" s="77" t="s">
        <v>199</v>
      </c>
      <c r="D34" s="3"/>
      <c r="E34" s="3"/>
      <c r="F34" s="41">
        <f>SUM($E$8:E34)/A34</f>
        <v>0</v>
      </c>
      <c r="G34" s="93">
        <f t="shared" si="1"/>
        <v>0</v>
      </c>
      <c r="H34" s="83" t="e">
        <f t="shared" si="0"/>
        <v>#DIV/0!</v>
      </c>
      <c r="I34" s="59"/>
      <c r="J34" s="186"/>
      <c r="K34" s="222"/>
      <c r="L34" s="232"/>
      <c r="M34" s="186"/>
      <c r="N34" s="222"/>
      <c r="O34" s="109"/>
      <c r="P34" s="221"/>
      <c r="Q34" s="109"/>
      <c r="R34" s="221"/>
      <c r="S34" s="109"/>
      <c r="T34" s="221"/>
      <c r="U34" s="109"/>
      <c r="V34" s="221"/>
    </row>
    <row r="35" spans="1:22" s="140" customFormat="1" ht="20.25" customHeight="1">
      <c r="A35" s="185">
        <v>27</v>
      </c>
      <c r="B35" s="19">
        <f>'FRIT FV 090.540 - FTA'!B35</f>
        <v>46261</v>
      </c>
      <c r="C35" s="77" t="s">
        <v>156</v>
      </c>
      <c r="D35" s="3"/>
      <c r="E35" s="3"/>
      <c r="F35" s="41">
        <f>SUM($E$8:E35)/A35</f>
        <v>0</v>
      </c>
      <c r="G35" s="93">
        <f t="shared" si="1"/>
        <v>0</v>
      </c>
      <c r="H35" s="83" t="e">
        <f t="shared" si="0"/>
        <v>#DIV/0!</v>
      </c>
      <c r="I35" s="59"/>
      <c r="J35" s="186"/>
      <c r="K35" s="222"/>
      <c r="L35" s="232"/>
      <c r="M35" s="186"/>
      <c r="N35" s="222"/>
      <c r="O35" s="109"/>
      <c r="P35" s="221"/>
      <c r="Q35" s="109"/>
      <c r="R35" s="221"/>
      <c r="S35" s="109"/>
      <c r="T35" s="221"/>
      <c r="U35" s="109"/>
      <c r="V35" s="221"/>
    </row>
    <row r="36" spans="1:22" s="140" customFormat="1" ht="20.25" customHeight="1">
      <c r="A36" s="185">
        <v>28</v>
      </c>
      <c r="B36" s="19">
        <f>'FRIT FV 090.540 - FTA'!B36</f>
        <v>46262</v>
      </c>
      <c r="C36" s="77" t="s">
        <v>199</v>
      </c>
      <c r="D36" s="3"/>
      <c r="E36" s="3"/>
      <c r="F36" s="41">
        <f>SUM($E$8:E36)/A36</f>
        <v>0</v>
      </c>
      <c r="G36" s="93">
        <f t="shared" si="1"/>
        <v>0</v>
      </c>
      <c r="H36" s="83" t="e">
        <f t="shared" si="0"/>
        <v>#DIV/0!</v>
      </c>
      <c r="I36" s="59"/>
      <c r="J36" s="186"/>
      <c r="K36" s="222"/>
      <c r="L36" s="232"/>
      <c r="M36" s="186"/>
      <c r="N36" s="222"/>
      <c r="O36" s="109"/>
      <c r="P36" s="221"/>
      <c r="Q36" s="109"/>
      <c r="R36" s="221"/>
      <c r="S36" s="109"/>
      <c r="T36" s="221"/>
      <c r="U36" s="109"/>
      <c r="V36" s="221"/>
    </row>
    <row r="37" spans="1:22" s="140" customFormat="1" ht="20.25" customHeight="1">
      <c r="A37" s="185">
        <v>29</v>
      </c>
      <c r="B37" s="19">
        <f>'FRIT FV 090.540 - FTA'!B37</f>
        <v>46263</v>
      </c>
      <c r="C37" s="77" t="s">
        <v>199</v>
      </c>
      <c r="D37" s="3"/>
      <c r="E37" s="3"/>
      <c r="F37" s="41">
        <f>SUM($E$8:E37)/A37</f>
        <v>0</v>
      </c>
      <c r="G37" s="93">
        <f t="shared" si="1"/>
        <v>0</v>
      </c>
      <c r="H37" s="83" t="e">
        <f t="shared" si="0"/>
        <v>#DIV/0!</v>
      </c>
      <c r="I37" s="59"/>
      <c r="J37" s="186"/>
      <c r="K37" s="222"/>
      <c r="L37" s="232"/>
      <c r="M37" s="186"/>
      <c r="N37" s="222"/>
      <c r="O37" s="109"/>
      <c r="P37" s="221"/>
      <c r="Q37" s="109"/>
      <c r="R37" s="221"/>
      <c r="S37" s="109"/>
      <c r="T37" s="221"/>
      <c r="U37" s="109"/>
      <c r="V37" s="221"/>
    </row>
    <row r="38" spans="1:22" s="140" customFormat="1" ht="20.25" customHeight="1">
      <c r="A38" s="264">
        <v>30</v>
      </c>
      <c r="B38" s="265">
        <f>'FRIT FV 090.540 - FTA'!B38</f>
        <v>46264</v>
      </c>
      <c r="C38" s="77" t="s">
        <v>60</v>
      </c>
      <c r="D38" s="3"/>
      <c r="E38" s="3"/>
      <c r="F38" s="41">
        <f>SUM($E$8:E38)/A38</f>
        <v>0</v>
      </c>
      <c r="G38" s="285">
        <f t="shared" si="1"/>
        <v>0</v>
      </c>
      <c r="H38" s="83" t="e">
        <f t="shared" si="0"/>
        <v>#DIV/0!</v>
      </c>
      <c r="I38" s="59"/>
      <c r="J38" s="186"/>
      <c r="K38" s="221"/>
      <c r="L38" s="232"/>
      <c r="M38" s="186"/>
      <c r="N38" s="221"/>
      <c r="O38" s="109"/>
      <c r="P38" s="221"/>
      <c r="Q38" s="109"/>
      <c r="R38" s="221"/>
      <c r="S38" s="109"/>
      <c r="T38" s="221"/>
      <c r="U38" s="109"/>
      <c r="V38" s="221"/>
    </row>
    <row r="39" spans="1:22" s="140" customFormat="1" ht="20.25" customHeight="1">
      <c r="A39" s="185">
        <v>31</v>
      </c>
      <c r="B39" s="19">
        <f>'FRIT FV 090.540 - FTA'!B39</f>
        <v>46265</v>
      </c>
      <c r="C39" s="77" t="s">
        <v>199</v>
      </c>
      <c r="D39" s="3"/>
      <c r="E39" s="3"/>
      <c r="F39" s="41">
        <f>SUM($E$8:E39)/A39</f>
        <v>0</v>
      </c>
      <c r="G39" s="93">
        <f t="shared" si="1"/>
        <v>0</v>
      </c>
      <c r="H39" s="83" t="e">
        <f t="shared" si="0"/>
        <v>#DIV/0!</v>
      </c>
      <c r="I39" s="59"/>
      <c r="J39" s="186"/>
      <c r="K39" s="222"/>
      <c r="L39" s="232"/>
      <c r="M39" s="186"/>
      <c r="N39" s="222"/>
      <c r="O39" s="109"/>
      <c r="P39" s="221"/>
      <c r="Q39" s="109"/>
      <c r="R39" s="221"/>
      <c r="S39" s="109"/>
      <c r="T39" s="221"/>
      <c r="U39" s="109"/>
      <c r="V39" s="221"/>
    </row>
    <row r="40" spans="1:22" s="32" customFormat="1" ht="20.25" customHeight="1">
      <c r="A40" s="1517" t="s">
        <v>29</v>
      </c>
      <c r="B40" s="1517"/>
      <c r="C40" s="1517"/>
      <c r="D40" s="60">
        <f>SUM(D9:D39)</f>
        <v>0</v>
      </c>
      <c r="E40" s="29">
        <f>SUM(E9:E39)</f>
        <v>0</v>
      </c>
      <c r="F40" s="29"/>
      <c r="G40" s="61">
        <f>G39</f>
        <v>0</v>
      </c>
      <c r="H40" s="59"/>
      <c r="I40" s="59"/>
      <c r="J40" s="220">
        <f>SUM(J9:J39)</f>
        <v>0</v>
      </c>
      <c r="K40" s="230">
        <f t="shared" ref="K40:Q40" si="2">SUM(K9:K39)</f>
        <v>0</v>
      </c>
      <c r="L40" s="220">
        <f t="shared" si="2"/>
        <v>0</v>
      </c>
      <c r="M40" s="220">
        <f t="shared" si="2"/>
        <v>0</v>
      </c>
      <c r="N40" s="230">
        <f t="shared" si="2"/>
        <v>0</v>
      </c>
      <c r="O40" s="220">
        <f t="shared" si="2"/>
        <v>0</v>
      </c>
      <c r="P40" s="220">
        <f t="shared" si="2"/>
        <v>0</v>
      </c>
      <c r="Q40" s="220">
        <f t="shared" si="2"/>
        <v>0</v>
      </c>
      <c r="R40" s="220"/>
      <c r="S40" s="220"/>
      <c r="T40" s="220"/>
      <c r="U40" s="220"/>
      <c r="V40" s="220"/>
    </row>
    <row r="41" spans="1:22" s="32" customFormat="1" ht="20.25" customHeight="1">
      <c r="A41" s="1517" t="s">
        <v>15</v>
      </c>
      <c r="B41" s="1517"/>
      <c r="C41" s="1517"/>
      <c r="D41" s="60">
        <f>D40+D8</f>
        <v>0</v>
      </c>
      <c r="E41" s="29">
        <f>E40+E8</f>
        <v>0</v>
      </c>
      <c r="F41" s="29"/>
      <c r="G41" s="29">
        <f>D41-E41</f>
        <v>0</v>
      </c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</row>
    <row r="42" spans="1:22" ht="23.25" customHeight="1">
      <c r="A42" s="5"/>
      <c r="B42" s="5"/>
      <c r="C42" s="5"/>
      <c r="D42" s="7"/>
      <c r="E42" s="24"/>
      <c r="F42" s="7"/>
      <c r="G42" s="7"/>
      <c r="M42" s="231"/>
      <c r="N42" s="231"/>
    </row>
    <row r="43" spans="1:22">
      <c r="D43" s="7"/>
      <c r="E43" s="24"/>
      <c r="H43" s="101" t="s">
        <v>13</v>
      </c>
    </row>
    <row r="44" spans="1:22">
      <c r="D44" s="7"/>
      <c r="H44" s="243"/>
    </row>
    <row r="45" spans="1:22">
      <c r="D45" s="7"/>
      <c r="H45" s="243"/>
    </row>
    <row r="46" spans="1:22">
      <c r="D46" s="7">
        <f>D40</f>
        <v>0</v>
      </c>
      <c r="H46" s="243"/>
      <c r="J46" s="42">
        <f>J40+L40+N40+P40</f>
        <v>0</v>
      </c>
      <c r="K46" s="42">
        <f>K40+M40+O40+Q40</f>
        <v>0</v>
      </c>
      <c r="L46" s="42">
        <f>J46-K46</f>
        <v>0</v>
      </c>
    </row>
    <row r="47" spans="1:22">
      <c r="D47" s="7"/>
      <c r="H47" s="101" t="s">
        <v>98</v>
      </c>
    </row>
    <row r="49" spans="13:13">
      <c r="M49" s="210"/>
    </row>
  </sheetData>
  <mergeCells count="4">
    <mergeCell ref="A8:C8"/>
    <mergeCell ref="A40:C40"/>
    <mergeCell ref="A41:C41"/>
    <mergeCell ref="A3:I3"/>
  </mergeCells>
  <conditionalFormatting sqref="H38">
    <cfRule type="cellIs" dxfId="12522" priority="1" operator="between">
      <formula>3</formula>
      <formula>6</formula>
    </cfRule>
    <cfRule type="cellIs" dxfId="12521" priority="2" operator="lessThan">
      <formula>3</formula>
    </cfRule>
    <cfRule type="cellIs" dxfId="12520" priority="3" operator="greaterThan">
      <formula>6</formula>
    </cfRule>
  </conditionalFormatting>
  <conditionalFormatting sqref="H9:H17 H19:H22 H24:H27 H29:H32 H34:H37 H39">
    <cfRule type="cellIs" dxfId="12519" priority="16" operator="between">
      <formula>3</formula>
      <formula>6</formula>
    </cfRule>
    <cfRule type="cellIs" dxfId="12518" priority="17" operator="lessThan">
      <formula>3</formula>
    </cfRule>
    <cfRule type="cellIs" dxfId="12517" priority="18" operator="greaterThan">
      <formula>6</formula>
    </cfRule>
  </conditionalFormatting>
  <conditionalFormatting sqref="H18">
    <cfRule type="cellIs" dxfId="12516" priority="13" operator="between">
      <formula>3</formula>
      <formula>6</formula>
    </cfRule>
    <cfRule type="cellIs" dxfId="12515" priority="14" operator="lessThan">
      <formula>3</formula>
    </cfRule>
    <cfRule type="cellIs" dxfId="12514" priority="15" operator="greaterThan">
      <formula>6</formula>
    </cfRule>
  </conditionalFormatting>
  <conditionalFormatting sqref="H23">
    <cfRule type="cellIs" dxfId="12513" priority="10" operator="between">
      <formula>3</formula>
      <formula>6</formula>
    </cfRule>
    <cfRule type="cellIs" dxfId="12512" priority="11" operator="lessThan">
      <formula>3</formula>
    </cfRule>
    <cfRule type="cellIs" dxfId="12511" priority="12" operator="greaterThan">
      <formula>6</formula>
    </cfRule>
  </conditionalFormatting>
  <conditionalFormatting sqref="H28">
    <cfRule type="cellIs" dxfId="12510" priority="7" operator="between">
      <formula>3</formula>
      <formula>6</formula>
    </cfRule>
    <cfRule type="cellIs" dxfId="12509" priority="8" operator="lessThan">
      <formula>3</formula>
    </cfRule>
    <cfRule type="cellIs" dxfId="12508" priority="9" operator="greaterThan">
      <formula>6</formula>
    </cfRule>
  </conditionalFormatting>
  <conditionalFormatting sqref="H33">
    <cfRule type="cellIs" dxfId="12507" priority="4" operator="between">
      <formula>3</formula>
      <formula>6</formula>
    </cfRule>
    <cfRule type="cellIs" dxfId="12506" priority="5" operator="lessThan">
      <formula>3</formula>
    </cfRule>
    <cfRule type="cellIs" dxfId="12505" priority="6" operator="greaterThan">
      <formula>6</formula>
    </cfRule>
  </conditionalFormatting>
  <hyperlinks>
    <hyperlink ref="I6" location="'Tong hop T11.2019'!A1" display="TH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L47"/>
  <sheetViews>
    <sheetView zoomScale="70" zoomScaleNormal="70" workbookViewId="0">
      <pane ySplit="8" topLeftCell="A33" activePane="bottomLeft" state="frozen"/>
      <selection pane="bottomLeft" activeCell="G8" sqref="G8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9" style="42" customWidth="1"/>
    <col min="4" max="4" width="19.28515625" style="6" customWidth="1"/>
    <col min="5" max="5" width="17.85546875" style="6" customWidth="1"/>
    <col min="6" max="6" width="16.28515625" style="6" customWidth="1"/>
    <col min="7" max="7" width="13.42578125" style="6" customWidth="1"/>
    <col min="8" max="8" width="19.28515625" style="42" customWidth="1"/>
    <col min="9" max="9" width="14.5703125" style="42" customWidth="1"/>
    <col min="10" max="16384" width="9.28515625" style="42"/>
  </cols>
  <sheetData>
    <row r="1" spans="1:12" s="143" customFormat="1" ht="18" customHeight="1">
      <c r="A1" s="146" t="e">
        <f>'FRIT FV 090.540 - FTA'!#REF!</f>
        <v>#REF!</v>
      </c>
      <c r="B1" s="146"/>
      <c r="C1" s="146"/>
      <c r="D1" s="146"/>
      <c r="E1" s="146"/>
      <c r="F1" s="146"/>
      <c r="G1" s="142"/>
      <c r="H1" s="142"/>
      <c r="I1" s="142"/>
      <c r="J1" s="142"/>
      <c r="K1" s="142"/>
    </row>
    <row r="2" spans="1:12" s="143" customFormat="1" ht="18" customHeight="1">
      <c r="A2" s="146" t="e">
        <f>'FRIT FV 090.540 - FTA'!#REF!</f>
        <v>#REF!</v>
      </c>
      <c r="B2" s="146"/>
      <c r="C2" s="146"/>
      <c r="D2" s="144"/>
      <c r="E2" s="144"/>
      <c r="F2" s="144"/>
      <c r="G2" s="142"/>
      <c r="H2" s="142"/>
      <c r="I2" s="197" t="e">
        <f>'FRIT FV 090.540 - FTA'!#REF!</f>
        <v>#REF!</v>
      </c>
      <c r="J2" s="142"/>
      <c r="L2" s="142"/>
    </row>
    <row r="3" spans="1:12" ht="22.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</row>
    <row r="4" spans="1:12" ht="21.75" customHeight="1">
      <c r="D4" s="134" t="s">
        <v>33</v>
      </c>
      <c r="E4" s="67" t="s">
        <v>158</v>
      </c>
      <c r="G4" s="6" t="s">
        <v>114</v>
      </c>
      <c r="H4" s="137"/>
    </row>
    <row r="5" spans="1:12" s="8" customFormat="1" ht="21.75" customHeight="1">
      <c r="B5" s="8" t="e">
        <f>'FRIT FV 090.540 - FTA'!#REF!</f>
        <v>#REF!</v>
      </c>
      <c r="C5" s="8" t="e">
        <f>'FRIT FV 090.540 - FTA'!#REF!</f>
        <v>#REF!</v>
      </c>
      <c r="D5" s="8" t="e">
        <f>'FRIT FV 090.540 - FTA'!#REF!</f>
        <v>#REF!</v>
      </c>
      <c r="E5" s="8" t="e">
        <f>'FRIT FV 090.540 - FTA'!#REF!</f>
        <v>#REF!</v>
      </c>
      <c r="F5" s="8" t="e">
        <f>'FRIT FV 090.540 - FTA'!#REF!</f>
        <v>#REF!</v>
      </c>
      <c r="G5" s="8" t="e">
        <f>'FRIT FV 090.540 - FTA'!#REF!</f>
        <v>#REF!</v>
      </c>
      <c r="H5" s="8" t="e">
        <f>'FRIT FV 090.540 - FTA'!#REF!</f>
        <v>#REF!</v>
      </c>
      <c r="I5" s="8" t="e">
        <f>'FRIT FV 090.540 - FTA'!#REF!</f>
        <v>#REF!</v>
      </c>
    </row>
    <row r="6" spans="1:12" ht="22.5" customHeight="1">
      <c r="E6" s="10"/>
      <c r="F6" s="10"/>
      <c r="H6" s="12" t="s">
        <v>40</v>
      </c>
      <c r="I6" s="217" t="s">
        <v>149</v>
      </c>
    </row>
    <row r="7" spans="1:12" s="13" customFormat="1" ht="40.5" customHeight="1">
      <c r="A7" s="214" t="s">
        <v>2</v>
      </c>
      <c r="B7" s="215" t="s">
        <v>1</v>
      </c>
      <c r="C7" s="213" t="s">
        <v>24</v>
      </c>
      <c r="D7" s="193" t="s">
        <v>27</v>
      </c>
      <c r="E7" s="193" t="s">
        <v>31</v>
      </c>
      <c r="F7" s="216" t="s">
        <v>28</v>
      </c>
      <c r="G7" s="193" t="s">
        <v>14</v>
      </c>
      <c r="H7" s="216" t="s">
        <v>30</v>
      </c>
      <c r="I7" s="216" t="s">
        <v>101</v>
      </c>
    </row>
    <row r="8" spans="1:12" s="13" customFormat="1" ht="25.5" customHeight="1">
      <c r="A8" s="1514" t="s">
        <v>3</v>
      </c>
      <c r="B8" s="1515"/>
      <c r="C8" s="1516"/>
      <c r="D8" s="74">
        <v>0</v>
      </c>
      <c r="E8" s="43"/>
      <c r="F8" s="43"/>
      <c r="G8" s="92">
        <v>0</v>
      </c>
      <c r="H8" s="58"/>
      <c r="I8" s="58"/>
    </row>
    <row r="9" spans="1:12" s="13" customFormat="1" ht="20.25" customHeight="1">
      <c r="A9" s="185">
        <v>1</v>
      </c>
      <c r="B9" s="19">
        <f>'FRIT FV 090.540 - FTA'!B9</f>
        <v>46235</v>
      </c>
      <c r="C9" s="77" t="s">
        <v>103</v>
      </c>
      <c r="D9" s="218"/>
      <c r="E9" s="3"/>
      <c r="F9" s="41">
        <f>SUM($E$8:E9)/A9</f>
        <v>0</v>
      </c>
      <c r="G9" s="93">
        <f>G8+D9-E9</f>
        <v>0</v>
      </c>
      <c r="H9" s="82" t="e">
        <f t="shared" ref="H9:H39" si="0">G9/F9</f>
        <v>#DIV/0!</v>
      </c>
      <c r="I9" s="21"/>
    </row>
    <row r="10" spans="1:12" s="13" customFormat="1" ht="20.25" customHeight="1">
      <c r="A10" s="185">
        <v>2</v>
      </c>
      <c r="B10" s="19">
        <f>'FRIT FV 090.540 - FTA'!B10</f>
        <v>46236</v>
      </c>
      <c r="C10" s="77" t="s">
        <v>104</v>
      </c>
      <c r="D10" s="218"/>
      <c r="E10" s="3"/>
      <c r="F10" s="41">
        <f>SUM($E$8:E10)/A10</f>
        <v>0</v>
      </c>
      <c r="G10" s="93">
        <f t="shared" ref="G10:G39" si="1">G9+D10-E10</f>
        <v>0</v>
      </c>
      <c r="H10" s="82" t="e">
        <f t="shared" si="0"/>
        <v>#DIV/0!</v>
      </c>
      <c r="I10" s="21"/>
    </row>
    <row r="11" spans="1:12" s="13" customFormat="1" ht="20.25" customHeight="1">
      <c r="A11" s="185">
        <v>3</v>
      </c>
      <c r="B11" s="19">
        <f>'FRIT FV 090.540 - FTA'!B11</f>
        <v>46237</v>
      </c>
      <c r="C11" s="77" t="s">
        <v>141</v>
      </c>
      <c r="D11" s="218"/>
      <c r="E11" s="3"/>
      <c r="F11" s="41">
        <f>SUM($E$8:E11)/A11</f>
        <v>0</v>
      </c>
      <c r="G11" s="93">
        <f t="shared" si="1"/>
        <v>0</v>
      </c>
      <c r="H11" s="83" t="e">
        <f t="shared" si="0"/>
        <v>#DIV/0!</v>
      </c>
      <c r="I11" s="21"/>
    </row>
    <row r="12" spans="1:12" s="140" customFormat="1" ht="20.25" customHeight="1">
      <c r="A12" s="185">
        <v>4</v>
      </c>
      <c r="B12" s="19">
        <f>'FRIT FV 090.540 - FTA'!B12</f>
        <v>46238</v>
      </c>
      <c r="C12" s="77" t="s">
        <v>141</v>
      </c>
      <c r="D12" s="218"/>
      <c r="E12" s="3"/>
      <c r="F12" s="41">
        <f>SUM($E$8:E12)/A12</f>
        <v>0</v>
      </c>
      <c r="G12" s="93">
        <f t="shared" si="1"/>
        <v>0</v>
      </c>
      <c r="H12" s="83" t="e">
        <f t="shared" si="0"/>
        <v>#DIV/0!</v>
      </c>
      <c r="I12" s="21"/>
    </row>
    <row r="13" spans="1:12" s="140" customFormat="1" ht="20.25" customHeight="1">
      <c r="A13" s="185">
        <v>5</v>
      </c>
      <c r="B13" s="19">
        <f>'FRIT FV 090.540 - FTA'!B13</f>
        <v>46239</v>
      </c>
      <c r="C13" s="77" t="s">
        <v>103</v>
      </c>
      <c r="D13" s="218"/>
      <c r="E13" s="3"/>
      <c r="F13" s="41">
        <f>SUM($E$8:E13)/A13</f>
        <v>0</v>
      </c>
      <c r="G13" s="93">
        <f t="shared" si="1"/>
        <v>0</v>
      </c>
      <c r="H13" s="83" t="e">
        <f t="shared" si="0"/>
        <v>#DIV/0!</v>
      </c>
      <c r="I13" s="21"/>
    </row>
    <row r="14" spans="1:12" s="140" customFormat="1" ht="20.25" customHeight="1">
      <c r="A14" s="185">
        <v>6</v>
      </c>
      <c r="B14" s="19">
        <f>'FRIT FV 090.540 - FTA'!B14</f>
        <v>46240</v>
      </c>
      <c r="C14" s="77" t="s">
        <v>103</v>
      </c>
      <c r="D14" s="218"/>
      <c r="E14" s="3"/>
      <c r="F14" s="41">
        <f>SUM($E$8:E14)/A14</f>
        <v>0</v>
      </c>
      <c r="G14" s="93">
        <f t="shared" si="1"/>
        <v>0</v>
      </c>
      <c r="H14" s="83" t="e">
        <f t="shared" si="0"/>
        <v>#DIV/0!</v>
      </c>
      <c r="I14" s="21"/>
    </row>
    <row r="15" spans="1:12" s="140" customFormat="1" ht="20.25" customHeight="1">
      <c r="A15" s="185">
        <v>7</v>
      </c>
      <c r="B15" s="19">
        <f>'FRIT FV 090.540 - FTA'!B15</f>
        <v>46241</v>
      </c>
      <c r="C15" s="77" t="s">
        <v>104</v>
      </c>
      <c r="D15" s="218"/>
      <c r="E15" s="3"/>
      <c r="F15" s="41">
        <f>SUM($E$8:E15)/A15</f>
        <v>0</v>
      </c>
      <c r="G15" s="93">
        <f t="shared" si="1"/>
        <v>0</v>
      </c>
      <c r="H15" s="83" t="e">
        <f t="shared" si="0"/>
        <v>#DIV/0!</v>
      </c>
      <c r="I15" s="21"/>
    </row>
    <row r="16" spans="1:12" s="140" customFormat="1" ht="20.25" customHeight="1">
      <c r="A16" s="185">
        <v>8</v>
      </c>
      <c r="B16" s="19">
        <f>'FRIT FV 090.540 - FTA'!B16</f>
        <v>46242</v>
      </c>
      <c r="C16" s="77" t="s">
        <v>141</v>
      </c>
      <c r="D16" s="218"/>
      <c r="E16" s="3"/>
      <c r="F16" s="41">
        <f>SUM($E$8:E16)/A16</f>
        <v>0</v>
      </c>
      <c r="G16" s="93">
        <f t="shared" si="1"/>
        <v>0</v>
      </c>
      <c r="H16" s="83" t="e">
        <f t="shared" si="0"/>
        <v>#DIV/0!</v>
      </c>
      <c r="I16" s="21"/>
    </row>
    <row r="17" spans="1:9" s="140" customFormat="1" ht="20.25" customHeight="1">
      <c r="A17" s="185">
        <v>9</v>
      </c>
      <c r="B17" s="19">
        <f>'FRIT FV 090.540 - FTA'!B17</f>
        <v>46243</v>
      </c>
      <c r="C17" s="77" t="s">
        <v>141</v>
      </c>
      <c r="D17" s="218"/>
      <c r="E17" s="3"/>
      <c r="F17" s="41">
        <f>SUM($E$8:E17)/A17</f>
        <v>0</v>
      </c>
      <c r="G17" s="93">
        <f t="shared" si="1"/>
        <v>0</v>
      </c>
      <c r="H17" s="83" t="e">
        <f t="shared" si="0"/>
        <v>#DIV/0!</v>
      </c>
      <c r="I17" s="21"/>
    </row>
    <row r="18" spans="1:9" s="140" customFormat="1" ht="20.25" customHeight="1">
      <c r="A18" s="185">
        <v>10</v>
      </c>
      <c r="B18" s="19">
        <f>'FRIT FV 090.540 - FTA'!B18</f>
        <v>46244</v>
      </c>
      <c r="C18" s="77" t="s">
        <v>141</v>
      </c>
      <c r="D18" s="218"/>
      <c r="E18" s="3"/>
      <c r="F18" s="41">
        <f>SUM($E$8:E18)/A18</f>
        <v>0</v>
      </c>
      <c r="G18" s="93">
        <f t="shared" si="1"/>
        <v>0</v>
      </c>
      <c r="H18" s="83" t="e">
        <f t="shared" si="0"/>
        <v>#DIV/0!</v>
      </c>
      <c r="I18" s="21"/>
    </row>
    <row r="19" spans="1:9" s="140" customFormat="1" ht="20.25" customHeight="1">
      <c r="A19" s="185">
        <v>11</v>
      </c>
      <c r="B19" s="19">
        <f>'FRIT FV 090.540 - FTA'!B19</f>
        <v>46245</v>
      </c>
      <c r="C19" s="77" t="s">
        <v>141</v>
      </c>
      <c r="D19" s="218"/>
      <c r="E19" s="3"/>
      <c r="F19" s="41">
        <f>SUM($E$8:E19)/A19</f>
        <v>0</v>
      </c>
      <c r="G19" s="93">
        <f t="shared" si="1"/>
        <v>0</v>
      </c>
      <c r="H19" s="83" t="e">
        <f t="shared" si="0"/>
        <v>#DIV/0!</v>
      </c>
      <c r="I19" s="21"/>
    </row>
    <row r="20" spans="1:9" s="140" customFormat="1" ht="20.25" customHeight="1">
      <c r="A20" s="185">
        <v>12</v>
      </c>
      <c r="B20" s="19">
        <f>'FRIT FV 090.540 - FTA'!B20</f>
        <v>46246</v>
      </c>
      <c r="C20" s="77" t="s">
        <v>103</v>
      </c>
      <c r="D20" s="218"/>
      <c r="E20" s="3"/>
      <c r="F20" s="41">
        <f>SUM($E$8:E20)/A20</f>
        <v>0</v>
      </c>
      <c r="G20" s="93">
        <f t="shared" si="1"/>
        <v>0</v>
      </c>
      <c r="H20" s="83" t="e">
        <f t="shared" si="0"/>
        <v>#DIV/0!</v>
      </c>
      <c r="I20" s="21"/>
    </row>
    <row r="21" spans="1:9" s="140" customFormat="1" ht="20.25" customHeight="1">
      <c r="A21" s="185">
        <v>13</v>
      </c>
      <c r="B21" s="19">
        <f>'FRIT FV 090.540 - FTA'!B21</f>
        <v>46247</v>
      </c>
      <c r="C21" s="77" t="s">
        <v>141</v>
      </c>
      <c r="D21" s="218"/>
      <c r="E21" s="3"/>
      <c r="F21" s="41">
        <f>SUM($E$8:E21)/A21</f>
        <v>0</v>
      </c>
      <c r="G21" s="93">
        <f t="shared" si="1"/>
        <v>0</v>
      </c>
      <c r="H21" s="83" t="e">
        <f t="shared" si="0"/>
        <v>#DIV/0!</v>
      </c>
      <c r="I21" s="21"/>
    </row>
    <row r="22" spans="1:9" s="140" customFormat="1" ht="20.25" customHeight="1">
      <c r="A22" s="185">
        <v>14</v>
      </c>
      <c r="B22" s="19">
        <f>'FRIT FV 090.540 - FTA'!B22</f>
        <v>46248</v>
      </c>
      <c r="C22" s="77" t="s">
        <v>104</v>
      </c>
      <c r="D22" s="218"/>
      <c r="E22" s="3"/>
      <c r="F22" s="41">
        <f>SUM($E$8:E22)/A22</f>
        <v>0</v>
      </c>
      <c r="G22" s="93">
        <f t="shared" si="1"/>
        <v>0</v>
      </c>
      <c r="H22" s="83" t="e">
        <f t="shared" si="0"/>
        <v>#DIV/0!</v>
      </c>
      <c r="I22" s="21"/>
    </row>
    <row r="23" spans="1:9" s="140" customFormat="1" ht="20.25" customHeight="1">
      <c r="A23" s="185">
        <v>15</v>
      </c>
      <c r="B23" s="19">
        <f>'FRIT FV 090.540 - FTA'!B23</f>
        <v>46249</v>
      </c>
      <c r="C23" s="77" t="s">
        <v>103</v>
      </c>
      <c r="D23" s="218"/>
      <c r="E23" s="3"/>
      <c r="F23" s="41">
        <f>SUM($E$8:E23)/A23</f>
        <v>0</v>
      </c>
      <c r="G23" s="93">
        <f t="shared" si="1"/>
        <v>0</v>
      </c>
      <c r="H23" s="83" t="e">
        <f t="shared" si="0"/>
        <v>#DIV/0!</v>
      </c>
      <c r="I23" s="21"/>
    </row>
    <row r="24" spans="1:9" s="140" customFormat="1" ht="20.25" customHeight="1">
      <c r="A24" s="185">
        <v>16</v>
      </c>
      <c r="B24" s="19">
        <f>'FRIT FV 090.540 - FTA'!B24</f>
        <v>46250</v>
      </c>
      <c r="C24" s="77" t="s">
        <v>103</v>
      </c>
      <c r="D24" s="218"/>
      <c r="E24" s="3"/>
      <c r="F24" s="41">
        <f>SUM($E$8:E24)/A24</f>
        <v>0</v>
      </c>
      <c r="G24" s="93">
        <f t="shared" si="1"/>
        <v>0</v>
      </c>
      <c r="H24" s="83" t="e">
        <f t="shared" si="0"/>
        <v>#DIV/0!</v>
      </c>
      <c r="I24" s="21"/>
    </row>
    <row r="25" spans="1:9" s="140" customFormat="1" ht="20.25" customHeight="1">
      <c r="A25" s="185">
        <v>17</v>
      </c>
      <c r="B25" s="19">
        <f>'FRIT FV 090.540 - FTA'!B25</f>
        <v>46251</v>
      </c>
      <c r="C25" s="77" t="s">
        <v>141</v>
      </c>
      <c r="D25" s="218"/>
      <c r="E25" s="3"/>
      <c r="F25" s="41">
        <f>SUM($E$8:E25)/A25</f>
        <v>0</v>
      </c>
      <c r="G25" s="93">
        <f t="shared" si="1"/>
        <v>0</v>
      </c>
      <c r="H25" s="83" t="e">
        <f t="shared" si="0"/>
        <v>#DIV/0!</v>
      </c>
      <c r="I25" s="21"/>
    </row>
    <row r="26" spans="1:9" s="140" customFormat="1" ht="20.25" customHeight="1">
      <c r="A26" s="185">
        <v>18</v>
      </c>
      <c r="B26" s="19">
        <f>'FRIT FV 090.540 - FTA'!B26</f>
        <v>46252</v>
      </c>
      <c r="C26" s="77" t="s">
        <v>141</v>
      </c>
      <c r="D26" s="218"/>
      <c r="E26" s="3"/>
      <c r="F26" s="41">
        <f>SUM($E$8:E26)/A26</f>
        <v>0</v>
      </c>
      <c r="G26" s="93">
        <f t="shared" si="1"/>
        <v>0</v>
      </c>
      <c r="H26" s="83" t="e">
        <f t="shared" si="0"/>
        <v>#DIV/0!</v>
      </c>
      <c r="I26" s="21"/>
    </row>
    <row r="27" spans="1:9" s="140" customFormat="1" ht="20.25" customHeight="1">
      <c r="A27" s="185">
        <v>19</v>
      </c>
      <c r="B27" s="19">
        <f>'FRIT FV 090.540 - FTA'!B27</f>
        <v>46253</v>
      </c>
      <c r="C27" s="77" t="s">
        <v>104</v>
      </c>
      <c r="D27" s="218"/>
      <c r="E27" s="3"/>
      <c r="F27" s="41">
        <f>SUM($E$8:E27)/A27</f>
        <v>0</v>
      </c>
      <c r="G27" s="93">
        <f t="shared" si="1"/>
        <v>0</v>
      </c>
      <c r="H27" s="83" t="e">
        <f t="shared" si="0"/>
        <v>#DIV/0!</v>
      </c>
      <c r="I27" s="21"/>
    </row>
    <row r="28" spans="1:9" s="140" customFormat="1" ht="20.25" customHeight="1">
      <c r="A28" s="185">
        <v>20</v>
      </c>
      <c r="B28" s="19">
        <f>'FRIT FV 090.540 - FTA'!B28</f>
        <v>46254</v>
      </c>
      <c r="C28" s="77" t="s">
        <v>104</v>
      </c>
      <c r="D28" s="218"/>
      <c r="E28" s="3"/>
      <c r="F28" s="41">
        <f>SUM($E$8:E28)/A28</f>
        <v>0</v>
      </c>
      <c r="G28" s="93">
        <f t="shared" si="1"/>
        <v>0</v>
      </c>
      <c r="H28" s="83" t="e">
        <f t="shared" si="0"/>
        <v>#DIV/0!</v>
      </c>
      <c r="I28" s="21"/>
    </row>
    <row r="29" spans="1:9" s="140" customFormat="1" ht="20.25" customHeight="1">
      <c r="A29" s="185">
        <v>21</v>
      </c>
      <c r="B29" s="19">
        <f>'FRIT FV 090.540 - FTA'!B29</f>
        <v>46255</v>
      </c>
      <c r="C29" s="77" t="s">
        <v>141</v>
      </c>
      <c r="D29" s="218"/>
      <c r="E29" s="3"/>
      <c r="F29" s="41">
        <f>SUM($E$8:E29)/A29</f>
        <v>0</v>
      </c>
      <c r="G29" s="93">
        <f t="shared" si="1"/>
        <v>0</v>
      </c>
      <c r="H29" s="83" t="e">
        <f t="shared" si="0"/>
        <v>#DIV/0!</v>
      </c>
      <c r="I29" s="21"/>
    </row>
    <row r="30" spans="1:9" s="140" customFormat="1" ht="20.25" customHeight="1">
      <c r="A30" s="185">
        <v>22</v>
      </c>
      <c r="B30" s="19">
        <f>'FRIT FV 090.540 - FTA'!B30</f>
        <v>46256</v>
      </c>
      <c r="C30" s="77" t="s">
        <v>103</v>
      </c>
      <c r="D30" s="218"/>
      <c r="E30" s="3"/>
      <c r="F30" s="41">
        <f>SUM($E$8:E30)/A30</f>
        <v>0</v>
      </c>
      <c r="G30" s="93">
        <f t="shared" si="1"/>
        <v>0</v>
      </c>
      <c r="H30" s="83" t="e">
        <f t="shared" si="0"/>
        <v>#DIV/0!</v>
      </c>
      <c r="I30" s="21"/>
    </row>
    <row r="31" spans="1:9" s="140" customFormat="1" ht="20.25" customHeight="1">
      <c r="A31" s="185">
        <v>23</v>
      </c>
      <c r="B31" s="19">
        <f>'FRIT FV 090.540 - FTA'!B31</f>
        <v>46257</v>
      </c>
      <c r="C31" s="77" t="s">
        <v>103</v>
      </c>
      <c r="D31" s="218"/>
      <c r="E31" s="3"/>
      <c r="F31" s="41">
        <f>SUM($E$8:E31)/A31</f>
        <v>0</v>
      </c>
      <c r="G31" s="93">
        <f t="shared" si="1"/>
        <v>0</v>
      </c>
      <c r="H31" s="83" t="e">
        <f t="shared" si="0"/>
        <v>#DIV/0!</v>
      </c>
      <c r="I31" s="21"/>
    </row>
    <row r="32" spans="1:9" s="140" customFormat="1" ht="20.25" customHeight="1">
      <c r="A32" s="185">
        <v>24</v>
      </c>
      <c r="B32" s="19">
        <f>'FRIT FV 090.540 - FTA'!B32</f>
        <v>46258</v>
      </c>
      <c r="C32" s="77" t="s">
        <v>141</v>
      </c>
      <c r="D32" s="3"/>
      <c r="E32" s="2"/>
      <c r="F32" s="41">
        <f>SUM($E$8:E32)/A32</f>
        <v>0</v>
      </c>
      <c r="G32" s="93">
        <f t="shared" si="1"/>
        <v>0</v>
      </c>
      <c r="H32" s="83" t="e">
        <f t="shared" si="0"/>
        <v>#DIV/0!</v>
      </c>
      <c r="I32" s="21"/>
    </row>
    <row r="33" spans="1:9" s="140" customFormat="1" ht="20.25" customHeight="1">
      <c r="A33" s="185">
        <v>25</v>
      </c>
      <c r="B33" s="19">
        <f>'FRIT FV 090.540 - FTA'!B33</f>
        <v>46259</v>
      </c>
      <c r="C33" s="77" t="s">
        <v>141</v>
      </c>
      <c r="D33" s="191"/>
      <c r="E33" s="190"/>
      <c r="F33" s="41">
        <f>SUM($E$8:E33)/A33</f>
        <v>0</v>
      </c>
      <c r="G33" s="93">
        <f t="shared" si="1"/>
        <v>0</v>
      </c>
      <c r="H33" s="83" t="e">
        <f t="shared" si="0"/>
        <v>#DIV/0!</v>
      </c>
      <c r="I33" s="21"/>
    </row>
    <row r="34" spans="1:9" s="140" customFormat="1" ht="20.25" customHeight="1">
      <c r="A34" s="185">
        <v>26</v>
      </c>
      <c r="B34" s="19">
        <f>'FRIT FV 090.540 - FTA'!B34</f>
        <v>46260</v>
      </c>
      <c r="C34" s="77" t="s">
        <v>141</v>
      </c>
      <c r="D34" s="191"/>
      <c r="E34" s="190"/>
      <c r="F34" s="41">
        <f>SUM($E$8:E34)/A34</f>
        <v>0</v>
      </c>
      <c r="G34" s="93">
        <f t="shared" si="1"/>
        <v>0</v>
      </c>
      <c r="H34" s="83" t="e">
        <f t="shared" si="0"/>
        <v>#DIV/0!</v>
      </c>
      <c r="I34" s="21"/>
    </row>
    <row r="35" spans="1:9" s="140" customFormat="1" ht="20.25" customHeight="1">
      <c r="A35" s="185">
        <v>27</v>
      </c>
      <c r="B35" s="19">
        <f>'FRIT FV 090.540 - FTA'!B35</f>
        <v>46261</v>
      </c>
      <c r="C35" s="77" t="s">
        <v>141</v>
      </c>
      <c r="D35" s="191"/>
      <c r="E35" s="190"/>
      <c r="F35" s="41">
        <f>SUM($E$8:E35)/A35</f>
        <v>0</v>
      </c>
      <c r="G35" s="93">
        <f t="shared" si="1"/>
        <v>0</v>
      </c>
      <c r="H35" s="83" t="e">
        <f t="shared" si="0"/>
        <v>#DIV/0!</v>
      </c>
      <c r="I35" s="21"/>
    </row>
    <row r="36" spans="1:9" s="140" customFormat="1" ht="20.25" customHeight="1">
      <c r="A36" s="185">
        <v>28</v>
      </c>
      <c r="B36" s="19">
        <f>'FRIT FV 090.540 - FTA'!B36</f>
        <v>46262</v>
      </c>
      <c r="C36" s="77" t="s">
        <v>103</v>
      </c>
      <c r="D36" s="191"/>
      <c r="E36" s="190"/>
      <c r="F36" s="41">
        <f>SUM($E$8:E36)/A36</f>
        <v>0</v>
      </c>
      <c r="G36" s="93">
        <f t="shared" si="1"/>
        <v>0</v>
      </c>
      <c r="H36" s="83" t="e">
        <f t="shared" si="0"/>
        <v>#DIV/0!</v>
      </c>
      <c r="I36" s="21"/>
    </row>
    <row r="37" spans="1:9" s="140" customFormat="1" ht="20.25" customHeight="1">
      <c r="A37" s="185">
        <v>29</v>
      </c>
      <c r="B37" s="19">
        <f>'FRIT FV 090.540 - FTA'!B37</f>
        <v>46263</v>
      </c>
      <c r="C37" s="77" t="s">
        <v>141</v>
      </c>
      <c r="D37" s="191"/>
      <c r="E37" s="190"/>
      <c r="F37" s="41">
        <f>SUM($E$8:E37)/A37</f>
        <v>0</v>
      </c>
      <c r="G37" s="93">
        <f t="shared" si="1"/>
        <v>0</v>
      </c>
      <c r="H37" s="83" t="e">
        <f t="shared" si="0"/>
        <v>#DIV/0!</v>
      </c>
      <c r="I37" s="21"/>
    </row>
    <row r="38" spans="1:9" s="140" customFormat="1" ht="20.25" customHeight="1">
      <c r="A38" s="185">
        <v>30</v>
      </c>
      <c r="B38" s="19">
        <f>'FRIT FV 090.540 - FTA'!B38</f>
        <v>46264</v>
      </c>
      <c r="C38" s="77" t="s">
        <v>104</v>
      </c>
      <c r="D38" s="191"/>
      <c r="E38" s="190"/>
      <c r="F38" s="41">
        <f>SUM($E$8:E38)/A38</f>
        <v>0</v>
      </c>
      <c r="G38" s="93">
        <f t="shared" si="1"/>
        <v>0</v>
      </c>
      <c r="H38" s="83" t="e">
        <f t="shared" si="0"/>
        <v>#DIV/0!</v>
      </c>
      <c r="I38" s="21"/>
    </row>
    <row r="39" spans="1:9" s="140" customFormat="1" ht="20.25" customHeight="1">
      <c r="A39" s="185">
        <v>31</v>
      </c>
      <c r="B39" s="19">
        <f>'FRIT FV 090.540 - FTA'!B39</f>
        <v>46265</v>
      </c>
      <c r="C39" s="77" t="s">
        <v>104</v>
      </c>
      <c r="D39" s="191"/>
      <c r="E39" s="190"/>
      <c r="F39" s="41">
        <f>SUM($E$8:E39)/A39</f>
        <v>0</v>
      </c>
      <c r="G39" s="93">
        <f t="shared" si="1"/>
        <v>0</v>
      </c>
      <c r="H39" s="83" t="e">
        <f t="shared" si="0"/>
        <v>#DIV/0!</v>
      </c>
      <c r="I39" s="21"/>
    </row>
    <row r="40" spans="1:9" s="32" customFormat="1" ht="20.25" customHeight="1">
      <c r="A40" s="1517" t="s">
        <v>29</v>
      </c>
      <c r="B40" s="1517"/>
      <c r="C40" s="1517"/>
      <c r="D40" s="60">
        <f>SUM(D9:D39)</f>
        <v>0</v>
      </c>
      <c r="E40" s="29">
        <f>SUM(E9:E39)</f>
        <v>0</v>
      </c>
      <c r="F40" s="29"/>
      <c r="G40" s="61">
        <f>G39</f>
        <v>0</v>
      </c>
      <c r="H40" s="59"/>
      <c r="I40" s="59"/>
    </row>
    <row r="41" spans="1:9" s="32" customFormat="1" ht="20.25" customHeight="1">
      <c r="A41" s="1517" t="s">
        <v>15</v>
      </c>
      <c r="B41" s="1517"/>
      <c r="C41" s="1517"/>
      <c r="D41" s="60">
        <f>D40+D8</f>
        <v>0</v>
      </c>
      <c r="E41" s="29">
        <f>E40+E8</f>
        <v>0</v>
      </c>
      <c r="F41" s="29"/>
      <c r="G41" s="29">
        <f>D41-E41</f>
        <v>0</v>
      </c>
      <c r="H41" s="59"/>
      <c r="I41" s="59"/>
    </row>
    <row r="42" spans="1:9" ht="23.25" customHeight="1">
      <c r="A42" s="5"/>
      <c r="B42" s="5"/>
      <c r="C42" s="5"/>
      <c r="D42" s="7"/>
      <c r="E42" s="24"/>
      <c r="F42" s="7"/>
      <c r="G42" s="7"/>
    </row>
    <row r="43" spans="1:9">
      <c r="D43" s="7"/>
      <c r="E43" s="24"/>
      <c r="H43" s="101" t="s">
        <v>13</v>
      </c>
    </row>
    <row r="44" spans="1:9">
      <c r="D44" s="7"/>
      <c r="H44" s="102"/>
    </row>
    <row r="45" spans="1:9">
      <c r="D45" s="7"/>
      <c r="H45" s="102"/>
    </row>
    <row r="46" spans="1:9">
      <c r="D46" s="7"/>
      <c r="H46" s="102"/>
    </row>
    <row r="47" spans="1:9">
      <c r="D47" s="7"/>
      <c r="H47" s="101" t="s">
        <v>98</v>
      </c>
    </row>
  </sheetData>
  <mergeCells count="4">
    <mergeCell ref="A3:I3"/>
    <mergeCell ref="A8:C8"/>
    <mergeCell ref="A40:C40"/>
    <mergeCell ref="A41:C41"/>
  </mergeCells>
  <conditionalFormatting sqref="H9:H39">
    <cfRule type="cellIs" dxfId="12504" priority="1" operator="between">
      <formula>3</formula>
      <formula>6</formula>
    </cfRule>
    <cfRule type="cellIs" dxfId="12503" priority="2" operator="lessThan">
      <formula>3</formula>
    </cfRule>
    <cfRule type="cellIs" dxfId="12502" priority="3" operator="greaterThan">
      <formula>6</formula>
    </cfRule>
  </conditionalFormatting>
  <hyperlinks>
    <hyperlink ref="I6" location="'Tong hop T11.2019'!A1" display="TH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I47"/>
  <sheetViews>
    <sheetView zoomScale="70" zoomScaleNormal="70" workbookViewId="0">
      <pane ySplit="8" topLeftCell="A9" activePane="bottomLeft" state="frozen"/>
      <selection pane="bottomLeft" activeCell="T22" sqref="T22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20.28515625" style="42" customWidth="1"/>
    <col min="4" max="7" width="15.42578125" style="6" customWidth="1"/>
    <col min="8" max="8" width="24.7109375" style="42" customWidth="1"/>
    <col min="9" max="9" width="17.42578125" style="42" customWidth="1"/>
    <col min="10" max="16384" width="9.28515625" style="42"/>
  </cols>
  <sheetData>
    <row r="1" spans="1:9" s="143" customFormat="1" ht="18" customHeight="1">
      <c r="A1" s="146" t="e">
        <f>'FRIT FV 090.540 - FTA'!#REF!</f>
        <v>#REF!</v>
      </c>
      <c r="B1" s="146"/>
      <c r="C1" s="146"/>
      <c r="D1" s="146"/>
      <c r="E1" s="146"/>
      <c r="F1" s="146"/>
      <c r="G1" s="142"/>
      <c r="H1" s="142"/>
      <c r="I1" s="142"/>
    </row>
    <row r="2" spans="1:9" s="143" customFormat="1" ht="18" customHeight="1">
      <c r="A2" s="146" t="e">
        <f>'FRIT FV 090.540 - FTA'!#REF!</f>
        <v>#REF!</v>
      </c>
      <c r="B2" s="146"/>
      <c r="C2" s="146"/>
      <c r="D2" s="144"/>
      <c r="E2" s="144"/>
      <c r="F2" s="144"/>
      <c r="G2" s="142"/>
      <c r="H2" s="142"/>
      <c r="I2" s="197" t="e">
        <f>'FRIT FV 090.540 - FTA'!#REF!</f>
        <v>#REF!</v>
      </c>
    </row>
    <row r="3" spans="1:9" ht="22.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</row>
    <row r="4" spans="1:9" ht="21.75" customHeight="1">
      <c r="D4" s="134" t="s">
        <v>33</v>
      </c>
      <c r="E4" s="67" t="s">
        <v>157</v>
      </c>
      <c r="G4" s="6" t="s">
        <v>114</v>
      </c>
      <c r="H4" s="137" t="s">
        <v>192</v>
      </c>
    </row>
    <row r="5" spans="1:9" s="8" customFormat="1" ht="21.75" customHeight="1">
      <c r="B5" s="8" t="e">
        <f>'FRIT FV 090.540 - FTA'!#REF!</f>
        <v>#REF!</v>
      </c>
      <c r="C5" s="8" t="e">
        <f>'FRIT FV 090.540 - FTA'!#REF!</f>
        <v>#REF!</v>
      </c>
      <c r="D5" s="8" t="e">
        <f>'FRIT FV 090.540 - FTA'!#REF!</f>
        <v>#REF!</v>
      </c>
      <c r="E5" s="8" t="e">
        <f>'FRIT FV 090.540 - FTA'!#REF!</f>
        <v>#REF!</v>
      </c>
      <c r="F5" s="8" t="e">
        <f>'FRIT FV 090.540 - FTA'!#REF!</f>
        <v>#REF!</v>
      </c>
      <c r="G5" s="8" t="e">
        <f>'FRIT FV 090.540 - FTA'!#REF!</f>
        <v>#REF!</v>
      </c>
      <c r="H5" s="8" t="e">
        <f>'FRIT FV 090.540 - FTA'!#REF!</f>
        <v>#REF!</v>
      </c>
      <c r="I5" s="8" t="e">
        <f>'FRIT FV 090.540 - FTA'!#REF!</f>
        <v>#REF!</v>
      </c>
    </row>
    <row r="6" spans="1:9" ht="22.5" customHeight="1">
      <c r="E6" s="10"/>
      <c r="F6" s="10"/>
      <c r="H6" s="12" t="s">
        <v>40</v>
      </c>
      <c r="I6" s="261" t="s">
        <v>149</v>
      </c>
    </row>
    <row r="7" spans="1:9" s="13" customFormat="1" ht="40.5" customHeight="1">
      <c r="A7" s="249" t="s">
        <v>2</v>
      </c>
      <c r="B7" s="250" t="s">
        <v>1</v>
      </c>
      <c r="C7" s="244" t="s">
        <v>24</v>
      </c>
      <c r="D7" s="193" t="s">
        <v>27</v>
      </c>
      <c r="E7" s="193" t="s">
        <v>59</v>
      </c>
      <c r="F7" s="251" t="s">
        <v>28</v>
      </c>
      <c r="G7" s="193" t="s">
        <v>14</v>
      </c>
      <c r="H7" s="251" t="s">
        <v>30</v>
      </c>
      <c r="I7" s="251" t="s">
        <v>101</v>
      </c>
    </row>
    <row r="8" spans="1:9" s="13" customFormat="1" ht="36" customHeight="1">
      <c r="A8" s="1514" t="s">
        <v>3</v>
      </c>
      <c r="B8" s="1515"/>
      <c r="C8" s="1516"/>
      <c r="D8" s="74">
        <f>G8</f>
        <v>0</v>
      </c>
      <c r="E8" s="43"/>
      <c r="F8" s="43"/>
      <c r="G8" s="92">
        <v>0</v>
      </c>
      <c r="H8" s="58"/>
      <c r="I8" s="58"/>
    </row>
    <row r="9" spans="1:9" s="13" customFormat="1" ht="20.25" customHeight="1">
      <c r="A9" s="185">
        <v>1</v>
      </c>
      <c r="B9" s="19">
        <f>'FRIT FV 090.540 - FTA'!B9</f>
        <v>46235</v>
      </c>
      <c r="C9" s="77" t="s">
        <v>199</v>
      </c>
      <c r="D9" s="3"/>
      <c r="E9" s="3"/>
      <c r="F9" s="41">
        <f>SUM($E$8:E9)/A9</f>
        <v>0</v>
      </c>
      <c r="G9" s="93">
        <f>G8+D9-E9</f>
        <v>0</v>
      </c>
      <c r="H9" s="82">
        <f>G9/695</f>
        <v>0</v>
      </c>
      <c r="I9" s="59"/>
    </row>
    <row r="10" spans="1:9" s="13" customFormat="1" ht="20.25" customHeight="1">
      <c r="A10" s="185">
        <v>2</v>
      </c>
      <c r="B10" s="19">
        <f>'FRIT FV 090.540 - FTA'!B10</f>
        <v>46236</v>
      </c>
      <c r="C10" s="77" t="s">
        <v>199</v>
      </c>
      <c r="D10" s="3"/>
      <c r="E10" s="3"/>
      <c r="F10" s="41">
        <f>SUM($E$8:E10)/A10</f>
        <v>0</v>
      </c>
      <c r="G10" s="93">
        <f t="shared" ref="G10:G39" si="0">G9+D10-E10</f>
        <v>0</v>
      </c>
      <c r="H10" s="82">
        <f t="shared" ref="H10:H39" si="1">G10/695</f>
        <v>0</v>
      </c>
      <c r="I10" s="59"/>
    </row>
    <row r="11" spans="1:9" s="13" customFormat="1" ht="20.25" customHeight="1">
      <c r="A11" s="185">
        <v>3</v>
      </c>
      <c r="B11" s="19">
        <f>'FRIT FV 090.540 - FTA'!B11</f>
        <v>46237</v>
      </c>
      <c r="C11" s="77" t="s">
        <v>199</v>
      </c>
      <c r="D11" s="3"/>
      <c r="E11" s="3"/>
      <c r="F11" s="41">
        <f>SUM($E$8:E11)/A11</f>
        <v>0</v>
      </c>
      <c r="G11" s="93">
        <f t="shared" si="0"/>
        <v>0</v>
      </c>
      <c r="H11" s="83">
        <f t="shared" si="1"/>
        <v>0</v>
      </c>
      <c r="I11" s="59"/>
    </row>
    <row r="12" spans="1:9" s="140" customFormat="1" ht="20.25" customHeight="1">
      <c r="A12" s="185">
        <v>4</v>
      </c>
      <c r="B12" s="19">
        <f>'FRIT FV 090.540 - FTA'!B12</f>
        <v>46238</v>
      </c>
      <c r="C12" s="77" t="s">
        <v>199</v>
      </c>
      <c r="D12" s="3"/>
      <c r="E12" s="3"/>
      <c r="F12" s="41">
        <f>SUM($E$8:E12)/A12</f>
        <v>0</v>
      </c>
      <c r="G12" s="93">
        <f t="shared" si="0"/>
        <v>0</v>
      </c>
      <c r="H12" s="83">
        <f t="shared" si="1"/>
        <v>0</v>
      </c>
      <c r="I12" s="59"/>
    </row>
    <row r="13" spans="1:9" s="140" customFormat="1" ht="20.25" customHeight="1">
      <c r="A13" s="264">
        <v>5</v>
      </c>
      <c r="B13" s="265">
        <f>'FRIT FV 090.540 - FTA'!B13</f>
        <v>46239</v>
      </c>
      <c r="C13" s="77" t="s">
        <v>199</v>
      </c>
      <c r="D13" s="3"/>
      <c r="E13" s="3"/>
      <c r="F13" s="41">
        <f>SUM($E$8:E13)/A13</f>
        <v>0</v>
      </c>
      <c r="G13" s="285">
        <f t="shared" si="0"/>
        <v>0</v>
      </c>
      <c r="H13" s="83">
        <f t="shared" si="1"/>
        <v>0</v>
      </c>
      <c r="I13" s="59"/>
    </row>
    <row r="14" spans="1:9" s="140" customFormat="1" ht="20.25" customHeight="1">
      <c r="A14" s="185">
        <v>6</v>
      </c>
      <c r="B14" s="19">
        <f>'FRIT FV 090.540 - FTA'!B14</f>
        <v>46240</v>
      </c>
      <c r="C14" s="77" t="s">
        <v>199</v>
      </c>
      <c r="D14" s="3"/>
      <c r="E14" s="3"/>
      <c r="F14" s="41">
        <f>SUM($E$8:E14)/A14</f>
        <v>0</v>
      </c>
      <c r="G14" s="93">
        <f t="shared" si="0"/>
        <v>0</v>
      </c>
      <c r="H14" s="83">
        <f t="shared" si="1"/>
        <v>0</v>
      </c>
      <c r="I14" s="59"/>
    </row>
    <row r="15" spans="1:9" s="140" customFormat="1" ht="20.25" customHeight="1">
      <c r="A15" s="185">
        <v>7</v>
      </c>
      <c r="B15" s="19">
        <f>'FRIT FV 090.540 - FTA'!B15</f>
        <v>46241</v>
      </c>
      <c r="C15" s="77" t="s">
        <v>156</v>
      </c>
      <c r="D15" s="3"/>
      <c r="E15" s="3"/>
      <c r="F15" s="41">
        <f>SUM($E$8:E15)/A15</f>
        <v>0</v>
      </c>
      <c r="G15" s="93">
        <f t="shared" si="0"/>
        <v>0</v>
      </c>
      <c r="H15" s="83">
        <f t="shared" si="1"/>
        <v>0</v>
      </c>
      <c r="I15" s="59"/>
    </row>
    <row r="16" spans="1:9" s="140" customFormat="1" ht="20.25" customHeight="1">
      <c r="A16" s="185">
        <v>8</v>
      </c>
      <c r="B16" s="19">
        <f>'FRIT FV 090.540 - FTA'!B16</f>
        <v>46242</v>
      </c>
      <c r="C16" s="77" t="s">
        <v>199</v>
      </c>
      <c r="D16" s="3"/>
      <c r="E16" s="3"/>
      <c r="F16" s="41">
        <f>SUM($E$8:E16)/A16</f>
        <v>0</v>
      </c>
      <c r="G16" s="93">
        <f>G15+D16-E16</f>
        <v>0</v>
      </c>
      <c r="H16" s="83">
        <f t="shared" si="1"/>
        <v>0</v>
      </c>
      <c r="I16" s="59"/>
    </row>
    <row r="17" spans="1:9" s="140" customFormat="1" ht="20.25" customHeight="1">
      <c r="A17" s="185">
        <v>9</v>
      </c>
      <c r="B17" s="19">
        <f>'FRIT FV 090.540 - FTA'!B17</f>
        <v>46243</v>
      </c>
      <c r="C17" s="77" t="s">
        <v>199</v>
      </c>
      <c r="D17" s="3"/>
      <c r="E17" s="3"/>
      <c r="F17" s="41">
        <f>SUM($E$8:E17)/A17</f>
        <v>0</v>
      </c>
      <c r="G17" s="93">
        <f t="shared" si="0"/>
        <v>0</v>
      </c>
      <c r="H17" s="83">
        <f t="shared" si="1"/>
        <v>0</v>
      </c>
      <c r="I17" s="59"/>
    </row>
    <row r="18" spans="1:9" s="140" customFormat="1" ht="20.25" customHeight="1">
      <c r="A18" s="264">
        <v>10</v>
      </c>
      <c r="B18" s="265">
        <f>'FRIT FV 090.540 - FTA'!B18</f>
        <v>46244</v>
      </c>
      <c r="C18" s="77" t="s">
        <v>199</v>
      </c>
      <c r="D18" s="3"/>
      <c r="E18" s="3"/>
      <c r="F18" s="41">
        <f>SUM($E$8:E18)/A18</f>
        <v>0</v>
      </c>
      <c r="G18" s="285">
        <f t="shared" si="0"/>
        <v>0</v>
      </c>
      <c r="H18" s="83">
        <f t="shared" si="1"/>
        <v>0</v>
      </c>
      <c r="I18" s="59"/>
    </row>
    <row r="19" spans="1:9" s="140" customFormat="1" ht="20.25" customHeight="1">
      <c r="A19" s="185">
        <v>11</v>
      </c>
      <c r="B19" s="19">
        <f>'FRIT FV 090.540 - FTA'!B19</f>
        <v>46245</v>
      </c>
      <c r="C19" s="77" t="s">
        <v>156</v>
      </c>
      <c r="D19" s="3"/>
      <c r="E19" s="3"/>
      <c r="F19" s="41">
        <f>SUM($E$8:E19)/A19</f>
        <v>0</v>
      </c>
      <c r="G19" s="93">
        <f t="shared" si="0"/>
        <v>0</v>
      </c>
      <c r="H19" s="83">
        <f t="shared" si="1"/>
        <v>0</v>
      </c>
      <c r="I19" s="59"/>
    </row>
    <row r="20" spans="1:9" s="140" customFormat="1" ht="20.25" customHeight="1">
      <c r="A20" s="185">
        <v>12</v>
      </c>
      <c r="B20" s="19">
        <f>'FRIT FV 090.540 - FTA'!B20</f>
        <v>46246</v>
      </c>
      <c r="C20" s="77" t="s">
        <v>199</v>
      </c>
      <c r="D20" s="3"/>
      <c r="E20" s="3"/>
      <c r="F20" s="41">
        <f>SUM($E$8:E20)/A20</f>
        <v>0</v>
      </c>
      <c r="G20" s="93">
        <f t="shared" si="0"/>
        <v>0</v>
      </c>
      <c r="H20" s="83">
        <f t="shared" si="1"/>
        <v>0</v>
      </c>
      <c r="I20" s="59"/>
    </row>
    <row r="21" spans="1:9" s="140" customFormat="1" ht="20.25" customHeight="1">
      <c r="A21" s="185">
        <v>13</v>
      </c>
      <c r="B21" s="19">
        <f>'FRIT FV 090.540 - FTA'!B21</f>
        <v>46247</v>
      </c>
      <c r="C21" s="77" t="s">
        <v>199</v>
      </c>
      <c r="D21" s="3"/>
      <c r="E21" s="3"/>
      <c r="F21" s="41">
        <f>SUM($E$8:E21)/A21</f>
        <v>0</v>
      </c>
      <c r="G21" s="93">
        <f t="shared" si="0"/>
        <v>0</v>
      </c>
      <c r="H21" s="83">
        <f t="shared" si="1"/>
        <v>0</v>
      </c>
      <c r="I21" s="59"/>
    </row>
    <row r="22" spans="1:9" s="140" customFormat="1" ht="20.25" customHeight="1">
      <c r="A22" s="185">
        <v>14</v>
      </c>
      <c r="B22" s="19">
        <f>'FRIT FV 090.540 - FTA'!B22</f>
        <v>46248</v>
      </c>
      <c r="C22" s="77" t="s">
        <v>199</v>
      </c>
      <c r="D22" s="3"/>
      <c r="E22" s="3"/>
      <c r="F22" s="41">
        <f>SUM($E$8:E22)/A22</f>
        <v>0</v>
      </c>
      <c r="G22" s="93">
        <f t="shared" si="0"/>
        <v>0</v>
      </c>
      <c r="H22" s="83">
        <f t="shared" si="1"/>
        <v>0</v>
      </c>
      <c r="I22" s="59"/>
    </row>
    <row r="23" spans="1:9" s="140" customFormat="1" ht="20.25" customHeight="1">
      <c r="A23" s="264">
        <v>15</v>
      </c>
      <c r="B23" s="265">
        <f>'FRIT FV 090.540 - FTA'!B23</f>
        <v>46249</v>
      </c>
      <c r="C23" s="77" t="s">
        <v>199</v>
      </c>
      <c r="D23" s="3"/>
      <c r="E23" s="3"/>
      <c r="F23" s="41">
        <f>SUM($E$8:E23)/A23</f>
        <v>0</v>
      </c>
      <c r="G23" s="285">
        <f t="shared" si="0"/>
        <v>0</v>
      </c>
      <c r="H23" s="83">
        <f t="shared" si="1"/>
        <v>0</v>
      </c>
      <c r="I23" s="59"/>
    </row>
    <row r="24" spans="1:9" s="140" customFormat="1" ht="20.25" customHeight="1">
      <c r="A24" s="185">
        <v>16</v>
      </c>
      <c r="B24" s="19">
        <f>'FRIT FV 090.540 - FTA'!B24</f>
        <v>46250</v>
      </c>
      <c r="C24" s="77" t="s">
        <v>199</v>
      </c>
      <c r="D24" s="3"/>
      <c r="E24" s="3"/>
      <c r="F24" s="41">
        <f>SUM($E$8:E24)/A24</f>
        <v>0</v>
      </c>
      <c r="G24" s="93">
        <f t="shared" si="0"/>
        <v>0</v>
      </c>
      <c r="H24" s="83">
        <f t="shared" si="1"/>
        <v>0</v>
      </c>
      <c r="I24" s="59"/>
    </row>
    <row r="25" spans="1:9" s="140" customFormat="1" ht="20.25" customHeight="1">
      <c r="A25" s="185">
        <v>17</v>
      </c>
      <c r="B25" s="19">
        <f>'FRIT FV 090.540 - FTA'!B25</f>
        <v>46251</v>
      </c>
      <c r="C25" s="77" t="s">
        <v>199</v>
      </c>
      <c r="D25" s="3"/>
      <c r="E25" s="3"/>
      <c r="F25" s="41">
        <f>SUM($E$8:E25)/A25</f>
        <v>0</v>
      </c>
      <c r="G25" s="93">
        <f t="shared" si="0"/>
        <v>0</v>
      </c>
      <c r="H25" s="83">
        <f t="shared" si="1"/>
        <v>0</v>
      </c>
      <c r="I25" s="59"/>
    </row>
    <row r="26" spans="1:9" s="140" customFormat="1" ht="20.25" customHeight="1">
      <c r="A26" s="185">
        <v>18</v>
      </c>
      <c r="B26" s="19">
        <f>'FRIT FV 090.540 - FTA'!B26</f>
        <v>46252</v>
      </c>
      <c r="C26" s="77" t="s">
        <v>60</v>
      </c>
      <c r="D26" s="3"/>
      <c r="E26" s="3"/>
      <c r="F26" s="41">
        <f>SUM($E$8:E26)/A26</f>
        <v>0</v>
      </c>
      <c r="G26" s="93">
        <f t="shared" si="0"/>
        <v>0</v>
      </c>
      <c r="H26" s="83">
        <f t="shared" si="1"/>
        <v>0</v>
      </c>
      <c r="I26" s="59"/>
    </row>
    <row r="27" spans="1:9" s="140" customFormat="1" ht="20.25" customHeight="1">
      <c r="A27" s="185">
        <v>19</v>
      </c>
      <c r="B27" s="19">
        <f>'FRIT FV 090.540 - FTA'!B27</f>
        <v>46253</v>
      </c>
      <c r="C27" s="77" t="s">
        <v>199</v>
      </c>
      <c r="D27" s="3"/>
      <c r="E27" s="3"/>
      <c r="F27" s="41">
        <f>SUM($E$8:E27)/A27</f>
        <v>0</v>
      </c>
      <c r="G27" s="93">
        <f t="shared" si="0"/>
        <v>0</v>
      </c>
      <c r="H27" s="83">
        <f t="shared" si="1"/>
        <v>0</v>
      </c>
      <c r="I27" s="59"/>
    </row>
    <row r="28" spans="1:9" s="140" customFormat="1" ht="20.25" customHeight="1">
      <c r="A28" s="264">
        <v>20</v>
      </c>
      <c r="B28" s="265">
        <f>'FRIT FV 090.540 - FTA'!B28</f>
        <v>46254</v>
      </c>
      <c r="C28" s="77" t="s">
        <v>199</v>
      </c>
      <c r="D28" s="3"/>
      <c r="E28" s="3"/>
      <c r="F28" s="41">
        <f>SUM($E$8:E28)/A28</f>
        <v>0</v>
      </c>
      <c r="G28" s="285">
        <f t="shared" si="0"/>
        <v>0</v>
      </c>
      <c r="H28" s="83">
        <f t="shared" si="1"/>
        <v>0</v>
      </c>
      <c r="I28" s="59"/>
    </row>
    <row r="29" spans="1:9" s="140" customFormat="1" ht="20.25" customHeight="1">
      <c r="A29" s="185">
        <v>21</v>
      </c>
      <c r="B29" s="19">
        <f>'FRIT FV 090.540 - FTA'!B29</f>
        <v>46255</v>
      </c>
      <c r="C29" s="77" t="s">
        <v>199</v>
      </c>
      <c r="D29" s="3"/>
      <c r="E29" s="3"/>
      <c r="F29" s="41">
        <f>SUM($E$8:E29)/A29</f>
        <v>0</v>
      </c>
      <c r="G29" s="93">
        <f t="shared" si="0"/>
        <v>0</v>
      </c>
      <c r="H29" s="83">
        <f t="shared" si="1"/>
        <v>0</v>
      </c>
      <c r="I29" s="59"/>
    </row>
    <row r="30" spans="1:9" s="140" customFormat="1" ht="20.25" customHeight="1">
      <c r="A30" s="185">
        <v>22</v>
      </c>
      <c r="B30" s="19">
        <f>'FRIT FV 090.540 - FTA'!B30</f>
        <v>46256</v>
      </c>
      <c r="C30" s="77" t="s">
        <v>199</v>
      </c>
      <c r="D30" s="3"/>
      <c r="E30" s="3"/>
      <c r="F30" s="41">
        <f>SUM($E$8:E30)/A30</f>
        <v>0</v>
      </c>
      <c r="G30" s="93">
        <f t="shared" si="0"/>
        <v>0</v>
      </c>
      <c r="H30" s="83">
        <f t="shared" si="1"/>
        <v>0</v>
      </c>
      <c r="I30" s="59"/>
    </row>
    <row r="31" spans="1:9" s="140" customFormat="1" ht="20.25" customHeight="1">
      <c r="A31" s="185">
        <v>23</v>
      </c>
      <c r="B31" s="19">
        <f>'FRIT FV 090.540 - FTA'!B31</f>
        <v>46257</v>
      </c>
      <c r="C31" s="77" t="s">
        <v>156</v>
      </c>
      <c r="D31" s="3"/>
      <c r="E31" s="3"/>
      <c r="F31" s="41">
        <f>SUM($E$8:E31)/A31</f>
        <v>0</v>
      </c>
      <c r="G31" s="93">
        <f t="shared" si="0"/>
        <v>0</v>
      </c>
      <c r="H31" s="83">
        <f t="shared" si="1"/>
        <v>0</v>
      </c>
      <c r="I31" s="59"/>
    </row>
    <row r="32" spans="1:9" s="140" customFormat="1" ht="20.25" customHeight="1">
      <c r="A32" s="185">
        <v>24</v>
      </c>
      <c r="B32" s="19">
        <f>'FRIT FV 090.540 - FTA'!B32</f>
        <v>46258</v>
      </c>
      <c r="C32" s="77" t="s">
        <v>199</v>
      </c>
      <c r="D32" s="3"/>
      <c r="E32" s="3"/>
      <c r="F32" s="41">
        <f>SUM($E$8:E32)/A32</f>
        <v>0</v>
      </c>
      <c r="G32" s="93">
        <f t="shared" si="0"/>
        <v>0</v>
      </c>
      <c r="H32" s="83">
        <f t="shared" si="1"/>
        <v>0</v>
      </c>
      <c r="I32" s="59"/>
    </row>
    <row r="33" spans="1:9" s="140" customFormat="1" ht="20.25" customHeight="1">
      <c r="A33" s="262">
        <v>25</v>
      </c>
      <c r="B33" s="263">
        <f>'FRIT FV 090.540 - FTA'!B33</f>
        <v>46259</v>
      </c>
      <c r="C33" s="77" t="s">
        <v>60</v>
      </c>
      <c r="D33" s="3"/>
      <c r="E33" s="3"/>
      <c r="F33" s="41">
        <f>SUM($E$8:E33)/A33</f>
        <v>0</v>
      </c>
      <c r="G33" s="286">
        <f t="shared" si="0"/>
        <v>0</v>
      </c>
      <c r="H33" s="83">
        <f t="shared" si="1"/>
        <v>0</v>
      </c>
      <c r="I33" s="59"/>
    </row>
    <row r="34" spans="1:9" s="140" customFormat="1" ht="20.25" customHeight="1">
      <c r="A34" s="185">
        <v>26</v>
      </c>
      <c r="B34" s="19">
        <f>'FRIT FV 090.540 - FTA'!B34</f>
        <v>46260</v>
      </c>
      <c r="C34" s="77" t="s">
        <v>199</v>
      </c>
      <c r="D34" s="3"/>
      <c r="E34" s="3"/>
      <c r="F34" s="41">
        <f>SUM($E$8:E34)/A34</f>
        <v>0</v>
      </c>
      <c r="G34" s="93">
        <f t="shared" si="0"/>
        <v>0</v>
      </c>
      <c r="H34" s="83">
        <f t="shared" si="1"/>
        <v>0</v>
      </c>
      <c r="I34" s="59"/>
    </row>
    <row r="35" spans="1:9" s="140" customFormat="1" ht="20.25" customHeight="1">
      <c r="A35" s="185">
        <v>27</v>
      </c>
      <c r="B35" s="19">
        <f>'FRIT FV 090.540 - FTA'!B35</f>
        <v>46261</v>
      </c>
      <c r="C35" s="77" t="s">
        <v>199</v>
      </c>
      <c r="D35" s="3"/>
      <c r="E35" s="3"/>
      <c r="F35" s="41">
        <f>SUM($E$8:E35)/A35</f>
        <v>0</v>
      </c>
      <c r="G35" s="93">
        <f t="shared" si="0"/>
        <v>0</v>
      </c>
      <c r="H35" s="83">
        <f t="shared" si="1"/>
        <v>0</v>
      </c>
      <c r="I35" s="59"/>
    </row>
    <row r="36" spans="1:9" s="140" customFormat="1" ht="20.25" customHeight="1">
      <c r="A36" s="185">
        <v>28</v>
      </c>
      <c r="B36" s="19">
        <f>'FRIT FV 090.540 - FTA'!B36</f>
        <v>46262</v>
      </c>
      <c r="C36" s="77" t="s">
        <v>199</v>
      </c>
      <c r="D36" s="3"/>
      <c r="E36" s="3"/>
      <c r="F36" s="41">
        <f>SUM($E$8:E36)/A36</f>
        <v>0</v>
      </c>
      <c r="G36" s="93">
        <f t="shared" si="0"/>
        <v>0</v>
      </c>
      <c r="H36" s="83">
        <f t="shared" si="1"/>
        <v>0</v>
      </c>
      <c r="I36" s="59"/>
    </row>
    <row r="37" spans="1:9" s="140" customFormat="1" ht="20.25" customHeight="1">
      <c r="A37" s="185">
        <v>29</v>
      </c>
      <c r="B37" s="19">
        <f>'FRIT FV 090.540 - FTA'!B37</f>
        <v>46263</v>
      </c>
      <c r="C37" s="77" t="s">
        <v>199</v>
      </c>
      <c r="D37" s="3"/>
      <c r="E37" s="3"/>
      <c r="F37" s="41">
        <f>SUM($E$8:E37)/A37</f>
        <v>0</v>
      </c>
      <c r="G37" s="93">
        <f t="shared" si="0"/>
        <v>0</v>
      </c>
      <c r="H37" s="83">
        <f t="shared" si="1"/>
        <v>0</v>
      </c>
      <c r="I37" s="59"/>
    </row>
    <row r="38" spans="1:9" s="140" customFormat="1" ht="20.25" customHeight="1">
      <c r="A38" s="264">
        <v>30</v>
      </c>
      <c r="B38" s="265">
        <f>'FRIT FV 090.540 - FTA'!B38</f>
        <v>46264</v>
      </c>
      <c r="C38" s="77" t="s">
        <v>60</v>
      </c>
      <c r="D38" s="3"/>
      <c r="E38" s="3"/>
      <c r="F38" s="41">
        <f>SUM($E$8:E38)/A38</f>
        <v>0</v>
      </c>
      <c r="G38" s="285">
        <f t="shared" si="0"/>
        <v>0</v>
      </c>
      <c r="H38" s="83">
        <f t="shared" si="1"/>
        <v>0</v>
      </c>
      <c r="I38" s="59"/>
    </row>
    <row r="39" spans="1:9" s="140" customFormat="1" ht="20.25" customHeight="1">
      <c r="A39" s="185">
        <v>31</v>
      </c>
      <c r="B39" s="19">
        <f>'FRIT FV 090.540 - FTA'!B39</f>
        <v>46265</v>
      </c>
      <c r="C39" s="77" t="s">
        <v>199</v>
      </c>
      <c r="D39" s="3"/>
      <c r="E39" s="3"/>
      <c r="F39" s="41">
        <f>SUM($E$8:E39)/A39</f>
        <v>0</v>
      </c>
      <c r="G39" s="93">
        <f t="shared" si="0"/>
        <v>0</v>
      </c>
      <c r="H39" s="83">
        <f t="shared" si="1"/>
        <v>0</v>
      </c>
      <c r="I39" s="59"/>
    </row>
    <row r="40" spans="1:9" s="32" customFormat="1" ht="20.25" customHeight="1">
      <c r="A40" s="1517" t="s">
        <v>29</v>
      </c>
      <c r="B40" s="1517"/>
      <c r="C40" s="1517"/>
      <c r="D40" s="60">
        <f>SUM(D9:D39)</f>
        <v>0</v>
      </c>
      <c r="E40" s="29">
        <f>SUM(E9:E39)</f>
        <v>0</v>
      </c>
      <c r="F40" s="29"/>
      <c r="G40" s="61">
        <f>G39</f>
        <v>0</v>
      </c>
      <c r="H40" s="59"/>
      <c r="I40" s="59"/>
    </row>
    <row r="41" spans="1:9" s="32" customFormat="1" ht="20.25" customHeight="1">
      <c r="A41" s="1517" t="s">
        <v>15</v>
      </c>
      <c r="B41" s="1517"/>
      <c r="C41" s="1517"/>
      <c r="D41" s="60">
        <f>D40+D8</f>
        <v>0</v>
      </c>
      <c r="E41" s="29">
        <f>E40+E8</f>
        <v>0</v>
      </c>
      <c r="F41" s="29"/>
      <c r="G41" s="29">
        <f>D41-E41</f>
        <v>0</v>
      </c>
      <c r="H41" s="59"/>
      <c r="I41" s="59"/>
    </row>
    <row r="42" spans="1:9" ht="23.25" customHeight="1">
      <c r="A42" s="5"/>
      <c r="B42" s="5"/>
      <c r="C42" s="5"/>
      <c r="D42" s="7"/>
      <c r="E42" s="24"/>
      <c r="F42" s="7"/>
      <c r="G42" s="7"/>
    </row>
    <row r="43" spans="1:9">
      <c r="D43" s="7"/>
      <c r="E43" s="24"/>
      <c r="H43" s="101" t="s">
        <v>13</v>
      </c>
    </row>
    <row r="44" spans="1:9">
      <c r="D44" s="7"/>
      <c r="H44" s="243"/>
    </row>
    <row r="45" spans="1:9">
      <c r="D45" s="7"/>
      <c r="H45" s="243"/>
    </row>
    <row r="46" spans="1:9">
      <c r="D46" s="7"/>
      <c r="H46" s="243"/>
    </row>
    <row r="47" spans="1:9">
      <c r="D47" s="7"/>
      <c r="H47" s="101" t="s">
        <v>98</v>
      </c>
    </row>
  </sheetData>
  <mergeCells count="4">
    <mergeCell ref="A3:I3"/>
    <mergeCell ref="A8:C8"/>
    <mergeCell ref="A40:C40"/>
    <mergeCell ref="A41:C41"/>
  </mergeCells>
  <conditionalFormatting sqref="H38">
    <cfRule type="cellIs" dxfId="12501" priority="1" operator="between">
      <formula>3</formula>
      <formula>6</formula>
    </cfRule>
    <cfRule type="cellIs" dxfId="12500" priority="2" operator="lessThan">
      <formula>3</formula>
    </cfRule>
    <cfRule type="cellIs" dxfId="12499" priority="3" operator="greaterThan">
      <formula>6</formula>
    </cfRule>
  </conditionalFormatting>
  <conditionalFormatting sqref="H9:H17 H19:H22 H24:H27 H29:H32 H34:H37 H39">
    <cfRule type="cellIs" dxfId="12498" priority="16" operator="between">
      <formula>3</formula>
      <formula>6</formula>
    </cfRule>
    <cfRule type="cellIs" dxfId="12497" priority="17" operator="lessThan">
      <formula>3</formula>
    </cfRule>
    <cfRule type="cellIs" dxfId="12496" priority="18" operator="greaterThan">
      <formula>6</formula>
    </cfRule>
  </conditionalFormatting>
  <conditionalFormatting sqref="H18">
    <cfRule type="cellIs" dxfId="12495" priority="13" operator="between">
      <formula>3</formula>
      <formula>6</formula>
    </cfRule>
    <cfRule type="cellIs" dxfId="12494" priority="14" operator="lessThan">
      <formula>3</formula>
    </cfRule>
    <cfRule type="cellIs" dxfId="12493" priority="15" operator="greaterThan">
      <formula>6</formula>
    </cfRule>
  </conditionalFormatting>
  <conditionalFormatting sqref="H23">
    <cfRule type="cellIs" dxfId="12492" priority="10" operator="between">
      <formula>3</formula>
      <formula>6</formula>
    </cfRule>
    <cfRule type="cellIs" dxfId="12491" priority="11" operator="lessThan">
      <formula>3</formula>
    </cfRule>
    <cfRule type="cellIs" dxfId="12490" priority="12" operator="greaterThan">
      <formula>6</formula>
    </cfRule>
  </conditionalFormatting>
  <conditionalFormatting sqref="H28">
    <cfRule type="cellIs" dxfId="12489" priority="7" operator="between">
      <formula>3</formula>
      <formula>6</formula>
    </cfRule>
    <cfRule type="cellIs" dxfId="12488" priority="8" operator="lessThan">
      <formula>3</formula>
    </cfRule>
    <cfRule type="cellIs" dxfId="12487" priority="9" operator="greaterThan">
      <formula>6</formula>
    </cfRule>
  </conditionalFormatting>
  <conditionalFormatting sqref="H33">
    <cfRule type="cellIs" dxfId="12486" priority="4" operator="between">
      <formula>3</formula>
      <formula>6</formula>
    </cfRule>
    <cfRule type="cellIs" dxfId="12485" priority="5" operator="lessThan">
      <formula>3</formula>
    </cfRule>
    <cfRule type="cellIs" dxfId="12484" priority="6" operator="greaterThan">
      <formula>6</formula>
    </cfRule>
  </conditionalFormatting>
  <hyperlinks>
    <hyperlink ref="I6" location="'Tong hop T11.2019'!A1" display="TH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I47"/>
  <sheetViews>
    <sheetView zoomScale="70" zoomScaleNormal="70" workbookViewId="0">
      <pane ySplit="8" topLeftCell="A9" activePane="bottomLeft" state="frozen"/>
      <selection pane="bottomLeft" activeCell="R20" sqref="R20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20.28515625" style="42" customWidth="1"/>
    <col min="4" max="7" width="15.42578125" style="6" customWidth="1"/>
    <col min="8" max="8" width="24.7109375" style="42" customWidth="1"/>
    <col min="9" max="9" width="17.42578125" style="42" customWidth="1"/>
    <col min="10" max="16384" width="9.28515625" style="42"/>
  </cols>
  <sheetData>
    <row r="1" spans="1:9" s="143" customFormat="1" ht="18" customHeight="1">
      <c r="A1" s="146" t="e">
        <f>'FRIT FV 090.540 - FTA'!#REF!</f>
        <v>#REF!</v>
      </c>
      <c r="B1" s="146"/>
      <c r="C1" s="146"/>
      <c r="D1" s="146"/>
      <c r="E1" s="146"/>
      <c r="F1" s="146"/>
      <c r="G1" s="142"/>
      <c r="H1" s="142"/>
      <c r="I1" s="142"/>
    </row>
    <row r="2" spans="1:9" s="143" customFormat="1" ht="18" customHeight="1">
      <c r="A2" s="146" t="e">
        <f>'FRIT FV 090.540 - FTA'!#REF!</f>
        <v>#REF!</v>
      </c>
      <c r="B2" s="146"/>
      <c r="C2" s="146"/>
      <c r="D2" s="144"/>
      <c r="E2" s="144"/>
      <c r="F2" s="144"/>
      <c r="G2" s="142"/>
      <c r="H2" s="142"/>
      <c r="I2" s="197" t="e">
        <f>'FRIT FV 090.540 - FTA'!#REF!</f>
        <v>#REF!</v>
      </c>
    </row>
    <row r="3" spans="1:9" ht="22.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</row>
    <row r="4" spans="1:9" ht="21.75" customHeight="1">
      <c r="D4" s="134" t="s">
        <v>33</v>
      </c>
      <c r="E4" s="67" t="s">
        <v>159</v>
      </c>
      <c r="G4" s="6" t="s">
        <v>114</v>
      </c>
      <c r="H4" s="137" t="s">
        <v>191</v>
      </c>
    </row>
    <row r="5" spans="1:9" s="8" customFormat="1" ht="21.75" customHeight="1">
      <c r="B5" s="8" t="e">
        <f>'FRIT FV 090.540 - FTA'!#REF!</f>
        <v>#REF!</v>
      </c>
      <c r="C5" s="8" t="e">
        <f>'FRIT FV 090.540 - FTA'!#REF!</f>
        <v>#REF!</v>
      </c>
      <c r="D5" s="8" t="e">
        <f>'FRIT FV 090.540 - FTA'!#REF!</f>
        <v>#REF!</v>
      </c>
      <c r="E5" s="8" t="e">
        <f>'FRIT FV 090.540 - FTA'!#REF!</f>
        <v>#REF!</v>
      </c>
      <c r="F5" s="8" t="e">
        <f>'FRIT FV 090.540 - FTA'!#REF!</f>
        <v>#REF!</v>
      </c>
      <c r="G5" s="8" t="e">
        <f>'FRIT FV 090.540 - FTA'!#REF!</f>
        <v>#REF!</v>
      </c>
      <c r="H5" s="8" t="e">
        <f>'FRIT FV 090.540 - FTA'!#REF!</f>
        <v>#REF!</v>
      </c>
      <c r="I5" s="8" t="e">
        <f>'FRIT FV 090.540 - FTA'!#REF!</f>
        <v>#REF!</v>
      </c>
    </row>
    <row r="6" spans="1:9" ht="22.5" customHeight="1">
      <c r="E6" s="10"/>
      <c r="F6" s="10"/>
      <c r="H6" s="12" t="s">
        <v>40</v>
      </c>
      <c r="I6" s="261" t="s">
        <v>149</v>
      </c>
    </row>
    <row r="7" spans="1:9" s="13" customFormat="1" ht="40.5" customHeight="1">
      <c r="A7" s="249" t="s">
        <v>2</v>
      </c>
      <c r="B7" s="250" t="s">
        <v>1</v>
      </c>
      <c r="C7" s="244" t="s">
        <v>24</v>
      </c>
      <c r="D7" s="193" t="s">
        <v>27</v>
      </c>
      <c r="E7" s="193" t="s">
        <v>59</v>
      </c>
      <c r="F7" s="251" t="s">
        <v>28</v>
      </c>
      <c r="G7" s="193" t="s">
        <v>14</v>
      </c>
      <c r="H7" s="251" t="s">
        <v>30</v>
      </c>
      <c r="I7" s="251" t="s">
        <v>101</v>
      </c>
    </row>
    <row r="8" spans="1:9" s="13" customFormat="1" ht="36" customHeight="1">
      <c r="A8" s="1514" t="s">
        <v>3</v>
      </c>
      <c r="B8" s="1515"/>
      <c r="C8" s="1516"/>
      <c r="D8" s="74">
        <f>G8</f>
        <v>0</v>
      </c>
      <c r="E8" s="43"/>
      <c r="F8" s="43"/>
      <c r="G8" s="92">
        <v>0</v>
      </c>
      <c r="H8" s="58"/>
      <c r="I8" s="58"/>
    </row>
    <row r="9" spans="1:9" s="13" customFormat="1" ht="20.25" customHeight="1">
      <c r="A9" s="185">
        <v>1</v>
      </c>
      <c r="B9" s="19">
        <f>'FRIT FV 090.540 - FTA'!B9</f>
        <v>46235</v>
      </c>
      <c r="C9" s="77" t="s">
        <v>199</v>
      </c>
      <c r="D9" s="3"/>
      <c r="E9" s="3"/>
      <c r="F9" s="41">
        <f>(SUM($E$8:E9))/A9</f>
        <v>0</v>
      </c>
      <c r="G9" s="93">
        <f>G8+D9-E9</f>
        <v>0</v>
      </c>
      <c r="H9" s="82">
        <f>G9/695</f>
        <v>0</v>
      </c>
      <c r="I9" s="59"/>
    </row>
    <row r="10" spans="1:9" s="13" customFormat="1" ht="20.25" customHeight="1">
      <c r="A10" s="185">
        <v>2</v>
      </c>
      <c r="B10" s="19">
        <f>'FRIT FV 090.540 - FTA'!B10</f>
        <v>46236</v>
      </c>
      <c r="C10" s="77" t="s">
        <v>199</v>
      </c>
      <c r="D10" s="3"/>
      <c r="E10" s="3"/>
      <c r="F10" s="41">
        <f>(SUM($E$8:E10))/A10</f>
        <v>0</v>
      </c>
      <c r="G10" s="93">
        <f t="shared" ref="G10:G39" si="0">G9+D10-E10</f>
        <v>0</v>
      </c>
      <c r="H10" s="82">
        <f t="shared" ref="H10:H39" si="1">G10/695</f>
        <v>0</v>
      </c>
      <c r="I10" s="59"/>
    </row>
    <row r="11" spans="1:9" s="13" customFormat="1" ht="20.25" customHeight="1">
      <c r="A11" s="185">
        <v>3</v>
      </c>
      <c r="B11" s="19">
        <f>'FRIT FV 090.540 - FTA'!B11</f>
        <v>46237</v>
      </c>
      <c r="C11" s="77" t="s">
        <v>199</v>
      </c>
      <c r="D11" s="3"/>
      <c r="E11" s="3"/>
      <c r="F11" s="41">
        <f>(SUM($E$8:E11))/A11</f>
        <v>0</v>
      </c>
      <c r="G11" s="93">
        <f t="shared" si="0"/>
        <v>0</v>
      </c>
      <c r="H11" s="83">
        <f t="shared" si="1"/>
        <v>0</v>
      </c>
      <c r="I11" s="59"/>
    </row>
    <row r="12" spans="1:9" s="140" customFormat="1" ht="20.25" customHeight="1">
      <c r="A12" s="185">
        <v>4</v>
      </c>
      <c r="B12" s="19">
        <f>'FRIT FV 090.540 - FTA'!B12</f>
        <v>46238</v>
      </c>
      <c r="C12" s="77" t="s">
        <v>199</v>
      </c>
      <c r="D12" s="3"/>
      <c r="E12" s="3"/>
      <c r="F12" s="41">
        <f>(SUM($E$8:E12))/A12</f>
        <v>0</v>
      </c>
      <c r="G12" s="93">
        <f t="shared" si="0"/>
        <v>0</v>
      </c>
      <c r="H12" s="83">
        <f t="shared" si="1"/>
        <v>0</v>
      </c>
      <c r="I12" s="59"/>
    </row>
    <row r="13" spans="1:9" s="140" customFormat="1" ht="20.25" customHeight="1">
      <c r="A13" s="264">
        <v>5</v>
      </c>
      <c r="B13" s="265">
        <f>'FRIT FV 090.540 - FTA'!B13</f>
        <v>46239</v>
      </c>
      <c r="C13" s="77" t="s">
        <v>199</v>
      </c>
      <c r="D13" s="3"/>
      <c r="E13" s="3"/>
      <c r="F13" s="41">
        <f>(SUM($E$8:E13))/A13</f>
        <v>0</v>
      </c>
      <c r="G13" s="285">
        <f t="shared" si="0"/>
        <v>0</v>
      </c>
      <c r="H13" s="83">
        <f t="shared" si="1"/>
        <v>0</v>
      </c>
      <c r="I13" s="59"/>
    </row>
    <row r="14" spans="1:9" s="140" customFormat="1" ht="20.25" customHeight="1">
      <c r="A14" s="185">
        <v>6</v>
      </c>
      <c r="B14" s="19">
        <f>'FRIT FV 090.540 - FTA'!B14</f>
        <v>46240</v>
      </c>
      <c r="C14" s="77" t="s">
        <v>199</v>
      </c>
      <c r="D14" s="3"/>
      <c r="E14" s="3"/>
      <c r="F14" s="41">
        <f>(SUM($E$8:E14))/A14</f>
        <v>0</v>
      </c>
      <c r="G14" s="93">
        <f t="shared" si="0"/>
        <v>0</v>
      </c>
      <c r="H14" s="83">
        <f t="shared" si="1"/>
        <v>0</v>
      </c>
      <c r="I14" s="59"/>
    </row>
    <row r="15" spans="1:9" s="140" customFormat="1" ht="20.25" customHeight="1">
      <c r="A15" s="185">
        <v>7</v>
      </c>
      <c r="B15" s="19">
        <f>'FRIT FV 090.540 - FTA'!B15</f>
        <v>46241</v>
      </c>
      <c r="C15" s="77" t="s">
        <v>199</v>
      </c>
      <c r="D15" s="3"/>
      <c r="E15" s="3"/>
      <c r="F15" s="41">
        <f>(SUM($E$8:E15))/A15</f>
        <v>0</v>
      </c>
      <c r="G15" s="93">
        <f t="shared" si="0"/>
        <v>0</v>
      </c>
      <c r="H15" s="83">
        <f t="shared" si="1"/>
        <v>0</v>
      </c>
      <c r="I15" s="59"/>
    </row>
    <row r="16" spans="1:9" s="140" customFormat="1" ht="20.25" customHeight="1">
      <c r="A16" s="185">
        <v>8</v>
      </c>
      <c r="B16" s="19">
        <f>'FRIT FV 090.540 - FTA'!B16</f>
        <v>46242</v>
      </c>
      <c r="C16" s="77" t="s">
        <v>199</v>
      </c>
      <c r="D16" s="3"/>
      <c r="E16" s="3"/>
      <c r="F16" s="41">
        <f>(SUM($E$8:E16))/A16</f>
        <v>0</v>
      </c>
      <c r="G16" s="93">
        <f t="shared" si="0"/>
        <v>0</v>
      </c>
      <c r="H16" s="83">
        <f t="shared" si="1"/>
        <v>0</v>
      </c>
      <c r="I16" s="59"/>
    </row>
    <row r="17" spans="1:9" s="140" customFormat="1" ht="20.25" customHeight="1">
      <c r="A17" s="185">
        <v>9</v>
      </c>
      <c r="B17" s="19">
        <f>'FRIT FV 090.540 - FTA'!B17</f>
        <v>46243</v>
      </c>
      <c r="C17" s="77" t="s">
        <v>199</v>
      </c>
      <c r="D17" s="3"/>
      <c r="E17" s="3"/>
      <c r="F17" s="41">
        <f>(SUM($E$8:E17))/A17</f>
        <v>0</v>
      </c>
      <c r="G17" s="93">
        <f t="shared" si="0"/>
        <v>0</v>
      </c>
      <c r="H17" s="83">
        <f t="shared" si="1"/>
        <v>0</v>
      </c>
      <c r="I17" s="59"/>
    </row>
    <row r="18" spans="1:9" s="140" customFormat="1" ht="20.25" customHeight="1">
      <c r="A18" s="264">
        <v>10</v>
      </c>
      <c r="B18" s="265">
        <f>'FRIT FV 090.540 - FTA'!B18</f>
        <v>46244</v>
      </c>
      <c r="C18" s="77" t="s">
        <v>199</v>
      </c>
      <c r="D18" s="3"/>
      <c r="E18" s="3"/>
      <c r="F18" s="41">
        <f>(SUM($E$8:E18))/A18</f>
        <v>0</v>
      </c>
      <c r="G18" s="285">
        <f t="shared" si="0"/>
        <v>0</v>
      </c>
      <c r="H18" s="83">
        <f t="shared" si="1"/>
        <v>0</v>
      </c>
      <c r="I18" s="59"/>
    </row>
    <row r="19" spans="1:9" s="140" customFormat="1" ht="20.25" customHeight="1">
      <c r="A19" s="185">
        <v>11</v>
      </c>
      <c r="B19" s="19">
        <f>'FRIT FV 090.540 - FTA'!B19</f>
        <v>46245</v>
      </c>
      <c r="C19" s="77" t="s">
        <v>199</v>
      </c>
      <c r="D19" s="3"/>
      <c r="E19" s="3"/>
      <c r="F19" s="41">
        <f>(SUM($E$8:E19))/A19</f>
        <v>0</v>
      </c>
      <c r="G19" s="93">
        <f t="shared" si="0"/>
        <v>0</v>
      </c>
      <c r="H19" s="83">
        <f t="shared" si="1"/>
        <v>0</v>
      </c>
      <c r="I19" s="59"/>
    </row>
    <row r="20" spans="1:9" s="140" customFormat="1" ht="20.25" customHeight="1">
      <c r="A20" s="185">
        <v>12</v>
      </c>
      <c r="B20" s="19">
        <f>'FRIT FV 090.540 - FTA'!B20</f>
        <v>46246</v>
      </c>
      <c r="C20" s="77" t="s">
        <v>199</v>
      </c>
      <c r="D20" s="3"/>
      <c r="E20" s="3"/>
      <c r="F20" s="41">
        <f>(SUM($E$8:E20))/A20</f>
        <v>0</v>
      </c>
      <c r="G20" s="93">
        <f t="shared" si="0"/>
        <v>0</v>
      </c>
      <c r="H20" s="83">
        <f t="shared" si="1"/>
        <v>0</v>
      </c>
      <c r="I20" s="59"/>
    </row>
    <row r="21" spans="1:9" s="140" customFormat="1" ht="20.25" customHeight="1">
      <c r="A21" s="185">
        <v>13</v>
      </c>
      <c r="B21" s="19">
        <f>'FRIT FV 090.540 - FTA'!B21</f>
        <v>46247</v>
      </c>
      <c r="C21" s="77" t="s">
        <v>199</v>
      </c>
      <c r="D21" s="3"/>
      <c r="E21" s="3"/>
      <c r="F21" s="41">
        <f>(SUM($E$8:E21))/A21</f>
        <v>0</v>
      </c>
      <c r="G21" s="93">
        <f t="shared" si="0"/>
        <v>0</v>
      </c>
      <c r="H21" s="83">
        <f>G21/695</f>
        <v>0</v>
      </c>
      <c r="I21" s="59"/>
    </row>
    <row r="22" spans="1:9" s="140" customFormat="1" ht="20.25" customHeight="1">
      <c r="A22" s="185">
        <v>14</v>
      </c>
      <c r="B22" s="19">
        <f>'FRIT FV 090.540 - FTA'!B22</f>
        <v>46248</v>
      </c>
      <c r="C22" s="77" t="s">
        <v>199</v>
      </c>
      <c r="D22" s="3"/>
      <c r="E22" s="3"/>
      <c r="F22" s="41">
        <f>(SUM($E$8:E22))/A22</f>
        <v>0</v>
      </c>
      <c r="G22" s="93">
        <f t="shared" si="0"/>
        <v>0</v>
      </c>
      <c r="H22" s="83">
        <f t="shared" si="1"/>
        <v>0</v>
      </c>
      <c r="I22" s="59"/>
    </row>
    <row r="23" spans="1:9" s="140" customFormat="1" ht="20.25" customHeight="1">
      <c r="A23" s="264">
        <v>15</v>
      </c>
      <c r="B23" s="265">
        <f>'FRIT FV 090.540 - FTA'!B23</f>
        <v>46249</v>
      </c>
      <c r="C23" s="77" t="s">
        <v>199</v>
      </c>
      <c r="D23" s="3"/>
      <c r="E23" s="3"/>
      <c r="F23" s="41">
        <f>(SUM($E$8:E23))/A23</f>
        <v>0</v>
      </c>
      <c r="G23" s="285">
        <f t="shared" si="0"/>
        <v>0</v>
      </c>
      <c r="H23" s="83">
        <f t="shared" si="1"/>
        <v>0</v>
      </c>
      <c r="I23" s="59"/>
    </row>
    <row r="24" spans="1:9" s="140" customFormat="1" ht="20.25" customHeight="1">
      <c r="A24" s="185">
        <v>16</v>
      </c>
      <c r="B24" s="19">
        <f>'FRIT FV 090.540 - FTA'!B24</f>
        <v>46250</v>
      </c>
      <c r="C24" s="77" t="s">
        <v>156</v>
      </c>
      <c r="D24" s="3"/>
      <c r="E24" s="3"/>
      <c r="F24" s="41">
        <f>(SUM($E$8:E24))/A24</f>
        <v>0</v>
      </c>
      <c r="G24" s="93">
        <f t="shared" si="0"/>
        <v>0</v>
      </c>
      <c r="H24" s="83">
        <f t="shared" si="1"/>
        <v>0</v>
      </c>
      <c r="I24" s="59"/>
    </row>
    <row r="25" spans="1:9" s="140" customFormat="1" ht="20.25" customHeight="1">
      <c r="A25" s="185">
        <v>17</v>
      </c>
      <c r="B25" s="19">
        <f>'FRIT FV 090.540 - FTA'!B25</f>
        <v>46251</v>
      </c>
      <c r="C25" s="77" t="s">
        <v>199</v>
      </c>
      <c r="D25" s="3"/>
      <c r="E25" s="3"/>
      <c r="F25" s="41">
        <f>(SUM($E$8:E25))/A25</f>
        <v>0</v>
      </c>
      <c r="G25" s="93">
        <f t="shared" si="0"/>
        <v>0</v>
      </c>
      <c r="H25" s="83">
        <f t="shared" si="1"/>
        <v>0</v>
      </c>
      <c r="I25" s="59"/>
    </row>
    <row r="26" spans="1:9" s="140" customFormat="1" ht="20.25" customHeight="1">
      <c r="A26" s="185">
        <v>18</v>
      </c>
      <c r="B26" s="19">
        <f>'FRIT FV 090.540 - FTA'!B26</f>
        <v>46252</v>
      </c>
      <c r="C26" s="77" t="s">
        <v>199</v>
      </c>
      <c r="D26" s="3"/>
      <c r="E26" s="3"/>
      <c r="F26" s="41">
        <f>(SUM($E$8:E26))/A26</f>
        <v>0</v>
      </c>
      <c r="G26" s="93">
        <f t="shared" si="0"/>
        <v>0</v>
      </c>
      <c r="H26" s="83">
        <f t="shared" si="1"/>
        <v>0</v>
      </c>
      <c r="I26" s="59"/>
    </row>
    <row r="27" spans="1:9" s="140" customFormat="1" ht="20.25" customHeight="1">
      <c r="A27" s="185">
        <v>19</v>
      </c>
      <c r="B27" s="19">
        <f>'FRIT FV 090.540 - FTA'!B27</f>
        <v>46253</v>
      </c>
      <c r="C27" s="77" t="s">
        <v>199</v>
      </c>
      <c r="D27" s="3"/>
      <c r="E27" s="3"/>
      <c r="F27" s="41">
        <f>(SUM($E$8:E27))/A27</f>
        <v>0</v>
      </c>
      <c r="G27" s="93">
        <f t="shared" si="0"/>
        <v>0</v>
      </c>
      <c r="H27" s="83">
        <f t="shared" si="1"/>
        <v>0</v>
      </c>
      <c r="I27" s="59"/>
    </row>
    <row r="28" spans="1:9" s="140" customFormat="1" ht="20.25" customHeight="1">
      <c r="A28" s="264">
        <v>20</v>
      </c>
      <c r="B28" s="265">
        <f>'FRIT FV 090.540 - FTA'!B28</f>
        <v>46254</v>
      </c>
      <c r="C28" s="77" t="s">
        <v>60</v>
      </c>
      <c r="D28" s="3"/>
      <c r="E28" s="3"/>
      <c r="F28" s="41">
        <f>(SUM($E$8:E28))/A28</f>
        <v>0</v>
      </c>
      <c r="G28" s="285">
        <f t="shared" si="0"/>
        <v>0</v>
      </c>
      <c r="H28" s="83">
        <f t="shared" si="1"/>
        <v>0</v>
      </c>
      <c r="I28" s="59"/>
    </row>
    <row r="29" spans="1:9" s="140" customFormat="1" ht="20.25" customHeight="1">
      <c r="A29" s="185">
        <v>21</v>
      </c>
      <c r="B29" s="19">
        <f>'FRIT FV 090.540 - FTA'!B29</f>
        <v>46255</v>
      </c>
      <c r="C29" s="77" t="s">
        <v>156</v>
      </c>
      <c r="D29" s="3"/>
      <c r="E29" s="3"/>
      <c r="F29" s="41">
        <f>(SUM($E$8:E29))/A29</f>
        <v>0</v>
      </c>
      <c r="G29" s="93">
        <f t="shared" si="0"/>
        <v>0</v>
      </c>
      <c r="H29" s="83">
        <f t="shared" si="1"/>
        <v>0</v>
      </c>
      <c r="I29" s="59"/>
    </row>
    <row r="30" spans="1:9" s="140" customFormat="1" ht="20.25" customHeight="1">
      <c r="A30" s="185">
        <v>22</v>
      </c>
      <c r="B30" s="19">
        <f>'FRIT FV 090.540 - FTA'!B30</f>
        <v>46256</v>
      </c>
      <c r="C30" s="77" t="s">
        <v>199</v>
      </c>
      <c r="D30" s="3"/>
      <c r="E30" s="3"/>
      <c r="F30" s="41">
        <f>(SUM($E$8:E30))/A30</f>
        <v>0</v>
      </c>
      <c r="G30" s="93">
        <f t="shared" si="0"/>
        <v>0</v>
      </c>
      <c r="H30" s="83">
        <f t="shared" si="1"/>
        <v>0</v>
      </c>
      <c r="I30" s="59"/>
    </row>
    <row r="31" spans="1:9" s="140" customFormat="1" ht="20.25" customHeight="1">
      <c r="A31" s="185">
        <v>23</v>
      </c>
      <c r="B31" s="19">
        <f>'FRIT FV 090.540 - FTA'!B31</f>
        <v>46257</v>
      </c>
      <c r="C31" s="77" t="s">
        <v>60</v>
      </c>
      <c r="D31" s="3"/>
      <c r="E31" s="3"/>
      <c r="F31" s="41">
        <f>(SUM($E$8:E31))/A31</f>
        <v>0</v>
      </c>
      <c r="G31" s="93">
        <f t="shared" si="0"/>
        <v>0</v>
      </c>
      <c r="H31" s="83">
        <f t="shared" si="1"/>
        <v>0</v>
      </c>
      <c r="I31" s="59"/>
    </row>
    <row r="32" spans="1:9" s="140" customFormat="1" ht="20.25" customHeight="1">
      <c r="A32" s="185">
        <v>24</v>
      </c>
      <c r="B32" s="19">
        <f>'FRIT FV 090.540 - FTA'!B32</f>
        <v>46258</v>
      </c>
      <c r="C32" s="77" t="s">
        <v>199</v>
      </c>
      <c r="D32" s="3"/>
      <c r="E32" s="3"/>
      <c r="F32" s="41">
        <f>(SUM($E$8:E32))/A32</f>
        <v>0</v>
      </c>
      <c r="G32" s="93">
        <f t="shared" si="0"/>
        <v>0</v>
      </c>
      <c r="H32" s="83">
        <f t="shared" si="1"/>
        <v>0</v>
      </c>
      <c r="I32" s="59"/>
    </row>
    <row r="33" spans="1:9" s="140" customFormat="1" ht="20.25" customHeight="1">
      <c r="A33" s="262">
        <v>25</v>
      </c>
      <c r="B33" s="263">
        <f>'FRIT FV 090.540 - FTA'!B33</f>
        <v>46259</v>
      </c>
      <c r="C33" s="77" t="s">
        <v>156</v>
      </c>
      <c r="D33" s="3"/>
      <c r="E33" s="3"/>
      <c r="F33" s="41">
        <f>(SUM($E$8:E33))/A33</f>
        <v>0</v>
      </c>
      <c r="G33" s="286">
        <f t="shared" si="0"/>
        <v>0</v>
      </c>
      <c r="H33" s="83">
        <f t="shared" si="1"/>
        <v>0</v>
      </c>
      <c r="I33" s="59"/>
    </row>
    <row r="34" spans="1:9" s="140" customFormat="1" ht="20.25" customHeight="1">
      <c r="A34" s="185">
        <v>26</v>
      </c>
      <c r="B34" s="19">
        <f>'FRIT FV 090.540 - FTA'!B34</f>
        <v>46260</v>
      </c>
      <c r="C34" s="77" t="s">
        <v>199</v>
      </c>
      <c r="D34" s="3"/>
      <c r="E34" s="3"/>
      <c r="F34" s="41">
        <f>(SUM($E$8:E34))/A34</f>
        <v>0</v>
      </c>
      <c r="G34" s="93">
        <f t="shared" si="0"/>
        <v>0</v>
      </c>
      <c r="H34" s="83">
        <f t="shared" si="1"/>
        <v>0</v>
      </c>
      <c r="I34" s="59"/>
    </row>
    <row r="35" spans="1:9" s="140" customFormat="1" ht="20.25" customHeight="1">
      <c r="A35" s="185">
        <v>27</v>
      </c>
      <c r="B35" s="19">
        <f>'FRIT FV 090.540 - FTA'!B35</f>
        <v>46261</v>
      </c>
      <c r="C35" s="77" t="s">
        <v>199</v>
      </c>
      <c r="D35" s="3"/>
      <c r="E35" s="3"/>
      <c r="F35" s="41">
        <f>(SUM($E$8:E35))/A35</f>
        <v>0</v>
      </c>
      <c r="G35" s="93">
        <f t="shared" si="0"/>
        <v>0</v>
      </c>
      <c r="H35" s="83">
        <f t="shared" si="1"/>
        <v>0</v>
      </c>
      <c r="I35" s="59"/>
    </row>
    <row r="36" spans="1:9" s="140" customFormat="1" ht="20.25" customHeight="1">
      <c r="A36" s="185">
        <v>28</v>
      </c>
      <c r="B36" s="19">
        <f>'FRIT FV 090.540 - FTA'!B36</f>
        <v>46262</v>
      </c>
      <c r="C36" s="77" t="s">
        <v>199</v>
      </c>
      <c r="D36" s="3"/>
      <c r="E36" s="3"/>
      <c r="F36" s="41">
        <f>(SUM($E$8:E36))/A36</f>
        <v>0</v>
      </c>
      <c r="G36" s="93">
        <f t="shared" si="0"/>
        <v>0</v>
      </c>
      <c r="H36" s="83">
        <f t="shared" si="1"/>
        <v>0</v>
      </c>
      <c r="I36" s="59"/>
    </row>
    <row r="37" spans="1:9" s="140" customFormat="1" ht="20.25" customHeight="1">
      <c r="A37" s="185">
        <v>29</v>
      </c>
      <c r="B37" s="19">
        <f>'FRIT FV 090.540 - FTA'!B37</f>
        <v>46263</v>
      </c>
      <c r="C37" s="77" t="s">
        <v>199</v>
      </c>
      <c r="D37" s="3"/>
      <c r="E37" s="3"/>
      <c r="F37" s="41">
        <f>(SUM($E$8:E37))/A37</f>
        <v>0</v>
      </c>
      <c r="G37" s="93">
        <f t="shared" si="0"/>
        <v>0</v>
      </c>
      <c r="H37" s="83">
        <f t="shared" si="1"/>
        <v>0</v>
      </c>
      <c r="I37" s="59"/>
    </row>
    <row r="38" spans="1:9" s="140" customFormat="1" ht="20.25" customHeight="1">
      <c r="A38" s="264">
        <v>30</v>
      </c>
      <c r="B38" s="265">
        <f>'FRIT FV 090.540 - FTA'!B38</f>
        <v>46264</v>
      </c>
      <c r="C38" s="77" t="s">
        <v>199</v>
      </c>
      <c r="D38" s="3"/>
      <c r="E38" s="3"/>
      <c r="F38" s="41">
        <f>(SUM($E$8:E38))/A38</f>
        <v>0</v>
      </c>
      <c r="G38" s="285">
        <f t="shared" si="0"/>
        <v>0</v>
      </c>
      <c r="H38" s="83">
        <f t="shared" si="1"/>
        <v>0</v>
      </c>
      <c r="I38" s="59"/>
    </row>
    <row r="39" spans="1:9" s="140" customFormat="1" ht="20.25" customHeight="1">
      <c r="A39" s="185">
        <v>31</v>
      </c>
      <c r="B39" s="19">
        <f>'FRIT FV 090.540 - FTA'!B39</f>
        <v>46265</v>
      </c>
      <c r="C39" s="77" t="s">
        <v>199</v>
      </c>
      <c r="D39" s="3"/>
      <c r="E39" s="3"/>
      <c r="F39" s="41">
        <f>(SUM($E$8:E39))/A39</f>
        <v>0</v>
      </c>
      <c r="G39" s="93">
        <f t="shared" si="0"/>
        <v>0</v>
      </c>
      <c r="H39" s="83">
        <f t="shared" si="1"/>
        <v>0</v>
      </c>
      <c r="I39" s="59"/>
    </row>
    <row r="40" spans="1:9" s="32" customFormat="1" ht="20.25" customHeight="1">
      <c r="A40" s="1517" t="s">
        <v>29</v>
      </c>
      <c r="B40" s="1517"/>
      <c r="C40" s="1517"/>
      <c r="D40" s="60">
        <f>SUM(D9:D39)</f>
        <v>0</v>
      </c>
      <c r="E40" s="29">
        <f>SUM(E9:E39)</f>
        <v>0</v>
      </c>
      <c r="F40" s="29"/>
      <c r="G40" s="61">
        <f>G39</f>
        <v>0</v>
      </c>
      <c r="H40" s="59"/>
      <c r="I40" s="59"/>
    </row>
    <row r="41" spans="1:9" s="32" customFormat="1" ht="20.25" customHeight="1">
      <c r="A41" s="1517" t="s">
        <v>15</v>
      </c>
      <c r="B41" s="1517"/>
      <c r="C41" s="1517"/>
      <c r="D41" s="60">
        <f>D40+D8</f>
        <v>0</v>
      </c>
      <c r="E41" s="29">
        <f>E40+E8</f>
        <v>0</v>
      </c>
      <c r="F41" s="29"/>
      <c r="G41" s="29">
        <f>D41-E41</f>
        <v>0</v>
      </c>
      <c r="H41" s="59"/>
      <c r="I41" s="59"/>
    </row>
    <row r="42" spans="1:9" ht="23.25" customHeight="1">
      <c r="A42" s="5"/>
      <c r="B42" s="5"/>
      <c r="C42" s="5"/>
      <c r="D42" s="7"/>
      <c r="E42" s="24"/>
      <c r="F42" s="7"/>
      <c r="G42" s="7"/>
    </row>
    <row r="43" spans="1:9">
      <c r="D43" s="7"/>
      <c r="E43" s="24"/>
      <c r="H43" s="101" t="s">
        <v>13</v>
      </c>
    </row>
    <row r="44" spans="1:9">
      <c r="D44" s="7"/>
      <c r="H44" s="243"/>
    </row>
    <row r="45" spans="1:9">
      <c r="D45" s="7"/>
      <c r="H45" s="243"/>
    </row>
    <row r="46" spans="1:9">
      <c r="D46" s="7"/>
      <c r="H46" s="243"/>
    </row>
    <row r="47" spans="1:9">
      <c r="D47" s="7"/>
      <c r="H47" s="101" t="s">
        <v>98</v>
      </c>
    </row>
  </sheetData>
  <mergeCells count="4">
    <mergeCell ref="A3:I3"/>
    <mergeCell ref="A8:C8"/>
    <mergeCell ref="A40:C40"/>
    <mergeCell ref="A41:C41"/>
  </mergeCells>
  <conditionalFormatting sqref="H38">
    <cfRule type="cellIs" dxfId="12483" priority="1" operator="between">
      <formula>3</formula>
      <formula>6</formula>
    </cfRule>
    <cfRule type="cellIs" dxfId="12482" priority="2" operator="lessThan">
      <formula>3</formula>
    </cfRule>
    <cfRule type="cellIs" dxfId="12481" priority="3" operator="greaterThan">
      <formula>6</formula>
    </cfRule>
  </conditionalFormatting>
  <conditionalFormatting sqref="H9:H17 H19:H22 H24:H27 H29:H32 H34:H37 H39">
    <cfRule type="cellIs" dxfId="12480" priority="16" operator="between">
      <formula>3</formula>
      <formula>6</formula>
    </cfRule>
    <cfRule type="cellIs" dxfId="12479" priority="17" operator="lessThan">
      <formula>3</formula>
    </cfRule>
    <cfRule type="cellIs" dxfId="12478" priority="18" operator="greaterThan">
      <formula>6</formula>
    </cfRule>
  </conditionalFormatting>
  <conditionalFormatting sqref="H18">
    <cfRule type="cellIs" dxfId="12477" priority="13" operator="between">
      <formula>3</formula>
      <formula>6</formula>
    </cfRule>
    <cfRule type="cellIs" dxfId="12476" priority="14" operator="lessThan">
      <formula>3</formula>
    </cfRule>
    <cfRule type="cellIs" dxfId="12475" priority="15" operator="greaterThan">
      <formula>6</formula>
    </cfRule>
  </conditionalFormatting>
  <conditionalFormatting sqref="H23">
    <cfRule type="cellIs" dxfId="12474" priority="10" operator="between">
      <formula>3</formula>
      <formula>6</formula>
    </cfRule>
    <cfRule type="cellIs" dxfId="12473" priority="11" operator="lessThan">
      <formula>3</formula>
    </cfRule>
    <cfRule type="cellIs" dxfId="12472" priority="12" operator="greaterThan">
      <formula>6</formula>
    </cfRule>
  </conditionalFormatting>
  <conditionalFormatting sqref="H28">
    <cfRule type="cellIs" dxfId="12471" priority="7" operator="between">
      <formula>3</formula>
      <formula>6</formula>
    </cfRule>
    <cfRule type="cellIs" dxfId="12470" priority="8" operator="lessThan">
      <formula>3</formula>
    </cfRule>
    <cfRule type="cellIs" dxfId="12469" priority="9" operator="greaterThan">
      <formula>6</formula>
    </cfRule>
  </conditionalFormatting>
  <conditionalFormatting sqref="H33">
    <cfRule type="cellIs" dxfId="12468" priority="4" operator="between">
      <formula>3</formula>
      <formula>6</formula>
    </cfRule>
    <cfRule type="cellIs" dxfId="12467" priority="5" operator="lessThan">
      <formula>3</formula>
    </cfRule>
    <cfRule type="cellIs" dxfId="12466" priority="6" operator="greaterThan">
      <formula>6</formula>
    </cfRule>
  </conditionalFormatting>
  <hyperlinks>
    <hyperlink ref="I6" location="'Tong hop T11.2019'!A1" display="TH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I47"/>
  <sheetViews>
    <sheetView topLeftCell="D1" zoomScale="70" zoomScaleNormal="70" workbookViewId="0">
      <pane ySplit="8" topLeftCell="A9" activePane="bottomLeft" state="frozen"/>
      <selection pane="bottomLeft" activeCell="W21" sqref="W21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20.28515625" style="42" customWidth="1"/>
    <col min="4" max="7" width="15.42578125" style="6" customWidth="1"/>
    <col min="8" max="8" width="24.7109375" style="42" customWidth="1"/>
    <col min="9" max="9" width="17.42578125" style="42" customWidth="1"/>
    <col min="10" max="16384" width="9.28515625" style="42"/>
  </cols>
  <sheetData>
    <row r="1" spans="1:9" s="143" customFormat="1" ht="18" customHeight="1">
      <c r="A1" s="146" t="e">
        <f>'FRIT FV 090.540 - FTA'!#REF!</f>
        <v>#REF!</v>
      </c>
      <c r="B1" s="146"/>
      <c r="C1" s="146"/>
      <c r="D1" s="146"/>
      <c r="E1" s="146"/>
      <c r="F1" s="146"/>
      <c r="G1" s="142"/>
      <c r="H1" s="142"/>
      <c r="I1" s="142"/>
    </row>
    <row r="2" spans="1:9" s="143" customFormat="1" ht="18" customHeight="1">
      <c r="A2" s="146" t="e">
        <f>'FRIT FV 090.540 - FTA'!#REF!</f>
        <v>#REF!</v>
      </c>
      <c r="B2" s="146"/>
      <c r="C2" s="146"/>
      <c r="D2" s="144"/>
      <c r="E2" s="144"/>
      <c r="F2" s="144"/>
      <c r="G2" s="142"/>
      <c r="H2" s="142"/>
      <c r="I2" s="197" t="e">
        <f>'FRIT FV 090.540 - FTA'!#REF!</f>
        <v>#REF!</v>
      </c>
    </row>
    <row r="3" spans="1:9" ht="22.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</row>
    <row r="4" spans="1:9" ht="21.75" customHeight="1">
      <c r="D4" s="134" t="s">
        <v>33</v>
      </c>
      <c r="E4" s="67" t="s">
        <v>166</v>
      </c>
      <c r="G4" s="6" t="s">
        <v>114</v>
      </c>
      <c r="H4" s="137" t="s">
        <v>167</v>
      </c>
    </row>
    <row r="5" spans="1:9" s="8" customFormat="1" ht="21.75" customHeight="1">
      <c r="B5" s="8" t="e">
        <f>'FRIT FV 090.540 - FTA'!#REF!</f>
        <v>#REF!</v>
      </c>
      <c r="C5" s="8" t="e">
        <f>'FRIT FV 090.540 - FTA'!#REF!</f>
        <v>#REF!</v>
      </c>
      <c r="D5" s="8" t="e">
        <f>'FRIT FV 090.540 - FTA'!#REF!</f>
        <v>#REF!</v>
      </c>
      <c r="E5" s="8" t="e">
        <f>'FRIT FV 090.540 - FTA'!#REF!</f>
        <v>#REF!</v>
      </c>
      <c r="F5" s="8" t="e">
        <f>'FRIT FV 090.540 - FTA'!#REF!</f>
        <v>#REF!</v>
      </c>
      <c r="G5" s="8" t="e">
        <f>'FRIT FV 090.540 - FTA'!#REF!</f>
        <v>#REF!</v>
      </c>
      <c r="H5" s="8" t="e">
        <f>'FRIT FV 090.540 - FTA'!#REF!</f>
        <v>#REF!</v>
      </c>
      <c r="I5" s="8" t="e">
        <f>'FRIT FV 090.540 - FTA'!#REF!</f>
        <v>#REF!</v>
      </c>
    </row>
    <row r="6" spans="1:9" ht="22.5" customHeight="1">
      <c r="E6" s="10"/>
      <c r="F6" s="10"/>
      <c r="H6" s="12" t="s">
        <v>40</v>
      </c>
      <c r="I6" s="261" t="s">
        <v>149</v>
      </c>
    </row>
    <row r="7" spans="1:9" s="13" customFormat="1" ht="40.5" customHeight="1">
      <c r="A7" s="249" t="s">
        <v>2</v>
      </c>
      <c r="B7" s="250" t="s">
        <v>1</v>
      </c>
      <c r="C7" s="244" t="s">
        <v>24</v>
      </c>
      <c r="D7" s="193" t="s">
        <v>27</v>
      </c>
      <c r="E7" s="193" t="s">
        <v>59</v>
      </c>
      <c r="F7" s="251" t="s">
        <v>28</v>
      </c>
      <c r="G7" s="193" t="s">
        <v>14</v>
      </c>
      <c r="H7" s="251" t="s">
        <v>30</v>
      </c>
      <c r="I7" s="251" t="s">
        <v>101</v>
      </c>
    </row>
    <row r="8" spans="1:9" s="13" customFormat="1" ht="36" customHeight="1">
      <c r="A8" s="1514" t="s">
        <v>3</v>
      </c>
      <c r="B8" s="1515"/>
      <c r="C8" s="1516"/>
      <c r="D8" s="74">
        <f>G8</f>
        <v>0</v>
      </c>
      <c r="E8" s="43"/>
      <c r="F8" s="43"/>
      <c r="G8" s="92">
        <v>0</v>
      </c>
      <c r="H8" s="58"/>
      <c r="I8" s="58"/>
    </row>
    <row r="9" spans="1:9" s="13" customFormat="1" ht="20.25" customHeight="1">
      <c r="A9" s="185">
        <v>1</v>
      </c>
      <c r="B9" s="19">
        <f>'FRIT FV 090.540 - FTA'!B9</f>
        <v>46235</v>
      </c>
      <c r="C9" s="77" t="s">
        <v>199</v>
      </c>
      <c r="D9" s="3"/>
      <c r="E9" s="3"/>
      <c r="F9" s="41">
        <f>SUM($E$8:E9)/A9</f>
        <v>0</v>
      </c>
      <c r="G9" s="93">
        <f>G8+D9-E9</f>
        <v>0</v>
      </c>
      <c r="H9" s="82">
        <f>G9/695</f>
        <v>0</v>
      </c>
      <c r="I9" s="59"/>
    </row>
    <row r="10" spans="1:9" s="13" customFormat="1" ht="20.25" customHeight="1">
      <c r="A10" s="185">
        <v>2</v>
      </c>
      <c r="B10" s="19">
        <f>'FRIT FV 090.540 - FTA'!B10</f>
        <v>46236</v>
      </c>
      <c r="C10" s="77" t="s">
        <v>199</v>
      </c>
      <c r="D10" s="3"/>
      <c r="E10" s="3"/>
      <c r="F10" s="41">
        <f>SUM($E$8:E10)/A10</f>
        <v>0</v>
      </c>
      <c r="G10" s="93">
        <f t="shared" ref="G10:G39" si="0">G9+D10-E10</f>
        <v>0</v>
      </c>
      <c r="H10" s="82">
        <f t="shared" ref="H10:H39" si="1">G10/695</f>
        <v>0</v>
      </c>
      <c r="I10" s="59"/>
    </row>
    <row r="11" spans="1:9" s="13" customFormat="1" ht="20.25" customHeight="1">
      <c r="A11" s="185">
        <v>3</v>
      </c>
      <c r="B11" s="19">
        <f>'FRIT FV 090.540 - FTA'!B11</f>
        <v>46237</v>
      </c>
      <c r="C11" s="77" t="s">
        <v>199</v>
      </c>
      <c r="D11" s="3"/>
      <c r="E11" s="3"/>
      <c r="F11" s="41">
        <f>SUM($E$8:E11)/A11</f>
        <v>0</v>
      </c>
      <c r="G11" s="93">
        <f t="shared" si="0"/>
        <v>0</v>
      </c>
      <c r="H11" s="83">
        <f t="shared" si="1"/>
        <v>0</v>
      </c>
      <c r="I11" s="59"/>
    </row>
    <row r="12" spans="1:9" s="140" customFormat="1" ht="20.25" customHeight="1">
      <c r="A12" s="185">
        <v>4</v>
      </c>
      <c r="B12" s="19">
        <f>'FRIT FV 090.540 - FTA'!B12</f>
        <v>46238</v>
      </c>
      <c r="C12" s="77" t="s">
        <v>199</v>
      </c>
      <c r="D12" s="3"/>
      <c r="E12" s="3"/>
      <c r="F12" s="41">
        <f>SUM($E$8:E12)/A12</f>
        <v>0</v>
      </c>
      <c r="G12" s="93">
        <f t="shared" si="0"/>
        <v>0</v>
      </c>
      <c r="H12" s="83">
        <f t="shared" si="1"/>
        <v>0</v>
      </c>
      <c r="I12" s="59"/>
    </row>
    <row r="13" spans="1:9" s="140" customFormat="1" ht="20.25" customHeight="1">
      <c r="A13" s="264">
        <v>5</v>
      </c>
      <c r="B13" s="265">
        <f>'FRIT FV 090.540 - FTA'!B13</f>
        <v>46239</v>
      </c>
      <c r="C13" s="77" t="s">
        <v>199</v>
      </c>
      <c r="D13" s="3"/>
      <c r="E13" s="3"/>
      <c r="F13" s="41">
        <f>SUM($E$8:E13)/A13</f>
        <v>0</v>
      </c>
      <c r="G13" s="285">
        <f t="shared" si="0"/>
        <v>0</v>
      </c>
      <c r="H13" s="83">
        <f t="shared" si="1"/>
        <v>0</v>
      </c>
      <c r="I13" s="59"/>
    </row>
    <row r="14" spans="1:9" s="140" customFormat="1" ht="20.25" customHeight="1">
      <c r="A14" s="185">
        <v>6</v>
      </c>
      <c r="B14" s="19">
        <f>'FRIT FV 090.540 - FTA'!B14</f>
        <v>46240</v>
      </c>
      <c r="C14" s="77" t="s">
        <v>199</v>
      </c>
      <c r="D14" s="3"/>
      <c r="E14" s="3"/>
      <c r="F14" s="41">
        <f>SUM($E$8:E14)/A14</f>
        <v>0</v>
      </c>
      <c r="G14" s="93">
        <f t="shared" si="0"/>
        <v>0</v>
      </c>
      <c r="H14" s="83">
        <f t="shared" si="1"/>
        <v>0</v>
      </c>
      <c r="I14" s="59"/>
    </row>
    <row r="15" spans="1:9" s="140" customFormat="1" ht="20.25" customHeight="1">
      <c r="A15" s="185">
        <v>7</v>
      </c>
      <c r="B15" s="19">
        <f>'FRIT FV 090.540 - FTA'!B15</f>
        <v>46241</v>
      </c>
      <c r="C15" s="77" t="s">
        <v>199</v>
      </c>
      <c r="D15" s="3"/>
      <c r="E15" s="3"/>
      <c r="F15" s="41">
        <f>SUM($E$8:E15)/A15</f>
        <v>0</v>
      </c>
      <c r="G15" s="93">
        <f t="shared" si="0"/>
        <v>0</v>
      </c>
      <c r="H15" s="83">
        <f t="shared" si="1"/>
        <v>0</v>
      </c>
      <c r="I15" s="59"/>
    </row>
    <row r="16" spans="1:9" s="140" customFormat="1" ht="20.25" customHeight="1">
      <c r="A16" s="185">
        <v>8</v>
      </c>
      <c r="B16" s="19">
        <f>'FRIT FV 090.540 - FTA'!B16</f>
        <v>46242</v>
      </c>
      <c r="C16" s="77" t="s">
        <v>199</v>
      </c>
      <c r="D16" s="3"/>
      <c r="E16" s="3"/>
      <c r="F16" s="41">
        <f>SUM($E$8:E16)/A16</f>
        <v>0</v>
      </c>
      <c r="G16" s="93">
        <f>G15+D16-E16</f>
        <v>0</v>
      </c>
      <c r="H16" s="83">
        <f t="shared" si="1"/>
        <v>0</v>
      </c>
      <c r="I16" s="59"/>
    </row>
    <row r="17" spans="1:9" s="140" customFormat="1" ht="20.25" customHeight="1">
      <c r="A17" s="185">
        <v>9</v>
      </c>
      <c r="B17" s="19">
        <f>'FRIT FV 090.540 - FTA'!B17</f>
        <v>46243</v>
      </c>
      <c r="C17" s="77" t="s">
        <v>199</v>
      </c>
      <c r="D17" s="3"/>
      <c r="E17" s="3"/>
      <c r="F17" s="41">
        <f>SUM($E$8:E17)/A17</f>
        <v>0</v>
      </c>
      <c r="G17" s="93">
        <f t="shared" si="0"/>
        <v>0</v>
      </c>
      <c r="H17" s="83">
        <f t="shared" si="1"/>
        <v>0</v>
      </c>
      <c r="I17" s="59"/>
    </row>
    <row r="18" spans="1:9" s="140" customFormat="1" ht="20.25" customHeight="1">
      <c r="A18" s="264">
        <v>10</v>
      </c>
      <c r="B18" s="265">
        <f>'FRIT FV 090.540 - FTA'!B18</f>
        <v>46244</v>
      </c>
      <c r="C18" s="77" t="s">
        <v>199</v>
      </c>
      <c r="D18" s="3"/>
      <c r="E18" s="3"/>
      <c r="F18" s="41">
        <f>SUM($E$8:E18)/A18</f>
        <v>0</v>
      </c>
      <c r="G18" s="285">
        <f t="shared" si="0"/>
        <v>0</v>
      </c>
      <c r="H18" s="83">
        <f t="shared" si="1"/>
        <v>0</v>
      </c>
      <c r="I18" s="59"/>
    </row>
    <row r="19" spans="1:9" s="140" customFormat="1" ht="20.25" customHeight="1">
      <c r="A19" s="185">
        <v>11</v>
      </c>
      <c r="B19" s="19">
        <f>'FRIT FV 090.540 - FTA'!B19</f>
        <v>46245</v>
      </c>
      <c r="C19" s="77" t="s">
        <v>199</v>
      </c>
      <c r="D19" s="3"/>
      <c r="E19" s="3"/>
      <c r="F19" s="41">
        <f>SUM($E$8:E19)/A19</f>
        <v>0</v>
      </c>
      <c r="G19" s="93">
        <f t="shared" si="0"/>
        <v>0</v>
      </c>
      <c r="H19" s="83">
        <f t="shared" si="1"/>
        <v>0</v>
      </c>
      <c r="I19" s="59"/>
    </row>
    <row r="20" spans="1:9" s="140" customFormat="1" ht="20.25" customHeight="1">
      <c r="A20" s="185">
        <v>12</v>
      </c>
      <c r="B20" s="19">
        <f>'FRIT FV 090.540 - FTA'!B20</f>
        <v>46246</v>
      </c>
      <c r="C20" s="77" t="s">
        <v>199</v>
      </c>
      <c r="D20" s="3"/>
      <c r="E20" s="3"/>
      <c r="F20" s="41">
        <f>SUM($E$8:E20)/A20</f>
        <v>0</v>
      </c>
      <c r="G20" s="93">
        <f t="shared" si="0"/>
        <v>0</v>
      </c>
      <c r="H20" s="83">
        <f t="shared" si="1"/>
        <v>0</v>
      </c>
      <c r="I20" s="59"/>
    </row>
    <row r="21" spans="1:9" s="140" customFormat="1" ht="20.25" customHeight="1">
      <c r="A21" s="185">
        <v>13</v>
      </c>
      <c r="B21" s="19">
        <f>'FRIT FV 090.540 - FTA'!B21</f>
        <v>46247</v>
      </c>
      <c r="C21" s="77" t="s">
        <v>199</v>
      </c>
      <c r="D21" s="3"/>
      <c r="E21" s="3"/>
      <c r="F21" s="41">
        <f>SUM($E$8:E21)/A21</f>
        <v>0</v>
      </c>
      <c r="G21" s="93">
        <f t="shared" si="0"/>
        <v>0</v>
      </c>
      <c r="H21" s="83">
        <f t="shared" si="1"/>
        <v>0</v>
      </c>
      <c r="I21" s="59"/>
    </row>
    <row r="22" spans="1:9" s="140" customFormat="1" ht="20.25" customHeight="1">
      <c r="A22" s="185">
        <v>14</v>
      </c>
      <c r="B22" s="19">
        <f>'FRIT FV 090.540 - FTA'!B22</f>
        <v>46248</v>
      </c>
      <c r="C22" s="77" t="s">
        <v>199</v>
      </c>
      <c r="D22" s="3"/>
      <c r="E22" s="3"/>
      <c r="F22" s="41">
        <f>SUM($E$8:E22)/A22</f>
        <v>0</v>
      </c>
      <c r="G22" s="93">
        <f t="shared" si="0"/>
        <v>0</v>
      </c>
      <c r="H22" s="83">
        <f t="shared" si="1"/>
        <v>0</v>
      </c>
      <c r="I22" s="59"/>
    </row>
    <row r="23" spans="1:9" s="140" customFormat="1" ht="20.25" customHeight="1">
      <c r="A23" s="264">
        <v>15</v>
      </c>
      <c r="B23" s="265">
        <f>'FRIT FV 090.540 - FTA'!B23</f>
        <v>46249</v>
      </c>
      <c r="C23" s="77" t="s">
        <v>199</v>
      </c>
      <c r="D23" s="3"/>
      <c r="E23" s="3"/>
      <c r="F23" s="41">
        <f>SUM($E$8:E23)/A23</f>
        <v>0</v>
      </c>
      <c r="G23" s="285">
        <f t="shared" si="0"/>
        <v>0</v>
      </c>
      <c r="H23" s="83">
        <f t="shared" si="1"/>
        <v>0</v>
      </c>
      <c r="I23" s="59"/>
    </row>
    <row r="24" spans="1:9" s="140" customFormat="1" ht="20.25" customHeight="1">
      <c r="A24" s="185">
        <v>16</v>
      </c>
      <c r="B24" s="19">
        <f>'FRIT FV 090.540 - FTA'!B24</f>
        <v>46250</v>
      </c>
      <c r="C24" s="77" t="s">
        <v>199</v>
      </c>
      <c r="D24" s="3"/>
      <c r="E24" s="3"/>
      <c r="F24" s="41">
        <f>SUM($E$8:E24)/A24</f>
        <v>0</v>
      </c>
      <c r="G24" s="93">
        <f t="shared" si="0"/>
        <v>0</v>
      </c>
      <c r="H24" s="83">
        <f t="shared" si="1"/>
        <v>0</v>
      </c>
      <c r="I24" s="59"/>
    </row>
    <row r="25" spans="1:9" s="140" customFormat="1" ht="20.25" customHeight="1">
      <c r="A25" s="185">
        <v>17</v>
      </c>
      <c r="B25" s="19">
        <f>'FRIT FV 090.540 - FTA'!B25</f>
        <v>46251</v>
      </c>
      <c r="C25" s="77" t="s">
        <v>199</v>
      </c>
      <c r="D25" s="3"/>
      <c r="E25" s="3"/>
      <c r="F25" s="41">
        <f>SUM($E$8:E25)/A25</f>
        <v>0</v>
      </c>
      <c r="G25" s="93">
        <f t="shared" si="0"/>
        <v>0</v>
      </c>
      <c r="H25" s="83">
        <f t="shared" si="1"/>
        <v>0</v>
      </c>
      <c r="I25" s="59"/>
    </row>
    <row r="26" spans="1:9" s="140" customFormat="1" ht="20.25" customHeight="1">
      <c r="A26" s="185">
        <v>18</v>
      </c>
      <c r="B26" s="19">
        <f>'FRIT FV 090.540 - FTA'!B26</f>
        <v>46252</v>
      </c>
      <c r="C26" s="77" t="s">
        <v>199</v>
      </c>
      <c r="D26" s="3"/>
      <c r="E26" s="3"/>
      <c r="F26" s="41">
        <f>SUM($E$8:E26)/A26</f>
        <v>0</v>
      </c>
      <c r="G26" s="93">
        <f t="shared" si="0"/>
        <v>0</v>
      </c>
      <c r="H26" s="83">
        <f t="shared" si="1"/>
        <v>0</v>
      </c>
      <c r="I26" s="59"/>
    </row>
    <row r="27" spans="1:9" s="140" customFormat="1" ht="20.25" customHeight="1">
      <c r="A27" s="185">
        <v>19</v>
      </c>
      <c r="B27" s="19">
        <f>'FRIT FV 090.540 - FTA'!B27</f>
        <v>46253</v>
      </c>
      <c r="C27" s="77" t="s">
        <v>199</v>
      </c>
      <c r="D27" s="3"/>
      <c r="E27" s="3"/>
      <c r="F27" s="41">
        <f>SUM($E$8:E27)/A27</f>
        <v>0</v>
      </c>
      <c r="G27" s="93">
        <f t="shared" si="0"/>
        <v>0</v>
      </c>
      <c r="H27" s="83">
        <f t="shared" si="1"/>
        <v>0</v>
      </c>
      <c r="I27" s="59"/>
    </row>
    <row r="28" spans="1:9" s="140" customFormat="1" ht="20.25" customHeight="1">
      <c r="A28" s="264">
        <v>20</v>
      </c>
      <c r="B28" s="265">
        <f>'FRIT FV 090.540 - FTA'!B28</f>
        <v>46254</v>
      </c>
      <c r="C28" s="77" t="s">
        <v>199</v>
      </c>
      <c r="D28" s="3"/>
      <c r="E28" s="3"/>
      <c r="F28" s="41">
        <f>SUM($E$8:E28)/A28</f>
        <v>0</v>
      </c>
      <c r="G28" s="285">
        <f t="shared" si="0"/>
        <v>0</v>
      </c>
      <c r="H28" s="83">
        <f t="shared" si="1"/>
        <v>0</v>
      </c>
      <c r="I28" s="59"/>
    </row>
    <row r="29" spans="1:9" s="140" customFormat="1" ht="20.25" customHeight="1">
      <c r="A29" s="185">
        <v>21</v>
      </c>
      <c r="B29" s="19">
        <f>'FRIT FV 090.540 - FTA'!B29</f>
        <v>46255</v>
      </c>
      <c r="C29" s="77" t="s">
        <v>199</v>
      </c>
      <c r="D29" s="3"/>
      <c r="E29" s="3"/>
      <c r="F29" s="41">
        <f>SUM($E$8:E29)/A29</f>
        <v>0</v>
      </c>
      <c r="G29" s="93">
        <f t="shared" si="0"/>
        <v>0</v>
      </c>
      <c r="H29" s="83">
        <f t="shared" si="1"/>
        <v>0</v>
      </c>
      <c r="I29" s="59"/>
    </row>
    <row r="30" spans="1:9" s="140" customFormat="1" ht="20.25" customHeight="1">
      <c r="A30" s="185">
        <v>22</v>
      </c>
      <c r="B30" s="19">
        <f>'FRIT FV 090.540 - FTA'!B30</f>
        <v>46256</v>
      </c>
      <c r="C30" s="77" t="s">
        <v>199</v>
      </c>
      <c r="D30" s="3"/>
      <c r="E30" s="3"/>
      <c r="F30" s="41">
        <f>SUM($E$8:E30)/A30</f>
        <v>0</v>
      </c>
      <c r="G30" s="93">
        <f t="shared" si="0"/>
        <v>0</v>
      </c>
      <c r="H30" s="83">
        <f t="shared" si="1"/>
        <v>0</v>
      </c>
      <c r="I30" s="59"/>
    </row>
    <row r="31" spans="1:9" s="140" customFormat="1" ht="20.25" customHeight="1">
      <c r="A31" s="185">
        <v>23</v>
      </c>
      <c r="B31" s="19">
        <f>'FRIT FV 090.540 - FTA'!B31</f>
        <v>46257</v>
      </c>
      <c r="C31" s="77" t="s">
        <v>199</v>
      </c>
      <c r="D31" s="3"/>
      <c r="E31" s="3"/>
      <c r="F31" s="41">
        <f>SUM($E$8:E31)/A31</f>
        <v>0</v>
      </c>
      <c r="G31" s="93">
        <f t="shared" si="0"/>
        <v>0</v>
      </c>
      <c r="H31" s="83">
        <f t="shared" si="1"/>
        <v>0</v>
      </c>
      <c r="I31" s="59"/>
    </row>
    <row r="32" spans="1:9" s="140" customFormat="1" ht="20.25" customHeight="1">
      <c r="A32" s="185">
        <v>24</v>
      </c>
      <c r="B32" s="19">
        <f>'FRIT FV 090.540 - FTA'!B32</f>
        <v>46258</v>
      </c>
      <c r="C32" s="77" t="s">
        <v>199</v>
      </c>
      <c r="D32" s="3"/>
      <c r="E32" s="3"/>
      <c r="F32" s="41">
        <f>SUM($E$8:E32)/A32</f>
        <v>0</v>
      </c>
      <c r="G32" s="93">
        <f t="shared" si="0"/>
        <v>0</v>
      </c>
      <c r="H32" s="83">
        <f t="shared" si="1"/>
        <v>0</v>
      </c>
      <c r="I32" s="59"/>
    </row>
    <row r="33" spans="1:9" s="140" customFormat="1" ht="20.25" customHeight="1">
      <c r="A33" s="262">
        <v>25</v>
      </c>
      <c r="B33" s="263">
        <f>'FRIT FV 090.540 - FTA'!B33</f>
        <v>46259</v>
      </c>
      <c r="C33" s="77" t="s">
        <v>199</v>
      </c>
      <c r="D33" s="3"/>
      <c r="E33" s="3"/>
      <c r="F33" s="41">
        <f>SUM($E$8:E33)/A33</f>
        <v>0</v>
      </c>
      <c r="G33" s="286">
        <f t="shared" si="0"/>
        <v>0</v>
      </c>
      <c r="H33" s="83">
        <f t="shared" si="1"/>
        <v>0</v>
      </c>
      <c r="I33" s="59"/>
    </row>
    <row r="34" spans="1:9" s="140" customFormat="1" ht="20.25" customHeight="1">
      <c r="A34" s="185">
        <v>26</v>
      </c>
      <c r="B34" s="19">
        <f>'FRIT FV 090.540 - FTA'!B34</f>
        <v>46260</v>
      </c>
      <c r="C34" s="77" t="s">
        <v>199</v>
      </c>
      <c r="D34" s="3"/>
      <c r="E34" s="3"/>
      <c r="F34" s="41">
        <f>SUM($E$8:E34)/A34</f>
        <v>0</v>
      </c>
      <c r="G34" s="93">
        <f t="shared" si="0"/>
        <v>0</v>
      </c>
      <c r="H34" s="83">
        <f t="shared" si="1"/>
        <v>0</v>
      </c>
      <c r="I34" s="59"/>
    </row>
    <row r="35" spans="1:9" s="140" customFormat="1" ht="20.25" customHeight="1">
      <c r="A35" s="185">
        <v>27</v>
      </c>
      <c r="B35" s="19">
        <f>'FRIT FV 090.540 - FTA'!B35</f>
        <v>46261</v>
      </c>
      <c r="C35" s="77" t="s">
        <v>199</v>
      </c>
      <c r="D35" s="3"/>
      <c r="E35" s="3"/>
      <c r="F35" s="41">
        <f>SUM($E$8:E35)/A35</f>
        <v>0</v>
      </c>
      <c r="G35" s="93">
        <f t="shared" si="0"/>
        <v>0</v>
      </c>
      <c r="H35" s="83">
        <f t="shared" si="1"/>
        <v>0</v>
      </c>
      <c r="I35" s="59"/>
    </row>
    <row r="36" spans="1:9" s="140" customFormat="1" ht="20.25" customHeight="1">
      <c r="A36" s="185">
        <v>28</v>
      </c>
      <c r="B36" s="19">
        <f>'FRIT FV 090.540 - FTA'!B36</f>
        <v>46262</v>
      </c>
      <c r="C36" s="77" t="s">
        <v>199</v>
      </c>
      <c r="D36" s="3"/>
      <c r="E36" s="3"/>
      <c r="F36" s="41">
        <f>SUM($E$8:E36)/A36</f>
        <v>0</v>
      </c>
      <c r="G36" s="93">
        <f t="shared" si="0"/>
        <v>0</v>
      </c>
      <c r="H36" s="83">
        <f t="shared" si="1"/>
        <v>0</v>
      </c>
      <c r="I36" s="59"/>
    </row>
    <row r="37" spans="1:9" s="140" customFormat="1" ht="20.25" customHeight="1">
      <c r="A37" s="185">
        <v>29</v>
      </c>
      <c r="B37" s="19">
        <f>'FRIT FV 090.540 - FTA'!B37</f>
        <v>46263</v>
      </c>
      <c r="C37" s="77" t="s">
        <v>199</v>
      </c>
      <c r="D37" s="3"/>
      <c r="E37" s="3"/>
      <c r="F37" s="41">
        <f>SUM($E$8:E37)/A37</f>
        <v>0</v>
      </c>
      <c r="G37" s="93">
        <f t="shared" si="0"/>
        <v>0</v>
      </c>
      <c r="H37" s="83">
        <f t="shared" si="1"/>
        <v>0</v>
      </c>
      <c r="I37" s="59"/>
    </row>
    <row r="38" spans="1:9" s="140" customFormat="1" ht="20.25" customHeight="1">
      <c r="A38" s="264">
        <v>30</v>
      </c>
      <c r="B38" s="265">
        <f>'FRIT FV 090.540 - FTA'!B38</f>
        <v>46264</v>
      </c>
      <c r="C38" s="77" t="s">
        <v>199</v>
      </c>
      <c r="D38" s="3"/>
      <c r="E38" s="3"/>
      <c r="F38" s="41">
        <f>SUM($E$8:E38)/A38</f>
        <v>0</v>
      </c>
      <c r="G38" s="285">
        <f t="shared" si="0"/>
        <v>0</v>
      </c>
      <c r="H38" s="83">
        <f t="shared" si="1"/>
        <v>0</v>
      </c>
      <c r="I38" s="59"/>
    </row>
    <row r="39" spans="1:9" s="140" customFormat="1" ht="20.25" customHeight="1">
      <c r="A39" s="185">
        <v>31</v>
      </c>
      <c r="B39" s="19">
        <f>'FRIT FV 090.540 - FTA'!B39</f>
        <v>46265</v>
      </c>
      <c r="C39" s="77" t="s">
        <v>199</v>
      </c>
      <c r="D39" s="3"/>
      <c r="E39" s="3"/>
      <c r="F39" s="41">
        <f>SUM($E$8:E39)/A39</f>
        <v>0</v>
      </c>
      <c r="G39" s="93">
        <f t="shared" si="0"/>
        <v>0</v>
      </c>
      <c r="H39" s="83">
        <f t="shared" si="1"/>
        <v>0</v>
      </c>
      <c r="I39" s="59"/>
    </row>
    <row r="40" spans="1:9" s="32" customFormat="1" ht="20.25" customHeight="1">
      <c r="A40" s="1517" t="s">
        <v>29</v>
      </c>
      <c r="B40" s="1517"/>
      <c r="C40" s="1517"/>
      <c r="D40" s="60">
        <f>SUM(D9:D39)</f>
        <v>0</v>
      </c>
      <c r="E40" s="29">
        <f>SUM(E9:E39)</f>
        <v>0</v>
      </c>
      <c r="F40" s="29"/>
      <c r="G40" s="61">
        <f>G39</f>
        <v>0</v>
      </c>
      <c r="H40" s="59"/>
      <c r="I40" s="59"/>
    </row>
    <row r="41" spans="1:9" s="32" customFormat="1" ht="20.25" customHeight="1">
      <c r="A41" s="1517" t="s">
        <v>15</v>
      </c>
      <c r="B41" s="1517"/>
      <c r="C41" s="1517"/>
      <c r="D41" s="60">
        <f>D40+D8</f>
        <v>0</v>
      </c>
      <c r="E41" s="29">
        <f>E40+E8</f>
        <v>0</v>
      </c>
      <c r="F41" s="29"/>
      <c r="G41" s="29">
        <f>D41-E41</f>
        <v>0</v>
      </c>
      <c r="H41" s="59"/>
      <c r="I41" s="59"/>
    </row>
    <row r="42" spans="1:9" ht="23.25" customHeight="1">
      <c r="A42" s="5"/>
      <c r="B42" s="5"/>
      <c r="C42" s="5"/>
      <c r="D42" s="7"/>
      <c r="E42" s="24"/>
      <c r="F42" s="7"/>
      <c r="G42" s="7"/>
    </row>
    <row r="43" spans="1:9">
      <c r="D43" s="7"/>
      <c r="E43" s="24"/>
      <c r="H43" s="101" t="s">
        <v>13</v>
      </c>
    </row>
    <row r="44" spans="1:9">
      <c r="D44" s="7"/>
      <c r="H44" s="243"/>
    </row>
    <row r="45" spans="1:9">
      <c r="D45" s="7"/>
      <c r="H45" s="243"/>
    </row>
    <row r="46" spans="1:9">
      <c r="D46" s="7"/>
      <c r="H46" s="243"/>
    </row>
    <row r="47" spans="1:9">
      <c r="D47" s="7"/>
      <c r="H47" s="101" t="s">
        <v>98</v>
      </c>
    </row>
  </sheetData>
  <mergeCells count="4">
    <mergeCell ref="A3:I3"/>
    <mergeCell ref="A8:C8"/>
    <mergeCell ref="A40:C40"/>
    <mergeCell ref="A41:C41"/>
  </mergeCells>
  <conditionalFormatting sqref="H38">
    <cfRule type="cellIs" dxfId="12465" priority="1" operator="between">
      <formula>3</formula>
      <formula>6</formula>
    </cfRule>
    <cfRule type="cellIs" dxfId="12464" priority="2" operator="lessThan">
      <formula>3</formula>
    </cfRule>
    <cfRule type="cellIs" dxfId="12463" priority="3" operator="greaterThan">
      <formula>6</formula>
    </cfRule>
  </conditionalFormatting>
  <conditionalFormatting sqref="H9:H17 H19:H22 H24:H27 H29:H32 H34:H37 H39">
    <cfRule type="cellIs" dxfId="12462" priority="16" operator="between">
      <formula>3</formula>
      <formula>6</formula>
    </cfRule>
    <cfRule type="cellIs" dxfId="12461" priority="17" operator="lessThan">
      <formula>3</formula>
    </cfRule>
    <cfRule type="cellIs" dxfId="12460" priority="18" operator="greaterThan">
      <formula>6</formula>
    </cfRule>
  </conditionalFormatting>
  <conditionalFormatting sqref="H18">
    <cfRule type="cellIs" dxfId="12459" priority="13" operator="between">
      <formula>3</formula>
      <formula>6</formula>
    </cfRule>
    <cfRule type="cellIs" dxfId="12458" priority="14" operator="lessThan">
      <formula>3</formula>
    </cfRule>
    <cfRule type="cellIs" dxfId="12457" priority="15" operator="greaterThan">
      <formula>6</formula>
    </cfRule>
  </conditionalFormatting>
  <conditionalFormatting sqref="H23">
    <cfRule type="cellIs" dxfId="12456" priority="10" operator="between">
      <formula>3</formula>
      <formula>6</formula>
    </cfRule>
    <cfRule type="cellIs" dxfId="12455" priority="11" operator="lessThan">
      <formula>3</formula>
    </cfRule>
    <cfRule type="cellIs" dxfId="12454" priority="12" operator="greaterThan">
      <formula>6</formula>
    </cfRule>
  </conditionalFormatting>
  <conditionalFormatting sqref="H28">
    <cfRule type="cellIs" dxfId="12453" priority="7" operator="between">
      <formula>3</formula>
      <formula>6</formula>
    </cfRule>
    <cfRule type="cellIs" dxfId="12452" priority="8" operator="lessThan">
      <formula>3</formula>
    </cfRule>
    <cfRule type="cellIs" dxfId="12451" priority="9" operator="greaterThan">
      <formula>6</formula>
    </cfRule>
  </conditionalFormatting>
  <conditionalFormatting sqref="H33">
    <cfRule type="cellIs" dxfId="12450" priority="4" operator="between">
      <formula>3</formula>
      <formula>6</formula>
    </cfRule>
    <cfRule type="cellIs" dxfId="12449" priority="5" operator="lessThan">
      <formula>3</formula>
    </cfRule>
    <cfRule type="cellIs" dxfId="12448" priority="6" operator="greaterThan">
      <formula>6</formula>
    </cfRule>
  </conditionalFormatting>
  <hyperlinks>
    <hyperlink ref="I6" location="'Tong hop T12.2019'!A1" display="TH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47"/>
  <sheetViews>
    <sheetView zoomScale="70" zoomScaleNormal="70" workbookViewId="0">
      <pane ySplit="8" topLeftCell="A18" activePane="bottomLeft" state="frozen"/>
      <selection pane="bottomLeft" activeCell="E16" sqref="E1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9" style="42" customWidth="1"/>
    <col min="4" max="4" width="19.28515625" style="6" customWidth="1"/>
    <col min="5" max="5" width="17.85546875" style="6" customWidth="1"/>
    <col min="6" max="6" width="16.28515625" style="6" customWidth="1"/>
    <col min="7" max="7" width="13.42578125" style="6" customWidth="1"/>
    <col min="8" max="8" width="19.28515625" style="42" customWidth="1"/>
    <col min="9" max="9" width="14.5703125" style="42" customWidth="1"/>
    <col min="10" max="16384" width="9.28515625" style="42"/>
  </cols>
  <sheetData>
    <row r="1" spans="1:12" s="143" customFormat="1" ht="18" customHeight="1">
      <c r="A1" s="146" t="e">
        <f>'FRIT FV 090.540 - FTA'!#REF!</f>
        <v>#REF!</v>
      </c>
      <c r="B1" s="146"/>
      <c r="C1" s="146"/>
      <c r="D1" s="146"/>
      <c r="E1" s="146"/>
      <c r="F1" s="146"/>
      <c r="G1" s="142"/>
      <c r="H1" s="142"/>
      <c r="I1" s="142"/>
      <c r="J1" s="142"/>
      <c r="K1" s="142"/>
    </row>
    <row r="2" spans="1:12" s="143" customFormat="1" ht="18" customHeight="1">
      <c r="A2" s="146" t="e">
        <f>'FRIT FV 090.540 - FTA'!#REF!</f>
        <v>#REF!</v>
      </c>
      <c r="B2" s="146"/>
      <c r="C2" s="146"/>
      <c r="D2" s="144"/>
      <c r="E2" s="144"/>
      <c r="F2" s="144"/>
      <c r="G2" s="142"/>
      <c r="H2" s="142"/>
      <c r="I2" s="197" t="e">
        <f>'FRIT FV 090.540 - FTA'!#REF!</f>
        <v>#REF!</v>
      </c>
      <c r="J2" s="142"/>
      <c r="L2" s="142"/>
    </row>
    <row r="3" spans="1:12" ht="22.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</row>
    <row r="4" spans="1:12" ht="21.75" customHeight="1">
      <c r="D4" s="134" t="s">
        <v>33</v>
      </c>
      <c r="E4" s="67" t="s">
        <v>147</v>
      </c>
      <c r="G4" s="6" t="s">
        <v>114</v>
      </c>
      <c r="H4" s="137" t="s">
        <v>132</v>
      </c>
    </row>
    <row r="5" spans="1:12" s="8" customFormat="1" ht="21.75" customHeight="1">
      <c r="B5" s="8" t="e">
        <f>'FRIT FV 090.540 - FTA'!#REF!</f>
        <v>#REF!</v>
      </c>
      <c r="C5" s="8" t="e">
        <f>'FRIT FV 090.540 - FTA'!#REF!</f>
        <v>#REF!</v>
      </c>
      <c r="D5" s="8" t="e">
        <f>'FRIT FV 090.540 - FTA'!#REF!</f>
        <v>#REF!</v>
      </c>
      <c r="E5" s="8" t="e">
        <f>'FRIT FV 090.540 - FTA'!#REF!</f>
        <v>#REF!</v>
      </c>
      <c r="F5" s="8" t="e">
        <f>'FRIT FV 090.540 - FTA'!#REF!</f>
        <v>#REF!</v>
      </c>
      <c r="G5" s="8" t="e">
        <f>'FRIT FV 090.540 - FTA'!#REF!</f>
        <v>#REF!</v>
      </c>
      <c r="H5" s="8" t="e">
        <f>'FRIT FV 090.540 - FTA'!#REF!</f>
        <v>#REF!</v>
      </c>
      <c r="I5" s="8" t="e">
        <f>'FRIT FV 090.540 - FTA'!#REF!</f>
        <v>#REF!</v>
      </c>
    </row>
    <row r="6" spans="1:12" ht="22.5" customHeight="1">
      <c r="E6" s="10"/>
      <c r="F6" s="10"/>
      <c r="H6" s="12" t="s">
        <v>40</v>
      </c>
      <c r="I6" s="217" t="s">
        <v>149</v>
      </c>
    </row>
    <row r="7" spans="1:12" s="13" customFormat="1" ht="40.5" customHeight="1">
      <c r="A7" s="194" t="s">
        <v>2</v>
      </c>
      <c r="B7" s="195" t="s">
        <v>1</v>
      </c>
      <c r="C7" s="192" t="s">
        <v>24</v>
      </c>
      <c r="D7" s="193" t="s">
        <v>27</v>
      </c>
      <c r="E7" s="193" t="s">
        <v>59</v>
      </c>
      <c r="F7" s="196" t="s">
        <v>28</v>
      </c>
      <c r="G7" s="193" t="s">
        <v>14</v>
      </c>
      <c r="H7" s="196" t="s">
        <v>30</v>
      </c>
      <c r="I7" s="196" t="s">
        <v>101</v>
      </c>
    </row>
    <row r="8" spans="1:12" s="13" customFormat="1" ht="25.5" customHeight="1">
      <c r="A8" s="1514" t="s">
        <v>3</v>
      </c>
      <c r="B8" s="1515"/>
      <c r="C8" s="1516"/>
      <c r="D8" s="74">
        <f>G8</f>
        <v>0</v>
      </c>
      <c r="E8" s="43"/>
      <c r="F8" s="43"/>
      <c r="G8" s="92">
        <v>0</v>
      </c>
      <c r="H8" s="58"/>
      <c r="I8" s="58"/>
    </row>
    <row r="9" spans="1:12" s="13" customFormat="1" ht="20.25" customHeight="1">
      <c r="A9" s="185">
        <v>1</v>
      </c>
      <c r="B9" s="19">
        <f>'FRIT FV 090.540 - FTA'!B9</f>
        <v>46235</v>
      </c>
      <c r="C9" s="77" t="s">
        <v>103</v>
      </c>
      <c r="D9" s="3"/>
      <c r="E9" s="3"/>
      <c r="F9" s="41">
        <f>SUM($E$8:E9)/A9</f>
        <v>0</v>
      </c>
      <c r="G9" s="93">
        <f>G8+D9-E9</f>
        <v>0</v>
      </c>
      <c r="H9" s="82">
        <f>G9/695</f>
        <v>0</v>
      </c>
      <c r="I9" s="21"/>
    </row>
    <row r="10" spans="1:12" s="13" customFormat="1" ht="20.25" customHeight="1">
      <c r="A10" s="185">
        <v>2</v>
      </c>
      <c r="B10" s="19">
        <f>'FRIT FV 090.540 - FTA'!B10</f>
        <v>46236</v>
      </c>
      <c r="C10" s="77" t="s">
        <v>141</v>
      </c>
      <c r="D10" s="3"/>
      <c r="E10" s="3"/>
      <c r="F10" s="41">
        <f>SUM($E$8:E10)/A10</f>
        <v>0</v>
      </c>
      <c r="G10" s="93">
        <f t="shared" ref="G10:G39" si="0">G9+D10-E10</f>
        <v>0</v>
      </c>
      <c r="H10" s="82">
        <f t="shared" ref="H10:H39" si="1">G10/695</f>
        <v>0</v>
      </c>
      <c r="I10" s="21"/>
    </row>
    <row r="11" spans="1:12" s="13" customFormat="1" ht="20.25" customHeight="1">
      <c r="A11" s="185">
        <v>3</v>
      </c>
      <c r="B11" s="19">
        <f>'FRIT FV 090.540 - FTA'!B11</f>
        <v>46237</v>
      </c>
      <c r="C11" s="77" t="s">
        <v>141</v>
      </c>
      <c r="D11" s="3"/>
      <c r="E11" s="3"/>
      <c r="F11" s="41">
        <f>SUM($E$8:E11)/A11</f>
        <v>0</v>
      </c>
      <c r="G11" s="93">
        <f t="shared" si="0"/>
        <v>0</v>
      </c>
      <c r="H11" s="83">
        <f t="shared" si="1"/>
        <v>0</v>
      </c>
      <c r="I11" s="21"/>
    </row>
    <row r="12" spans="1:12" s="140" customFormat="1" ht="20.25" customHeight="1">
      <c r="A12" s="185">
        <v>4</v>
      </c>
      <c r="B12" s="19">
        <f>'FRIT FV 090.540 - FTA'!B12</f>
        <v>46238</v>
      </c>
      <c r="C12" s="77" t="s">
        <v>141</v>
      </c>
      <c r="D12" s="3"/>
      <c r="E12" s="3"/>
      <c r="F12" s="41">
        <f>SUM($E$8:E12)/A12</f>
        <v>0</v>
      </c>
      <c r="G12" s="93">
        <f t="shared" si="0"/>
        <v>0</v>
      </c>
      <c r="H12" s="83">
        <f t="shared" si="1"/>
        <v>0</v>
      </c>
      <c r="I12" s="21"/>
    </row>
    <row r="13" spans="1:12" s="140" customFormat="1" ht="20.25" customHeight="1">
      <c r="A13" s="185">
        <v>5</v>
      </c>
      <c r="B13" s="19">
        <f>'FRIT FV 090.540 - FTA'!B13</f>
        <v>46239</v>
      </c>
      <c r="C13" s="77" t="s">
        <v>141</v>
      </c>
      <c r="D13" s="218"/>
      <c r="E13" s="3"/>
      <c r="F13" s="41">
        <f>SUM($E$8:E13)/A13</f>
        <v>0</v>
      </c>
      <c r="G13" s="93">
        <f t="shared" si="0"/>
        <v>0</v>
      </c>
      <c r="H13" s="83">
        <f t="shared" si="1"/>
        <v>0</v>
      </c>
      <c r="I13" s="21"/>
    </row>
    <row r="14" spans="1:12" s="140" customFormat="1" ht="20.25" customHeight="1">
      <c r="A14" s="185">
        <v>6</v>
      </c>
      <c r="B14" s="19">
        <f>'FRIT FV 090.540 - FTA'!B14</f>
        <v>46240</v>
      </c>
      <c r="C14" s="77" t="s">
        <v>141</v>
      </c>
      <c r="D14" s="3"/>
      <c r="E14" s="3"/>
      <c r="F14" s="41">
        <f>SUM($E$8:E14)/A14</f>
        <v>0</v>
      </c>
      <c r="G14" s="93">
        <f t="shared" si="0"/>
        <v>0</v>
      </c>
      <c r="H14" s="83">
        <f t="shared" si="1"/>
        <v>0</v>
      </c>
      <c r="I14" s="21"/>
    </row>
    <row r="15" spans="1:12" s="140" customFormat="1" ht="20.25" customHeight="1">
      <c r="A15" s="185">
        <v>7</v>
      </c>
      <c r="B15" s="19">
        <f>'FRIT FV 090.540 - FTA'!B15</f>
        <v>46241</v>
      </c>
      <c r="C15" s="77" t="s">
        <v>141</v>
      </c>
      <c r="D15" s="3"/>
      <c r="E15" s="3"/>
      <c r="F15" s="41">
        <f>SUM($E$8:E15)/A15</f>
        <v>0</v>
      </c>
      <c r="G15" s="93">
        <f t="shared" si="0"/>
        <v>0</v>
      </c>
      <c r="H15" s="83">
        <f t="shared" si="1"/>
        <v>0</v>
      </c>
      <c r="I15" s="21"/>
    </row>
    <row r="16" spans="1:12" s="140" customFormat="1" ht="20.25" customHeight="1">
      <c r="A16" s="185">
        <v>8</v>
      </c>
      <c r="B16" s="19">
        <f>'FRIT FV 090.540 - FTA'!B16</f>
        <v>46242</v>
      </c>
      <c r="C16" s="77" t="s">
        <v>104</v>
      </c>
      <c r="D16" s="3"/>
      <c r="E16" s="3"/>
      <c r="F16" s="41">
        <f>SUM($E$8:E16)/A16</f>
        <v>0</v>
      </c>
      <c r="G16" s="93">
        <f>G15+D16-E16</f>
        <v>0</v>
      </c>
      <c r="H16" s="83">
        <f t="shared" si="1"/>
        <v>0</v>
      </c>
      <c r="I16" s="21"/>
    </row>
    <row r="17" spans="1:9" s="140" customFormat="1" ht="20.25" customHeight="1">
      <c r="A17" s="185">
        <v>9</v>
      </c>
      <c r="B17" s="19">
        <f>'FRIT FV 090.540 - FTA'!B17</f>
        <v>46243</v>
      </c>
      <c r="C17" s="77" t="s">
        <v>141</v>
      </c>
      <c r="D17" s="3"/>
      <c r="E17" s="3"/>
      <c r="F17" s="41">
        <f>SUM($E$8:E17)/A17</f>
        <v>0</v>
      </c>
      <c r="G17" s="93">
        <f t="shared" si="0"/>
        <v>0</v>
      </c>
      <c r="H17" s="83">
        <f t="shared" si="1"/>
        <v>0</v>
      </c>
      <c r="I17" s="21"/>
    </row>
    <row r="18" spans="1:9" s="140" customFormat="1" ht="20.25" customHeight="1">
      <c r="A18" s="185">
        <v>10</v>
      </c>
      <c r="B18" s="19">
        <f>'FRIT FV 090.540 - FTA'!B18</f>
        <v>46244</v>
      </c>
      <c r="C18" s="77" t="s">
        <v>141</v>
      </c>
      <c r="D18" s="3"/>
      <c r="E18" s="3"/>
      <c r="F18" s="41">
        <f>SUM($E$8:E18)/A18</f>
        <v>0</v>
      </c>
      <c r="G18" s="93">
        <f t="shared" si="0"/>
        <v>0</v>
      </c>
      <c r="H18" s="83">
        <f t="shared" si="1"/>
        <v>0</v>
      </c>
      <c r="I18" s="21"/>
    </row>
    <row r="19" spans="1:9" s="140" customFormat="1" ht="20.25" customHeight="1">
      <c r="A19" s="185">
        <v>11</v>
      </c>
      <c r="B19" s="19">
        <f>'FRIT FV 090.540 - FTA'!B19</f>
        <v>46245</v>
      </c>
      <c r="C19" s="77" t="s">
        <v>141</v>
      </c>
      <c r="D19" s="3"/>
      <c r="E19" s="3"/>
      <c r="F19" s="41">
        <f>SUM($E$8:E19)/A19</f>
        <v>0</v>
      </c>
      <c r="G19" s="93">
        <f t="shared" si="0"/>
        <v>0</v>
      </c>
      <c r="H19" s="83">
        <f t="shared" si="1"/>
        <v>0</v>
      </c>
      <c r="I19" s="21"/>
    </row>
    <row r="20" spans="1:9" s="140" customFormat="1" ht="20.25" customHeight="1">
      <c r="A20" s="185">
        <v>12</v>
      </c>
      <c r="B20" s="19">
        <f>'FRIT FV 090.540 - FTA'!B20</f>
        <v>46246</v>
      </c>
      <c r="C20" s="77" t="s">
        <v>141</v>
      </c>
      <c r="D20" s="3"/>
      <c r="E20" s="3"/>
      <c r="F20" s="41">
        <f>SUM($E$8:E20)/A20</f>
        <v>0</v>
      </c>
      <c r="G20" s="93">
        <f t="shared" si="0"/>
        <v>0</v>
      </c>
      <c r="H20" s="83">
        <f t="shared" si="1"/>
        <v>0</v>
      </c>
      <c r="I20" s="21"/>
    </row>
    <row r="21" spans="1:9" s="140" customFormat="1" ht="20.25" customHeight="1">
      <c r="A21" s="185">
        <v>13</v>
      </c>
      <c r="B21" s="19">
        <f>'FRIT FV 090.540 - FTA'!B21</f>
        <v>46247</v>
      </c>
      <c r="C21" s="77" t="s">
        <v>141</v>
      </c>
      <c r="D21" s="3"/>
      <c r="E21" s="3"/>
      <c r="F21" s="41">
        <f>SUM($E$8:E21)/A21</f>
        <v>0</v>
      </c>
      <c r="G21" s="93">
        <f t="shared" si="0"/>
        <v>0</v>
      </c>
      <c r="H21" s="83">
        <f t="shared" si="1"/>
        <v>0</v>
      </c>
      <c r="I21" s="21"/>
    </row>
    <row r="22" spans="1:9" s="140" customFormat="1" ht="20.25" customHeight="1">
      <c r="A22" s="185">
        <v>14</v>
      </c>
      <c r="B22" s="19">
        <f>'FRIT FV 090.540 - FTA'!B22</f>
        <v>46248</v>
      </c>
      <c r="C22" s="77" t="s">
        <v>141</v>
      </c>
      <c r="D22" s="3"/>
      <c r="E22" s="3"/>
      <c r="F22" s="41">
        <f>SUM($E$8:E22)/A22</f>
        <v>0</v>
      </c>
      <c r="G22" s="93">
        <f t="shared" si="0"/>
        <v>0</v>
      </c>
      <c r="H22" s="83">
        <f t="shared" si="1"/>
        <v>0</v>
      </c>
      <c r="I22" s="21"/>
    </row>
    <row r="23" spans="1:9" s="140" customFormat="1" ht="20.25" customHeight="1">
      <c r="A23" s="185">
        <v>15</v>
      </c>
      <c r="B23" s="19">
        <f>'FRIT FV 090.540 - FTA'!B23</f>
        <v>46249</v>
      </c>
      <c r="C23" s="77" t="s">
        <v>141</v>
      </c>
      <c r="D23" s="3"/>
      <c r="E23" s="3"/>
      <c r="F23" s="41">
        <f>SUM($E$8:E23)/A23</f>
        <v>0</v>
      </c>
      <c r="G23" s="93">
        <f t="shared" si="0"/>
        <v>0</v>
      </c>
      <c r="H23" s="83">
        <f t="shared" si="1"/>
        <v>0</v>
      </c>
      <c r="I23" s="21"/>
    </row>
    <row r="24" spans="1:9" s="140" customFormat="1" ht="20.25" customHeight="1">
      <c r="A24" s="185">
        <v>16</v>
      </c>
      <c r="B24" s="19">
        <f>'FRIT FV 090.540 - FTA'!B24</f>
        <v>46250</v>
      </c>
      <c r="C24" s="77" t="s">
        <v>141</v>
      </c>
      <c r="D24" s="3"/>
      <c r="E24" s="3"/>
      <c r="F24" s="41">
        <f>SUM($E$8:E24)/A24</f>
        <v>0</v>
      </c>
      <c r="G24" s="93">
        <f t="shared" si="0"/>
        <v>0</v>
      </c>
      <c r="H24" s="83">
        <f t="shared" si="1"/>
        <v>0</v>
      </c>
      <c r="I24" s="21"/>
    </row>
    <row r="25" spans="1:9" s="140" customFormat="1" ht="20.25" customHeight="1">
      <c r="A25" s="185">
        <v>17</v>
      </c>
      <c r="B25" s="19">
        <f>'FRIT FV 090.540 - FTA'!B25</f>
        <v>46251</v>
      </c>
      <c r="C25" s="77" t="s">
        <v>141</v>
      </c>
      <c r="D25" s="3"/>
      <c r="E25" s="3"/>
      <c r="F25" s="41">
        <f>SUM($E$8:E25)/A25</f>
        <v>0</v>
      </c>
      <c r="G25" s="93">
        <f t="shared" si="0"/>
        <v>0</v>
      </c>
      <c r="H25" s="83">
        <f t="shared" si="1"/>
        <v>0</v>
      </c>
      <c r="I25" s="21"/>
    </row>
    <row r="26" spans="1:9" s="140" customFormat="1" ht="20.25" customHeight="1">
      <c r="A26" s="185">
        <v>18</v>
      </c>
      <c r="B26" s="19">
        <f>'FRIT FV 090.540 - FTA'!B26</f>
        <v>46252</v>
      </c>
      <c r="C26" s="77" t="s">
        <v>141</v>
      </c>
      <c r="D26" s="3"/>
      <c r="E26" s="3"/>
      <c r="F26" s="41">
        <f>SUM($E$8:E26)/A26</f>
        <v>0</v>
      </c>
      <c r="G26" s="93">
        <f t="shared" si="0"/>
        <v>0</v>
      </c>
      <c r="H26" s="83">
        <f t="shared" si="1"/>
        <v>0</v>
      </c>
      <c r="I26" s="21"/>
    </row>
    <row r="27" spans="1:9" s="140" customFormat="1" ht="20.25" customHeight="1">
      <c r="A27" s="185">
        <v>19</v>
      </c>
      <c r="B27" s="19">
        <f>'FRIT FV 090.540 - FTA'!B27</f>
        <v>46253</v>
      </c>
      <c r="C27" s="77" t="s">
        <v>141</v>
      </c>
      <c r="D27" s="3"/>
      <c r="E27" s="3"/>
      <c r="F27" s="41">
        <f>SUM($E$8:E27)/A27</f>
        <v>0</v>
      </c>
      <c r="G27" s="93">
        <f t="shared" si="0"/>
        <v>0</v>
      </c>
      <c r="H27" s="83">
        <f t="shared" si="1"/>
        <v>0</v>
      </c>
      <c r="I27" s="21"/>
    </row>
    <row r="28" spans="1:9" s="140" customFormat="1" ht="20.25" customHeight="1">
      <c r="A28" s="185">
        <v>20</v>
      </c>
      <c r="B28" s="19">
        <f>'FRIT FV 090.540 - FTA'!B28</f>
        <v>46254</v>
      </c>
      <c r="C28" s="77" t="s">
        <v>141</v>
      </c>
      <c r="D28" s="3"/>
      <c r="E28" s="3"/>
      <c r="F28" s="41">
        <f>SUM($E$8:E28)/A28</f>
        <v>0</v>
      </c>
      <c r="G28" s="93">
        <f t="shared" si="0"/>
        <v>0</v>
      </c>
      <c r="H28" s="83">
        <f t="shared" si="1"/>
        <v>0</v>
      </c>
      <c r="I28" s="21"/>
    </row>
    <row r="29" spans="1:9" s="140" customFormat="1" ht="20.25" customHeight="1">
      <c r="A29" s="185">
        <v>21</v>
      </c>
      <c r="B29" s="19">
        <f>'FRIT FV 090.540 - FTA'!B29</f>
        <v>46255</v>
      </c>
      <c r="C29" s="77" t="s">
        <v>141</v>
      </c>
      <c r="D29" s="3"/>
      <c r="E29" s="3"/>
      <c r="F29" s="41">
        <f>SUM($E$8:E29)/A29</f>
        <v>0</v>
      </c>
      <c r="G29" s="93">
        <f t="shared" si="0"/>
        <v>0</v>
      </c>
      <c r="H29" s="83">
        <f t="shared" si="1"/>
        <v>0</v>
      </c>
      <c r="I29" s="21"/>
    </row>
    <row r="30" spans="1:9" s="140" customFormat="1" ht="20.25" customHeight="1">
      <c r="A30" s="185">
        <v>22</v>
      </c>
      <c r="B30" s="19">
        <f>'FRIT FV 090.540 - FTA'!B30</f>
        <v>46256</v>
      </c>
      <c r="C30" s="77" t="s">
        <v>141</v>
      </c>
      <c r="D30" s="3"/>
      <c r="E30" s="3"/>
      <c r="F30" s="41">
        <f>SUM($E$8:E30)/A30</f>
        <v>0</v>
      </c>
      <c r="G30" s="93">
        <f t="shared" si="0"/>
        <v>0</v>
      </c>
      <c r="H30" s="83">
        <f t="shared" si="1"/>
        <v>0</v>
      </c>
      <c r="I30" s="21"/>
    </row>
    <row r="31" spans="1:9" s="140" customFormat="1" ht="20.25" customHeight="1">
      <c r="A31" s="185">
        <v>23</v>
      </c>
      <c r="B31" s="19">
        <f>'FRIT FV 090.540 - FTA'!B31</f>
        <v>46257</v>
      </c>
      <c r="C31" s="77" t="s">
        <v>141</v>
      </c>
      <c r="D31" s="3"/>
      <c r="E31" s="3"/>
      <c r="F31" s="41">
        <f>SUM($E$8:E31)/A31</f>
        <v>0</v>
      </c>
      <c r="G31" s="93">
        <f t="shared" si="0"/>
        <v>0</v>
      </c>
      <c r="H31" s="83">
        <f t="shared" si="1"/>
        <v>0</v>
      </c>
      <c r="I31" s="21"/>
    </row>
    <row r="32" spans="1:9" s="140" customFormat="1" ht="20.25" customHeight="1">
      <c r="A32" s="185">
        <v>24</v>
      </c>
      <c r="B32" s="19">
        <f>'FRIT FV 090.540 - FTA'!B32</f>
        <v>46258</v>
      </c>
      <c r="C32" s="77" t="s">
        <v>141</v>
      </c>
      <c r="D32" s="3"/>
      <c r="E32" s="3"/>
      <c r="F32" s="41">
        <f>SUM($E$8:E32)/A32</f>
        <v>0</v>
      </c>
      <c r="G32" s="93">
        <f t="shared" si="0"/>
        <v>0</v>
      </c>
      <c r="H32" s="83">
        <f t="shared" si="1"/>
        <v>0</v>
      </c>
      <c r="I32" s="21"/>
    </row>
    <row r="33" spans="1:9" s="140" customFormat="1" ht="20.25" customHeight="1">
      <c r="A33" s="185">
        <v>25</v>
      </c>
      <c r="B33" s="19">
        <f>'FRIT FV 090.540 - FTA'!B33</f>
        <v>46259</v>
      </c>
      <c r="C33" s="77" t="s">
        <v>141</v>
      </c>
      <c r="D33" s="3"/>
      <c r="E33" s="3"/>
      <c r="F33" s="41">
        <f>SUM($E$8:E33)/A33</f>
        <v>0</v>
      </c>
      <c r="G33" s="93">
        <f t="shared" si="0"/>
        <v>0</v>
      </c>
      <c r="H33" s="83">
        <f t="shared" si="1"/>
        <v>0</v>
      </c>
      <c r="I33" s="21"/>
    </row>
    <row r="34" spans="1:9" s="140" customFormat="1" ht="20.25" customHeight="1">
      <c r="A34" s="185">
        <v>26</v>
      </c>
      <c r="B34" s="19">
        <f>'FRIT FV 090.540 - FTA'!B34</f>
        <v>46260</v>
      </c>
      <c r="C34" s="77" t="s">
        <v>141</v>
      </c>
      <c r="D34" s="3"/>
      <c r="E34" s="3"/>
      <c r="F34" s="41">
        <f>SUM($E$8:E34)/A34</f>
        <v>0</v>
      </c>
      <c r="G34" s="93">
        <f t="shared" si="0"/>
        <v>0</v>
      </c>
      <c r="H34" s="83">
        <f t="shared" si="1"/>
        <v>0</v>
      </c>
      <c r="I34" s="21"/>
    </row>
    <row r="35" spans="1:9" s="140" customFormat="1" ht="20.25" customHeight="1">
      <c r="A35" s="185">
        <v>27</v>
      </c>
      <c r="B35" s="19">
        <f>'FRIT FV 090.540 - FTA'!B35</f>
        <v>46261</v>
      </c>
      <c r="C35" s="77" t="s">
        <v>141</v>
      </c>
      <c r="D35" s="3"/>
      <c r="E35" s="3"/>
      <c r="F35" s="41">
        <f>SUM($E$8:E35)/A35</f>
        <v>0</v>
      </c>
      <c r="G35" s="93">
        <f t="shared" si="0"/>
        <v>0</v>
      </c>
      <c r="H35" s="83">
        <f t="shared" si="1"/>
        <v>0</v>
      </c>
      <c r="I35" s="21"/>
    </row>
    <row r="36" spans="1:9" s="140" customFormat="1" ht="20.25" customHeight="1">
      <c r="A36" s="185">
        <v>28</v>
      </c>
      <c r="B36" s="19">
        <f>'FRIT FV 090.540 - FTA'!B36</f>
        <v>46262</v>
      </c>
      <c r="C36" s="77" t="s">
        <v>141</v>
      </c>
      <c r="D36" s="3"/>
      <c r="E36" s="3"/>
      <c r="F36" s="41">
        <f>SUM($E$8:E36)/A36</f>
        <v>0</v>
      </c>
      <c r="G36" s="93">
        <f t="shared" si="0"/>
        <v>0</v>
      </c>
      <c r="H36" s="83">
        <f t="shared" si="1"/>
        <v>0</v>
      </c>
      <c r="I36" s="21"/>
    </row>
    <row r="37" spans="1:9" s="140" customFormat="1" ht="20.25" customHeight="1">
      <c r="A37" s="185">
        <v>29</v>
      </c>
      <c r="B37" s="19">
        <f>'FRIT FV 090.540 - FTA'!B37</f>
        <v>46263</v>
      </c>
      <c r="C37" s="77" t="s">
        <v>141</v>
      </c>
      <c r="D37" s="3"/>
      <c r="E37" s="3"/>
      <c r="F37" s="41">
        <f>SUM($E$8:E37)/A37</f>
        <v>0</v>
      </c>
      <c r="G37" s="93">
        <f t="shared" si="0"/>
        <v>0</v>
      </c>
      <c r="H37" s="83">
        <f t="shared" si="1"/>
        <v>0</v>
      </c>
      <c r="I37" s="21"/>
    </row>
    <row r="38" spans="1:9" s="140" customFormat="1" ht="20.25" customHeight="1">
      <c r="A38" s="185">
        <v>30</v>
      </c>
      <c r="B38" s="19">
        <f>'FRIT FV 090.540 - FTA'!B38</f>
        <v>46264</v>
      </c>
      <c r="C38" s="77" t="s">
        <v>141</v>
      </c>
      <c r="D38" s="3"/>
      <c r="E38" s="3"/>
      <c r="F38" s="41">
        <f>SUM($E$8:E38)/A38</f>
        <v>0</v>
      </c>
      <c r="G38" s="93">
        <f t="shared" si="0"/>
        <v>0</v>
      </c>
      <c r="H38" s="83">
        <f t="shared" si="1"/>
        <v>0</v>
      </c>
      <c r="I38" s="21"/>
    </row>
    <row r="39" spans="1:9" s="140" customFormat="1" ht="20.25" customHeight="1">
      <c r="A39" s="185">
        <v>31</v>
      </c>
      <c r="B39" s="19">
        <f>'FRIT FV 090.540 - FTA'!B39</f>
        <v>46265</v>
      </c>
      <c r="C39" s="77" t="s">
        <v>141</v>
      </c>
      <c r="D39" s="3"/>
      <c r="E39" s="3"/>
      <c r="F39" s="41">
        <f>SUM($E$8:E39)/A39</f>
        <v>0</v>
      </c>
      <c r="G39" s="93">
        <f t="shared" si="0"/>
        <v>0</v>
      </c>
      <c r="H39" s="83">
        <f t="shared" si="1"/>
        <v>0</v>
      </c>
      <c r="I39" s="21"/>
    </row>
    <row r="40" spans="1:9" s="32" customFormat="1" ht="20.25" customHeight="1">
      <c r="A40" s="1517" t="s">
        <v>29</v>
      </c>
      <c r="B40" s="1517"/>
      <c r="C40" s="1517"/>
      <c r="D40" s="60">
        <f>SUM(D9:D39)</f>
        <v>0</v>
      </c>
      <c r="E40" s="29">
        <f>SUM(E9:E39)</f>
        <v>0</v>
      </c>
      <c r="F40" s="29"/>
      <c r="G40" s="61">
        <f>G39</f>
        <v>0</v>
      </c>
      <c r="H40" s="59"/>
      <c r="I40" s="59"/>
    </row>
    <row r="41" spans="1:9" s="32" customFormat="1" ht="20.25" customHeight="1">
      <c r="A41" s="1517" t="s">
        <v>15</v>
      </c>
      <c r="B41" s="1517"/>
      <c r="C41" s="1517"/>
      <c r="D41" s="60">
        <f>D40+D8</f>
        <v>0</v>
      </c>
      <c r="E41" s="29">
        <f>E40+E8</f>
        <v>0</v>
      </c>
      <c r="F41" s="29"/>
      <c r="G41" s="29">
        <f>D41-E41</f>
        <v>0</v>
      </c>
      <c r="H41" s="59"/>
      <c r="I41" s="59"/>
    </row>
    <row r="42" spans="1:9" ht="23.25" customHeight="1">
      <c r="A42" s="5"/>
      <c r="B42" s="5"/>
      <c r="C42" s="5"/>
      <c r="D42" s="7"/>
      <c r="E42" s="24"/>
      <c r="F42" s="7"/>
      <c r="G42" s="7"/>
    </row>
    <row r="43" spans="1:9">
      <c r="D43" s="7"/>
      <c r="E43" s="24"/>
      <c r="H43" s="101" t="s">
        <v>13</v>
      </c>
    </row>
    <row r="44" spans="1:9">
      <c r="D44" s="7"/>
      <c r="H44" s="102"/>
    </row>
    <row r="45" spans="1:9">
      <c r="D45" s="7"/>
      <c r="H45" s="102"/>
    </row>
    <row r="46" spans="1:9">
      <c r="D46" s="7"/>
      <c r="H46" s="102"/>
    </row>
    <row r="47" spans="1:9">
      <c r="D47" s="7"/>
      <c r="H47" s="101" t="s">
        <v>98</v>
      </c>
    </row>
  </sheetData>
  <mergeCells count="4">
    <mergeCell ref="A8:C8"/>
    <mergeCell ref="A40:C40"/>
    <mergeCell ref="A41:C41"/>
    <mergeCell ref="A3:I3"/>
  </mergeCells>
  <conditionalFormatting sqref="H9:H39">
    <cfRule type="cellIs" dxfId="12447" priority="1" operator="between">
      <formula>3</formula>
      <formula>6</formula>
    </cfRule>
    <cfRule type="cellIs" dxfId="12446" priority="2" operator="lessThan">
      <formula>3</formula>
    </cfRule>
    <cfRule type="cellIs" dxfId="12445" priority="3" operator="greaterThan">
      <formula>6</formula>
    </cfRule>
  </conditionalFormatting>
  <hyperlinks>
    <hyperlink ref="I6" location="'Tong hop T11.2019'!A1" display="TH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47"/>
  <sheetViews>
    <sheetView zoomScale="70" zoomScaleNormal="70" workbookViewId="0">
      <pane ySplit="8" topLeftCell="A9" activePane="bottomLeft" state="frozen"/>
      <selection pane="bottomLeft" activeCell="D9" sqref="D9:E9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9" style="42" customWidth="1"/>
    <col min="4" max="4" width="19.28515625" style="6" customWidth="1"/>
    <col min="5" max="5" width="17.85546875" style="6" customWidth="1"/>
    <col min="6" max="6" width="16.28515625" style="6" customWidth="1"/>
    <col min="7" max="7" width="13.42578125" style="6" customWidth="1"/>
    <col min="8" max="8" width="19.28515625" style="42" customWidth="1"/>
    <col min="9" max="9" width="14.5703125" style="42" customWidth="1"/>
    <col min="10" max="16384" width="9.28515625" style="42"/>
  </cols>
  <sheetData>
    <row r="1" spans="1:12" s="143" customFormat="1" ht="18" customHeight="1">
      <c r="A1" s="146" t="e">
        <f>'FRIT FV 090.540 - FTA'!#REF!</f>
        <v>#REF!</v>
      </c>
      <c r="B1" s="146"/>
      <c r="C1" s="146"/>
      <c r="D1" s="146"/>
      <c r="E1" s="146"/>
      <c r="F1" s="146"/>
      <c r="G1" s="142"/>
      <c r="H1" s="142"/>
      <c r="I1" s="142"/>
      <c r="J1" s="142"/>
      <c r="K1" s="142"/>
    </row>
    <row r="2" spans="1:12" s="143" customFormat="1" ht="18" customHeight="1">
      <c r="A2" s="146" t="e">
        <f>'FRIT FV 090.540 - FTA'!#REF!</f>
        <v>#REF!</v>
      </c>
      <c r="B2" s="146"/>
      <c r="C2" s="146"/>
      <c r="D2" s="144"/>
      <c r="E2" s="144"/>
      <c r="F2" s="144"/>
      <c r="G2" s="142"/>
      <c r="H2" s="142"/>
      <c r="I2" s="197" t="e">
        <f>'FRIT FV 090.540 - FTA'!#REF!</f>
        <v>#REF!</v>
      </c>
      <c r="J2" s="142"/>
      <c r="L2" s="142"/>
    </row>
    <row r="3" spans="1:12" ht="22.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</row>
    <row r="4" spans="1:12" ht="21.75" customHeight="1">
      <c r="D4" s="134" t="s">
        <v>33</v>
      </c>
      <c r="E4" s="67" t="s">
        <v>139</v>
      </c>
      <c r="G4" s="6" t="s">
        <v>114</v>
      </c>
      <c r="H4" s="137" t="s">
        <v>140</v>
      </c>
    </row>
    <row r="5" spans="1:12" s="8" customFormat="1" ht="21.75" customHeight="1">
      <c r="B5" s="8" t="e">
        <f>'FRIT FV 090.540 - FTA'!#REF!</f>
        <v>#REF!</v>
      </c>
      <c r="C5" s="8" t="e">
        <f>'FRIT FV 090.540 - FTA'!#REF!</f>
        <v>#REF!</v>
      </c>
      <c r="D5" s="8" t="e">
        <f>'FRIT FV 090.540 - FTA'!#REF!</f>
        <v>#REF!</v>
      </c>
      <c r="E5" s="8" t="e">
        <f>'FRIT FV 090.540 - FTA'!#REF!</f>
        <v>#REF!</v>
      </c>
      <c r="F5" s="8" t="e">
        <f>'FRIT FV 090.540 - FTA'!#REF!</f>
        <v>#REF!</v>
      </c>
      <c r="G5" s="8" t="e">
        <f>'FRIT FV 090.540 - FTA'!#REF!</f>
        <v>#REF!</v>
      </c>
      <c r="H5" s="8" t="e">
        <f>'FRIT FV 090.540 - FTA'!#REF!</f>
        <v>#REF!</v>
      </c>
      <c r="I5" s="8" t="e">
        <f>'FRIT FV 090.540 - FTA'!#REF!</f>
        <v>#REF!</v>
      </c>
    </row>
    <row r="6" spans="1:12" ht="22.5" customHeight="1">
      <c r="E6" s="10"/>
      <c r="F6" s="10"/>
      <c r="H6" s="12" t="s">
        <v>40</v>
      </c>
      <c r="I6" s="135" t="s">
        <v>149</v>
      </c>
    </row>
    <row r="7" spans="1:12" s="13" customFormat="1" ht="40.5" customHeight="1">
      <c r="A7" s="194" t="s">
        <v>2</v>
      </c>
      <c r="B7" s="195" t="s">
        <v>1</v>
      </c>
      <c r="C7" s="192" t="s">
        <v>24</v>
      </c>
      <c r="D7" s="193" t="s">
        <v>27</v>
      </c>
      <c r="E7" s="193" t="s">
        <v>31</v>
      </c>
      <c r="F7" s="196" t="s">
        <v>28</v>
      </c>
      <c r="G7" s="193" t="s">
        <v>14</v>
      </c>
      <c r="H7" s="196" t="s">
        <v>30</v>
      </c>
      <c r="I7" s="196" t="s">
        <v>101</v>
      </c>
    </row>
    <row r="8" spans="1:12" s="13" customFormat="1" ht="25.5" customHeight="1">
      <c r="A8" s="1514" t="s">
        <v>3</v>
      </c>
      <c r="B8" s="1515"/>
      <c r="C8" s="1516"/>
      <c r="D8" s="74">
        <f>G8</f>
        <v>0</v>
      </c>
      <c r="E8" s="43"/>
      <c r="F8" s="43"/>
      <c r="G8" s="92">
        <v>0</v>
      </c>
      <c r="H8" s="58"/>
      <c r="I8" s="58"/>
    </row>
    <row r="9" spans="1:12" s="13" customFormat="1" ht="20.25" customHeight="1">
      <c r="A9" s="185">
        <v>1</v>
      </c>
      <c r="B9" s="19">
        <f>'FRIT FV 090.540 - FTA'!B9</f>
        <v>46235</v>
      </c>
      <c r="C9" s="77" t="s">
        <v>141</v>
      </c>
      <c r="D9" s="3"/>
      <c r="E9" s="3"/>
      <c r="F9" s="41">
        <f>SUM($E$8:E9)/A9</f>
        <v>0</v>
      </c>
      <c r="G9" s="93">
        <f>G8+D9-E9</f>
        <v>0</v>
      </c>
      <c r="H9" s="82" t="e">
        <f>G9/F9</f>
        <v>#DIV/0!</v>
      </c>
      <c r="I9" s="21"/>
    </row>
    <row r="10" spans="1:12" s="13" customFormat="1" ht="20.25" customHeight="1">
      <c r="A10" s="185">
        <v>2</v>
      </c>
      <c r="B10" s="19">
        <f>'FRIT FV 090.540 - FTA'!B10</f>
        <v>46236</v>
      </c>
      <c r="C10" s="77" t="s">
        <v>141</v>
      </c>
      <c r="D10" s="3"/>
      <c r="E10" s="3"/>
      <c r="F10" s="41">
        <f>SUM($E$8:E10)/A10</f>
        <v>0</v>
      </c>
      <c r="G10" s="93">
        <f t="shared" ref="G10:G38" si="0">G9+D10-E10</f>
        <v>0</v>
      </c>
      <c r="H10" s="82" t="e">
        <f t="shared" ref="H10:H39" si="1">G10/F10</f>
        <v>#DIV/0!</v>
      </c>
      <c r="I10" s="21"/>
    </row>
    <row r="11" spans="1:12" s="13" customFormat="1" ht="20.25" customHeight="1">
      <c r="A11" s="185">
        <v>3</v>
      </c>
      <c r="B11" s="19">
        <f>'FRIT FV 090.540 - FTA'!B11</f>
        <v>46237</v>
      </c>
      <c r="C11" s="77" t="s">
        <v>141</v>
      </c>
      <c r="D11" s="3"/>
      <c r="E11" s="3"/>
      <c r="F11" s="41">
        <f>SUM($E$8:E11)/A11</f>
        <v>0</v>
      </c>
      <c r="G11" s="93">
        <f t="shared" si="0"/>
        <v>0</v>
      </c>
      <c r="H11" s="83" t="e">
        <f t="shared" si="1"/>
        <v>#DIV/0!</v>
      </c>
      <c r="I11" s="21"/>
    </row>
    <row r="12" spans="1:12" s="140" customFormat="1" ht="20.25" customHeight="1">
      <c r="A12" s="185">
        <v>4</v>
      </c>
      <c r="B12" s="19">
        <f>'FRIT FV 090.540 - FTA'!B12</f>
        <v>46238</v>
      </c>
      <c r="C12" s="77" t="s">
        <v>141</v>
      </c>
      <c r="D12" s="3"/>
      <c r="E12" s="2"/>
      <c r="F12" s="41">
        <f>SUM($E$8:E12)/A12</f>
        <v>0</v>
      </c>
      <c r="G12" s="93">
        <f t="shared" si="0"/>
        <v>0</v>
      </c>
      <c r="H12" s="83" t="e">
        <f t="shared" si="1"/>
        <v>#DIV/0!</v>
      </c>
      <c r="I12" s="21"/>
    </row>
    <row r="13" spans="1:12" s="140" customFormat="1" ht="20.25" customHeight="1">
      <c r="A13" s="185">
        <v>5</v>
      </c>
      <c r="B13" s="19">
        <f>'FRIT FV 090.540 - FTA'!B13</f>
        <v>46239</v>
      </c>
      <c r="C13" s="77" t="s">
        <v>141</v>
      </c>
      <c r="D13" s="3"/>
      <c r="E13" s="2"/>
      <c r="F13" s="41">
        <f>SUM($E$8:E13)/A13</f>
        <v>0</v>
      </c>
      <c r="G13" s="93">
        <f t="shared" si="0"/>
        <v>0</v>
      </c>
      <c r="H13" s="83" t="e">
        <f t="shared" si="1"/>
        <v>#DIV/0!</v>
      </c>
      <c r="I13" s="21"/>
    </row>
    <row r="14" spans="1:12" s="140" customFormat="1" ht="20.25" customHeight="1">
      <c r="A14" s="185">
        <v>6</v>
      </c>
      <c r="B14" s="19">
        <f>'FRIT FV 090.540 - FTA'!B14</f>
        <v>46240</v>
      </c>
      <c r="C14" s="77" t="s">
        <v>141</v>
      </c>
      <c r="D14" s="3"/>
      <c r="E14" s="2"/>
      <c r="F14" s="41">
        <f>SUM($E$8:E14)/A14</f>
        <v>0</v>
      </c>
      <c r="G14" s="93">
        <f t="shared" si="0"/>
        <v>0</v>
      </c>
      <c r="H14" s="83" t="e">
        <f t="shared" si="1"/>
        <v>#DIV/0!</v>
      </c>
      <c r="I14" s="21"/>
    </row>
    <row r="15" spans="1:12" s="140" customFormat="1" ht="20.25" customHeight="1">
      <c r="A15" s="185">
        <v>7</v>
      </c>
      <c r="B15" s="19">
        <f>'FRIT FV 090.540 - FTA'!B15</f>
        <v>46241</v>
      </c>
      <c r="C15" s="77" t="s">
        <v>141</v>
      </c>
      <c r="D15" s="3"/>
      <c r="E15" s="2"/>
      <c r="F15" s="41">
        <f>SUM($E$8:E15)/A15</f>
        <v>0</v>
      </c>
      <c r="G15" s="93">
        <f t="shared" si="0"/>
        <v>0</v>
      </c>
      <c r="H15" s="83" t="e">
        <f t="shared" si="1"/>
        <v>#DIV/0!</v>
      </c>
      <c r="I15" s="21"/>
    </row>
    <row r="16" spans="1:12" s="140" customFormat="1" ht="20.25" customHeight="1">
      <c r="A16" s="185">
        <v>8</v>
      </c>
      <c r="B16" s="19">
        <f>'FRIT FV 090.540 - FTA'!B16</f>
        <v>46242</v>
      </c>
      <c r="C16" s="77" t="s">
        <v>141</v>
      </c>
      <c r="D16" s="3"/>
      <c r="E16" s="2"/>
      <c r="F16" s="41">
        <f>SUM($E$8:E16)/A16</f>
        <v>0</v>
      </c>
      <c r="G16" s="93">
        <f t="shared" si="0"/>
        <v>0</v>
      </c>
      <c r="H16" s="83" t="e">
        <f t="shared" si="1"/>
        <v>#DIV/0!</v>
      </c>
      <c r="I16" s="21"/>
    </row>
    <row r="17" spans="1:9" s="140" customFormat="1" ht="20.25" customHeight="1">
      <c r="A17" s="185">
        <v>9</v>
      </c>
      <c r="B17" s="19">
        <f>'FRIT FV 090.540 - FTA'!B17</f>
        <v>46243</v>
      </c>
      <c r="C17" s="77" t="s">
        <v>141</v>
      </c>
      <c r="D17" s="3"/>
      <c r="E17" s="2"/>
      <c r="F17" s="41">
        <f>SUM($E$8:E17)/A17</f>
        <v>0</v>
      </c>
      <c r="G17" s="93">
        <f t="shared" si="0"/>
        <v>0</v>
      </c>
      <c r="H17" s="83" t="e">
        <f t="shared" si="1"/>
        <v>#DIV/0!</v>
      </c>
      <c r="I17" s="21"/>
    </row>
    <row r="18" spans="1:9" s="140" customFormat="1" ht="20.25" customHeight="1">
      <c r="A18" s="185">
        <v>10</v>
      </c>
      <c r="B18" s="19">
        <f>'FRIT FV 090.540 - FTA'!B18</f>
        <v>46244</v>
      </c>
      <c r="C18" s="77" t="s">
        <v>141</v>
      </c>
      <c r="D18" s="3"/>
      <c r="E18" s="2"/>
      <c r="F18" s="41">
        <f>SUM($E$8:E18)/A18</f>
        <v>0</v>
      </c>
      <c r="G18" s="93">
        <f t="shared" si="0"/>
        <v>0</v>
      </c>
      <c r="H18" s="83" t="e">
        <f t="shared" si="1"/>
        <v>#DIV/0!</v>
      </c>
      <c r="I18" s="21"/>
    </row>
    <row r="19" spans="1:9" s="140" customFormat="1" ht="20.25" customHeight="1">
      <c r="A19" s="185">
        <v>11</v>
      </c>
      <c r="B19" s="19">
        <f>'FRIT FV 090.540 - FTA'!B19</f>
        <v>46245</v>
      </c>
      <c r="C19" s="77" t="s">
        <v>141</v>
      </c>
      <c r="D19" s="3"/>
      <c r="E19" s="2"/>
      <c r="F19" s="41">
        <f>SUM($E$8:E19)/A19</f>
        <v>0</v>
      </c>
      <c r="G19" s="93">
        <f t="shared" si="0"/>
        <v>0</v>
      </c>
      <c r="H19" s="83" t="e">
        <f t="shared" si="1"/>
        <v>#DIV/0!</v>
      </c>
      <c r="I19" s="21"/>
    </row>
    <row r="20" spans="1:9" s="140" customFormat="1" ht="20.25" customHeight="1">
      <c r="A20" s="185">
        <v>12</v>
      </c>
      <c r="B20" s="19">
        <f>'FRIT FV 090.540 - FTA'!B20</f>
        <v>46246</v>
      </c>
      <c r="C20" s="77" t="s">
        <v>141</v>
      </c>
      <c r="D20" s="3"/>
      <c r="E20" s="2"/>
      <c r="F20" s="41">
        <f>SUM($E$8:E20)/A20</f>
        <v>0</v>
      </c>
      <c r="G20" s="93">
        <f t="shared" si="0"/>
        <v>0</v>
      </c>
      <c r="H20" s="83" t="e">
        <f t="shared" si="1"/>
        <v>#DIV/0!</v>
      </c>
      <c r="I20" s="21"/>
    </row>
    <row r="21" spans="1:9" s="140" customFormat="1" ht="20.25" customHeight="1">
      <c r="A21" s="185">
        <v>13</v>
      </c>
      <c r="B21" s="19">
        <f>'FRIT FV 090.540 - FTA'!B21</f>
        <v>46247</v>
      </c>
      <c r="C21" s="77" t="s">
        <v>141</v>
      </c>
      <c r="D21" s="3"/>
      <c r="E21" s="2"/>
      <c r="F21" s="41">
        <f>SUM($E$8:E21)/A21</f>
        <v>0</v>
      </c>
      <c r="G21" s="93">
        <f t="shared" si="0"/>
        <v>0</v>
      </c>
      <c r="H21" s="83" t="e">
        <f t="shared" si="1"/>
        <v>#DIV/0!</v>
      </c>
      <c r="I21" s="21"/>
    </row>
    <row r="22" spans="1:9" s="140" customFormat="1" ht="20.25" customHeight="1">
      <c r="A22" s="185">
        <v>14</v>
      </c>
      <c r="B22" s="19">
        <f>'FRIT FV 090.540 - FTA'!B22</f>
        <v>46248</v>
      </c>
      <c r="C22" s="77" t="s">
        <v>141</v>
      </c>
      <c r="D22" s="3"/>
      <c r="E22" s="2"/>
      <c r="F22" s="41">
        <f>SUM($E$8:E22)/A22</f>
        <v>0</v>
      </c>
      <c r="G22" s="93">
        <f t="shared" si="0"/>
        <v>0</v>
      </c>
      <c r="H22" s="83" t="e">
        <f t="shared" si="1"/>
        <v>#DIV/0!</v>
      </c>
      <c r="I22" s="21"/>
    </row>
    <row r="23" spans="1:9" s="140" customFormat="1" ht="20.25" customHeight="1">
      <c r="A23" s="185">
        <v>15</v>
      </c>
      <c r="B23" s="19">
        <f>'FRIT FV 090.540 - FTA'!B23</f>
        <v>46249</v>
      </c>
      <c r="C23" s="77" t="s">
        <v>141</v>
      </c>
      <c r="D23" s="3"/>
      <c r="E23" s="2"/>
      <c r="F23" s="41">
        <f>SUM($E$8:E23)/A23</f>
        <v>0</v>
      </c>
      <c r="G23" s="93">
        <f t="shared" si="0"/>
        <v>0</v>
      </c>
      <c r="H23" s="83" t="e">
        <f t="shared" si="1"/>
        <v>#DIV/0!</v>
      </c>
      <c r="I23" s="21"/>
    </row>
    <row r="24" spans="1:9" s="140" customFormat="1" ht="20.25" customHeight="1">
      <c r="A24" s="185">
        <v>16</v>
      </c>
      <c r="B24" s="19">
        <f>'FRIT FV 090.540 - FTA'!B24</f>
        <v>46250</v>
      </c>
      <c r="C24" s="77" t="s">
        <v>141</v>
      </c>
      <c r="D24" s="3"/>
      <c r="E24" s="2"/>
      <c r="F24" s="41">
        <f>SUM($E$8:E24)/A24</f>
        <v>0</v>
      </c>
      <c r="G24" s="93">
        <f t="shared" si="0"/>
        <v>0</v>
      </c>
      <c r="H24" s="83" t="e">
        <f t="shared" si="1"/>
        <v>#DIV/0!</v>
      </c>
      <c r="I24" s="21"/>
    </row>
    <row r="25" spans="1:9" s="140" customFormat="1" ht="20.25" customHeight="1">
      <c r="A25" s="185">
        <v>17</v>
      </c>
      <c r="B25" s="19">
        <f>'FRIT FV 090.540 - FTA'!B25</f>
        <v>46251</v>
      </c>
      <c r="C25" s="77" t="s">
        <v>141</v>
      </c>
      <c r="D25" s="3"/>
      <c r="E25" s="2"/>
      <c r="F25" s="41">
        <f>SUM($E$8:E25)/A25</f>
        <v>0</v>
      </c>
      <c r="G25" s="93">
        <f t="shared" si="0"/>
        <v>0</v>
      </c>
      <c r="H25" s="83" t="e">
        <f t="shared" si="1"/>
        <v>#DIV/0!</v>
      </c>
      <c r="I25" s="21"/>
    </row>
    <row r="26" spans="1:9" s="140" customFormat="1" ht="20.25" customHeight="1">
      <c r="A26" s="185">
        <v>18</v>
      </c>
      <c r="B26" s="19">
        <f>'FRIT FV 090.540 - FTA'!B26</f>
        <v>46252</v>
      </c>
      <c r="C26" s="77" t="s">
        <v>141</v>
      </c>
      <c r="D26" s="3"/>
      <c r="E26" s="2"/>
      <c r="F26" s="41">
        <f>SUM($E$8:E26)/A26</f>
        <v>0</v>
      </c>
      <c r="G26" s="93">
        <f t="shared" si="0"/>
        <v>0</v>
      </c>
      <c r="H26" s="83" t="e">
        <f t="shared" si="1"/>
        <v>#DIV/0!</v>
      </c>
      <c r="I26" s="21"/>
    </row>
    <row r="27" spans="1:9" s="140" customFormat="1" ht="20.25" customHeight="1">
      <c r="A27" s="185">
        <v>19</v>
      </c>
      <c r="B27" s="19">
        <f>'FRIT FV 090.540 - FTA'!B27</f>
        <v>46253</v>
      </c>
      <c r="C27" s="77" t="s">
        <v>141</v>
      </c>
      <c r="D27" s="3"/>
      <c r="E27" s="2"/>
      <c r="F27" s="41">
        <f>SUM($E$8:E27)/A27</f>
        <v>0</v>
      </c>
      <c r="G27" s="93">
        <f t="shared" si="0"/>
        <v>0</v>
      </c>
      <c r="H27" s="83" t="e">
        <f t="shared" si="1"/>
        <v>#DIV/0!</v>
      </c>
      <c r="I27" s="21"/>
    </row>
    <row r="28" spans="1:9" s="140" customFormat="1" ht="20.25" customHeight="1">
      <c r="A28" s="185">
        <v>20</v>
      </c>
      <c r="B28" s="19">
        <f>'FRIT FV 090.540 - FTA'!B28</f>
        <v>46254</v>
      </c>
      <c r="C28" s="77" t="s">
        <v>141</v>
      </c>
      <c r="D28" s="3"/>
      <c r="E28" s="2"/>
      <c r="F28" s="41">
        <f>SUM($E$8:E28)/A28</f>
        <v>0</v>
      </c>
      <c r="G28" s="93">
        <f t="shared" si="0"/>
        <v>0</v>
      </c>
      <c r="H28" s="83" t="e">
        <f t="shared" si="1"/>
        <v>#DIV/0!</v>
      </c>
      <c r="I28" s="21"/>
    </row>
    <row r="29" spans="1:9" s="140" customFormat="1" ht="20.25" customHeight="1">
      <c r="A29" s="185">
        <v>21</v>
      </c>
      <c r="B29" s="19">
        <f>'FRIT FV 090.540 - FTA'!B29</f>
        <v>46255</v>
      </c>
      <c r="C29" s="77" t="s">
        <v>141</v>
      </c>
      <c r="D29" s="3"/>
      <c r="E29" s="2"/>
      <c r="F29" s="41">
        <f>SUM($E$8:E29)/A29</f>
        <v>0</v>
      </c>
      <c r="G29" s="93">
        <f t="shared" si="0"/>
        <v>0</v>
      </c>
      <c r="H29" s="83" t="e">
        <f t="shared" si="1"/>
        <v>#DIV/0!</v>
      </c>
      <c r="I29" s="21"/>
    </row>
    <row r="30" spans="1:9" s="140" customFormat="1" ht="20.25" customHeight="1">
      <c r="A30" s="185">
        <v>22</v>
      </c>
      <c r="B30" s="19">
        <f>'FRIT FV 090.540 - FTA'!B30</f>
        <v>46256</v>
      </c>
      <c r="C30" s="77" t="s">
        <v>141</v>
      </c>
      <c r="D30" s="3"/>
      <c r="E30" s="2"/>
      <c r="F30" s="41">
        <f>SUM($E$8:E30)/A30</f>
        <v>0</v>
      </c>
      <c r="G30" s="93">
        <f t="shared" si="0"/>
        <v>0</v>
      </c>
      <c r="H30" s="83" t="e">
        <f t="shared" si="1"/>
        <v>#DIV/0!</v>
      </c>
      <c r="I30" s="21"/>
    </row>
    <row r="31" spans="1:9" s="140" customFormat="1" ht="20.25" customHeight="1">
      <c r="A31" s="185">
        <v>23</v>
      </c>
      <c r="B31" s="19">
        <f>'FRIT FV 090.540 - FTA'!B31</f>
        <v>46257</v>
      </c>
      <c r="C31" s="77" t="s">
        <v>141</v>
      </c>
      <c r="D31" s="3"/>
      <c r="E31" s="2"/>
      <c r="F31" s="41">
        <f>SUM($E$8:E31)/A31</f>
        <v>0</v>
      </c>
      <c r="G31" s="93">
        <f t="shared" si="0"/>
        <v>0</v>
      </c>
      <c r="H31" s="83" t="e">
        <f t="shared" si="1"/>
        <v>#DIV/0!</v>
      </c>
      <c r="I31" s="21"/>
    </row>
    <row r="32" spans="1:9" s="140" customFormat="1" ht="20.25" customHeight="1">
      <c r="A32" s="185">
        <v>24</v>
      </c>
      <c r="B32" s="19">
        <f>'FRIT FV 090.540 - FTA'!B32</f>
        <v>46258</v>
      </c>
      <c r="C32" s="77" t="s">
        <v>141</v>
      </c>
      <c r="D32" s="3"/>
      <c r="E32" s="2"/>
      <c r="F32" s="41">
        <f>SUM($E$8:E32)/A32</f>
        <v>0</v>
      </c>
      <c r="G32" s="93">
        <f t="shared" si="0"/>
        <v>0</v>
      </c>
      <c r="H32" s="83" t="e">
        <f t="shared" si="1"/>
        <v>#DIV/0!</v>
      </c>
      <c r="I32" s="21"/>
    </row>
    <row r="33" spans="1:9" s="140" customFormat="1" ht="20.25" customHeight="1">
      <c r="A33" s="185">
        <v>25</v>
      </c>
      <c r="B33" s="19">
        <f>'FRIT FV 090.540 - FTA'!B33</f>
        <v>46259</v>
      </c>
      <c r="C33" s="77" t="s">
        <v>141</v>
      </c>
      <c r="D33" s="191"/>
      <c r="E33" s="190"/>
      <c r="F33" s="41">
        <f>SUM($E$8:E33)/A33</f>
        <v>0</v>
      </c>
      <c r="G33" s="93">
        <f t="shared" si="0"/>
        <v>0</v>
      </c>
      <c r="H33" s="83" t="e">
        <f t="shared" si="1"/>
        <v>#DIV/0!</v>
      </c>
      <c r="I33" s="21"/>
    </row>
    <row r="34" spans="1:9" s="140" customFormat="1" ht="20.25" customHeight="1">
      <c r="A34" s="185">
        <v>26</v>
      </c>
      <c r="B34" s="19">
        <f>'FRIT FV 090.540 - FTA'!B34</f>
        <v>46260</v>
      </c>
      <c r="C34" s="77" t="s">
        <v>141</v>
      </c>
      <c r="D34" s="191"/>
      <c r="E34" s="190"/>
      <c r="F34" s="41">
        <f>SUM($E$8:E34)/A34</f>
        <v>0</v>
      </c>
      <c r="G34" s="93">
        <f t="shared" si="0"/>
        <v>0</v>
      </c>
      <c r="H34" s="83" t="e">
        <f t="shared" si="1"/>
        <v>#DIV/0!</v>
      </c>
      <c r="I34" s="21"/>
    </row>
    <row r="35" spans="1:9" s="140" customFormat="1" ht="20.25" customHeight="1">
      <c r="A35" s="185">
        <v>27</v>
      </c>
      <c r="B35" s="19">
        <f>'FRIT FV 090.540 - FTA'!B35</f>
        <v>46261</v>
      </c>
      <c r="C35" s="77" t="s">
        <v>141</v>
      </c>
      <c r="D35" s="191"/>
      <c r="E35" s="190"/>
      <c r="F35" s="41">
        <f>SUM($E$8:E35)/A35</f>
        <v>0</v>
      </c>
      <c r="G35" s="93">
        <f t="shared" si="0"/>
        <v>0</v>
      </c>
      <c r="H35" s="83" t="e">
        <f t="shared" si="1"/>
        <v>#DIV/0!</v>
      </c>
      <c r="I35" s="21"/>
    </row>
    <row r="36" spans="1:9" s="140" customFormat="1" ht="20.25" customHeight="1">
      <c r="A36" s="185">
        <v>28</v>
      </c>
      <c r="B36" s="19">
        <f>'FRIT FV 090.540 - FTA'!B36</f>
        <v>46262</v>
      </c>
      <c r="C36" s="77" t="s">
        <v>141</v>
      </c>
      <c r="D36" s="191"/>
      <c r="E36" s="190"/>
      <c r="F36" s="41">
        <f>SUM($E$8:E36)/A36</f>
        <v>0</v>
      </c>
      <c r="G36" s="93">
        <f t="shared" si="0"/>
        <v>0</v>
      </c>
      <c r="H36" s="83" t="e">
        <f t="shared" si="1"/>
        <v>#DIV/0!</v>
      </c>
      <c r="I36" s="21"/>
    </row>
    <row r="37" spans="1:9" s="140" customFormat="1" ht="20.25" customHeight="1">
      <c r="A37" s="185">
        <v>29</v>
      </c>
      <c r="B37" s="19">
        <f>'FRIT FV 090.540 - FTA'!B37</f>
        <v>46263</v>
      </c>
      <c r="C37" s="77" t="s">
        <v>141</v>
      </c>
      <c r="D37" s="191"/>
      <c r="E37" s="190"/>
      <c r="F37" s="41">
        <f>SUM($E$8:E37)/A37</f>
        <v>0</v>
      </c>
      <c r="G37" s="93">
        <f t="shared" si="0"/>
        <v>0</v>
      </c>
      <c r="H37" s="83" t="e">
        <f t="shared" si="1"/>
        <v>#DIV/0!</v>
      </c>
      <c r="I37" s="21"/>
    </row>
    <row r="38" spans="1:9" s="140" customFormat="1" ht="20.25" customHeight="1">
      <c r="A38" s="185">
        <v>30</v>
      </c>
      <c r="B38" s="19">
        <f>'FRIT FV 090.540 - FTA'!B38</f>
        <v>46264</v>
      </c>
      <c r="C38" s="77" t="s">
        <v>141</v>
      </c>
      <c r="D38" s="191"/>
      <c r="E38" s="190"/>
      <c r="F38" s="41">
        <f>SUM($E$8:E38)/A38</f>
        <v>0</v>
      </c>
      <c r="G38" s="93">
        <f t="shared" si="0"/>
        <v>0</v>
      </c>
      <c r="H38" s="83" t="e">
        <f t="shared" si="1"/>
        <v>#DIV/0!</v>
      </c>
      <c r="I38" s="21"/>
    </row>
    <row r="39" spans="1:9" s="140" customFormat="1" ht="20.25" customHeight="1">
      <c r="A39" s="185">
        <v>31</v>
      </c>
      <c r="B39" s="19">
        <f>'FRIT FV 090.540 - FTA'!B39</f>
        <v>46265</v>
      </c>
      <c r="C39" s="77" t="s">
        <v>141</v>
      </c>
      <c r="D39" s="191"/>
      <c r="E39" s="190"/>
      <c r="F39" s="41">
        <f>SUM($E$8:E39)/A39</f>
        <v>0</v>
      </c>
      <c r="G39" s="93">
        <f>G38+D39-E39</f>
        <v>0</v>
      </c>
      <c r="H39" s="83" t="e">
        <f t="shared" si="1"/>
        <v>#DIV/0!</v>
      </c>
      <c r="I39" s="21"/>
    </row>
    <row r="40" spans="1:9" s="32" customFormat="1" ht="20.25" customHeight="1">
      <c r="A40" s="1517" t="s">
        <v>29</v>
      </c>
      <c r="B40" s="1517"/>
      <c r="C40" s="1517"/>
      <c r="D40" s="60">
        <f>SUM(D9:D39)</f>
        <v>0</v>
      </c>
      <c r="E40" s="29">
        <f>SUM(E9:E39)</f>
        <v>0</v>
      </c>
      <c r="F40" s="29"/>
      <c r="G40" s="61">
        <f>G39</f>
        <v>0</v>
      </c>
      <c r="H40" s="59"/>
      <c r="I40" s="59"/>
    </row>
    <row r="41" spans="1:9" s="32" customFormat="1" ht="20.25" customHeight="1">
      <c r="A41" s="1517" t="s">
        <v>15</v>
      </c>
      <c r="B41" s="1517"/>
      <c r="C41" s="1517"/>
      <c r="D41" s="60">
        <f>D8+D40</f>
        <v>0</v>
      </c>
      <c r="E41" s="29">
        <f>E8+E40</f>
        <v>0</v>
      </c>
      <c r="F41" s="29"/>
      <c r="G41" s="29">
        <f>D41-E41</f>
        <v>0</v>
      </c>
      <c r="H41" s="59"/>
      <c r="I41" s="59"/>
    </row>
    <row r="42" spans="1:9" ht="23.25" customHeight="1">
      <c r="A42" s="5"/>
      <c r="B42" s="5"/>
      <c r="C42" s="5"/>
      <c r="D42" s="7"/>
      <c r="E42" s="24"/>
      <c r="F42" s="7"/>
      <c r="G42" s="7"/>
    </row>
    <row r="43" spans="1:9">
      <c r="D43" s="7"/>
      <c r="E43" s="24"/>
      <c r="H43" s="101" t="s">
        <v>13</v>
      </c>
    </row>
    <row r="44" spans="1:9">
      <c r="D44" s="7"/>
      <c r="H44" s="102"/>
    </row>
    <row r="45" spans="1:9">
      <c r="D45" s="7"/>
      <c r="H45" s="102"/>
    </row>
    <row r="46" spans="1:9">
      <c r="D46" s="7"/>
      <c r="H46" s="102"/>
    </row>
    <row r="47" spans="1:9">
      <c r="D47" s="7"/>
      <c r="H47" s="101" t="s">
        <v>98</v>
      </c>
    </row>
  </sheetData>
  <mergeCells count="4">
    <mergeCell ref="A41:C41"/>
    <mergeCell ref="A8:C8"/>
    <mergeCell ref="A40:C40"/>
    <mergeCell ref="A3:I3"/>
  </mergeCells>
  <conditionalFormatting sqref="H9:H39">
    <cfRule type="cellIs" dxfId="12444" priority="1" operator="between">
      <formula>3</formula>
      <formula>6</formula>
    </cfRule>
    <cfRule type="cellIs" dxfId="12443" priority="2" operator="lessThan">
      <formula>3</formula>
    </cfRule>
    <cfRule type="cellIs" dxfId="12442" priority="3" operator="greaterThan">
      <formula>6</formula>
    </cfRule>
  </conditionalFormatting>
  <hyperlinks>
    <hyperlink ref="I6" location="'Tong hop T8.2019'!A1" display="YN!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M43"/>
  <sheetViews>
    <sheetView zoomScale="70" zoomScaleNormal="70" workbookViewId="0">
      <pane ySplit="8" topLeftCell="A9" activePane="bottomLeft" state="frozen"/>
      <selection pane="bottomLeft" activeCell="A9" sqref="A9:XFD9"/>
    </sheetView>
  </sheetViews>
  <sheetFormatPr defaultColWidth="9.28515625" defaultRowHeight="16.5"/>
  <cols>
    <col min="1" max="1" width="5.42578125" style="9" customWidth="1"/>
    <col min="2" max="2" width="9.85546875" style="9" customWidth="1"/>
    <col min="3" max="3" width="10.7109375" style="42" customWidth="1"/>
    <col min="4" max="5" width="13.28515625" style="6" customWidth="1"/>
    <col min="6" max="6" width="11.5703125" style="6" customWidth="1"/>
    <col min="7" max="7" width="12.5703125" style="6" customWidth="1"/>
    <col min="8" max="8" width="11" style="6" customWidth="1"/>
    <col min="9" max="9" width="10.28515625" style="6" customWidth="1"/>
    <col min="10" max="11" width="12.85546875" style="6" customWidth="1"/>
    <col min="12" max="13" width="12.28515625" style="9" customWidth="1"/>
    <col min="14" max="16384" width="9.28515625" style="9"/>
  </cols>
  <sheetData>
    <row r="1" spans="1:13" ht="114.75" customHeight="1"/>
    <row r="2" spans="1:13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  <c r="L2" s="1500"/>
      <c r="M2" s="1500"/>
    </row>
    <row r="3" spans="1:13" s="42" customFormat="1" ht="21.75" customHeight="1">
      <c r="B3" s="64"/>
      <c r="C3" s="64"/>
      <c r="D3" s="64"/>
      <c r="E3" s="64"/>
      <c r="F3" s="6"/>
      <c r="G3" s="66" t="s">
        <v>33</v>
      </c>
      <c r="H3" s="67" t="s">
        <v>35</v>
      </c>
      <c r="I3" s="64"/>
      <c r="J3" s="64"/>
      <c r="L3" s="64"/>
      <c r="M3" s="64"/>
    </row>
    <row r="4" spans="1:13" s="42" customFormat="1" ht="21.75" customHeight="1">
      <c r="B4" s="42" t="e">
        <f>'FRIT FV 090.540 - FTA'!#REF!</f>
        <v>#REF!</v>
      </c>
      <c r="C4" s="42" t="e">
        <f>'FRIT FV 090.540 - FTA'!#REF!</f>
        <v>#REF!</v>
      </c>
      <c r="D4" s="42" t="e">
        <f>'FRIT FV 090.540 - FTA'!#REF!</f>
        <v>#REF!</v>
      </c>
      <c r="E4" s="42" t="e">
        <f>'FRIT FV 090.540 - FTA'!#REF!</f>
        <v>#REF!</v>
      </c>
      <c r="F4" s="42" t="e">
        <f>'FRIT FV 090.540 - FTA'!#REF!</f>
        <v>#REF!</v>
      </c>
      <c r="G4" s="42" t="e">
        <f>'FRIT FV 090.540 - FTA'!#REF!</f>
        <v>#REF!</v>
      </c>
      <c r="H4" s="42" t="e">
        <f>'FRIT FV 090.540 - FTA'!#REF!</f>
        <v>#REF!</v>
      </c>
      <c r="I4" s="42" t="e">
        <f>'FRIT FV 090.540 - FTA'!#REF!</f>
        <v>#REF!</v>
      </c>
      <c r="L4" s="75"/>
      <c r="M4" s="75"/>
    </row>
    <row r="5" spans="1:13" ht="22.5" customHeight="1">
      <c r="F5" s="10"/>
      <c r="G5" s="10"/>
      <c r="H5" s="10"/>
      <c r="I5" s="10"/>
      <c r="L5" s="12" t="s">
        <v>26</v>
      </c>
      <c r="M5" s="35" t="s">
        <v>18</v>
      </c>
    </row>
    <row r="6" spans="1:13" s="13" customFormat="1" ht="41.25" customHeight="1">
      <c r="A6" s="1518" t="s">
        <v>2</v>
      </c>
      <c r="B6" s="1520" t="s">
        <v>1</v>
      </c>
      <c r="C6" s="1520" t="s">
        <v>24</v>
      </c>
      <c r="D6" s="1513" t="s">
        <v>27</v>
      </c>
      <c r="E6" s="1513"/>
      <c r="F6" s="1513" t="s">
        <v>31</v>
      </c>
      <c r="G6" s="1513"/>
      <c r="H6" s="1513" t="s">
        <v>28</v>
      </c>
      <c r="I6" s="1513"/>
      <c r="J6" s="1513" t="s">
        <v>14</v>
      </c>
      <c r="K6" s="1513"/>
      <c r="L6" s="1513" t="s">
        <v>30</v>
      </c>
      <c r="M6" s="1513"/>
    </row>
    <row r="7" spans="1:13" s="13" customFormat="1" ht="25.5" customHeight="1">
      <c r="A7" s="1519"/>
      <c r="B7" s="1521"/>
      <c r="C7" s="1521"/>
      <c r="D7" s="38" t="s">
        <v>6</v>
      </c>
      <c r="E7" s="34" t="s">
        <v>25</v>
      </c>
      <c r="F7" s="38" t="s">
        <v>6</v>
      </c>
      <c r="G7" s="34" t="s">
        <v>12</v>
      </c>
      <c r="H7" s="38" t="s">
        <v>6</v>
      </c>
      <c r="I7" s="34" t="s">
        <v>12</v>
      </c>
      <c r="J7" s="38" t="s">
        <v>6</v>
      </c>
      <c r="K7" s="34" t="s">
        <v>12</v>
      </c>
      <c r="L7" s="38" t="s">
        <v>6</v>
      </c>
      <c r="M7" s="34" t="s">
        <v>12</v>
      </c>
    </row>
    <row r="8" spans="1:13" s="13" customFormat="1" ht="25.5" customHeight="1">
      <c r="A8" s="1514" t="s">
        <v>3</v>
      </c>
      <c r="B8" s="1515"/>
      <c r="C8" s="1516"/>
      <c r="D8" s="14">
        <f>J8</f>
        <v>0</v>
      </c>
      <c r="E8" s="14">
        <f>K8</f>
        <v>0</v>
      </c>
      <c r="F8" s="14"/>
      <c r="G8" s="14"/>
      <c r="H8" s="14"/>
      <c r="I8" s="14"/>
      <c r="J8" s="14">
        <v>0</v>
      </c>
      <c r="K8" s="16">
        <v>0</v>
      </c>
      <c r="L8" s="37"/>
      <c r="M8" s="17"/>
    </row>
    <row r="9" spans="1:13" s="13" customFormat="1" ht="22.5" customHeight="1">
      <c r="A9" s="18">
        <v>1</v>
      </c>
      <c r="B9" s="19">
        <f>'FRIT FV 090.540 - FTA'!B9</f>
        <v>46235</v>
      </c>
      <c r="C9" s="19" t="s">
        <v>19</v>
      </c>
      <c r="D9" s="37"/>
      <c r="E9" s="37"/>
      <c r="F9" s="44"/>
      <c r="G9" s="44"/>
      <c r="H9" s="40">
        <f>SUM($F$8:F9)/A9</f>
        <v>0</v>
      </c>
      <c r="I9" s="41">
        <f>SUM($G$8:G9)/A9</f>
        <v>0</v>
      </c>
      <c r="J9" s="20">
        <f t="shared" ref="J9:K11" si="0">J8+D9-F9</f>
        <v>0</v>
      </c>
      <c r="K9" s="22">
        <f t="shared" si="0"/>
        <v>0</v>
      </c>
      <c r="L9" s="82" t="e">
        <f>J9/H9</f>
        <v>#DIV/0!</v>
      </c>
      <c r="M9" s="82" t="e">
        <f>K9/I9</f>
        <v>#DIV/0!</v>
      </c>
    </row>
    <row r="10" spans="1:13" s="13" customFormat="1" ht="22.5" customHeight="1">
      <c r="A10" s="18">
        <v>2</v>
      </c>
      <c r="B10" s="19">
        <f>'FRIT FV 090.540 - FTA'!B10</f>
        <v>46236</v>
      </c>
      <c r="C10" s="19" t="s">
        <v>19</v>
      </c>
      <c r="D10" s="37"/>
      <c r="E10" s="37"/>
      <c r="F10" s="44"/>
      <c r="G10" s="44"/>
      <c r="H10" s="40">
        <f>SUM($F$8:F10)/A10</f>
        <v>0</v>
      </c>
      <c r="I10" s="41">
        <f>SUM($G$8:G10)/A10</f>
        <v>0</v>
      </c>
      <c r="J10" s="20">
        <f t="shared" si="0"/>
        <v>0</v>
      </c>
      <c r="K10" s="22">
        <f t="shared" si="0"/>
        <v>0</v>
      </c>
      <c r="L10" s="82" t="e">
        <f t="shared" ref="L10:L39" si="1">J10/H10</f>
        <v>#DIV/0!</v>
      </c>
      <c r="M10" s="82" t="e">
        <f t="shared" ref="M10:M39" si="2">K10/I10</f>
        <v>#DIV/0!</v>
      </c>
    </row>
    <row r="11" spans="1:13" s="13" customFormat="1" ht="22.5" customHeight="1">
      <c r="A11" s="18">
        <v>3</v>
      </c>
      <c r="B11" s="19">
        <f>'FRIT FV 090.540 - FTA'!B11</f>
        <v>46237</v>
      </c>
      <c r="C11" s="19" t="s">
        <v>19</v>
      </c>
      <c r="D11" s="37"/>
      <c r="E11" s="37"/>
      <c r="F11" s="44"/>
      <c r="G11" s="44"/>
      <c r="H11" s="40">
        <f>SUM($F$8:F11)/A11</f>
        <v>0</v>
      </c>
      <c r="I11" s="41">
        <f>SUM($G$8:G11)/A11</f>
        <v>0</v>
      </c>
      <c r="J11" s="20">
        <f t="shared" si="0"/>
        <v>0</v>
      </c>
      <c r="K11" s="22">
        <f t="shared" si="0"/>
        <v>0</v>
      </c>
      <c r="L11" s="82" t="e">
        <f t="shared" si="1"/>
        <v>#DIV/0!</v>
      </c>
      <c r="M11" s="82" t="e">
        <f t="shared" si="2"/>
        <v>#DIV/0!</v>
      </c>
    </row>
    <row r="12" spans="1:13" s="23" customFormat="1" ht="22.5" customHeight="1">
      <c r="A12" s="18">
        <v>4</v>
      </c>
      <c r="B12" s="19">
        <f>'FRIT FV 090.540 - FTA'!B12</f>
        <v>46238</v>
      </c>
      <c r="C12" s="19" t="s">
        <v>19</v>
      </c>
      <c r="D12" s="37"/>
      <c r="E12" s="37"/>
      <c r="F12" s="44"/>
      <c r="G12" s="44"/>
      <c r="H12" s="40">
        <f>SUM($F$8:F12)/A12</f>
        <v>0</v>
      </c>
      <c r="I12" s="41">
        <f>SUM($G$8:G12)/A12</f>
        <v>0</v>
      </c>
      <c r="J12" s="20">
        <f t="shared" ref="J12:K27" si="3">J11+D12-F12</f>
        <v>0</v>
      </c>
      <c r="K12" s="22">
        <f t="shared" si="3"/>
        <v>0</v>
      </c>
      <c r="L12" s="82" t="e">
        <f t="shared" si="1"/>
        <v>#DIV/0!</v>
      </c>
      <c r="M12" s="82" t="e">
        <f t="shared" si="2"/>
        <v>#DIV/0!</v>
      </c>
    </row>
    <row r="13" spans="1:13" s="23" customFormat="1" ht="22.5" customHeight="1">
      <c r="A13" s="18">
        <v>5</v>
      </c>
      <c r="B13" s="19">
        <f>'FRIT FV 090.540 - FTA'!B13</f>
        <v>46239</v>
      </c>
      <c r="C13" s="19" t="s">
        <v>19</v>
      </c>
      <c r="D13" s="37"/>
      <c r="E13" s="37"/>
      <c r="F13" s="44"/>
      <c r="G13" s="44"/>
      <c r="H13" s="40">
        <f>SUM($F$8:F13)/A13</f>
        <v>0</v>
      </c>
      <c r="I13" s="41">
        <f>SUM($G$8:G13)/A13</f>
        <v>0</v>
      </c>
      <c r="J13" s="20">
        <f t="shared" si="3"/>
        <v>0</v>
      </c>
      <c r="K13" s="22">
        <f t="shared" si="3"/>
        <v>0</v>
      </c>
      <c r="L13" s="82" t="e">
        <f t="shared" si="1"/>
        <v>#DIV/0!</v>
      </c>
      <c r="M13" s="82" t="e">
        <f t="shared" si="2"/>
        <v>#DIV/0!</v>
      </c>
    </row>
    <row r="14" spans="1:13" s="23" customFormat="1" ht="22.5" customHeight="1">
      <c r="A14" s="18">
        <v>6</v>
      </c>
      <c r="B14" s="19">
        <f>'FRIT FV 090.540 - FTA'!B14</f>
        <v>46240</v>
      </c>
      <c r="C14" s="19" t="s">
        <v>19</v>
      </c>
      <c r="D14" s="37"/>
      <c r="E14" s="37"/>
      <c r="F14" s="44"/>
      <c r="G14" s="44"/>
      <c r="H14" s="40">
        <f>SUM($F$8:F14)/A14</f>
        <v>0</v>
      </c>
      <c r="I14" s="41">
        <f>SUM($G$8:G14)/A14</f>
        <v>0</v>
      </c>
      <c r="J14" s="20">
        <f t="shared" si="3"/>
        <v>0</v>
      </c>
      <c r="K14" s="22">
        <f t="shared" si="3"/>
        <v>0</v>
      </c>
      <c r="L14" s="82" t="e">
        <f t="shared" si="1"/>
        <v>#DIV/0!</v>
      </c>
      <c r="M14" s="82" t="e">
        <f t="shared" si="2"/>
        <v>#DIV/0!</v>
      </c>
    </row>
    <row r="15" spans="1:13" s="23" customFormat="1" ht="22.5" customHeight="1">
      <c r="A15" s="36">
        <v>7</v>
      </c>
      <c r="B15" s="19">
        <f>'FRIT FV 090.540 - FTA'!B15</f>
        <v>46241</v>
      </c>
      <c r="C15" s="19" t="s">
        <v>19</v>
      </c>
      <c r="D15" s="37"/>
      <c r="E15" s="37"/>
      <c r="F15" s="44"/>
      <c r="G15" s="44"/>
      <c r="H15" s="40">
        <f>SUM($F$8:F15)/A15</f>
        <v>0</v>
      </c>
      <c r="I15" s="41">
        <f>SUM($G$8:G15)/A15</f>
        <v>0</v>
      </c>
      <c r="J15" s="20">
        <f t="shared" si="3"/>
        <v>0</v>
      </c>
      <c r="K15" s="22">
        <f t="shared" si="3"/>
        <v>0</v>
      </c>
      <c r="L15" s="82" t="e">
        <f t="shared" si="1"/>
        <v>#DIV/0!</v>
      </c>
      <c r="M15" s="82" t="e">
        <f t="shared" si="2"/>
        <v>#DIV/0!</v>
      </c>
    </row>
    <row r="16" spans="1:13" s="23" customFormat="1" ht="22.5" customHeight="1">
      <c r="A16" s="18">
        <v>8</v>
      </c>
      <c r="B16" s="19">
        <f>'FRIT FV 090.540 - FTA'!B16</f>
        <v>46242</v>
      </c>
      <c r="C16" s="19" t="s">
        <v>19</v>
      </c>
      <c r="D16" s="37"/>
      <c r="E16" s="37"/>
      <c r="F16" s="44"/>
      <c r="G16" s="44"/>
      <c r="H16" s="40">
        <f>SUM($F$8:F16)/A16</f>
        <v>0</v>
      </c>
      <c r="I16" s="41">
        <f>SUM($G$8:G16)/A16</f>
        <v>0</v>
      </c>
      <c r="J16" s="20">
        <f t="shared" si="3"/>
        <v>0</v>
      </c>
      <c r="K16" s="22">
        <f t="shared" si="3"/>
        <v>0</v>
      </c>
      <c r="L16" s="82" t="e">
        <f t="shared" si="1"/>
        <v>#DIV/0!</v>
      </c>
      <c r="M16" s="82" t="e">
        <f t="shared" si="2"/>
        <v>#DIV/0!</v>
      </c>
    </row>
    <row r="17" spans="1:13" s="23" customFormat="1" ht="22.5" customHeight="1">
      <c r="A17" s="18">
        <v>9</v>
      </c>
      <c r="B17" s="19">
        <f>'FRIT FV 090.540 - FTA'!B17</f>
        <v>46243</v>
      </c>
      <c r="C17" s="19" t="s">
        <v>19</v>
      </c>
      <c r="D17" s="37"/>
      <c r="E17" s="37"/>
      <c r="F17" s="44"/>
      <c r="G17" s="44"/>
      <c r="H17" s="40">
        <f>SUM($F$8:F17)/A17</f>
        <v>0</v>
      </c>
      <c r="I17" s="41">
        <f>SUM($G$8:G17)/A17</f>
        <v>0</v>
      </c>
      <c r="J17" s="20">
        <f t="shared" si="3"/>
        <v>0</v>
      </c>
      <c r="K17" s="22">
        <f t="shared" si="3"/>
        <v>0</v>
      </c>
      <c r="L17" s="82" t="e">
        <f t="shared" si="1"/>
        <v>#DIV/0!</v>
      </c>
      <c r="M17" s="82" t="e">
        <f t="shared" si="2"/>
        <v>#DIV/0!</v>
      </c>
    </row>
    <row r="18" spans="1:13" s="23" customFormat="1" ht="22.5" customHeight="1">
      <c r="A18" s="18">
        <v>10</v>
      </c>
      <c r="B18" s="19">
        <f>'FRIT FV 090.540 - FTA'!B18</f>
        <v>46244</v>
      </c>
      <c r="C18" s="19" t="s">
        <v>19</v>
      </c>
      <c r="D18" s="37"/>
      <c r="E18" s="37"/>
      <c r="F18" s="44"/>
      <c r="G18" s="44"/>
      <c r="H18" s="40">
        <f>SUM($F$8:F18)/A18</f>
        <v>0</v>
      </c>
      <c r="I18" s="41">
        <f>SUM($G$8:G18)/A18</f>
        <v>0</v>
      </c>
      <c r="J18" s="20">
        <f t="shared" si="3"/>
        <v>0</v>
      </c>
      <c r="K18" s="22">
        <f t="shared" si="3"/>
        <v>0</v>
      </c>
      <c r="L18" s="82" t="e">
        <f t="shared" si="1"/>
        <v>#DIV/0!</v>
      </c>
      <c r="M18" s="82" t="e">
        <f t="shared" si="2"/>
        <v>#DIV/0!</v>
      </c>
    </row>
    <row r="19" spans="1:13" s="23" customFormat="1" ht="22.5" customHeight="1">
      <c r="A19" s="18">
        <v>11</v>
      </c>
      <c r="B19" s="19">
        <f>'FRIT FV 090.540 - FTA'!B19</f>
        <v>46245</v>
      </c>
      <c r="C19" s="19" t="s">
        <v>19</v>
      </c>
      <c r="D19" s="37"/>
      <c r="E19" s="37"/>
      <c r="F19" s="44"/>
      <c r="G19" s="44"/>
      <c r="H19" s="40">
        <f>SUM($F$8:F19)/A19</f>
        <v>0</v>
      </c>
      <c r="I19" s="41">
        <f>SUM($G$8:G19)/A19</f>
        <v>0</v>
      </c>
      <c r="J19" s="20">
        <f t="shared" si="3"/>
        <v>0</v>
      </c>
      <c r="K19" s="22">
        <f t="shared" si="3"/>
        <v>0</v>
      </c>
      <c r="L19" s="82" t="e">
        <f t="shared" si="1"/>
        <v>#DIV/0!</v>
      </c>
      <c r="M19" s="82" t="e">
        <f t="shared" si="2"/>
        <v>#DIV/0!</v>
      </c>
    </row>
    <row r="20" spans="1:13" s="23" customFormat="1" ht="22.5" customHeight="1">
      <c r="A20" s="18">
        <v>12</v>
      </c>
      <c r="B20" s="19">
        <f>'FRIT FV 090.540 - FTA'!B20</f>
        <v>46246</v>
      </c>
      <c r="C20" s="19" t="s">
        <v>19</v>
      </c>
      <c r="D20" s="37"/>
      <c r="E20" s="37"/>
      <c r="F20" s="44"/>
      <c r="G20" s="44"/>
      <c r="H20" s="40">
        <f>SUM($F$8:F20)/A20</f>
        <v>0</v>
      </c>
      <c r="I20" s="41">
        <f>SUM($G$8:G20)/A20</f>
        <v>0</v>
      </c>
      <c r="J20" s="20">
        <f t="shared" si="3"/>
        <v>0</v>
      </c>
      <c r="K20" s="22">
        <f t="shared" si="3"/>
        <v>0</v>
      </c>
      <c r="L20" s="82" t="e">
        <f t="shared" si="1"/>
        <v>#DIV/0!</v>
      </c>
      <c r="M20" s="82" t="e">
        <f t="shared" si="2"/>
        <v>#DIV/0!</v>
      </c>
    </row>
    <row r="21" spans="1:13" s="23" customFormat="1" ht="22.5" customHeight="1">
      <c r="A21" s="18">
        <v>13</v>
      </c>
      <c r="B21" s="19">
        <f>'FRIT FV 090.540 - FTA'!B21</f>
        <v>46247</v>
      </c>
      <c r="C21" s="19" t="s">
        <v>19</v>
      </c>
      <c r="D21" s="37"/>
      <c r="E21" s="37"/>
      <c r="F21" s="44"/>
      <c r="G21" s="44"/>
      <c r="H21" s="40">
        <f>SUM($F$8:F21)/A21</f>
        <v>0</v>
      </c>
      <c r="I21" s="41">
        <f>SUM($G$8:G21)/A21</f>
        <v>0</v>
      </c>
      <c r="J21" s="20">
        <f t="shared" si="3"/>
        <v>0</v>
      </c>
      <c r="K21" s="22">
        <f>K20+E21-G21</f>
        <v>0</v>
      </c>
      <c r="L21" s="82" t="e">
        <f t="shared" si="1"/>
        <v>#DIV/0!</v>
      </c>
      <c r="M21" s="82" t="e">
        <f t="shared" si="2"/>
        <v>#DIV/0!</v>
      </c>
    </row>
    <row r="22" spans="1:13" s="23" customFormat="1" ht="22.5" customHeight="1">
      <c r="A22" s="36">
        <v>14</v>
      </c>
      <c r="B22" s="19">
        <f>'FRIT FV 090.540 - FTA'!B22</f>
        <v>46248</v>
      </c>
      <c r="C22" s="19" t="s">
        <v>19</v>
      </c>
      <c r="D22" s="37"/>
      <c r="E22" s="37"/>
      <c r="F22" s="44"/>
      <c r="G22" s="44"/>
      <c r="H22" s="40">
        <f>SUM($F$8:F22)/A22</f>
        <v>0</v>
      </c>
      <c r="I22" s="41">
        <f>SUM($G$8:G22)/A22</f>
        <v>0</v>
      </c>
      <c r="J22" s="20">
        <f t="shared" si="3"/>
        <v>0</v>
      </c>
      <c r="K22" s="22">
        <f>K21+E22-G22</f>
        <v>0</v>
      </c>
      <c r="L22" s="82" t="e">
        <f t="shared" si="1"/>
        <v>#DIV/0!</v>
      </c>
      <c r="M22" s="82" t="e">
        <f t="shared" si="2"/>
        <v>#DIV/0!</v>
      </c>
    </row>
    <row r="23" spans="1:13" s="23" customFormat="1" ht="22.5" customHeight="1">
      <c r="A23" s="18">
        <v>15</v>
      </c>
      <c r="B23" s="19">
        <f>'FRIT FV 090.540 - FTA'!B23</f>
        <v>46249</v>
      </c>
      <c r="C23" s="19" t="s">
        <v>19</v>
      </c>
      <c r="D23" s="37"/>
      <c r="E23" s="37"/>
      <c r="F23" s="44"/>
      <c r="G23" s="44"/>
      <c r="H23" s="40">
        <f>SUM($F$8:F23)/A23</f>
        <v>0</v>
      </c>
      <c r="I23" s="41">
        <f>SUM($G$8:G23)/A23</f>
        <v>0</v>
      </c>
      <c r="J23" s="20">
        <f t="shared" si="3"/>
        <v>0</v>
      </c>
      <c r="K23" s="22">
        <f t="shared" si="3"/>
        <v>0</v>
      </c>
      <c r="L23" s="82" t="e">
        <f t="shared" si="1"/>
        <v>#DIV/0!</v>
      </c>
      <c r="M23" s="82" t="e">
        <f t="shared" si="2"/>
        <v>#DIV/0!</v>
      </c>
    </row>
    <row r="24" spans="1:13" s="23" customFormat="1" ht="22.5" customHeight="1">
      <c r="A24" s="18">
        <v>16</v>
      </c>
      <c r="B24" s="19">
        <f>'FRIT FV 090.540 - FTA'!B24</f>
        <v>46250</v>
      </c>
      <c r="C24" s="19" t="s">
        <v>19</v>
      </c>
      <c r="D24" s="37"/>
      <c r="E24" s="37"/>
      <c r="F24" s="45"/>
      <c r="G24" s="44"/>
      <c r="H24" s="40">
        <f>SUM($F$8:F24)/A24</f>
        <v>0</v>
      </c>
      <c r="I24" s="41">
        <f>SUM($G$8:G24)/A24</f>
        <v>0</v>
      </c>
      <c r="J24" s="20">
        <f t="shared" si="3"/>
        <v>0</v>
      </c>
      <c r="K24" s="22">
        <f>K23+E24-G24</f>
        <v>0</v>
      </c>
      <c r="L24" s="82" t="e">
        <f t="shared" si="1"/>
        <v>#DIV/0!</v>
      </c>
      <c r="M24" s="82" t="e">
        <f t="shared" si="2"/>
        <v>#DIV/0!</v>
      </c>
    </row>
    <row r="25" spans="1:13" s="23" customFormat="1" ht="22.5" customHeight="1">
      <c r="A25" s="18">
        <v>17</v>
      </c>
      <c r="B25" s="19">
        <f>'FRIT FV 090.540 - FTA'!B25</f>
        <v>46251</v>
      </c>
      <c r="C25" s="19" t="s">
        <v>19</v>
      </c>
      <c r="D25" s="37"/>
      <c r="E25" s="37"/>
      <c r="F25" s="44"/>
      <c r="G25" s="44"/>
      <c r="H25" s="40">
        <f>SUM($F$8:F25)/A25</f>
        <v>0</v>
      </c>
      <c r="I25" s="41">
        <f>SUM($G$8:G25)/A25</f>
        <v>0</v>
      </c>
      <c r="J25" s="20">
        <f t="shared" si="3"/>
        <v>0</v>
      </c>
      <c r="K25" s="22">
        <f>K24+E25-G25</f>
        <v>0</v>
      </c>
      <c r="L25" s="82" t="e">
        <f t="shared" si="1"/>
        <v>#DIV/0!</v>
      </c>
      <c r="M25" s="82" t="e">
        <f t="shared" si="2"/>
        <v>#DIV/0!</v>
      </c>
    </row>
    <row r="26" spans="1:13" s="23" customFormat="1" ht="22.5" customHeight="1">
      <c r="A26" s="18">
        <v>18</v>
      </c>
      <c r="B26" s="19">
        <f>'FRIT FV 090.540 - FTA'!B26</f>
        <v>46252</v>
      </c>
      <c r="C26" s="19" t="s">
        <v>19</v>
      </c>
      <c r="D26" s="37"/>
      <c r="E26" s="37"/>
      <c r="F26" s="44"/>
      <c r="G26" s="44"/>
      <c r="H26" s="40">
        <f>SUM($F$8:F26)/A26</f>
        <v>0</v>
      </c>
      <c r="I26" s="41">
        <f>SUM($G$8:G26)/A26</f>
        <v>0</v>
      </c>
      <c r="J26" s="20">
        <f t="shared" si="3"/>
        <v>0</v>
      </c>
      <c r="K26" s="22">
        <f>K25+E26-G26</f>
        <v>0</v>
      </c>
      <c r="L26" s="82" t="e">
        <f t="shared" si="1"/>
        <v>#DIV/0!</v>
      </c>
      <c r="M26" s="82" t="e">
        <f t="shared" si="2"/>
        <v>#DIV/0!</v>
      </c>
    </row>
    <row r="27" spans="1:13" s="23" customFormat="1" ht="22.5" customHeight="1">
      <c r="A27" s="18">
        <v>19</v>
      </c>
      <c r="B27" s="19">
        <f>'FRIT FV 090.540 - FTA'!B27</f>
        <v>46253</v>
      </c>
      <c r="C27" s="19" t="s">
        <v>19</v>
      </c>
      <c r="D27" s="37"/>
      <c r="E27" s="37"/>
      <c r="F27" s="44"/>
      <c r="G27" s="44"/>
      <c r="H27" s="40">
        <f>SUM($F$8:F27)/A27</f>
        <v>0</v>
      </c>
      <c r="I27" s="41">
        <f>SUM($G$8:G27)/A27</f>
        <v>0</v>
      </c>
      <c r="J27" s="20">
        <f t="shared" si="3"/>
        <v>0</v>
      </c>
      <c r="K27" s="22">
        <f>K26+E27-G27</f>
        <v>0</v>
      </c>
      <c r="L27" s="82" t="e">
        <f t="shared" si="1"/>
        <v>#DIV/0!</v>
      </c>
      <c r="M27" s="82" t="e">
        <f t="shared" si="2"/>
        <v>#DIV/0!</v>
      </c>
    </row>
    <row r="28" spans="1:13" s="23" customFormat="1" ht="22.5" customHeight="1">
      <c r="A28" s="18">
        <v>20</v>
      </c>
      <c r="B28" s="19">
        <f>'FRIT FV 090.540 - FTA'!B28</f>
        <v>46254</v>
      </c>
      <c r="C28" s="19" t="s">
        <v>19</v>
      </c>
      <c r="D28" s="37"/>
      <c r="E28" s="37"/>
      <c r="F28" s="44"/>
      <c r="G28" s="44"/>
      <c r="H28" s="40">
        <f>SUM($F$8:F28)/A28</f>
        <v>0</v>
      </c>
      <c r="I28" s="41">
        <f>SUM($G$8:G28)/A28</f>
        <v>0</v>
      </c>
      <c r="J28" s="20">
        <f t="shared" ref="J28:K39" si="4">J27+D28-F28</f>
        <v>0</v>
      </c>
      <c r="K28" s="22">
        <f t="shared" si="4"/>
        <v>0</v>
      </c>
      <c r="L28" s="82" t="e">
        <f t="shared" si="1"/>
        <v>#DIV/0!</v>
      </c>
      <c r="M28" s="82" t="e">
        <f t="shared" si="2"/>
        <v>#DIV/0!</v>
      </c>
    </row>
    <row r="29" spans="1:13" s="23" customFormat="1" ht="22.5" customHeight="1">
      <c r="A29" s="36">
        <v>21</v>
      </c>
      <c r="B29" s="19">
        <f>'FRIT FV 090.540 - FTA'!B29</f>
        <v>46255</v>
      </c>
      <c r="C29" s="19" t="s">
        <v>19</v>
      </c>
      <c r="D29" s="37"/>
      <c r="E29" s="37"/>
      <c r="F29" s="44"/>
      <c r="G29" s="44"/>
      <c r="H29" s="40">
        <f>SUM($F$8:F29)/A29</f>
        <v>0</v>
      </c>
      <c r="I29" s="41">
        <f>SUM($G$8:G29)/A29</f>
        <v>0</v>
      </c>
      <c r="J29" s="20">
        <f t="shared" si="4"/>
        <v>0</v>
      </c>
      <c r="K29" s="22">
        <f t="shared" si="4"/>
        <v>0</v>
      </c>
      <c r="L29" s="82" t="e">
        <f t="shared" si="1"/>
        <v>#DIV/0!</v>
      </c>
      <c r="M29" s="82" t="e">
        <f t="shared" si="2"/>
        <v>#DIV/0!</v>
      </c>
    </row>
    <row r="30" spans="1:13" s="23" customFormat="1" ht="22.5" customHeight="1">
      <c r="A30" s="18">
        <v>22</v>
      </c>
      <c r="B30" s="19">
        <f>'FRIT FV 090.540 - FTA'!B30</f>
        <v>46256</v>
      </c>
      <c r="C30" s="19" t="s">
        <v>19</v>
      </c>
      <c r="D30" s="37"/>
      <c r="E30" s="37"/>
      <c r="F30" s="44"/>
      <c r="G30" s="44"/>
      <c r="H30" s="40">
        <f>SUM($F$8:F30)/A30</f>
        <v>0</v>
      </c>
      <c r="I30" s="41">
        <f>SUM($G$8:G30)/A30</f>
        <v>0</v>
      </c>
      <c r="J30" s="20">
        <f t="shared" si="4"/>
        <v>0</v>
      </c>
      <c r="K30" s="22">
        <f t="shared" si="4"/>
        <v>0</v>
      </c>
      <c r="L30" s="82" t="e">
        <f t="shared" si="1"/>
        <v>#DIV/0!</v>
      </c>
      <c r="M30" s="82" t="e">
        <f t="shared" si="2"/>
        <v>#DIV/0!</v>
      </c>
    </row>
    <row r="31" spans="1:13" s="23" customFormat="1" ht="22.5" customHeight="1">
      <c r="A31" s="18">
        <v>23</v>
      </c>
      <c r="B31" s="19">
        <f>'FRIT FV 090.540 - FTA'!B31</f>
        <v>46257</v>
      </c>
      <c r="C31" s="19" t="s">
        <v>19</v>
      </c>
      <c r="D31" s="37"/>
      <c r="E31" s="37"/>
      <c r="F31" s="44"/>
      <c r="G31" s="44"/>
      <c r="H31" s="40">
        <f>SUM($F$8:F31)/A31</f>
        <v>0</v>
      </c>
      <c r="I31" s="41">
        <f>SUM($G$8:G31)/A31</f>
        <v>0</v>
      </c>
      <c r="J31" s="20">
        <f t="shared" si="4"/>
        <v>0</v>
      </c>
      <c r="K31" s="22">
        <f t="shared" si="4"/>
        <v>0</v>
      </c>
      <c r="L31" s="82" t="e">
        <f t="shared" si="1"/>
        <v>#DIV/0!</v>
      </c>
      <c r="M31" s="82" t="e">
        <f t="shared" si="2"/>
        <v>#DIV/0!</v>
      </c>
    </row>
    <row r="32" spans="1:13" s="23" customFormat="1" ht="22.5" customHeight="1">
      <c r="A32" s="18">
        <v>24</v>
      </c>
      <c r="B32" s="19">
        <f>'FRIT FV 090.540 - FTA'!B32</f>
        <v>46258</v>
      </c>
      <c r="C32" s="19" t="s">
        <v>19</v>
      </c>
      <c r="D32" s="37"/>
      <c r="E32" s="37"/>
      <c r="F32" s="44"/>
      <c r="G32" s="44"/>
      <c r="H32" s="40">
        <f>SUM($F$8:F32)/A32</f>
        <v>0</v>
      </c>
      <c r="I32" s="41">
        <f>SUM($G$8:G32)/A32</f>
        <v>0</v>
      </c>
      <c r="J32" s="20">
        <f t="shared" si="4"/>
        <v>0</v>
      </c>
      <c r="K32" s="22">
        <f t="shared" si="4"/>
        <v>0</v>
      </c>
      <c r="L32" s="82" t="e">
        <f t="shared" si="1"/>
        <v>#DIV/0!</v>
      </c>
      <c r="M32" s="82" t="e">
        <f t="shared" si="2"/>
        <v>#DIV/0!</v>
      </c>
    </row>
    <row r="33" spans="1:13" s="23" customFormat="1" ht="22.5" customHeight="1">
      <c r="A33" s="18">
        <v>25</v>
      </c>
      <c r="B33" s="19">
        <f>'FRIT FV 090.540 - FTA'!B33</f>
        <v>46259</v>
      </c>
      <c r="C33" s="19" t="s">
        <v>19</v>
      </c>
      <c r="D33" s="37"/>
      <c r="E33" s="37"/>
      <c r="F33" s="44"/>
      <c r="G33" s="44"/>
      <c r="H33" s="40">
        <f>SUM($F$8:F33)/A33</f>
        <v>0</v>
      </c>
      <c r="I33" s="41">
        <f>SUM($G$8:G33)/A33</f>
        <v>0</v>
      </c>
      <c r="J33" s="20">
        <f t="shared" si="4"/>
        <v>0</v>
      </c>
      <c r="K33" s="22">
        <f t="shared" si="4"/>
        <v>0</v>
      </c>
      <c r="L33" s="82" t="e">
        <f t="shared" si="1"/>
        <v>#DIV/0!</v>
      </c>
      <c r="M33" s="82" t="e">
        <f t="shared" si="2"/>
        <v>#DIV/0!</v>
      </c>
    </row>
    <row r="34" spans="1:13" s="23" customFormat="1" ht="22.5" customHeight="1">
      <c r="A34" s="18">
        <v>26</v>
      </c>
      <c r="B34" s="19">
        <f>'FRIT FV 090.540 - FTA'!B34</f>
        <v>46260</v>
      </c>
      <c r="C34" s="19" t="s">
        <v>19</v>
      </c>
      <c r="D34" s="37"/>
      <c r="E34" s="37"/>
      <c r="F34" s="44"/>
      <c r="G34" s="44"/>
      <c r="H34" s="40">
        <f>SUM($F$8:F34)/A34</f>
        <v>0</v>
      </c>
      <c r="I34" s="41">
        <f>SUM($G$8:G34)/A34</f>
        <v>0</v>
      </c>
      <c r="J34" s="20">
        <f t="shared" si="4"/>
        <v>0</v>
      </c>
      <c r="K34" s="22">
        <f t="shared" si="4"/>
        <v>0</v>
      </c>
      <c r="L34" s="82" t="e">
        <f t="shared" si="1"/>
        <v>#DIV/0!</v>
      </c>
      <c r="M34" s="82" t="e">
        <f t="shared" si="2"/>
        <v>#DIV/0!</v>
      </c>
    </row>
    <row r="35" spans="1:13" s="23" customFormat="1" ht="22.5" customHeight="1">
      <c r="A35" s="18">
        <v>27</v>
      </c>
      <c r="B35" s="19">
        <f>'FRIT FV 090.540 - FTA'!B35</f>
        <v>46261</v>
      </c>
      <c r="C35" s="19" t="s">
        <v>19</v>
      </c>
      <c r="D35" s="37"/>
      <c r="E35" s="37"/>
      <c r="F35" s="44"/>
      <c r="G35" s="44"/>
      <c r="H35" s="40">
        <f>SUM($F$8:F35)/A35</f>
        <v>0</v>
      </c>
      <c r="I35" s="41">
        <f>SUM($G$8:G35)/A35</f>
        <v>0</v>
      </c>
      <c r="J35" s="20">
        <f t="shared" si="4"/>
        <v>0</v>
      </c>
      <c r="K35" s="22">
        <f t="shared" si="4"/>
        <v>0</v>
      </c>
      <c r="L35" s="82" t="e">
        <f t="shared" si="1"/>
        <v>#DIV/0!</v>
      </c>
      <c r="M35" s="82" t="e">
        <f t="shared" si="2"/>
        <v>#DIV/0!</v>
      </c>
    </row>
    <row r="36" spans="1:13" s="23" customFormat="1" ht="22.5" customHeight="1">
      <c r="A36" s="36">
        <v>28</v>
      </c>
      <c r="B36" s="19">
        <f>'FRIT FV 090.540 - FTA'!B36</f>
        <v>46262</v>
      </c>
      <c r="C36" s="19" t="s">
        <v>19</v>
      </c>
      <c r="D36" s="37"/>
      <c r="E36" s="37"/>
      <c r="F36" s="44"/>
      <c r="G36" s="44"/>
      <c r="H36" s="40">
        <f>SUM($F$8:F36)/A36</f>
        <v>0</v>
      </c>
      <c r="I36" s="41">
        <f>SUM($G$8:G36)/A36</f>
        <v>0</v>
      </c>
      <c r="J36" s="20">
        <f t="shared" si="4"/>
        <v>0</v>
      </c>
      <c r="K36" s="22">
        <f t="shared" si="4"/>
        <v>0</v>
      </c>
      <c r="L36" s="82" t="e">
        <f t="shared" si="1"/>
        <v>#DIV/0!</v>
      </c>
      <c r="M36" s="82" t="e">
        <f t="shared" si="2"/>
        <v>#DIV/0!</v>
      </c>
    </row>
    <row r="37" spans="1:13" s="23" customFormat="1" ht="22.5" customHeight="1">
      <c r="A37" s="18">
        <v>29</v>
      </c>
      <c r="B37" s="19">
        <f>'FRIT FV 090.540 - FTA'!B37</f>
        <v>46263</v>
      </c>
      <c r="C37" s="19" t="s">
        <v>19</v>
      </c>
      <c r="D37" s="37"/>
      <c r="E37" s="37"/>
      <c r="F37" s="44"/>
      <c r="G37" s="44"/>
      <c r="H37" s="40">
        <f>SUM($F$8:F37)/A37</f>
        <v>0</v>
      </c>
      <c r="I37" s="41">
        <f>SUM($G$8:G37)/A37</f>
        <v>0</v>
      </c>
      <c r="J37" s="20">
        <f t="shared" si="4"/>
        <v>0</v>
      </c>
      <c r="K37" s="22">
        <f t="shared" si="4"/>
        <v>0</v>
      </c>
      <c r="L37" s="82" t="e">
        <f t="shared" si="1"/>
        <v>#DIV/0!</v>
      </c>
      <c r="M37" s="82" t="e">
        <f t="shared" si="2"/>
        <v>#DIV/0!</v>
      </c>
    </row>
    <row r="38" spans="1:13" s="23" customFormat="1" ht="22.5" customHeight="1">
      <c r="A38" s="18">
        <v>30</v>
      </c>
      <c r="B38" s="19">
        <f>'FRIT FV 090.540 - FTA'!B38</f>
        <v>46264</v>
      </c>
      <c r="C38" s="19" t="s">
        <v>19</v>
      </c>
      <c r="D38" s="37"/>
      <c r="E38" s="37"/>
      <c r="F38" s="44"/>
      <c r="G38" s="44"/>
      <c r="H38" s="40">
        <f>SUM($F$8:F38)/A38</f>
        <v>0</v>
      </c>
      <c r="I38" s="41">
        <f>SUM($G$8:G38)/A38</f>
        <v>0</v>
      </c>
      <c r="J38" s="20">
        <f t="shared" si="4"/>
        <v>0</v>
      </c>
      <c r="K38" s="22">
        <f t="shared" si="4"/>
        <v>0</v>
      </c>
      <c r="L38" s="82" t="e">
        <f t="shared" si="1"/>
        <v>#DIV/0!</v>
      </c>
      <c r="M38" s="82" t="e">
        <f t="shared" si="2"/>
        <v>#DIV/0!</v>
      </c>
    </row>
    <row r="39" spans="1:13" s="23" customFormat="1" ht="22.5" customHeight="1">
      <c r="A39" s="18">
        <v>31</v>
      </c>
      <c r="B39" s="19">
        <f>'FRIT FV 090.540 - FTA'!B39</f>
        <v>46265</v>
      </c>
      <c r="C39" s="19" t="s">
        <v>19</v>
      </c>
      <c r="D39" s="37"/>
      <c r="E39" s="37"/>
      <c r="F39" s="44"/>
      <c r="G39" s="44"/>
      <c r="H39" s="40">
        <f>SUM($F$8:F39)/A39</f>
        <v>0</v>
      </c>
      <c r="I39" s="41">
        <f>SUM($G$8:G39)/A39</f>
        <v>0</v>
      </c>
      <c r="J39" s="20">
        <f t="shared" si="4"/>
        <v>0</v>
      </c>
      <c r="K39" s="22">
        <f t="shared" si="4"/>
        <v>0</v>
      </c>
      <c r="L39" s="82" t="e">
        <f t="shared" si="1"/>
        <v>#DIV/0!</v>
      </c>
      <c r="M39" s="82" t="e">
        <f t="shared" si="2"/>
        <v>#DIV/0!</v>
      </c>
    </row>
    <row r="40" spans="1:13" s="32" customFormat="1" ht="26.25" customHeight="1">
      <c r="A40" s="1517" t="s">
        <v>29</v>
      </c>
      <c r="B40" s="1517"/>
      <c r="C40" s="1517"/>
      <c r="D40" s="28">
        <f>SUM(D9:D39)</f>
        <v>0</v>
      </c>
      <c r="E40" s="28">
        <f>SUM(E9:E39)</f>
        <v>0</v>
      </c>
      <c r="F40" s="30">
        <f>SUM(F9:F39)</f>
        <v>0</v>
      </c>
      <c r="G40" s="30">
        <f>SUM(G9:G39)</f>
        <v>0</v>
      </c>
      <c r="H40" s="30"/>
      <c r="I40" s="30"/>
      <c r="J40" s="30">
        <f>J39</f>
        <v>0</v>
      </c>
      <c r="K40" s="33">
        <f>K39</f>
        <v>0</v>
      </c>
      <c r="L40" s="31"/>
      <c r="M40" s="31"/>
    </row>
    <row r="41" spans="1:13" s="32" customFormat="1" ht="26.25" customHeight="1">
      <c r="A41" s="1517" t="s">
        <v>15</v>
      </c>
      <c r="B41" s="1517"/>
      <c r="C41" s="1517"/>
      <c r="D41" s="28">
        <f>D8+D40</f>
        <v>0</v>
      </c>
      <c r="E41" s="28">
        <f>E8+E40</f>
        <v>0</v>
      </c>
      <c r="F41" s="30">
        <f>F8+F40</f>
        <v>0</v>
      </c>
      <c r="G41" s="30">
        <f>G8+G40</f>
        <v>0</v>
      </c>
      <c r="H41" s="30"/>
      <c r="I41" s="30"/>
      <c r="J41" s="30">
        <f>D41-F41</f>
        <v>0</v>
      </c>
      <c r="K41" s="30">
        <f>E41-G41</f>
        <v>0</v>
      </c>
      <c r="L41" s="31"/>
      <c r="M41" s="31"/>
    </row>
    <row r="42" spans="1:13" ht="23.25" customHeight="1">
      <c r="A42" s="5"/>
      <c r="B42" s="5"/>
      <c r="C42" s="5"/>
      <c r="D42" s="7"/>
      <c r="E42" s="7"/>
      <c r="F42" s="24"/>
      <c r="G42" s="24"/>
      <c r="H42" s="7"/>
      <c r="I42" s="7"/>
      <c r="J42" s="7"/>
      <c r="K42" s="7"/>
    </row>
    <row r="43" spans="1:13">
      <c r="F43" s="24"/>
      <c r="G43" s="24"/>
    </row>
  </sheetData>
  <mergeCells count="12">
    <mergeCell ref="L6:M6"/>
    <mergeCell ref="A8:C8"/>
    <mergeCell ref="A40:C40"/>
    <mergeCell ref="A41:C41"/>
    <mergeCell ref="A2:M2"/>
    <mergeCell ref="A6:A7"/>
    <mergeCell ref="B6:B7"/>
    <mergeCell ref="C6:C7"/>
    <mergeCell ref="D6:E6"/>
    <mergeCell ref="F6:G6"/>
    <mergeCell ref="H6:I6"/>
    <mergeCell ref="J6:K6"/>
  </mergeCells>
  <hyperlinks>
    <hyperlink ref="M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Q43"/>
  <sheetViews>
    <sheetView zoomScale="70" zoomScaleNormal="70" workbookViewId="0">
      <selection activeCell="E13" sqref="E13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0.7109375" style="42" customWidth="1"/>
    <col min="4" max="5" width="13.28515625" style="6" customWidth="1"/>
    <col min="6" max="6" width="11.5703125" style="6" customWidth="1"/>
    <col min="7" max="7" width="12.5703125" style="6" customWidth="1"/>
    <col min="8" max="8" width="11" style="6" customWidth="1"/>
    <col min="9" max="9" width="10.28515625" style="6" customWidth="1"/>
    <col min="10" max="11" width="12.85546875" style="6" customWidth="1"/>
    <col min="12" max="12" width="10" style="42" customWidth="1"/>
    <col min="13" max="13" width="9.7109375" style="42" customWidth="1"/>
    <col min="14" max="16384" width="9.28515625" style="42"/>
  </cols>
  <sheetData>
    <row r="1" spans="1:17" ht="114.75" customHeight="1"/>
    <row r="2" spans="1:17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  <c r="L2" s="1500"/>
      <c r="M2" s="1500"/>
    </row>
    <row r="3" spans="1:17" ht="21.75" customHeight="1">
      <c r="B3" s="64"/>
      <c r="C3" s="64"/>
      <c r="D3" s="64"/>
      <c r="E3" s="64"/>
      <c r="G3" s="66" t="s">
        <v>33</v>
      </c>
      <c r="H3" s="67" t="s">
        <v>54</v>
      </c>
      <c r="I3" s="64"/>
      <c r="J3" s="64"/>
      <c r="K3" s="42"/>
      <c r="L3" s="64"/>
      <c r="M3" s="64"/>
    </row>
    <row r="4" spans="1:17" ht="21.75" customHeight="1">
      <c r="B4" s="42" t="e">
        <f>'FRIT FV 090.540 - FTA'!#REF!</f>
        <v>#REF!</v>
      </c>
      <c r="C4" s="42" t="e">
        <f>'FRIT FV 090.540 - FTA'!#REF!</f>
        <v>#REF!</v>
      </c>
      <c r="D4" s="42" t="e">
        <f>'FRIT FV 090.540 - FTA'!#REF!</f>
        <v>#REF!</v>
      </c>
      <c r="E4" s="42" t="e">
        <f>'FRIT FV 090.540 - FTA'!#REF!</f>
        <v>#REF!</v>
      </c>
      <c r="F4" s="42" t="e">
        <f>'FRIT FV 090.540 - FTA'!#REF!</f>
        <v>#REF!</v>
      </c>
      <c r="G4" s="42" t="e">
        <f>'FRIT FV 090.540 - FTA'!#REF!</f>
        <v>#REF!</v>
      </c>
      <c r="H4" s="42" t="e">
        <f>'FRIT FV 090.540 - FTA'!#REF!</f>
        <v>#REF!</v>
      </c>
      <c r="I4" s="42" t="e">
        <f>'FRIT FV 090.540 - FTA'!#REF!</f>
        <v>#REF!</v>
      </c>
      <c r="J4" s="42"/>
      <c r="K4" s="42"/>
      <c r="L4" s="75"/>
      <c r="M4" s="75"/>
    </row>
    <row r="5" spans="1:17" ht="22.5" customHeight="1">
      <c r="F5" s="10"/>
      <c r="G5" s="10"/>
      <c r="H5" s="10"/>
      <c r="I5" s="10"/>
      <c r="L5" s="12" t="s">
        <v>26</v>
      </c>
      <c r="M5" s="35" t="s">
        <v>18</v>
      </c>
    </row>
    <row r="6" spans="1:17" s="13" customFormat="1" ht="41.25" customHeight="1">
      <c r="A6" s="1518" t="s">
        <v>2</v>
      </c>
      <c r="B6" s="1520" t="s">
        <v>1</v>
      </c>
      <c r="C6" s="1520" t="s">
        <v>24</v>
      </c>
      <c r="D6" s="1513" t="s">
        <v>27</v>
      </c>
      <c r="E6" s="1513"/>
      <c r="F6" s="1513" t="s">
        <v>31</v>
      </c>
      <c r="G6" s="1513"/>
      <c r="H6" s="1513" t="s">
        <v>28</v>
      </c>
      <c r="I6" s="1513"/>
      <c r="J6" s="1513" t="s">
        <v>14</v>
      </c>
      <c r="K6" s="1513"/>
      <c r="L6" s="1513" t="s">
        <v>30</v>
      </c>
      <c r="M6" s="1513"/>
    </row>
    <row r="7" spans="1:17" s="13" customFormat="1" ht="25.5" customHeight="1">
      <c r="A7" s="1519"/>
      <c r="B7" s="1521"/>
      <c r="C7" s="1521"/>
      <c r="D7" s="38" t="s">
        <v>6</v>
      </c>
      <c r="E7" s="34" t="s">
        <v>25</v>
      </c>
      <c r="F7" s="38" t="s">
        <v>6</v>
      </c>
      <c r="G7" s="34" t="s">
        <v>12</v>
      </c>
      <c r="H7" s="38" t="s">
        <v>6</v>
      </c>
      <c r="I7" s="34" t="s">
        <v>12</v>
      </c>
      <c r="J7" s="38" t="s">
        <v>6</v>
      </c>
      <c r="K7" s="34" t="s">
        <v>12</v>
      </c>
      <c r="L7" s="38" t="s">
        <v>6</v>
      </c>
      <c r="M7" s="34" t="s">
        <v>12</v>
      </c>
    </row>
    <row r="8" spans="1:17" s="13" customFormat="1" ht="25.5" customHeight="1">
      <c r="A8" s="1514" t="s">
        <v>3</v>
      </c>
      <c r="B8" s="1515"/>
      <c r="C8" s="1516"/>
      <c r="D8" s="14">
        <v>0</v>
      </c>
      <c r="E8" s="14">
        <v>0</v>
      </c>
      <c r="F8" s="14"/>
      <c r="G8" s="14"/>
      <c r="H8" s="14"/>
      <c r="I8" s="14"/>
      <c r="J8" s="26">
        <v>8896</v>
      </c>
      <c r="K8" s="25">
        <v>8896</v>
      </c>
      <c r="L8" s="70"/>
      <c r="M8" s="17"/>
    </row>
    <row r="9" spans="1:17" s="13" customFormat="1" ht="22.5" customHeight="1">
      <c r="A9" s="18">
        <v>1</v>
      </c>
      <c r="B9" s="19">
        <f>'FRIT FV 090.540 - FTA'!B9</f>
        <v>46235</v>
      </c>
      <c r="C9" s="19" t="s">
        <v>23</v>
      </c>
      <c r="D9" s="70"/>
      <c r="E9" s="70"/>
      <c r="F9" s="47"/>
      <c r="G9" s="47"/>
      <c r="H9" s="40">
        <f>SUM($F$8:F9)/A9</f>
        <v>0</v>
      </c>
      <c r="I9" s="41">
        <f>SUM($G$8:G9)/A9</f>
        <v>0</v>
      </c>
      <c r="J9" s="20">
        <f t="shared" ref="J9:K11" si="0">J8+D9-F9</f>
        <v>8896</v>
      </c>
      <c r="K9" s="22">
        <f t="shared" si="0"/>
        <v>8896</v>
      </c>
      <c r="L9" s="82" t="e">
        <f>J9/H9</f>
        <v>#DIV/0!</v>
      </c>
      <c r="M9" s="82" t="e">
        <f>K9/I9</f>
        <v>#DIV/0!</v>
      </c>
    </row>
    <row r="10" spans="1:17" s="13" customFormat="1" ht="22.5" customHeight="1">
      <c r="A10" s="18">
        <v>2</v>
      </c>
      <c r="B10" s="19">
        <f>'FRIT FV 090.540 - FTA'!B10</f>
        <v>46236</v>
      </c>
      <c r="C10" s="19" t="s">
        <v>23</v>
      </c>
      <c r="D10" s="70"/>
      <c r="E10" s="70"/>
      <c r="F10" s="47"/>
      <c r="G10" s="47"/>
      <c r="H10" s="40">
        <f>SUM($F$8:F10)/A10</f>
        <v>0</v>
      </c>
      <c r="I10" s="41">
        <f>SUM($G$8:G10)/A10</f>
        <v>0</v>
      </c>
      <c r="J10" s="20">
        <f t="shared" si="0"/>
        <v>8896</v>
      </c>
      <c r="K10" s="22">
        <f t="shared" si="0"/>
        <v>8896</v>
      </c>
      <c r="L10" s="82" t="e">
        <f t="shared" ref="L10:L39" si="1">J10/H10</f>
        <v>#DIV/0!</v>
      </c>
      <c r="M10" s="82" t="e">
        <f t="shared" ref="M10:M39" si="2">K10/I10</f>
        <v>#DIV/0!</v>
      </c>
    </row>
    <row r="11" spans="1:17" s="13" customFormat="1" ht="22.5" customHeight="1">
      <c r="A11" s="18">
        <v>3</v>
      </c>
      <c r="B11" s="19">
        <f>'FRIT FV 090.540 - FTA'!B11</f>
        <v>46237</v>
      </c>
      <c r="C11" s="19" t="s">
        <v>23</v>
      </c>
      <c r="D11" s="70"/>
      <c r="E11" s="70"/>
      <c r="F11" s="47"/>
      <c r="G11" s="47"/>
      <c r="H11" s="40">
        <f>SUM($F$8:F11)/A11</f>
        <v>0</v>
      </c>
      <c r="I11" s="41">
        <f>SUM($G$8:G11)/A11</f>
        <v>0</v>
      </c>
      <c r="J11" s="20">
        <f t="shared" si="0"/>
        <v>8896</v>
      </c>
      <c r="K11" s="22">
        <f t="shared" si="0"/>
        <v>8896</v>
      </c>
      <c r="L11" s="82" t="e">
        <f t="shared" si="1"/>
        <v>#DIV/0!</v>
      </c>
      <c r="M11" s="82" t="e">
        <f t="shared" si="2"/>
        <v>#DIV/0!</v>
      </c>
    </row>
    <row r="12" spans="1:17" s="23" customFormat="1" ht="22.5" customHeight="1">
      <c r="A12" s="18">
        <v>4</v>
      </c>
      <c r="B12" s="19">
        <f>'FRIT FV 090.540 - FTA'!B12</f>
        <v>46238</v>
      </c>
      <c r="C12" s="19" t="s">
        <v>23</v>
      </c>
      <c r="D12" s="70"/>
      <c r="E12" s="70"/>
      <c r="F12" s="47"/>
      <c r="G12" s="47"/>
      <c r="H12" s="40">
        <f>SUM($F$8:F12)/A12</f>
        <v>0</v>
      </c>
      <c r="I12" s="41">
        <f>SUM($G$8:G12)/A12</f>
        <v>0</v>
      </c>
      <c r="J12" s="20">
        <f t="shared" ref="J12:K27" si="3">J11+D12-F12</f>
        <v>8896</v>
      </c>
      <c r="K12" s="22">
        <f t="shared" si="3"/>
        <v>8896</v>
      </c>
      <c r="L12" s="82" t="e">
        <f t="shared" si="1"/>
        <v>#DIV/0!</v>
      </c>
      <c r="M12" s="82" t="e">
        <f t="shared" si="2"/>
        <v>#DIV/0!</v>
      </c>
      <c r="O12" s="13"/>
      <c r="P12" s="13"/>
      <c r="Q12" s="13"/>
    </row>
    <row r="13" spans="1:17" s="23" customFormat="1" ht="22.5" customHeight="1">
      <c r="A13" s="18">
        <v>5</v>
      </c>
      <c r="B13" s="19">
        <f>'FRIT FV 090.540 - FTA'!B13</f>
        <v>46239</v>
      </c>
      <c r="C13" s="19" t="s">
        <v>23</v>
      </c>
      <c r="D13" s="70"/>
      <c r="E13" s="70"/>
      <c r="F13" s="47"/>
      <c r="G13" s="47"/>
      <c r="H13" s="40">
        <f>SUM($F$8:F13)/A13</f>
        <v>0</v>
      </c>
      <c r="I13" s="41">
        <f>SUM($G$8:G13)/A13</f>
        <v>0</v>
      </c>
      <c r="J13" s="20">
        <f t="shared" si="3"/>
        <v>8896</v>
      </c>
      <c r="K13" s="22">
        <f t="shared" si="3"/>
        <v>8896</v>
      </c>
      <c r="L13" s="82" t="e">
        <f t="shared" si="1"/>
        <v>#DIV/0!</v>
      </c>
      <c r="M13" s="82" t="e">
        <f t="shared" si="2"/>
        <v>#DIV/0!</v>
      </c>
    </row>
    <row r="14" spans="1:17" s="23" customFormat="1" ht="22.5" customHeight="1">
      <c r="A14" s="18">
        <v>6</v>
      </c>
      <c r="B14" s="19">
        <f>'FRIT FV 090.540 - FTA'!B14</f>
        <v>46240</v>
      </c>
      <c r="C14" s="19" t="s">
        <v>23</v>
      </c>
      <c r="D14" s="70"/>
      <c r="E14" s="70"/>
      <c r="F14" s="47"/>
      <c r="G14" s="47"/>
      <c r="H14" s="40">
        <f>SUM($F$8:F14)/A14</f>
        <v>0</v>
      </c>
      <c r="I14" s="41">
        <f>SUM($G$8:G14)/A14</f>
        <v>0</v>
      </c>
      <c r="J14" s="20">
        <f t="shared" si="3"/>
        <v>8896</v>
      </c>
      <c r="K14" s="22">
        <f t="shared" si="3"/>
        <v>8896</v>
      </c>
      <c r="L14" s="82" t="e">
        <f t="shared" si="1"/>
        <v>#DIV/0!</v>
      </c>
      <c r="M14" s="82" t="e">
        <f t="shared" si="2"/>
        <v>#DIV/0!</v>
      </c>
    </row>
    <row r="15" spans="1:17" s="23" customFormat="1" ht="22.5" customHeight="1">
      <c r="A15" s="36">
        <v>7</v>
      </c>
      <c r="B15" s="19">
        <f>'FRIT FV 090.540 - FTA'!B15</f>
        <v>46241</v>
      </c>
      <c r="C15" s="19" t="s">
        <v>23</v>
      </c>
      <c r="D15" s="70"/>
      <c r="E15" s="70"/>
      <c r="F15" s="47"/>
      <c r="G15" s="47"/>
      <c r="H15" s="40">
        <f>SUM($F$8:F15)/A15</f>
        <v>0</v>
      </c>
      <c r="I15" s="41">
        <f>SUM($G$8:G15)/A15</f>
        <v>0</v>
      </c>
      <c r="J15" s="20">
        <f t="shared" si="3"/>
        <v>8896</v>
      </c>
      <c r="K15" s="22">
        <f t="shared" si="3"/>
        <v>8896</v>
      </c>
      <c r="L15" s="82" t="e">
        <f t="shared" si="1"/>
        <v>#DIV/0!</v>
      </c>
      <c r="M15" s="82" t="e">
        <f t="shared" si="2"/>
        <v>#DIV/0!</v>
      </c>
    </row>
    <row r="16" spans="1:17" s="23" customFormat="1" ht="22.5" customHeight="1">
      <c r="A16" s="18">
        <v>8</v>
      </c>
      <c r="B16" s="19">
        <f>'FRIT FV 090.540 - FTA'!B16</f>
        <v>46242</v>
      </c>
      <c r="C16" s="19" t="s">
        <v>23</v>
      </c>
      <c r="D16" s="70"/>
      <c r="E16" s="70"/>
      <c r="F16" s="47"/>
      <c r="G16" s="47"/>
      <c r="H16" s="40">
        <f>SUM($F$8:F16)/A16</f>
        <v>0</v>
      </c>
      <c r="I16" s="41">
        <f>SUM($G$8:G16)/A16</f>
        <v>0</v>
      </c>
      <c r="J16" s="20">
        <f t="shared" si="3"/>
        <v>8896</v>
      </c>
      <c r="K16" s="22">
        <f t="shared" si="3"/>
        <v>8896</v>
      </c>
      <c r="L16" s="82" t="e">
        <f t="shared" si="1"/>
        <v>#DIV/0!</v>
      </c>
      <c r="M16" s="82" t="e">
        <f t="shared" si="2"/>
        <v>#DIV/0!</v>
      </c>
    </row>
    <row r="17" spans="1:13" s="23" customFormat="1" ht="22.5" customHeight="1">
      <c r="A17" s="18">
        <v>9</v>
      </c>
      <c r="B17" s="19">
        <f>'FRIT FV 090.540 - FTA'!B17</f>
        <v>46243</v>
      </c>
      <c r="C17" s="19" t="s">
        <v>23</v>
      </c>
      <c r="D17" s="70"/>
      <c r="E17" s="70"/>
      <c r="F17" s="47"/>
      <c r="G17" s="47"/>
      <c r="H17" s="40">
        <f>SUM($F$8:F17)/A17</f>
        <v>0</v>
      </c>
      <c r="I17" s="41">
        <f>SUM($G$8:G17)/A17</f>
        <v>0</v>
      </c>
      <c r="J17" s="20">
        <f t="shared" si="3"/>
        <v>8896</v>
      </c>
      <c r="K17" s="22">
        <f t="shared" si="3"/>
        <v>8896</v>
      </c>
      <c r="L17" s="82" t="e">
        <f t="shared" si="1"/>
        <v>#DIV/0!</v>
      </c>
      <c r="M17" s="82" t="e">
        <f t="shared" si="2"/>
        <v>#DIV/0!</v>
      </c>
    </row>
    <row r="18" spans="1:13" s="23" customFormat="1" ht="22.5" customHeight="1">
      <c r="A18" s="18">
        <v>10</v>
      </c>
      <c r="B18" s="19">
        <f>'FRIT FV 090.540 - FTA'!B18</f>
        <v>46244</v>
      </c>
      <c r="C18" s="19" t="s">
        <v>23</v>
      </c>
      <c r="D18" s="70"/>
      <c r="E18" s="70"/>
      <c r="F18" s="47"/>
      <c r="G18" s="47"/>
      <c r="H18" s="40">
        <f>SUM($F$8:F18)/A18</f>
        <v>0</v>
      </c>
      <c r="I18" s="41">
        <f>SUM($G$8:G18)/A18</f>
        <v>0</v>
      </c>
      <c r="J18" s="20">
        <f t="shared" si="3"/>
        <v>8896</v>
      </c>
      <c r="K18" s="22">
        <f t="shared" si="3"/>
        <v>8896</v>
      </c>
      <c r="L18" s="82" t="e">
        <f t="shared" si="1"/>
        <v>#DIV/0!</v>
      </c>
      <c r="M18" s="82" t="e">
        <f t="shared" si="2"/>
        <v>#DIV/0!</v>
      </c>
    </row>
    <row r="19" spans="1:13" s="23" customFormat="1" ht="22.5" customHeight="1">
      <c r="A19" s="18">
        <v>11</v>
      </c>
      <c r="B19" s="19">
        <f>'FRIT FV 090.540 - FTA'!B19</f>
        <v>46245</v>
      </c>
      <c r="C19" s="19" t="s">
        <v>23</v>
      </c>
      <c r="D19" s="70"/>
      <c r="E19" s="70"/>
      <c r="F19" s="47"/>
      <c r="G19" s="47"/>
      <c r="H19" s="40">
        <f>SUM($F$8:F19)/A19</f>
        <v>0</v>
      </c>
      <c r="I19" s="41">
        <f>SUM($G$8:G19)/A19</f>
        <v>0</v>
      </c>
      <c r="J19" s="20">
        <f t="shared" si="3"/>
        <v>8896</v>
      </c>
      <c r="K19" s="22">
        <f t="shared" si="3"/>
        <v>8896</v>
      </c>
      <c r="L19" s="82" t="e">
        <f t="shared" si="1"/>
        <v>#DIV/0!</v>
      </c>
      <c r="M19" s="82" t="e">
        <f t="shared" si="2"/>
        <v>#DIV/0!</v>
      </c>
    </row>
    <row r="20" spans="1:13" s="23" customFormat="1" ht="22.5" customHeight="1">
      <c r="A20" s="18">
        <v>12</v>
      </c>
      <c r="B20" s="19">
        <f>'FRIT FV 090.540 - FTA'!B20</f>
        <v>46246</v>
      </c>
      <c r="C20" s="19" t="s">
        <v>23</v>
      </c>
      <c r="D20" s="70"/>
      <c r="E20" s="70"/>
      <c r="F20" s="47"/>
      <c r="G20" s="47"/>
      <c r="H20" s="40">
        <f>SUM($F$8:F20)/A20</f>
        <v>0</v>
      </c>
      <c r="I20" s="41">
        <f>SUM($G$8:G20)/A20</f>
        <v>0</v>
      </c>
      <c r="J20" s="20">
        <f t="shared" si="3"/>
        <v>8896</v>
      </c>
      <c r="K20" s="22">
        <f t="shared" si="3"/>
        <v>8896</v>
      </c>
      <c r="L20" s="82" t="e">
        <f t="shared" si="1"/>
        <v>#DIV/0!</v>
      </c>
      <c r="M20" s="82" t="e">
        <f t="shared" si="2"/>
        <v>#DIV/0!</v>
      </c>
    </row>
    <row r="21" spans="1:13" s="23" customFormat="1" ht="22.5" customHeight="1">
      <c r="A21" s="18">
        <v>13</v>
      </c>
      <c r="B21" s="19">
        <f>'FRIT FV 090.540 - FTA'!B21</f>
        <v>46247</v>
      </c>
      <c r="C21" s="19" t="s">
        <v>23</v>
      </c>
      <c r="D21" s="70"/>
      <c r="E21" s="70"/>
      <c r="F21" s="47"/>
      <c r="G21" s="47"/>
      <c r="H21" s="40">
        <f>SUM($F$8:F21)/A21</f>
        <v>0</v>
      </c>
      <c r="I21" s="41">
        <f>SUM($G$8:G21)/A21</f>
        <v>0</v>
      </c>
      <c r="J21" s="20">
        <f t="shared" si="3"/>
        <v>8896</v>
      </c>
      <c r="K21" s="22">
        <f>K20+E21-G21</f>
        <v>8896</v>
      </c>
      <c r="L21" s="82" t="e">
        <f t="shared" si="1"/>
        <v>#DIV/0!</v>
      </c>
      <c r="M21" s="82" t="e">
        <f t="shared" si="2"/>
        <v>#DIV/0!</v>
      </c>
    </row>
    <row r="22" spans="1:13" s="23" customFormat="1" ht="22.5" customHeight="1">
      <c r="A22" s="36">
        <v>14</v>
      </c>
      <c r="B22" s="19">
        <f>'FRIT FV 090.540 - FTA'!B22</f>
        <v>46248</v>
      </c>
      <c r="C22" s="19" t="s">
        <v>23</v>
      </c>
      <c r="D22" s="70"/>
      <c r="E22" s="70"/>
      <c r="F22" s="47"/>
      <c r="G22" s="47"/>
      <c r="H22" s="40">
        <f>SUM($F$8:F22)/A22</f>
        <v>0</v>
      </c>
      <c r="I22" s="41">
        <f>SUM($G$8:G22)/A22</f>
        <v>0</v>
      </c>
      <c r="J22" s="20">
        <f t="shared" si="3"/>
        <v>8896</v>
      </c>
      <c r="K22" s="22">
        <f>K21+E22-G22</f>
        <v>8896</v>
      </c>
      <c r="L22" s="82" t="e">
        <f t="shared" si="1"/>
        <v>#DIV/0!</v>
      </c>
      <c r="M22" s="82" t="e">
        <f t="shared" si="2"/>
        <v>#DIV/0!</v>
      </c>
    </row>
    <row r="23" spans="1:13" s="23" customFormat="1" ht="22.5" customHeight="1">
      <c r="A23" s="18">
        <v>15</v>
      </c>
      <c r="B23" s="19">
        <f>'FRIT FV 090.540 - FTA'!B23</f>
        <v>46249</v>
      </c>
      <c r="C23" s="19" t="s">
        <v>23</v>
      </c>
      <c r="D23" s="70"/>
      <c r="E23" s="70"/>
      <c r="F23" s="47"/>
      <c r="G23" s="47"/>
      <c r="H23" s="40">
        <f>SUM($F$8:F23)/A23</f>
        <v>0</v>
      </c>
      <c r="I23" s="41">
        <f>SUM($G$8:G23)/A23</f>
        <v>0</v>
      </c>
      <c r="J23" s="20">
        <f t="shared" si="3"/>
        <v>8896</v>
      </c>
      <c r="K23" s="22">
        <f t="shared" si="3"/>
        <v>8896</v>
      </c>
      <c r="L23" s="82" t="e">
        <f t="shared" si="1"/>
        <v>#DIV/0!</v>
      </c>
      <c r="M23" s="82" t="e">
        <f t="shared" si="2"/>
        <v>#DIV/0!</v>
      </c>
    </row>
    <row r="24" spans="1:13" s="23" customFormat="1" ht="22.5" customHeight="1">
      <c r="A24" s="18">
        <v>16</v>
      </c>
      <c r="B24" s="19">
        <f>'FRIT FV 090.540 - FTA'!B24</f>
        <v>46250</v>
      </c>
      <c r="C24" s="19" t="s">
        <v>23</v>
      </c>
      <c r="D24" s="70"/>
      <c r="E24" s="70"/>
      <c r="F24" s="48"/>
      <c r="G24" s="47"/>
      <c r="H24" s="40">
        <f>SUM($F$8:F24)/A24</f>
        <v>0</v>
      </c>
      <c r="I24" s="41">
        <f>SUM($G$8:G24)/A24</f>
        <v>0</v>
      </c>
      <c r="J24" s="20">
        <f t="shared" si="3"/>
        <v>8896</v>
      </c>
      <c r="K24" s="22">
        <f>K23+E24-G24</f>
        <v>8896</v>
      </c>
      <c r="L24" s="82" t="e">
        <f t="shared" si="1"/>
        <v>#DIV/0!</v>
      </c>
      <c r="M24" s="82" t="e">
        <f t="shared" si="2"/>
        <v>#DIV/0!</v>
      </c>
    </row>
    <row r="25" spans="1:13" s="23" customFormat="1" ht="22.5" customHeight="1">
      <c r="A25" s="18">
        <v>17</v>
      </c>
      <c r="B25" s="19">
        <f>'FRIT FV 090.540 - FTA'!B25</f>
        <v>46251</v>
      </c>
      <c r="C25" s="19" t="s">
        <v>23</v>
      </c>
      <c r="D25" s="70"/>
      <c r="E25" s="70"/>
      <c r="F25" s="47"/>
      <c r="G25" s="47"/>
      <c r="H25" s="40">
        <f>SUM($F$8:F25)/A25</f>
        <v>0</v>
      </c>
      <c r="I25" s="41">
        <f>SUM($G$8:G25)/A25</f>
        <v>0</v>
      </c>
      <c r="J25" s="20">
        <f t="shared" si="3"/>
        <v>8896</v>
      </c>
      <c r="K25" s="22">
        <f>K24+E25-G25</f>
        <v>8896</v>
      </c>
      <c r="L25" s="82" t="e">
        <f t="shared" si="1"/>
        <v>#DIV/0!</v>
      </c>
      <c r="M25" s="82" t="e">
        <f t="shared" si="2"/>
        <v>#DIV/0!</v>
      </c>
    </row>
    <row r="26" spans="1:13" s="23" customFormat="1" ht="22.5" customHeight="1">
      <c r="A26" s="18">
        <v>18</v>
      </c>
      <c r="B26" s="19">
        <f>'FRIT FV 090.540 - FTA'!B26</f>
        <v>46252</v>
      </c>
      <c r="C26" s="19" t="s">
        <v>23</v>
      </c>
      <c r="D26" s="70"/>
      <c r="E26" s="70"/>
      <c r="F26" s="47"/>
      <c r="G26" s="47"/>
      <c r="H26" s="40">
        <f>SUM($F$8:F26)/A26</f>
        <v>0</v>
      </c>
      <c r="I26" s="41">
        <f>SUM($G$8:G26)/A26</f>
        <v>0</v>
      </c>
      <c r="J26" s="20">
        <f t="shared" si="3"/>
        <v>8896</v>
      </c>
      <c r="K26" s="22">
        <f>K25+E26-G26</f>
        <v>8896</v>
      </c>
      <c r="L26" s="82" t="e">
        <f t="shared" si="1"/>
        <v>#DIV/0!</v>
      </c>
      <c r="M26" s="82" t="e">
        <f t="shared" si="2"/>
        <v>#DIV/0!</v>
      </c>
    </row>
    <row r="27" spans="1:13" s="23" customFormat="1" ht="22.5" customHeight="1">
      <c r="A27" s="18">
        <v>19</v>
      </c>
      <c r="B27" s="19">
        <f>'FRIT FV 090.540 - FTA'!B27</f>
        <v>46253</v>
      </c>
      <c r="C27" s="19" t="s">
        <v>23</v>
      </c>
      <c r="D27" s="70"/>
      <c r="E27" s="70"/>
      <c r="F27" s="47"/>
      <c r="G27" s="47"/>
      <c r="H27" s="40">
        <f>SUM($F$8:F27)/A27</f>
        <v>0</v>
      </c>
      <c r="I27" s="41">
        <f>SUM($G$8:G27)/A27</f>
        <v>0</v>
      </c>
      <c r="J27" s="20">
        <f t="shared" si="3"/>
        <v>8896</v>
      </c>
      <c r="K27" s="22">
        <f>K26+E27-G27</f>
        <v>8896</v>
      </c>
      <c r="L27" s="82" t="e">
        <f t="shared" si="1"/>
        <v>#DIV/0!</v>
      </c>
      <c r="M27" s="82" t="e">
        <f t="shared" si="2"/>
        <v>#DIV/0!</v>
      </c>
    </row>
    <row r="28" spans="1:13" s="23" customFormat="1" ht="22.5" customHeight="1">
      <c r="A28" s="18">
        <v>20</v>
      </c>
      <c r="B28" s="19">
        <f>'FRIT FV 090.540 - FTA'!B28</f>
        <v>46254</v>
      </c>
      <c r="C28" s="19" t="s">
        <v>23</v>
      </c>
      <c r="D28" s="70"/>
      <c r="E28" s="70"/>
      <c r="F28" s="47"/>
      <c r="G28" s="47"/>
      <c r="H28" s="40">
        <f>SUM($F$8:F28)/A28</f>
        <v>0</v>
      </c>
      <c r="I28" s="41">
        <f>SUM($G$8:G28)/A28</f>
        <v>0</v>
      </c>
      <c r="J28" s="20">
        <f t="shared" ref="J28:K39" si="4">J27+D28-F28</f>
        <v>8896</v>
      </c>
      <c r="K28" s="22">
        <f t="shared" si="4"/>
        <v>8896</v>
      </c>
      <c r="L28" s="82" t="e">
        <f t="shared" si="1"/>
        <v>#DIV/0!</v>
      </c>
      <c r="M28" s="82" t="e">
        <f t="shared" si="2"/>
        <v>#DIV/0!</v>
      </c>
    </row>
    <row r="29" spans="1:13" s="23" customFormat="1" ht="22.5" customHeight="1">
      <c r="A29" s="36">
        <v>21</v>
      </c>
      <c r="B29" s="19">
        <f>'FRIT FV 090.540 - FTA'!B29</f>
        <v>46255</v>
      </c>
      <c r="C29" s="19" t="s">
        <v>23</v>
      </c>
      <c r="D29" s="70"/>
      <c r="E29" s="70"/>
      <c r="F29" s="47"/>
      <c r="G29" s="47"/>
      <c r="H29" s="40">
        <f>SUM($F$8:F29)/A29</f>
        <v>0</v>
      </c>
      <c r="I29" s="41">
        <f>SUM($G$8:G29)/A29</f>
        <v>0</v>
      </c>
      <c r="J29" s="20">
        <f t="shared" si="4"/>
        <v>8896</v>
      </c>
      <c r="K29" s="22">
        <f t="shared" si="4"/>
        <v>8896</v>
      </c>
      <c r="L29" s="82" t="e">
        <f t="shared" si="1"/>
        <v>#DIV/0!</v>
      </c>
      <c r="M29" s="82" t="e">
        <f t="shared" si="2"/>
        <v>#DIV/0!</v>
      </c>
    </row>
    <row r="30" spans="1:13" s="23" customFormat="1" ht="22.5" customHeight="1">
      <c r="A30" s="18">
        <v>22</v>
      </c>
      <c r="B30" s="19">
        <f>'FRIT FV 090.540 - FTA'!B30</f>
        <v>46256</v>
      </c>
      <c r="C30" s="19" t="s">
        <v>23</v>
      </c>
      <c r="D30" s="70"/>
      <c r="E30" s="70"/>
      <c r="F30" s="47"/>
      <c r="G30" s="47"/>
      <c r="H30" s="40">
        <f>SUM($F$8:F30)/A30</f>
        <v>0</v>
      </c>
      <c r="I30" s="41">
        <f>SUM($G$8:G30)/A30</f>
        <v>0</v>
      </c>
      <c r="J30" s="20">
        <f t="shared" si="4"/>
        <v>8896</v>
      </c>
      <c r="K30" s="22">
        <f t="shared" si="4"/>
        <v>8896</v>
      </c>
      <c r="L30" s="82" t="e">
        <f t="shared" si="1"/>
        <v>#DIV/0!</v>
      </c>
      <c r="M30" s="82" t="e">
        <f t="shared" si="2"/>
        <v>#DIV/0!</v>
      </c>
    </row>
    <row r="31" spans="1:13" s="23" customFormat="1" ht="22.5" customHeight="1">
      <c r="A31" s="18">
        <v>23</v>
      </c>
      <c r="B31" s="19">
        <f>'FRIT FV 090.540 - FTA'!B31</f>
        <v>46257</v>
      </c>
      <c r="C31" s="19" t="s">
        <v>23</v>
      </c>
      <c r="D31" s="70"/>
      <c r="E31" s="70"/>
      <c r="F31" s="47"/>
      <c r="G31" s="47"/>
      <c r="H31" s="40">
        <f>SUM($F$8:F31)/A31</f>
        <v>0</v>
      </c>
      <c r="I31" s="41">
        <f>SUM($G$8:G31)/A31</f>
        <v>0</v>
      </c>
      <c r="J31" s="20">
        <f t="shared" si="4"/>
        <v>8896</v>
      </c>
      <c r="K31" s="22">
        <f t="shared" si="4"/>
        <v>8896</v>
      </c>
      <c r="L31" s="82" t="e">
        <f t="shared" si="1"/>
        <v>#DIV/0!</v>
      </c>
      <c r="M31" s="82" t="e">
        <f t="shared" si="2"/>
        <v>#DIV/0!</v>
      </c>
    </row>
    <row r="32" spans="1:13" s="23" customFormat="1" ht="22.5" customHeight="1">
      <c r="A32" s="18">
        <v>24</v>
      </c>
      <c r="B32" s="19">
        <f>'FRIT FV 090.540 - FTA'!B32</f>
        <v>46258</v>
      </c>
      <c r="C32" s="19" t="s">
        <v>23</v>
      </c>
      <c r="D32" s="70"/>
      <c r="E32" s="70"/>
      <c r="F32" s="47"/>
      <c r="G32" s="47"/>
      <c r="H32" s="40">
        <f>SUM($F$8:F32)/A32</f>
        <v>0</v>
      </c>
      <c r="I32" s="41">
        <f>SUM($G$8:G32)/A32</f>
        <v>0</v>
      </c>
      <c r="J32" s="20">
        <f t="shared" si="4"/>
        <v>8896</v>
      </c>
      <c r="K32" s="22">
        <f t="shared" si="4"/>
        <v>8896</v>
      </c>
      <c r="L32" s="82" t="e">
        <f t="shared" si="1"/>
        <v>#DIV/0!</v>
      </c>
      <c r="M32" s="82" t="e">
        <f t="shared" si="2"/>
        <v>#DIV/0!</v>
      </c>
    </row>
    <row r="33" spans="1:13" s="23" customFormat="1" ht="22.5" customHeight="1">
      <c r="A33" s="18">
        <v>25</v>
      </c>
      <c r="B33" s="19">
        <f>'FRIT FV 090.540 - FTA'!B33</f>
        <v>46259</v>
      </c>
      <c r="C33" s="19" t="s">
        <v>23</v>
      </c>
      <c r="D33" s="70"/>
      <c r="E33" s="70"/>
      <c r="F33" s="47"/>
      <c r="G33" s="47"/>
      <c r="H33" s="40">
        <f>SUM($F$8:F33)/A33</f>
        <v>0</v>
      </c>
      <c r="I33" s="41">
        <f>SUM($G$8:G33)/A33</f>
        <v>0</v>
      </c>
      <c r="J33" s="20">
        <f t="shared" si="4"/>
        <v>8896</v>
      </c>
      <c r="K33" s="22">
        <f t="shared" si="4"/>
        <v>8896</v>
      </c>
      <c r="L33" s="82" t="e">
        <f t="shared" si="1"/>
        <v>#DIV/0!</v>
      </c>
      <c r="M33" s="82" t="e">
        <f t="shared" si="2"/>
        <v>#DIV/0!</v>
      </c>
    </row>
    <row r="34" spans="1:13" s="23" customFormat="1" ht="22.5" customHeight="1">
      <c r="A34" s="18">
        <v>26</v>
      </c>
      <c r="B34" s="19">
        <f>'FRIT FV 090.540 - FTA'!B34</f>
        <v>46260</v>
      </c>
      <c r="C34" s="19" t="s">
        <v>23</v>
      </c>
      <c r="D34" s="70"/>
      <c r="E34" s="70"/>
      <c r="F34" s="47"/>
      <c r="G34" s="47"/>
      <c r="H34" s="40">
        <f>SUM($F$8:F34)/A34</f>
        <v>0</v>
      </c>
      <c r="I34" s="41">
        <f>SUM($G$8:G34)/A34</f>
        <v>0</v>
      </c>
      <c r="J34" s="20">
        <f t="shared" si="4"/>
        <v>8896</v>
      </c>
      <c r="K34" s="22">
        <f t="shared" si="4"/>
        <v>8896</v>
      </c>
      <c r="L34" s="82" t="e">
        <f t="shared" si="1"/>
        <v>#DIV/0!</v>
      </c>
      <c r="M34" s="82" t="e">
        <f t="shared" si="2"/>
        <v>#DIV/0!</v>
      </c>
    </row>
    <row r="35" spans="1:13" s="23" customFormat="1" ht="22.5" customHeight="1">
      <c r="A35" s="18">
        <v>27</v>
      </c>
      <c r="B35" s="19">
        <f>'FRIT FV 090.540 - FTA'!B35</f>
        <v>46261</v>
      </c>
      <c r="C35" s="19" t="s">
        <v>23</v>
      </c>
      <c r="D35" s="70"/>
      <c r="E35" s="70"/>
      <c r="F35" s="47"/>
      <c r="G35" s="47"/>
      <c r="H35" s="40">
        <f>SUM($F$8:F35)/A35</f>
        <v>0</v>
      </c>
      <c r="I35" s="41">
        <f>SUM($G$8:G35)/A35</f>
        <v>0</v>
      </c>
      <c r="J35" s="20">
        <f t="shared" si="4"/>
        <v>8896</v>
      </c>
      <c r="K35" s="22">
        <f t="shared" si="4"/>
        <v>8896</v>
      </c>
      <c r="L35" s="82" t="e">
        <f t="shared" si="1"/>
        <v>#DIV/0!</v>
      </c>
      <c r="M35" s="82" t="e">
        <f t="shared" si="2"/>
        <v>#DIV/0!</v>
      </c>
    </row>
    <row r="36" spans="1:13" s="23" customFormat="1" ht="22.5" customHeight="1">
      <c r="A36" s="36">
        <v>28</v>
      </c>
      <c r="B36" s="19">
        <f>'FRIT FV 090.540 - FTA'!B36</f>
        <v>46262</v>
      </c>
      <c r="C36" s="19" t="s">
        <v>23</v>
      </c>
      <c r="D36" s="70"/>
      <c r="E36" s="70"/>
      <c r="F36" s="47"/>
      <c r="G36" s="47"/>
      <c r="H36" s="40">
        <f>SUM($F$8:F36)/A36</f>
        <v>0</v>
      </c>
      <c r="I36" s="41">
        <f>SUM($G$8:G36)/A36</f>
        <v>0</v>
      </c>
      <c r="J36" s="20">
        <f t="shared" si="4"/>
        <v>8896</v>
      </c>
      <c r="K36" s="22">
        <f t="shared" si="4"/>
        <v>8896</v>
      </c>
      <c r="L36" s="82" t="e">
        <f t="shared" si="1"/>
        <v>#DIV/0!</v>
      </c>
      <c r="M36" s="82" t="e">
        <f t="shared" si="2"/>
        <v>#DIV/0!</v>
      </c>
    </row>
    <row r="37" spans="1:13" s="23" customFormat="1" ht="22.5" customHeight="1">
      <c r="A37" s="18">
        <v>29</v>
      </c>
      <c r="B37" s="19">
        <f>'FRIT FV 090.540 - FTA'!B37</f>
        <v>46263</v>
      </c>
      <c r="C37" s="19" t="s">
        <v>23</v>
      </c>
      <c r="D37" s="70"/>
      <c r="E37" s="70"/>
      <c r="F37" s="47"/>
      <c r="G37" s="47"/>
      <c r="H37" s="40">
        <f>SUM($F$8:F37)/A37</f>
        <v>0</v>
      </c>
      <c r="I37" s="41">
        <f>SUM($G$8:G37)/A37</f>
        <v>0</v>
      </c>
      <c r="J37" s="20">
        <f t="shared" si="4"/>
        <v>8896</v>
      </c>
      <c r="K37" s="22">
        <f t="shared" si="4"/>
        <v>8896</v>
      </c>
      <c r="L37" s="82" t="e">
        <f t="shared" si="1"/>
        <v>#DIV/0!</v>
      </c>
      <c r="M37" s="82" t="e">
        <f t="shared" si="2"/>
        <v>#DIV/0!</v>
      </c>
    </row>
    <row r="38" spans="1:13" s="23" customFormat="1" ht="22.5" customHeight="1">
      <c r="A38" s="18">
        <v>30</v>
      </c>
      <c r="B38" s="19">
        <f>'FRIT FV 090.540 - FTA'!B38</f>
        <v>46264</v>
      </c>
      <c r="C38" s="19" t="s">
        <v>23</v>
      </c>
      <c r="D38" s="70"/>
      <c r="E38" s="70"/>
      <c r="F38" s="47"/>
      <c r="G38" s="47"/>
      <c r="H38" s="40">
        <f>SUM($F$8:F38)/A38</f>
        <v>0</v>
      </c>
      <c r="I38" s="41">
        <f>SUM($G$8:G38)/A38</f>
        <v>0</v>
      </c>
      <c r="J38" s="20">
        <f t="shared" si="4"/>
        <v>8896</v>
      </c>
      <c r="K38" s="22">
        <f t="shared" si="4"/>
        <v>8896</v>
      </c>
      <c r="L38" s="82" t="e">
        <f t="shared" si="1"/>
        <v>#DIV/0!</v>
      </c>
      <c r="M38" s="82" t="e">
        <f t="shared" si="2"/>
        <v>#DIV/0!</v>
      </c>
    </row>
    <row r="39" spans="1:13" s="23" customFormat="1" ht="22.5" customHeight="1">
      <c r="A39" s="18">
        <v>31</v>
      </c>
      <c r="B39" s="19">
        <f>'FRIT FV 090.540 - FTA'!B39</f>
        <v>46265</v>
      </c>
      <c r="C39" s="19" t="s">
        <v>60</v>
      </c>
      <c r="D39" s="70"/>
      <c r="E39" s="70"/>
      <c r="F39" s="47">
        <v>8896</v>
      </c>
      <c r="G39" s="47">
        <v>8896</v>
      </c>
      <c r="H39" s="40">
        <f>SUM($F$8:F39)/A39</f>
        <v>286.96774193548384</v>
      </c>
      <c r="I39" s="41">
        <f>SUM($G$8:G39)/A39</f>
        <v>286.96774193548384</v>
      </c>
      <c r="J39" s="20">
        <f t="shared" si="4"/>
        <v>0</v>
      </c>
      <c r="K39" s="22">
        <f t="shared" si="4"/>
        <v>0</v>
      </c>
      <c r="L39" s="82">
        <f t="shared" si="1"/>
        <v>0</v>
      </c>
      <c r="M39" s="82">
        <f t="shared" si="2"/>
        <v>0</v>
      </c>
    </row>
    <row r="40" spans="1:13" s="32" customFormat="1" ht="26.25" customHeight="1">
      <c r="A40" s="1517" t="s">
        <v>29</v>
      </c>
      <c r="B40" s="1517"/>
      <c r="C40" s="1517"/>
      <c r="D40" s="28">
        <f>SUM(D9:D39)</f>
        <v>0</v>
      </c>
      <c r="E40" s="28">
        <f>SUM(E9:E39)</f>
        <v>0</v>
      </c>
      <c r="F40" s="30">
        <f>SUM(F9:F39)</f>
        <v>8896</v>
      </c>
      <c r="G40" s="30">
        <f>SUM(G9:G39)</f>
        <v>8896</v>
      </c>
      <c r="H40" s="30"/>
      <c r="I40" s="30"/>
      <c r="J40" s="30">
        <f>J39</f>
        <v>0</v>
      </c>
      <c r="K40" s="33">
        <f>K39</f>
        <v>0</v>
      </c>
      <c r="L40" s="31"/>
      <c r="M40" s="31"/>
    </row>
    <row r="41" spans="1:13" s="32" customFormat="1" ht="26.25" customHeight="1">
      <c r="A41" s="1517" t="s">
        <v>15</v>
      </c>
      <c r="B41" s="1517"/>
      <c r="C41" s="1517"/>
      <c r="D41" s="28">
        <f>D8+D40</f>
        <v>0</v>
      </c>
      <c r="E41" s="28">
        <f>E8+E40</f>
        <v>0</v>
      </c>
      <c r="F41" s="30">
        <f>F8+F40</f>
        <v>8896</v>
      </c>
      <c r="G41" s="30">
        <f>G8+G40</f>
        <v>8896</v>
      </c>
      <c r="H41" s="30"/>
      <c r="I41" s="30"/>
      <c r="J41" s="30">
        <f>D41-F41</f>
        <v>-8896</v>
      </c>
      <c r="K41" s="30">
        <f>E41-G41</f>
        <v>-8896</v>
      </c>
      <c r="L41" s="31"/>
      <c r="M41" s="31"/>
    </row>
    <row r="42" spans="1:13" ht="23.25" customHeight="1">
      <c r="A42" s="5"/>
      <c r="B42" s="5"/>
      <c r="C42" s="5"/>
      <c r="D42" s="7"/>
      <c r="E42" s="7"/>
      <c r="F42" s="24"/>
      <c r="G42" s="24"/>
      <c r="H42" s="7"/>
      <c r="I42" s="7"/>
      <c r="J42" s="7"/>
      <c r="K42" s="7"/>
    </row>
    <row r="43" spans="1:13">
      <c r="F43" s="24"/>
      <c r="G43" s="24"/>
    </row>
  </sheetData>
  <mergeCells count="12">
    <mergeCell ref="A8:C8"/>
    <mergeCell ref="A40:C40"/>
    <mergeCell ref="A41:C41"/>
    <mergeCell ref="A2:M2"/>
    <mergeCell ref="A6:A7"/>
    <mergeCell ref="B6:B7"/>
    <mergeCell ref="C6:C7"/>
    <mergeCell ref="D6:E6"/>
    <mergeCell ref="F6:G6"/>
    <mergeCell ref="H6:I6"/>
    <mergeCell ref="J6:K6"/>
    <mergeCell ref="L6:M6"/>
  </mergeCells>
  <hyperlinks>
    <hyperlink ref="M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N51"/>
  <sheetViews>
    <sheetView topLeftCell="A7" zoomScale="80" zoomScaleNormal="80" workbookViewId="0">
      <pane ySplit="3" topLeftCell="A25" activePane="bottomLeft" state="frozen"/>
      <selection activeCell="A7" sqref="A7"/>
      <selection pane="bottomLeft" activeCell="J14" sqref="J14"/>
    </sheetView>
  </sheetViews>
  <sheetFormatPr defaultColWidth="9.28515625" defaultRowHeight="15"/>
  <cols>
    <col min="1" max="1" width="4.7109375" style="143" customWidth="1"/>
    <col min="2" max="2" width="9" style="143" customWidth="1"/>
    <col min="3" max="3" width="16.28515625" style="143" customWidth="1"/>
    <col min="4" max="5" width="13.7109375" style="142" customWidth="1"/>
    <col min="6" max="9" width="11.28515625" style="142" customWidth="1"/>
    <col min="10" max="11" width="13" style="142" customWidth="1"/>
    <col min="12" max="13" width="11.42578125" style="143" customWidth="1"/>
    <col min="14" max="14" width="6.85546875" style="143" customWidth="1"/>
    <col min="15" max="16384" width="9.28515625" style="143"/>
  </cols>
  <sheetData>
    <row r="1" spans="1:14" ht="18" customHeight="1">
      <c r="A1" s="146" t="e">
        <f>'FRIT FV 090.540 - FTA'!#REF!</f>
        <v>#REF!</v>
      </c>
      <c r="B1" s="146"/>
      <c r="C1" s="146"/>
      <c r="D1" s="146"/>
      <c r="E1" s="146"/>
      <c r="F1" s="146"/>
    </row>
    <row r="2" spans="1:14" ht="18" customHeight="1">
      <c r="A2" s="146" t="e">
        <f>'FRIT FV 090.540 - FTA'!#REF!</f>
        <v>#REF!</v>
      </c>
      <c r="B2" s="146"/>
      <c r="C2" s="146"/>
      <c r="D2" s="144"/>
      <c r="E2" s="144"/>
      <c r="F2" s="144"/>
      <c r="I2" s="143"/>
      <c r="K2" s="199" t="e">
        <f>'FRIT FV 090.540 - FTA'!#REF!</f>
        <v>#REF!</v>
      </c>
      <c r="L2" s="142"/>
    </row>
    <row r="3" spans="1:14" ht="33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14" ht="18.75" customHeight="1">
      <c r="B4" s="145"/>
      <c r="C4" s="145"/>
      <c r="D4" s="143" t="s">
        <v>33</v>
      </c>
      <c r="E4" s="184" t="s">
        <v>129</v>
      </c>
      <c r="H4" s="142" t="s">
        <v>114</v>
      </c>
      <c r="I4" s="146" t="s">
        <v>152</v>
      </c>
      <c r="J4" s="145"/>
      <c r="K4" s="145"/>
      <c r="L4" s="145"/>
      <c r="M4" s="145"/>
    </row>
    <row r="5" spans="1:14" ht="18.75" customHeight="1">
      <c r="B5" s="143" t="e">
        <f>'FRIT FV 090.540 - FTA'!#REF!</f>
        <v>#REF!</v>
      </c>
      <c r="C5" s="143" t="e">
        <f>'FRIT FV 090.540 - FTA'!#REF!</f>
        <v>#REF!</v>
      </c>
      <c r="D5" s="143" t="e">
        <f>'FRIT FV 090.540 - FTA'!#REF!</f>
        <v>#REF!</v>
      </c>
      <c r="E5" s="147" t="e">
        <f>'FRIT FV 090.540 - FTA'!#REF!</f>
        <v>#REF!</v>
      </c>
      <c r="F5" s="143" t="e">
        <f>'FRIT FV 090.540 - FTA'!#REF!</f>
        <v>#REF!</v>
      </c>
      <c r="G5" s="143" t="e">
        <f>'FRIT FV 090.540 - FTA'!#REF!</f>
        <v>#REF!</v>
      </c>
      <c r="H5" s="143" t="e">
        <f>'FRIT FV 090.540 - FTA'!#REF!</f>
        <v>#REF!</v>
      </c>
      <c r="I5" s="143" t="e">
        <f>'FRIT FV 090.540 - FTA'!#REF!</f>
        <v>#REF!</v>
      </c>
      <c r="J5" s="143"/>
      <c r="K5" s="143"/>
    </row>
    <row r="6" spans="1:14" ht="18" customHeight="1">
      <c r="F6" s="148"/>
      <c r="G6" s="148"/>
      <c r="H6" s="148"/>
      <c r="I6" s="148"/>
      <c r="L6" s="149" t="s">
        <v>26</v>
      </c>
      <c r="M6" s="198" t="s">
        <v>149</v>
      </c>
    </row>
    <row r="7" spans="1:14" s="150" customFormat="1" ht="40.5" customHeight="1">
      <c r="A7" s="1506" t="s">
        <v>2</v>
      </c>
      <c r="B7" s="1508" t="s">
        <v>1</v>
      </c>
      <c r="C7" s="1508" t="s">
        <v>24</v>
      </c>
      <c r="D7" s="1501" t="s">
        <v>27</v>
      </c>
      <c r="E7" s="1502"/>
      <c r="F7" s="1501" t="s">
        <v>31</v>
      </c>
      <c r="G7" s="1502"/>
      <c r="H7" s="1501" t="s">
        <v>28</v>
      </c>
      <c r="I7" s="1502"/>
      <c r="J7" s="1501" t="s">
        <v>14</v>
      </c>
      <c r="K7" s="1502"/>
      <c r="L7" s="1501" t="s">
        <v>30</v>
      </c>
      <c r="M7" s="1502"/>
      <c r="N7" s="1508" t="s">
        <v>99</v>
      </c>
    </row>
    <row r="8" spans="1:14" s="150" customFormat="1" ht="27.75" customHeight="1">
      <c r="A8" s="1507"/>
      <c r="B8" s="1509"/>
      <c r="C8" s="1509"/>
      <c r="D8" s="157" t="s">
        <v>6</v>
      </c>
      <c r="E8" s="158" t="s">
        <v>25</v>
      </c>
      <c r="F8" s="157" t="s">
        <v>6</v>
      </c>
      <c r="G8" s="158" t="s">
        <v>12</v>
      </c>
      <c r="H8" s="157" t="s">
        <v>6</v>
      </c>
      <c r="I8" s="158" t="s">
        <v>12</v>
      </c>
      <c r="J8" s="157" t="s">
        <v>6</v>
      </c>
      <c r="K8" s="159" t="s">
        <v>12</v>
      </c>
      <c r="L8" s="160" t="s">
        <v>6</v>
      </c>
      <c r="M8" s="159" t="s">
        <v>12</v>
      </c>
      <c r="N8" s="1509"/>
    </row>
    <row r="9" spans="1:14" s="150" customFormat="1" ht="25.5" customHeight="1">
      <c r="A9" s="1510" t="s">
        <v>3</v>
      </c>
      <c r="B9" s="1511"/>
      <c r="C9" s="1512"/>
      <c r="D9" s="161">
        <f>J9</f>
        <v>0</v>
      </c>
      <c r="E9" s="162">
        <f>K9</f>
        <v>0</v>
      </c>
      <c r="F9" s="163"/>
      <c r="G9" s="162"/>
      <c r="H9" s="163"/>
      <c r="I9" s="162"/>
      <c r="J9" s="164">
        <f>K9</f>
        <v>0</v>
      </c>
      <c r="K9" s="165"/>
      <c r="L9" s="166"/>
      <c r="M9" s="167"/>
      <c r="N9" s="168"/>
    </row>
    <row r="10" spans="1:14" ht="16.5" customHeight="1">
      <c r="A10" s="169">
        <v>1</v>
      </c>
      <c r="B10" s="170">
        <f>'FRIT FV 090.540 - FTA'!B9</f>
        <v>46235</v>
      </c>
      <c r="C10" s="170" t="s">
        <v>107</v>
      </c>
      <c r="D10" s="171"/>
      <c r="E10" s="162"/>
      <c r="F10" s="172"/>
      <c r="G10" s="173"/>
      <c r="H10" s="174">
        <f>SUM($F$9:F10)/A10</f>
        <v>0</v>
      </c>
      <c r="I10" s="173">
        <f>SUM($G$9:G10)/A10</f>
        <v>0</v>
      </c>
      <c r="J10" s="175">
        <f t="shared" ref="J10:K12" si="0">J9+D10-F10</f>
        <v>0</v>
      </c>
      <c r="K10" s="176">
        <f t="shared" si="0"/>
        <v>0</v>
      </c>
      <c r="L10" s="177" t="e">
        <f>J10/H10</f>
        <v>#DIV/0!</v>
      </c>
      <c r="M10" s="161" t="e">
        <f>K10/I10</f>
        <v>#DIV/0!</v>
      </c>
      <c r="N10" s="168"/>
    </row>
    <row r="11" spans="1:14" ht="16.5" customHeight="1">
      <c r="A11" s="169">
        <v>2</v>
      </c>
      <c r="B11" s="170">
        <f>'FRIT FV 090.540 - FTA'!B10</f>
        <v>46236</v>
      </c>
      <c r="C11" s="170" t="s">
        <v>107</v>
      </c>
      <c r="D11" s="171"/>
      <c r="E11" s="162"/>
      <c r="F11" s="172"/>
      <c r="G11" s="173"/>
      <c r="H11" s="174">
        <f>SUM($F$9:F11)/A11</f>
        <v>0</v>
      </c>
      <c r="I11" s="173">
        <f>SUM($G$9:G11)/A11</f>
        <v>0</v>
      </c>
      <c r="J11" s="175">
        <f t="shared" si="0"/>
        <v>0</v>
      </c>
      <c r="K11" s="176">
        <f t="shared" si="0"/>
        <v>0</v>
      </c>
      <c r="L11" s="177" t="e">
        <f t="shared" ref="L11:L40" si="1">J11/H11</f>
        <v>#DIV/0!</v>
      </c>
      <c r="M11" s="161" t="e">
        <f t="shared" ref="M11:M40" si="2">K11/I11</f>
        <v>#DIV/0!</v>
      </c>
      <c r="N11" s="168"/>
    </row>
    <row r="12" spans="1:14" ht="16.5" customHeight="1">
      <c r="A12" s="169">
        <v>3</v>
      </c>
      <c r="B12" s="170">
        <f>'FRIT FV 090.540 - FTA'!B11</f>
        <v>46237</v>
      </c>
      <c r="C12" s="170" t="s">
        <v>107</v>
      </c>
      <c r="D12" s="171"/>
      <c r="E12" s="162"/>
      <c r="F12" s="172"/>
      <c r="G12" s="173"/>
      <c r="H12" s="174">
        <f>SUM($F$9:F12)/A12</f>
        <v>0</v>
      </c>
      <c r="I12" s="173">
        <f>SUM($G$9:G12)/A12</f>
        <v>0</v>
      </c>
      <c r="J12" s="175">
        <f t="shared" si="0"/>
        <v>0</v>
      </c>
      <c r="K12" s="176">
        <f t="shared" si="0"/>
        <v>0</v>
      </c>
      <c r="L12" s="177" t="e">
        <f t="shared" si="1"/>
        <v>#DIV/0!</v>
      </c>
      <c r="M12" s="161" t="e">
        <f t="shared" si="2"/>
        <v>#DIV/0!</v>
      </c>
      <c r="N12" s="168"/>
    </row>
    <row r="13" spans="1:14" ht="16.5" customHeight="1">
      <c r="A13" s="169">
        <v>4</v>
      </c>
      <c r="B13" s="170">
        <f>'FRIT FV 090.540 - FTA'!B12</f>
        <v>46238</v>
      </c>
      <c r="C13" s="170" t="s">
        <v>107</v>
      </c>
      <c r="D13" s="171"/>
      <c r="E13" s="162"/>
      <c r="F13" s="172"/>
      <c r="G13" s="173"/>
      <c r="H13" s="174">
        <f>SUM($F$9:F13)/A13</f>
        <v>0</v>
      </c>
      <c r="I13" s="173">
        <f>SUM($G$9:G13)/A13</f>
        <v>0</v>
      </c>
      <c r="J13" s="175">
        <f t="shared" ref="J13:K28" si="3">J12+D13-F13</f>
        <v>0</v>
      </c>
      <c r="K13" s="176">
        <f t="shared" si="3"/>
        <v>0</v>
      </c>
      <c r="L13" s="177" t="e">
        <f t="shared" si="1"/>
        <v>#DIV/0!</v>
      </c>
      <c r="M13" s="161" t="e">
        <f t="shared" si="2"/>
        <v>#DIV/0!</v>
      </c>
      <c r="N13" s="168"/>
    </row>
    <row r="14" spans="1:14" ht="16.5" customHeight="1">
      <c r="A14" s="169">
        <v>5</v>
      </c>
      <c r="B14" s="170">
        <f>'FRIT FV 090.540 - FTA'!B13</f>
        <v>46239</v>
      </c>
      <c r="C14" s="170" t="s">
        <v>107</v>
      </c>
      <c r="D14" s="178"/>
      <c r="E14" s="162"/>
      <c r="F14" s="172"/>
      <c r="G14" s="173"/>
      <c r="H14" s="174">
        <f>SUM($F$9:F14)/A14</f>
        <v>0</v>
      </c>
      <c r="I14" s="173">
        <f>SUM($G$9:G14)/A14</f>
        <v>0</v>
      </c>
      <c r="J14" s="175">
        <f t="shared" si="3"/>
        <v>0</v>
      </c>
      <c r="K14" s="176">
        <f t="shared" si="3"/>
        <v>0</v>
      </c>
      <c r="L14" s="177" t="e">
        <f t="shared" si="1"/>
        <v>#DIV/0!</v>
      </c>
      <c r="M14" s="161" t="e">
        <f t="shared" si="2"/>
        <v>#DIV/0!</v>
      </c>
      <c r="N14" s="168"/>
    </row>
    <row r="15" spans="1:14" ht="16.5" customHeight="1">
      <c r="A15" s="169">
        <v>6</v>
      </c>
      <c r="B15" s="170">
        <f>'FRIT FV 090.540 - FTA'!B14</f>
        <v>46240</v>
      </c>
      <c r="C15" s="170" t="s">
        <v>107</v>
      </c>
      <c r="D15" s="171"/>
      <c r="E15" s="162"/>
      <c r="F15" s="172"/>
      <c r="G15" s="173"/>
      <c r="H15" s="174">
        <f>SUM($F$9:F15)/A15</f>
        <v>0</v>
      </c>
      <c r="I15" s="173">
        <f>SUM($G$9:G15)/A15</f>
        <v>0</v>
      </c>
      <c r="J15" s="175">
        <f t="shared" si="3"/>
        <v>0</v>
      </c>
      <c r="K15" s="176">
        <f t="shared" si="3"/>
        <v>0</v>
      </c>
      <c r="L15" s="177" t="e">
        <f t="shared" si="1"/>
        <v>#DIV/0!</v>
      </c>
      <c r="M15" s="161" t="e">
        <f t="shared" si="2"/>
        <v>#DIV/0!</v>
      </c>
      <c r="N15" s="168"/>
    </row>
    <row r="16" spans="1:14" ht="16.5" customHeight="1">
      <c r="A16" s="169">
        <v>7</v>
      </c>
      <c r="B16" s="170">
        <f>'FRIT FV 090.540 - FTA'!B15</f>
        <v>46241</v>
      </c>
      <c r="C16" s="170" t="s">
        <v>107</v>
      </c>
      <c r="D16" s="171"/>
      <c r="E16" s="162"/>
      <c r="F16" s="172"/>
      <c r="G16" s="173"/>
      <c r="H16" s="174">
        <f>SUM($F$9:F16)/A16</f>
        <v>0</v>
      </c>
      <c r="I16" s="173">
        <f>SUM($G$9:G16)/A16</f>
        <v>0</v>
      </c>
      <c r="J16" s="175">
        <f t="shared" si="3"/>
        <v>0</v>
      </c>
      <c r="K16" s="176">
        <f t="shared" si="3"/>
        <v>0</v>
      </c>
      <c r="L16" s="177" t="e">
        <f t="shared" si="1"/>
        <v>#DIV/0!</v>
      </c>
      <c r="M16" s="161" t="e">
        <f t="shared" si="2"/>
        <v>#DIV/0!</v>
      </c>
      <c r="N16" s="168"/>
    </row>
    <row r="17" spans="1:14" ht="16.5" customHeight="1">
      <c r="A17" s="169">
        <v>8</v>
      </c>
      <c r="B17" s="170">
        <f>'FRIT FV 090.540 - FTA'!B16</f>
        <v>46242</v>
      </c>
      <c r="C17" s="170" t="s">
        <v>107</v>
      </c>
      <c r="D17" s="171"/>
      <c r="E17" s="162"/>
      <c r="F17" s="172"/>
      <c r="G17" s="173"/>
      <c r="H17" s="174">
        <f>SUM($F$9:F17)/A17</f>
        <v>0</v>
      </c>
      <c r="I17" s="173">
        <f>SUM($G$9:G17)/A17</f>
        <v>0</v>
      </c>
      <c r="J17" s="175">
        <f t="shared" si="3"/>
        <v>0</v>
      </c>
      <c r="K17" s="176">
        <f t="shared" si="3"/>
        <v>0</v>
      </c>
      <c r="L17" s="177" t="e">
        <f t="shared" si="1"/>
        <v>#DIV/0!</v>
      </c>
      <c r="M17" s="161" t="e">
        <f t="shared" si="2"/>
        <v>#DIV/0!</v>
      </c>
      <c r="N17" s="168"/>
    </row>
    <row r="18" spans="1:14" ht="16.5" customHeight="1">
      <c r="A18" s="169">
        <v>9</v>
      </c>
      <c r="B18" s="170">
        <f>'FRIT FV 090.540 - FTA'!B17</f>
        <v>46243</v>
      </c>
      <c r="C18" s="170" t="s">
        <v>107</v>
      </c>
      <c r="D18" s="171"/>
      <c r="E18" s="162"/>
      <c r="F18" s="172"/>
      <c r="G18" s="173"/>
      <c r="H18" s="174">
        <f>SUM($F$9:F18)/A18</f>
        <v>0</v>
      </c>
      <c r="I18" s="173">
        <f>SUM($G$9:G18)/A18</f>
        <v>0</v>
      </c>
      <c r="J18" s="175">
        <f t="shared" si="3"/>
        <v>0</v>
      </c>
      <c r="K18" s="176">
        <f t="shared" si="3"/>
        <v>0</v>
      </c>
      <c r="L18" s="177" t="e">
        <f t="shared" si="1"/>
        <v>#DIV/0!</v>
      </c>
      <c r="M18" s="161" t="e">
        <f t="shared" si="2"/>
        <v>#DIV/0!</v>
      </c>
      <c r="N18" s="168"/>
    </row>
    <row r="19" spans="1:14" ht="16.5" customHeight="1">
      <c r="A19" s="169">
        <v>10</v>
      </c>
      <c r="B19" s="170">
        <f>'FRIT FV 090.540 - FTA'!B18</f>
        <v>46244</v>
      </c>
      <c r="C19" s="170" t="s">
        <v>107</v>
      </c>
      <c r="D19" s="171"/>
      <c r="E19" s="162"/>
      <c r="F19" s="172"/>
      <c r="G19" s="173"/>
      <c r="H19" s="174">
        <f>SUM($F$9:F19)/A19</f>
        <v>0</v>
      </c>
      <c r="I19" s="173">
        <f>SUM($G$9:G19)/A19</f>
        <v>0</v>
      </c>
      <c r="J19" s="175">
        <f t="shared" si="3"/>
        <v>0</v>
      </c>
      <c r="K19" s="176">
        <f t="shared" si="3"/>
        <v>0</v>
      </c>
      <c r="L19" s="177" t="e">
        <f t="shared" si="1"/>
        <v>#DIV/0!</v>
      </c>
      <c r="M19" s="161" t="e">
        <f t="shared" si="2"/>
        <v>#DIV/0!</v>
      </c>
      <c r="N19" s="168"/>
    </row>
    <row r="20" spans="1:14" ht="16.5" customHeight="1">
      <c r="A20" s="169">
        <v>11</v>
      </c>
      <c r="B20" s="170">
        <f>'FRIT FV 090.540 - FTA'!B19</f>
        <v>46245</v>
      </c>
      <c r="C20" s="170" t="s">
        <v>107</v>
      </c>
      <c r="D20" s="171"/>
      <c r="E20" s="162"/>
      <c r="F20" s="172"/>
      <c r="G20" s="173"/>
      <c r="H20" s="174">
        <f>SUM($F$9:F20)/A20</f>
        <v>0</v>
      </c>
      <c r="I20" s="173">
        <f>SUM($G$9:G20)/A20</f>
        <v>0</v>
      </c>
      <c r="J20" s="175">
        <f t="shared" si="3"/>
        <v>0</v>
      </c>
      <c r="K20" s="176">
        <f t="shared" si="3"/>
        <v>0</v>
      </c>
      <c r="L20" s="177" t="e">
        <f t="shared" si="1"/>
        <v>#DIV/0!</v>
      </c>
      <c r="M20" s="161" t="e">
        <f t="shared" si="2"/>
        <v>#DIV/0!</v>
      </c>
      <c r="N20" s="168"/>
    </row>
    <row r="21" spans="1:14" ht="16.5" customHeight="1">
      <c r="A21" s="169">
        <v>12</v>
      </c>
      <c r="B21" s="170">
        <f>'FRIT FV 090.540 - FTA'!B20</f>
        <v>46246</v>
      </c>
      <c r="C21" s="170" t="s">
        <v>107</v>
      </c>
      <c r="D21" s="178"/>
      <c r="E21" s="162"/>
      <c r="F21" s="172"/>
      <c r="G21" s="173"/>
      <c r="H21" s="174">
        <f>SUM($F$9:F21)/A21</f>
        <v>0</v>
      </c>
      <c r="I21" s="173">
        <f>SUM($G$9:G21)/A21</f>
        <v>0</v>
      </c>
      <c r="J21" s="175">
        <f t="shared" si="3"/>
        <v>0</v>
      </c>
      <c r="K21" s="176">
        <f t="shared" si="3"/>
        <v>0</v>
      </c>
      <c r="L21" s="177" t="e">
        <f t="shared" si="1"/>
        <v>#DIV/0!</v>
      </c>
      <c r="M21" s="161" t="e">
        <f t="shared" si="2"/>
        <v>#DIV/0!</v>
      </c>
      <c r="N21" s="168"/>
    </row>
    <row r="22" spans="1:14" ht="16.5" customHeight="1">
      <c r="A22" s="169">
        <v>13</v>
      </c>
      <c r="B22" s="170">
        <f>'FRIT FV 090.540 - FTA'!B21</f>
        <v>46247</v>
      </c>
      <c r="C22" s="170" t="s">
        <v>107</v>
      </c>
      <c r="D22" s="171"/>
      <c r="E22" s="162"/>
      <c r="F22" s="172"/>
      <c r="G22" s="173"/>
      <c r="H22" s="174">
        <f>SUM($F$9:F22)/A22</f>
        <v>0</v>
      </c>
      <c r="I22" s="173">
        <f>SUM($G$9:G22)/A22</f>
        <v>0</v>
      </c>
      <c r="J22" s="175">
        <f t="shared" si="3"/>
        <v>0</v>
      </c>
      <c r="K22" s="176">
        <f>K21+E22-G22</f>
        <v>0</v>
      </c>
      <c r="L22" s="177" t="e">
        <f t="shared" si="1"/>
        <v>#DIV/0!</v>
      </c>
      <c r="M22" s="161" t="e">
        <f t="shared" si="2"/>
        <v>#DIV/0!</v>
      </c>
      <c r="N22" s="168"/>
    </row>
    <row r="23" spans="1:14" ht="16.5" customHeight="1">
      <c r="A23" s="169">
        <v>14</v>
      </c>
      <c r="B23" s="170">
        <f>'FRIT FV 090.540 - FTA'!B22</f>
        <v>46248</v>
      </c>
      <c r="C23" s="170" t="s">
        <v>107</v>
      </c>
      <c r="D23" s="171"/>
      <c r="E23" s="162"/>
      <c r="F23" s="172"/>
      <c r="G23" s="173"/>
      <c r="H23" s="174">
        <f>SUM($F$9:F23)/A23</f>
        <v>0</v>
      </c>
      <c r="I23" s="173">
        <f>SUM($G$9:G23)/A23</f>
        <v>0</v>
      </c>
      <c r="J23" s="175">
        <f t="shared" si="3"/>
        <v>0</v>
      </c>
      <c r="K23" s="176">
        <f>K22+E23-G23</f>
        <v>0</v>
      </c>
      <c r="L23" s="177" t="e">
        <f t="shared" si="1"/>
        <v>#DIV/0!</v>
      </c>
      <c r="M23" s="161" t="e">
        <f t="shared" si="2"/>
        <v>#DIV/0!</v>
      </c>
      <c r="N23" s="168"/>
    </row>
    <row r="24" spans="1:14" ht="16.5" customHeight="1">
      <c r="A24" s="169">
        <v>15</v>
      </c>
      <c r="B24" s="170">
        <f>'FRIT FV 090.540 - FTA'!B23</f>
        <v>46249</v>
      </c>
      <c r="C24" s="170" t="s">
        <v>107</v>
      </c>
      <c r="D24" s="171"/>
      <c r="E24" s="162"/>
      <c r="F24" s="172"/>
      <c r="G24" s="173"/>
      <c r="H24" s="174">
        <f>SUM($F$9:F24)/A24</f>
        <v>0</v>
      </c>
      <c r="I24" s="179">
        <f>SUM($G$9:G24)/A24</f>
        <v>0</v>
      </c>
      <c r="J24" s="175">
        <f t="shared" si="3"/>
        <v>0</v>
      </c>
      <c r="K24" s="176">
        <f t="shared" si="3"/>
        <v>0</v>
      </c>
      <c r="L24" s="177" t="e">
        <f t="shared" si="1"/>
        <v>#DIV/0!</v>
      </c>
      <c r="M24" s="161" t="e">
        <f t="shared" si="2"/>
        <v>#DIV/0!</v>
      </c>
      <c r="N24" s="168"/>
    </row>
    <row r="25" spans="1:14" ht="16.5" customHeight="1">
      <c r="A25" s="169">
        <v>16</v>
      </c>
      <c r="B25" s="170">
        <f>'FRIT FV 090.540 - FTA'!B24</f>
        <v>46250</v>
      </c>
      <c r="C25" s="170" t="s">
        <v>107</v>
      </c>
      <c r="D25" s="171"/>
      <c r="E25" s="162"/>
      <c r="F25" s="172"/>
      <c r="G25" s="173"/>
      <c r="H25" s="174">
        <f>SUM($F$9:F25)/A25</f>
        <v>0</v>
      </c>
      <c r="I25" s="173">
        <f>SUM($G$9:G25)/A25</f>
        <v>0</v>
      </c>
      <c r="J25" s="175">
        <f t="shared" si="3"/>
        <v>0</v>
      </c>
      <c r="K25" s="176">
        <f>K24+E25-G25</f>
        <v>0</v>
      </c>
      <c r="L25" s="177" t="e">
        <f t="shared" si="1"/>
        <v>#DIV/0!</v>
      </c>
      <c r="M25" s="161" t="e">
        <f t="shared" si="2"/>
        <v>#DIV/0!</v>
      </c>
      <c r="N25" s="168"/>
    </row>
    <row r="26" spans="1:14" ht="16.5" customHeight="1">
      <c r="A26" s="169">
        <v>17</v>
      </c>
      <c r="B26" s="170">
        <f>'FRIT FV 090.540 - FTA'!B25</f>
        <v>46251</v>
      </c>
      <c r="C26" s="170" t="s">
        <v>107</v>
      </c>
      <c r="D26" s="171"/>
      <c r="E26" s="162"/>
      <c r="F26" s="172"/>
      <c r="G26" s="173"/>
      <c r="H26" s="174">
        <f>SUM($F$9:F26)/A26</f>
        <v>0</v>
      </c>
      <c r="I26" s="173">
        <f>SUM($G$9:G26)/A26</f>
        <v>0</v>
      </c>
      <c r="J26" s="175">
        <f t="shared" si="3"/>
        <v>0</v>
      </c>
      <c r="K26" s="176">
        <f>K25+E26-G26</f>
        <v>0</v>
      </c>
      <c r="L26" s="177" t="e">
        <f t="shared" si="1"/>
        <v>#DIV/0!</v>
      </c>
      <c r="M26" s="161" t="e">
        <f t="shared" si="2"/>
        <v>#DIV/0!</v>
      </c>
      <c r="N26" s="168"/>
    </row>
    <row r="27" spans="1:14" ht="16.5" customHeight="1">
      <c r="A27" s="169">
        <v>18</v>
      </c>
      <c r="B27" s="170">
        <f>'FRIT FV 090.540 - FTA'!B26</f>
        <v>46252</v>
      </c>
      <c r="C27" s="170" t="s">
        <v>107</v>
      </c>
      <c r="D27" s="171"/>
      <c r="E27" s="162"/>
      <c r="F27" s="172"/>
      <c r="G27" s="173"/>
      <c r="H27" s="174">
        <f>SUM($F$9:F27)/A27</f>
        <v>0</v>
      </c>
      <c r="I27" s="173">
        <f>SUM($G$9:G27)/A27</f>
        <v>0</v>
      </c>
      <c r="J27" s="175">
        <f t="shared" si="3"/>
        <v>0</v>
      </c>
      <c r="K27" s="176">
        <f>K26+E27-G27</f>
        <v>0</v>
      </c>
      <c r="L27" s="177" t="e">
        <f t="shared" si="1"/>
        <v>#DIV/0!</v>
      </c>
      <c r="M27" s="161" t="e">
        <f t="shared" si="2"/>
        <v>#DIV/0!</v>
      </c>
      <c r="N27" s="168"/>
    </row>
    <row r="28" spans="1:14" ht="16.5" customHeight="1">
      <c r="A28" s="169">
        <v>19</v>
      </c>
      <c r="B28" s="170">
        <f>'FRIT FV 090.540 - FTA'!B27</f>
        <v>46253</v>
      </c>
      <c r="C28" s="170" t="s">
        <v>104</v>
      </c>
      <c r="D28" s="178"/>
      <c r="E28" s="162"/>
      <c r="F28" s="172"/>
      <c r="G28" s="173"/>
      <c r="H28" s="174">
        <f>SUM($F$9:F28)/A28</f>
        <v>0</v>
      </c>
      <c r="I28" s="173">
        <f>SUM($G$9:G28)/A28</f>
        <v>0</v>
      </c>
      <c r="J28" s="175">
        <f t="shared" si="3"/>
        <v>0</v>
      </c>
      <c r="K28" s="176">
        <f>K27+E28-G28</f>
        <v>0</v>
      </c>
      <c r="L28" s="177" t="e">
        <f t="shared" si="1"/>
        <v>#DIV/0!</v>
      </c>
      <c r="M28" s="161" t="e">
        <f t="shared" si="2"/>
        <v>#DIV/0!</v>
      </c>
      <c r="N28" s="168"/>
    </row>
    <row r="29" spans="1:14" ht="16.5" customHeight="1">
      <c r="A29" s="169">
        <v>20</v>
      </c>
      <c r="B29" s="170">
        <f>'FRIT FV 090.540 - FTA'!B28</f>
        <v>46254</v>
      </c>
      <c r="C29" s="170" t="s">
        <v>107</v>
      </c>
      <c r="D29" s="178"/>
      <c r="E29" s="162"/>
      <c r="F29" s="172"/>
      <c r="G29" s="173"/>
      <c r="H29" s="174">
        <f>SUM($F$9:F29)/A29</f>
        <v>0</v>
      </c>
      <c r="I29" s="173">
        <f>SUM($G$9:G29)/A29</f>
        <v>0</v>
      </c>
      <c r="J29" s="175">
        <f t="shared" ref="J29:K40" si="4">J28+D29-F29</f>
        <v>0</v>
      </c>
      <c r="K29" s="176">
        <f t="shared" si="4"/>
        <v>0</v>
      </c>
      <c r="L29" s="177" t="e">
        <f t="shared" si="1"/>
        <v>#DIV/0!</v>
      </c>
      <c r="M29" s="161" t="e">
        <f t="shared" si="2"/>
        <v>#DIV/0!</v>
      </c>
      <c r="N29" s="168"/>
    </row>
    <row r="30" spans="1:14" ht="16.5" customHeight="1">
      <c r="A30" s="169">
        <v>21</v>
      </c>
      <c r="B30" s="170">
        <f>'FRIT FV 090.540 - FTA'!B29</f>
        <v>46255</v>
      </c>
      <c r="C30" s="170" t="s">
        <v>107</v>
      </c>
      <c r="D30" s="171"/>
      <c r="E30" s="162"/>
      <c r="F30" s="172"/>
      <c r="G30" s="173"/>
      <c r="H30" s="174">
        <f>SUM($F$9:F30)/A30</f>
        <v>0</v>
      </c>
      <c r="I30" s="173">
        <f>SUM($G$9:G30)/A30</f>
        <v>0</v>
      </c>
      <c r="J30" s="175">
        <f t="shared" si="4"/>
        <v>0</v>
      </c>
      <c r="K30" s="176">
        <f t="shared" si="4"/>
        <v>0</v>
      </c>
      <c r="L30" s="177" t="e">
        <f t="shared" si="1"/>
        <v>#DIV/0!</v>
      </c>
      <c r="M30" s="161" t="e">
        <f t="shared" si="2"/>
        <v>#DIV/0!</v>
      </c>
      <c r="N30" s="168"/>
    </row>
    <row r="31" spans="1:14" ht="16.5" customHeight="1">
      <c r="A31" s="169">
        <v>22</v>
      </c>
      <c r="B31" s="170">
        <f>'FRIT FV 090.540 - FTA'!B30</f>
        <v>46256</v>
      </c>
      <c r="C31" s="170" t="s">
        <v>107</v>
      </c>
      <c r="D31" s="171"/>
      <c r="E31" s="162"/>
      <c r="F31" s="172"/>
      <c r="G31" s="173"/>
      <c r="H31" s="174">
        <f>SUM($F$9:F31)/A31</f>
        <v>0</v>
      </c>
      <c r="I31" s="173">
        <f>SUM($G$9:G31)/A31</f>
        <v>0</v>
      </c>
      <c r="J31" s="175">
        <f t="shared" si="4"/>
        <v>0</v>
      </c>
      <c r="K31" s="176">
        <f t="shared" si="4"/>
        <v>0</v>
      </c>
      <c r="L31" s="177" t="e">
        <f t="shared" si="1"/>
        <v>#DIV/0!</v>
      </c>
      <c r="M31" s="161" t="e">
        <f t="shared" si="2"/>
        <v>#DIV/0!</v>
      </c>
      <c r="N31" s="168"/>
    </row>
    <row r="32" spans="1:14" ht="16.5" customHeight="1">
      <c r="A32" s="169">
        <v>23</v>
      </c>
      <c r="B32" s="170">
        <f>'FRIT FV 090.540 - FTA'!B31</f>
        <v>46257</v>
      </c>
      <c r="C32" s="170" t="s">
        <v>107</v>
      </c>
      <c r="D32" s="171"/>
      <c r="E32" s="162"/>
      <c r="F32" s="172"/>
      <c r="G32" s="173"/>
      <c r="H32" s="174">
        <f>SUM($F$9:F32)/A32</f>
        <v>0</v>
      </c>
      <c r="I32" s="173">
        <f>SUM($G$9:G32)/A32</f>
        <v>0</v>
      </c>
      <c r="J32" s="175">
        <f t="shared" si="4"/>
        <v>0</v>
      </c>
      <c r="K32" s="176">
        <f t="shared" si="4"/>
        <v>0</v>
      </c>
      <c r="L32" s="177" t="e">
        <f t="shared" si="1"/>
        <v>#DIV/0!</v>
      </c>
      <c r="M32" s="161" t="e">
        <f t="shared" si="2"/>
        <v>#DIV/0!</v>
      </c>
      <c r="N32" s="168"/>
    </row>
    <row r="33" spans="1:14" ht="16.5" customHeight="1">
      <c r="A33" s="169">
        <v>24</v>
      </c>
      <c r="B33" s="170">
        <f>'FRIT FV 090.540 - FTA'!B32</f>
        <v>46258</v>
      </c>
      <c r="C33" s="170" t="s">
        <v>107</v>
      </c>
      <c r="D33" s="171"/>
      <c r="E33" s="162"/>
      <c r="F33" s="172"/>
      <c r="G33" s="173"/>
      <c r="H33" s="174">
        <f>SUM($F$9:F33)/A33</f>
        <v>0</v>
      </c>
      <c r="I33" s="173">
        <f>SUM($G$9:G33)/A33</f>
        <v>0</v>
      </c>
      <c r="J33" s="175">
        <f t="shared" si="4"/>
        <v>0</v>
      </c>
      <c r="K33" s="176">
        <f t="shared" si="4"/>
        <v>0</v>
      </c>
      <c r="L33" s="177" t="e">
        <f t="shared" si="1"/>
        <v>#DIV/0!</v>
      </c>
      <c r="M33" s="161" t="e">
        <f t="shared" si="2"/>
        <v>#DIV/0!</v>
      </c>
      <c r="N33" s="168"/>
    </row>
    <row r="34" spans="1:14" ht="16.5" customHeight="1">
      <c r="A34" s="169">
        <v>25</v>
      </c>
      <c r="B34" s="170">
        <f>'FRIT FV 090.540 - FTA'!B33</f>
        <v>46259</v>
      </c>
      <c r="C34" s="170" t="s">
        <v>107</v>
      </c>
      <c r="D34" s="171"/>
      <c r="E34" s="162"/>
      <c r="F34" s="172"/>
      <c r="G34" s="173"/>
      <c r="H34" s="174">
        <f>SUM($F$9:F34)/A34</f>
        <v>0</v>
      </c>
      <c r="I34" s="173">
        <f>SUM($G$9:G34)/A34</f>
        <v>0</v>
      </c>
      <c r="J34" s="175">
        <f t="shared" si="4"/>
        <v>0</v>
      </c>
      <c r="K34" s="176">
        <f t="shared" si="4"/>
        <v>0</v>
      </c>
      <c r="L34" s="177" t="e">
        <f t="shared" si="1"/>
        <v>#DIV/0!</v>
      </c>
      <c r="M34" s="161" t="e">
        <f t="shared" si="2"/>
        <v>#DIV/0!</v>
      </c>
      <c r="N34" s="168"/>
    </row>
    <row r="35" spans="1:14" ht="16.5" customHeight="1">
      <c r="A35" s="169">
        <v>26</v>
      </c>
      <c r="B35" s="170">
        <f>'FRIT FV 090.540 - FTA'!B34</f>
        <v>46260</v>
      </c>
      <c r="C35" s="170" t="s">
        <v>107</v>
      </c>
      <c r="D35" s="178"/>
      <c r="E35" s="162"/>
      <c r="F35" s="188"/>
      <c r="G35" s="189"/>
      <c r="H35" s="174">
        <f>SUM($F$9:F35)/A35</f>
        <v>0</v>
      </c>
      <c r="I35" s="173">
        <f>SUM($G$9:G35)/A35</f>
        <v>0</v>
      </c>
      <c r="J35" s="175">
        <f t="shared" si="4"/>
        <v>0</v>
      </c>
      <c r="K35" s="176">
        <f t="shared" si="4"/>
        <v>0</v>
      </c>
      <c r="L35" s="177" t="e">
        <f t="shared" si="1"/>
        <v>#DIV/0!</v>
      </c>
      <c r="M35" s="161" t="e">
        <f t="shared" si="2"/>
        <v>#DIV/0!</v>
      </c>
      <c r="N35" s="168"/>
    </row>
    <row r="36" spans="1:14" ht="16.5" customHeight="1">
      <c r="A36" s="169">
        <v>27</v>
      </c>
      <c r="B36" s="170">
        <f>'FRIT FV 090.540 - FTA'!B35</f>
        <v>46261</v>
      </c>
      <c r="C36" s="170" t="s">
        <v>107</v>
      </c>
      <c r="D36" s="171"/>
      <c r="E36" s="162"/>
      <c r="F36" s="188"/>
      <c r="G36" s="189"/>
      <c r="H36" s="174">
        <f>SUM($F$9:F36)/A36</f>
        <v>0</v>
      </c>
      <c r="I36" s="173">
        <f>SUM($G$9:G36)/A36</f>
        <v>0</v>
      </c>
      <c r="J36" s="175">
        <f t="shared" si="4"/>
        <v>0</v>
      </c>
      <c r="K36" s="176">
        <f t="shared" si="4"/>
        <v>0</v>
      </c>
      <c r="L36" s="177" t="e">
        <f t="shared" si="1"/>
        <v>#DIV/0!</v>
      </c>
      <c r="M36" s="161" t="e">
        <f t="shared" si="2"/>
        <v>#DIV/0!</v>
      </c>
      <c r="N36" s="168"/>
    </row>
    <row r="37" spans="1:14" ht="16.5" customHeight="1">
      <c r="A37" s="169">
        <v>28</v>
      </c>
      <c r="B37" s="170">
        <f>'FRIT FV 090.540 - FTA'!B36</f>
        <v>46262</v>
      </c>
      <c r="C37" s="170" t="s">
        <v>107</v>
      </c>
      <c r="D37" s="171"/>
      <c r="E37" s="162"/>
      <c r="F37" s="188"/>
      <c r="G37" s="189"/>
      <c r="H37" s="174">
        <f>SUM($F$9:F37)/A37</f>
        <v>0</v>
      </c>
      <c r="I37" s="173">
        <f>SUM($G$9:G37)/A37</f>
        <v>0</v>
      </c>
      <c r="J37" s="175">
        <f t="shared" si="4"/>
        <v>0</v>
      </c>
      <c r="K37" s="176">
        <f t="shared" si="4"/>
        <v>0</v>
      </c>
      <c r="L37" s="177" t="e">
        <f t="shared" si="1"/>
        <v>#DIV/0!</v>
      </c>
      <c r="M37" s="161" t="e">
        <f t="shared" si="2"/>
        <v>#DIV/0!</v>
      </c>
      <c r="N37" s="168"/>
    </row>
    <row r="38" spans="1:14" ht="16.5" customHeight="1">
      <c r="A38" s="169">
        <v>29</v>
      </c>
      <c r="B38" s="170">
        <f>'FRIT FV 090.540 - FTA'!B37</f>
        <v>46263</v>
      </c>
      <c r="C38" s="170" t="s">
        <v>107</v>
      </c>
      <c r="D38" s="171"/>
      <c r="E38" s="162"/>
      <c r="F38" s="188"/>
      <c r="G38" s="189"/>
      <c r="H38" s="174">
        <f>SUM($F$9:F38)/A38</f>
        <v>0</v>
      </c>
      <c r="I38" s="173">
        <f>SUM($G$9:G38)/A38</f>
        <v>0</v>
      </c>
      <c r="J38" s="175">
        <f t="shared" si="4"/>
        <v>0</v>
      </c>
      <c r="K38" s="176">
        <f t="shared" si="4"/>
        <v>0</v>
      </c>
      <c r="L38" s="177" t="e">
        <f t="shared" si="1"/>
        <v>#DIV/0!</v>
      </c>
      <c r="M38" s="161" t="e">
        <f t="shared" si="2"/>
        <v>#DIV/0!</v>
      </c>
      <c r="N38" s="168"/>
    </row>
    <row r="39" spans="1:14" ht="16.5" customHeight="1">
      <c r="A39" s="169">
        <v>30</v>
      </c>
      <c r="B39" s="170">
        <f>'FRIT FV 090.540 - FTA'!B38</f>
        <v>46264</v>
      </c>
      <c r="C39" s="170" t="s">
        <v>107</v>
      </c>
      <c r="D39" s="171"/>
      <c r="E39" s="162"/>
      <c r="F39" s="172"/>
      <c r="G39" s="173"/>
      <c r="H39" s="174">
        <f>SUM($F$9:F39)/A39</f>
        <v>0</v>
      </c>
      <c r="I39" s="173">
        <f>SUM($G$9:G39)/A39</f>
        <v>0</v>
      </c>
      <c r="J39" s="175">
        <f t="shared" si="4"/>
        <v>0</v>
      </c>
      <c r="K39" s="176">
        <f t="shared" si="4"/>
        <v>0</v>
      </c>
      <c r="L39" s="177" t="e">
        <f t="shared" si="1"/>
        <v>#DIV/0!</v>
      </c>
      <c r="M39" s="161" t="e">
        <f t="shared" si="2"/>
        <v>#DIV/0!</v>
      </c>
      <c r="N39" s="168"/>
    </row>
    <row r="40" spans="1:14" ht="16.5" customHeight="1">
      <c r="A40" s="169">
        <v>31</v>
      </c>
      <c r="B40" s="170">
        <f>'FRIT FV 090.540 - FTA'!B39</f>
        <v>46265</v>
      </c>
      <c r="C40" s="170" t="s">
        <v>107</v>
      </c>
      <c r="D40" s="171"/>
      <c r="E40" s="162"/>
      <c r="F40" s="172"/>
      <c r="G40" s="173"/>
      <c r="H40" s="174">
        <f>SUM($F$9:F40)/A40</f>
        <v>0</v>
      </c>
      <c r="I40" s="173">
        <f>SUM($G$9:G40)/A40</f>
        <v>0</v>
      </c>
      <c r="J40" s="175">
        <f t="shared" si="4"/>
        <v>0</v>
      </c>
      <c r="K40" s="176">
        <f t="shared" si="4"/>
        <v>0</v>
      </c>
      <c r="L40" s="177" t="e">
        <f t="shared" si="1"/>
        <v>#DIV/0!</v>
      </c>
      <c r="M40" s="161" t="e">
        <f t="shared" si="2"/>
        <v>#DIV/0!</v>
      </c>
      <c r="N40" s="168"/>
    </row>
    <row r="41" spans="1:14" s="151" customFormat="1" ht="23.25" customHeight="1">
      <c r="A41" s="1503" t="s">
        <v>29</v>
      </c>
      <c r="B41" s="1504"/>
      <c r="C41" s="1505"/>
      <c r="D41" s="180">
        <f>SUM(D10:D40)</f>
        <v>0</v>
      </c>
      <c r="E41" s="180">
        <f>SUM(E10:E40)</f>
        <v>0</v>
      </c>
      <c r="F41" s="181">
        <f>SUM(F10:F40)</f>
        <v>0</v>
      </c>
      <c r="G41" s="181">
        <f>SUM(G10:G40)</f>
        <v>0</v>
      </c>
      <c r="H41" s="181"/>
      <c r="I41" s="181"/>
      <c r="J41" s="181">
        <f>J40</f>
        <v>0</v>
      </c>
      <c r="K41" s="182">
        <f>K40</f>
        <v>0</v>
      </c>
      <c r="L41" s="163"/>
      <c r="M41" s="163"/>
      <c r="N41" s="183"/>
    </row>
    <row r="42" spans="1:14" s="151" customFormat="1" ht="23.25" customHeight="1">
      <c r="A42" s="1503" t="s">
        <v>15</v>
      </c>
      <c r="B42" s="1504"/>
      <c r="C42" s="1505"/>
      <c r="D42" s="180">
        <f>J9+D41</f>
        <v>0</v>
      </c>
      <c r="E42" s="180">
        <f>K9+E41</f>
        <v>0</v>
      </c>
      <c r="F42" s="181">
        <f>F9+F41</f>
        <v>0</v>
      </c>
      <c r="G42" s="181">
        <f>G9+G41</f>
        <v>0</v>
      </c>
      <c r="H42" s="181"/>
      <c r="I42" s="181"/>
      <c r="J42" s="181">
        <f>D42-F42</f>
        <v>0</v>
      </c>
      <c r="K42" s="181">
        <f>E42-G42</f>
        <v>0</v>
      </c>
      <c r="L42" s="163"/>
      <c r="M42" s="163"/>
      <c r="N42" s="183"/>
    </row>
    <row r="43" spans="1:14" ht="23.25" customHeight="1">
      <c r="A43" s="152"/>
      <c r="B43" s="152"/>
      <c r="C43" s="152"/>
      <c r="D43" s="153"/>
      <c r="E43" s="153"/>
      <c r="F43" s="153"/>
      <c r="G43" s="153"/>
      <c r="H43" s="153"/>
      <c r="I43" s="153"/>
      <c r="J43" s="153"/>
      <c r="K43" s="154"/>
      <c r="L43" s="153"/>
      <c r="N43" s="153"/>
    </row>
    <row r="44" spans="1:14">
      <c r="F44" s="153"/>
      <c r="G44" s="153"/>
      <c r="H44" s="153"/>
      <c r="I44" s="153"/>
      <c r="J44" s="153"/>
      <c r="K44" s="155" t="s">
        <v>13</v>
      </c>
      <c r="L44" s="153"/>
      <c r="N44" s="153"/>
    </row>
    <row r="45" spans="1:14">
      <c r="K45" s="155"/>
      <c r="L45" s="142"/>
      <c r="N45" s="142"/>
    </row>
    <row r="46" spans="1:14">
      <c r="K46" s="155"/>
      <c r="L46" s="142"/>
      <c r="N46" s="142"/>
    </row>
    <row r="47" spans="1:14">
      <c r="K47" s="154"/>
      <c r="L47" s="142"/>
      <c r="N47" s="142"/>
    </row>
    <row r="48" spans="1:14">
      <c r="K48" s="142" t="s">
        <v>98</v>
      </c>
      <c r="L48" s="142"/>
      <c r="M48" s="156"/>
      <c r="N48" s="142"/>
    </row>
    <row r="49" s="143" customFormat="1"/>
    <row r="50" s="143" customFormat="1"/>
    <row r="51" s="143" customFormat="1"/>
  </sheetData>
  <mergeCells count="13">
    <mergeCell ref="A3:N3"/>
    <mergeCell ref="N7:N8"/>
    <mergeCell ref="A42:C42"/>
    <mergeCell ref="A7:A8"/>
    <mergeCell ref="B7:B8"/>
    <mergeCell ref="C7:C8"/>
    <mergeCell ref="D7:E7"/>
    <mergeCell ref="F7:G7"/>
    <mergeCell ref="H7:I7"/>
    <mergeCell ref="J7:K7"/>
    <mergeCell ref="L7:M7"/>
    <mergeCell ref="A9:C9"/>
    <mergeCell ref="A41:C41"/>
  </mergeCells>
  <conditionalFormatting sqref="M36:M39">
    <cfRule type="cellIs" dxfId="12441" priority="1" operator="lessThan">
      <formula>15</formula>
    </cfRule>
    <cfRule type="cellIs" dxfId="12440" priority="2" operator="greaterThan">
      <formula>20</formula>
    </cfRule>
    <cfRule type="cellIs" dxfId="12439" priority="3" operator="between">
      <formula>15</formula>
      <formula>20</formula>
    </cfRule>
    <cfRule type="cellIs" dxfId="12438" priority="4" operator="between">
      <formula>15</formula>
      <formula>20</formula>
    </cfRule>
    <cfRule type="cellIs" dxfId="12437" priority="5" operator="lessThan">
      <formula>15</formula>
    </cfRule>
    <cfRule type="cellIs" dxfId="12436" priority="6" operator="greaterThan">
      <formula>20</formula>
    </cfRule>
    <cfRule type="cellIs" dxfId="12435" priority="7" operator="between">
      <formula>15</formula>
      <formula>21</formula>
    </cfRule>
    <cfRule type="cellIs" dxfId="12434" priority="8" operator="lessThan">
      <formula>15</formula>
    </cfRule>
    <cfRule type="cellIs" dxfId="12433" priority="9" operator="greaterThan">
      <formula>21</formula>
    </cfRule>
  </conditionalFormatting>
  <conditionalFormatting sqref="M29:M34">
    <cfRule type="cellIs" dxfId="12432" priority="10" operator="lessThan">
      <formula>15</formula>
    </cfRule>
    <cfRule type="cellIs" dxfId="12431" priority="11" operator="greaterThan">
      <formula>20</formula>
    </cfRule>
    <cfRule type="cellIs" dxfId="12430" priority="12" operator="between">
      <formula>15</formula>
      <formula>20</formula>
    </cfRule>
    <cfRule type="cellIs" dxfId="12429" priority="13" operator="between">
      <formula>15</formula>
      <formula>20</formula>
    </cfRule>
    <cfRule type="cellIs" dxfId="12428" priority="14" operator="lessThan">
      <formula>15</formula>
    </cfRule>
    <cfRule type="cellIs" dxfId="12427" priority="15" operator="greaterThan">
      <formula>20</formula>
    </cfRule>
    <cfRule type="cellIs" dxfId="12426" priority="16" operator="between">
      <formula>15</formula>
      <formula>21</formula>
    </cfRule>
    <cfRule type="cellIs" dxfId="12425" priority="17" operator="lessThan">
      <formula>15</formula>
    </cfRule>
    <cfRule type="cellIs" dxfId="12424" priority="18" operator="greaterThan">
      <formula>21</formula>
    </cfRule>
  </conditionalFormatting>
  <conditionalFormatting sqref="M21">
    <cfRule type="cellIs" dxfId="12423" priority="46" operator="lessThan">
      <formula>15</formula>
    </cfRule>
    <cfRule type="cellIs" dxfId="12422" priority="47" operator="greaterThan">
      <formula>20</formula>
    </cfRule>
    <cfRule type="cellIs" dxfId="12421" priority="48" operator="between">
      <formula>15</formula>
      <formula>20</formula>
    </cfRule>
    <cfRule type="cellIs" dxfId="12420" priority="49" operator="between">
      <formula>15</formula>
      <formula>20</formula>
    </cfRule>
    <cfRule type="cellIs" dxfId="12419" priority="50" operator="lessThan">
      <formula>15</formula>
    </cfRule>
    <cfRule type="cellIs" dxfId="12418" priority="51" operator="greaterThan">
      <formula>20</formula>
    </cfRule>
    <cfRule type="cellIs" dxfId="12417" priority="52" operator="between">
      <formula>15</formula>
      <formula>21</formula>
    </cfRule>
    <cfRule type="cellIs" dxfId="12416" priority="53" operator="lessThan">
      <formula>15</formula>
    </cfRule>
    <cfRule type="cellIs" dxfId="12415" priority="54" operator="greaterThan">
      <formula>21</formula>
    </cfRule>
  </conditionalFormatting>
  <conditionalFormatting sqref="M28">
    <cfRule type="cellIs" dxfId="12414" priority="37" operator="lessThan">
      <formula>15</formula>
    </cfRule>
    <cfRule type="cellIs" dxfId="12413" priority="38" operator="greaterThan">
      <formula>20</formula>
    </cfRule>
    <cfRule type="cellIs" dxfId="12412" priority="39" operator="between">
      <formula>15</formula>
      <formula>20</formula>
    </cfRule>
    <cfRule type="cellIs" dxfId="12411" priority="40" operator="between">
      <formula>15</formula>
      <formula>20</formula>
    </cfRule>
    <cfRule type="cellIs" dxfId="12410" priority="41" operator="lessThan">
      <formula>15</formula>
    </cfRule>
    <cfRule type="cellIs" dxfId="12409" priority="42" operator="greaterThan">
      <formula>20</formula>
    </cfRule>
    <cfRule type="cellIs" dxfId="12408" priority="43" operator="between">
      <formula>15</formula>
      <formula>21</formula>
    </cfRule>
    <cfRule type="cellIs" dxfId="12407" priority="44" operator="lessThan">
      <formula>15</formula>
    </cfRule>
    <cfRule type="cellIs" dxfId="12406" priority="45" operator="greaterThan">
      <formula>21</formula>
    </cfRule>
  </conditionalFormatting>
  <conditionalFormatting sqref="M35">
    <cfRule type="cellIs" dxfId="12405" priority="28" operator="lessThan">
      <formula>15</formula>
    </cfRule>
    <cfRule type="cellIs" dxfId="12404" priority="29" operator="greaterThan">
      <formula>20</formula>
    </cfRule>
    <cfRule type="cellIs" dxfId="12403" priority="30" operator="between">
      <formula>15</formula>
      <formula>20</formula>
    </cfRule>
    <cfRule type="cellIs" dxfId="12402" priority="31" operator="between">
      <formula>15</formula>
      <formula>20</formula>
    </cfRule>
    <cfRule type="cellIs" dxfId="12401" priority="32" operator="lessThan">
      <formula>15</formula>
    </cfRule>
    <cfRule type="cellIs" dxfId="12400" priority="33" operator="greaterThan">
      <formula>20</formula>
    </cfRule>
    <cfRule type="cellIs" dxfId="12399" priority="34" operator="between">
      <formula>15</formula>
      <formula>21</formula>
    </cfRule>
    <cfRule type="cellIs" dxfId="12398" priority="35" operator="lessThan">
      <formula>15</formula>
    </cfRule>
    <cfRule type="cellIs" dxfId="12397" priority="36" operator="greaterThan">
      <formula>21</formula>
    </cfRule>
  </conditionalFormatting>
  <conditionalFormatting sqref="M14:M20 M22:M27 M40">
    <cfRule type="cellIs" dxfId="12396" priority="55" operator="lessThan">
      <formula>15</formula>
    </cfRule>
    <cfRule type="cellIs" dxfId="12395" priority="56" operator="greaterThan">
      <formula>20</formula>
    </cfRule>
    <cfRule type="cellIs" dxfId="12394" priority="57" operator="between">
      <formula>15</formula>
      <formula>20</formula>
    </cfRule>
    <cfRule type="cellIs" dxfId="12393" priority="58" operator="between">
      <formula>15</formula>
      <formula>20</formula>
    </cfRule>
    <cfRule type="cellIs" dxfId="12392" priority="59" operator="lessThan">
      <formula>15</formula>
    </cfRule>
    <cfRule type="cellIs" dxfId="12391" priority="60" operator="greaterThan">
      <formula>20</formula>
    </cfRule>
    <cfRule type="cellIs" dxfId="12390" priority="61" operator="between">
      <formula>15</formula>
      <formula>21</formula>
    </cfRule>
    <cfRule type="cellIs" dxfId="12389" priority="62" operator="lessThan">
      <formula>15</formula>
    </cfRule>
    <cfRule type="cellIs" dxfId="12388" priority="63" operator="greaterThan">
      <formula>21</formula>
    </cfRule>
  </conditionalFormatting>
  <conditionalFormatting sqref="M10:M13">
    <cfRule type="cellIs" dxfId="12387" priority="19" operator="lessThan">
      <formula>15</formula>
    </cfRule>
    <cfRule type="cellIs" dxfId="12386" priority="20" operator="greaterThan">
      <formula>20</formula>
    </cfRule>
    <cfRule type="cellIs" dxfId="12385" priority="21" operator="between">
      <formula>15</formula>
      <formula>20</formula>
    </cfRule>
    <cfRule type="cellIs" dxfId="12384" priority="22" operator="between">
      <formula>15</formula>
      <formula>20</formula>
    </cfRule>
    <cfRule type="cellIs" dxfId="12383" priority="23" operator="lessThan">
      <formula>15</formula>
    </cfRule>
    <cfRule type="cellIs" dxfId="12382" priority="24" operator="greaterThan">
      <formula>20</formula>
    </cfRule>
    <cfRule type="cellIs" dxfId="12381" priority="25" operator="between">
      <formula>15</formula>
      <formula>21</formula>
    </cfRule>
    <cfRule type="cellIs" dxfId="12380" priority="26" operator="lessThan">
      <formula>15</formula>
    </cfRule>
    <cfRule type="cellIs" dxfId="12379" priority="27" operator="greaterThan">
      <formula>21</formula>
    </cfRule>
  </conditionalFormatting>
  <hyperlinks>
    <hyperlink ref="M6" location="'Tong hop T8.2019'!A1" display="YN!A1"/>
  </hyperlinks>
  <pageMargins left="0.25" right="0" top="0.25" bottom="0.25" header="0.74803149606299202" footer="0.31496062992126"/>
  <pageSetup paperSize="8" orientation="landscape" horizontalDpi="4294967292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43"/>
  <sheetViews>
    <sheetView zoomScale="70" zoomScaleNormal="70" workbookViewId="0">
      <pane ySplit="8" topLeftCell="A9" activePane="bottomLeft" state="frozen"/>
      <selection activeCell="K5" sqref="K5"/>
      <selection pane="bottomLeft" activeCell="B4" sqref="B4:I4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0.7109375" style="42" customWidth="1"/>
    <col min="4" max="10" width="13.85546875" style="6" customWidth="1"/>
    <col min="11" max="11" width="19.28515625" style="42" customWidth="1"/>
    <col min="12" max="16384" width="9.28515625" style="42"/>
  </cols>
  <sheetData>
    <row r="1" spans="1:15" ht="114.75" customHeight="1"/>
    <row r="2" spans="1:15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</row>
    <row r="3" spans="1:15" ht="21.75" customHeight="1">
      <c r="B3" s="64"/>
      <c r="C3" s="64"/>
      <c r="D3" s="64"/>
      <c r="E3" s="64"/>
      <c r="F3" s="66" t="s">
        <v>33</v>
      </c>
      <c r="G3" s="67"/>
      <c r="H3" s="65" t="s">
        <v>71</v>
      </c>
      <c r="I3" s="64"/>
      <c r="J3" s="64"/>
      <c r="K3" s="64"/>
    </row>
    <row r="4" spans="1:15" ht="21.75" customHeight="1">
      <c r="B4" s="8" t="e">
        <f>'FRIT FV 090.540 - FTA'!#REF!</f>
        <v>#REF!</v>
      </c>
      <c r="C4" s="8" t="e">
        <f>'FRIT FV 090.540 - FTA'!#REF!</f>
        <v>#REF!</v>
      </c>
      <c r="D4" s="8" t="e">
        <f>'FRIT FV 090.540 - FTA'!#REF!</f>
        <v>#REF!</v>
      </c>
      <c r="E4" s="8" t="e">
        <f>'FRIT FV 090.540 - FTA'!#REF!</f>
        <v>#REF!</v>
      </c>
      <c r="F4" s="8" t="e">
        <f>'FRIT FV 090.540 - FTA'!#REF!</f>
        <v>#REF!</v>
      </c>
      <c r="G4" s="8" t="e">
        <f>'FRIT FV 090.540 - FTA'!#REF!</f>
        <v>#REF!</v>
      </c>
      <c r="H4" s="8" t="e">
        <f>'FRIT FV 090.540 - FTA'!#REF!</f>
        <v>#REF!</v>
      </c>
      <c r="I4" s="8" t="e">
        <f>'FRIT FV 090.540 - FTA'!#REF!</f>
        <v>#REF!</v>
      </c>
      <c r="J4" s="42"/>
      <c r="L4" s="75"/>
      <c r="M4" s="75"/>
    </row>
    <row r="5" spans="1:15" ht="22.5" customHeight="1">
      <c r="F5" s="10"/>
      <c r="G5" s="10"/>
      <c r="H5" s="10"/>
      <c r="J5" s="12" t="s">
        <v>26</v>
      </c>
      <c r="K5" s="35" t="s">
        <v>18</v>
      </c>
    </row>
    <row r="6" spans="1:15" s="13" customFormat="1" ht="28.5" customHeight="1">
      <c r="A6" s="1531" t="s">
        <v>2</v>
      </c>
      <c r="B6" s="1532" t="s">
        <v>1</v>
      </c>
      <c r="C6" s="1533" t="s">
        <v>24</v>
      </c>
      <c r="D6" s="1534" t="s">
        <v>27</v>
      </c>
      <c r="E6" s="1534"/>
      <c r="F6" s="1534" t="s">
        <v>31</v>
      </c>
      <c r="G6" s="1534"/>
      <c r="H6" s="1534" t="s">
        <v>32</v>
      </c>
      <c r="I6" s="1534" t="s">
        <v>14</v>
      </c>
      <c r="J6" s="1534"/>
      <c r="K6" s="1534" t="s">
        <v>30</v>
      </c>
    </row>
    <row r="7" spans="1:15" s="13" customFormat="1" ht="28.5" customHeight="1">
      <c r="A7" s="1531"/>
      <c r="B7" s="1532"/>
      <c r="C7" s="1533"/>
      <c r="D7" s="90" t="s">
        <v>10</v>
      </c>
      <c r="E7" s="90" t="s">
        <v>58</v>
      </c>
      <c r="F7" s="90" t="s">
        <v>10</v>
      </c>
      <c r="G7" s="90" t="s">
        <v>58</v>
      </c>
      <c r="H7" s="1534"/>
      <c r="I7" s="90" t="s">
        <v>10</v>
      </c>
      <c r="J7" s="90" t="s">
        <v>58</v>
      </c>
      <c r="K7" s="1534"/>
    </row>
    <row r="8" spans="1:15" s="13" customFormat="1" ht="25.5" customHeight="1">
      <c r="A8" s="1514" t="s">
        <v>3</v>
      </c>
      <c r="B8" s="1515"/>
      <c r="C8" s="1516"/>
      <c r="D8" s="73">
        <f>I8</f>
        <v>81.25</v>
      </c>
      <c r="E8" s="73">
        <f>J8</f>
        <v>13</v>
      </c>
      <c r="F8" s="73"/>
      <c r="G8" s="73"/>
      <c r="H8" s="14"/>
      <c r="I8" s="53">
        <v>81.25</v>
      </c>
      <c r="J8" s="54">
        <f>I8/6.25</f>
        <v>13</v>
      </c>
      <c r="K8" s="17"/>
    </row>
    <row r="9" spans="1:15" s="13" customFormat="1" ht="22.5" customHeight="1">
      <c r="A9" s="18">
        <v>1</v>
      </c>
      <c r="B9" s="19">
        <f>'FRIT FV 090.540 - FTA'!B9</f>
        <v>46235</v>
      </c>
      <c r="C9" s="19" t="s">
        <v>19</v>
      </c>
      <c r="D9" s="74"/>
      <c r="E9" s="74">
        <f>D9/6.25</f>
        <v>0</v>
      </c>
      <c r="F9" s="74"/>
      <c r="G9" s="74"/>
      <c r="H9" s="41">
        <f>SUM($F$8:F9)/A9</f>
        <v>0</v>
      </c>
      <c r="I9" s="55">
        <f t="shared" ref="I9:I39" si="0">I8+D9-F9</f>
        <v>81.25</v>
      </c>
      <c r="J9" s="54">
        <f t="shared" ref="J9:J39" si="1">I9/6.25</f>
        <v>13</v>
      </c>
      <c r="K9" s="21" t="e">
        <f>I9/H9</f>
        <v>#DIV/0!</v>
      </c>
    </row>
    <row r="10" spans="1:15" s="13" customFormat="1" ht="22.5" customHeight="1">
      <c r="A10" s="18">
        <v>2</v>
      </c>
      <c r="B10" s="19">
        <f>'FRIT FV 090.540 - FTA'!B10</f>
        <v>46236</v>
      </c>
      <c r="C10" s="19" t="s">
        <v>19</v>
      </c>
      <c r="D10" s="74"/>
      <c r="E10" s="74">
        <f t="shared" ref="E10:E18" si="2">D10/6.25</f>
        <v>0</v>
      </c>
      <c r="F10" s="74"/>
      <c r="G10" s="74"/>
      <c r="H10" s="41">
        <f>SUM($F$8:F10)/A10</f>
        <v>0</v>
      </c>
      <c r="I10" s="55">
        <f t="shared" si="0"/>
        <v>81.25</v>
      </c>
      <c r="J10" s="54">
        <f t="shared" si="1"/>
        <v>13</v>
      </c>
      <c r="K10" s="21" t="e">
        <f>I10/H10</f>
        <v>#DIV/0!</v>
      </c>
    </row>
    <row r="11" spans="1:15" s="13" customFormat="1" ht="22.5" customHeight="1">
      <c r="A11" s="18">
        <v>3</v>
      </c>
      <c r="B11" s="19">
        <f>'FRIT FV 090.540 - FTA'!B11</f>
        <v>46237</v>
      </c>
      <c r="C11" s="19" t="s">
        <v>19</v>
      </c>
      <c r="D11" s="74"/>
      <c r="E11" s="74">
        <f t="shared" si="2"/>
        <v>0</v>
      </c>
      <c r="F11" s="74"/>
      <c r="G11" s="74"/>
      <c r="H11" s="41">
        <f>SUM($F$8:F11)/A11</f>
        <v>0</v>
      </c>
      <c r="I11" s="55">
        <f t="shared" si="0"/>
        <v>81.25</v>
      </c>
      <c r="J11" s="54">
        <f t="shared" si="1"/>
        <v>13</v>
      </c>
      <c r="K11" s="21" t="e">
        <f t="shared" ref="K11:K39" si="3">I11/H11</f>
        <v>#DIV/0!</v>
      </c>
    </row>
    <row r="12" spans="1:15" s="23" customFormat="1" ht="22.5" customHeight="1">
      <c r="A12" s="18">
        <v>4</v>
      </c>
      <c r="B12" s="19">
        <f>'FRIT FV 090.540 - FTA'!B12</f>
        <v>46238</v>
      </c>
      <c r="C12" s="19" t="s">
        <v>19</v>
      </c>
      <c r="D12" s="74"/>
      <c r="E12" s="74">
        <f t="shared" si="2"/>
        <v>0</v>
      </c>
      <c r="F12" s="74"/>
      <c r="G12" s="74"/>
      <c r="H12" s="41">
        <f>SUM($F$8:F12)/A12</f>
        <v>0</v>
      </c>
      <c r="I12" s="55">
        <f t="shared" si="0"/>
        <v>81.25</v>
      </c>
      <c r="J12" s="54">
        <f t="shared" si="1"/>
        <v>13</v>
      </c>
      <c r="K12" s="21" t="e">
        <f t="shared" si="3"/>
        <v>#DIV/0!</v>
      </c>
      <c r="M12" s="13"/>
      <c r="N12" s="13"/>
      <c r="O12" s="13"/>
    </row>
    <row r="13" spans="1:15" s="23" customFormat="1" ht="22.5" customHeight="1">
      <c r="A13" s="18">
        <v>5</v>
      </c>
      <c r="B13" s="19">
        <f>'FRIT FV 090.540 - FTA'!B13</f>
        <v>46239</v>
      </c>
      <c r="C13" s="19" t="s">
        <v>19</v>
      </c>
      <c r="D13" s="74"/>
      <c r="E13" s="74">
        <f t="shared" si="2"/>
        <v>0</v>
      </c>
      <c r="F13" s="74"/>
      <c r="G13" s="74"/>
      <c r="H13" s="41">
        <f>SUM($F$8:F13)/A13</f>
        <v>0</v>
      </c>
      <c r="I13" s="55">
        <f t="shared" si="0"/>
        <v>81.25</v>
      </c>
      <c r="J13" s="54">
        <f t="shared" si="1"/>
        <v>13</v>
      </c>
      <c r="K13" s="21" t="e">
        <f t="shared" si="3"/>
        <v>#DIV/0!</v>
      </c>
    </row>
    <row r="14" spans="1:15" s="23" customFormat="1" ht="22.5" customHeight="1">
      <c r="A14" s="18">
        <v>6</v>
      </c>
      <c r="B14" s="19">
        <f>'FRIT FV 090.540 - FTA'!B14</f>
        <v>46240</v>
      </c>
      <c r="C14" s="19" t="s">
        <v>19</v>
      </c>
      <c r="D14" s="74"/>
      <c r="E14" s="74">
        <f t="shared" si="2"/>
        <v>0</v>
      </c>
      <c r="F14" s="74"/>
      <c r="G14" s="74"/>
      <c r="H14" s="41">
        <f>SUM($F$8:F14)/A14</f>
        <v>0</v>
      </c>
      <c r="I14" s="55">
        <f t="shared" si="0"/>
        <v>81.25</v>
      </c>
      <c r="J14" s="54">
        <f t="shared" si="1"/>
        <v>13</v>
      </c>
      <c r="K14" s="21" t="e">
        <f t="shared" si="3"/>
        <v>#DIV/0!</v>
      </c>
    </row>
    <row r="15" spans="1:15" s="23" customFormat="1" ht="22.5" customHeight="1">
      <c r="A15" s="18">
        <v>7</v>
      </c>
      <c r="B15" s="19">
        <f>'FRIT FV 090.540 - FTA'!B15</f>
        <v>46241</v>
      </c>
      <c r="C15" s="19" t="s">
        <v>19</v>
      </c>
      <c r="D15" s="74"/>
      <c r="E15" s="74">
        <f t="shared" si="2"/>
        <v>0</v>
      </c>
      <c r="F15" s="74"/>
      <c r="G15" s="74"/>
      <c r="H15" s="41">
        <f>SUM($F$8:F15)/A15</f>
        <v>0</v>
      </c>
      <c r="I15" s="55">
        <f t="shared" si="0"/>
        <v>81.25</v>
      </c>
      <c r="J15" s="54">
        <f t="shared" si="1"/>
        <v>13</v>
      </c>
      <c r="K15" s="21" t="e">
        <f t="shared" si="3"/>
        <v>#DIV/0!</v>
      </c>
    </row>
    <row r="16" spans="1:15" s="23" customFormat="1" ht="22.5" customHeight="1">
      <c r="A16" s="18">
        <v>8</v>
      </c>
      <c r="B16" s="19">
        <f>'FRIT FV 090.540 - FTA'!B16</f>
        <v>46242</v>
      </c>
      <c r="C16" s="19" t="s">
        <v>19</v>
      </c>
      <c r="D16" s="74"/>
      <c r="E16" s="74">
        <f t="shared" si="2"/>
        <v>0</v>
      </c>
      <c r="F16" s="74"/>
      <c r="G16" s="74"/>
      <c r="H16" s="41">
        <f>SUM($F$8:F16)/A16</f>
        <v>0</v>
      </c>
      <c r="I16" s="55">
        <f t="shared" si="0"/>
        <v>81.25</v>
      </c>
      <c r="J16" s="54">
        <f t="shared" si="1"/>
        <v>13</v>
      </c>
      <c r="K16" s="21" t="e">
        <f t="shared" si="3"/>
        <v>#DIV/0!</v>
      </c>
    </row>
    <row r="17" spans="1:11" s="23" customFormat="1" ht="22.5" customHeight="1">
      <c r="A17" s="18">
        <v>9</v>
      </c>
      <c r="B17" s="19">
        <f>'FRIT FV 090.540 - FTA'!B17</f>
        <v>46243</v>
      </c>
      <c r="C17" s="19" t="s">
        <v>19</v>
      </c>
      <c r="D17" s="74"/>
      <c r="E17" s="74">
        <f t="shared" si="2"/>
        <v>0</v>
      </c>
      <c r="F17" s="74"/>
      <c r="G17" s="74"/>
      <c r="H17" s="41">
        <f>SUM($F$8:F17)/A17</f>
        <v>0</v>
      </c>
      <c r="I17" s="55">
        <f t="shared" si="0"/>
        <v>81.25</v>
      </c>
      <c r="J17" s="54">
        <f t="shared" si="1"/>
        <v>13</v>
      </c>
      <c r="K17" s="21" t="e">
        <f t="shared" si="3"/>
        <v>#DIV/0!</v>
      </c>
    </row>
    <row r="18" spans="1:11" s="23" customFormat="1" ht="22.5" customHeight="1">
      <c r="A18" s="18">
        <v>10</v>
      </c>
      <c r="B18" s="19">
        <f>'FRIT FV 090.540 - FTA'!B18</f>
        <v>46244</v>
      </c>
      <c r="C18" s="19" t="s">
        <v>19</v>
      </c>
      <c r="D18" s="74"/>
      <c r="E18" s="74">
        <f t="shared" si="2"/>
        <v>0</v>
      </c>
      <c r="F18" s="74"/>
      <c r="G18" s="74"/>
      <c r="H18" s="41">
        <f>SUM($F$8:F18)/A18</f>
        <v>0</v>
      </c>
      <c r="I18" s="55">
        <f t="shared" si="0"/>
        <v>81.25</v>
      </c>
      <c r="J18" s="54">
        <f t="shared" si="1"/>
        <v>13</v>
      </c>
      <c r="K18" s="21" t="e">
        <f t="shared" si="3"/>
        <v>#DIV/0!</v>
      </c>
    </row>
    <row r="19" spans="1:11" s="23" customFormat="1" ht="22.5" customHeight="1">
      <c r="A19" s="18">
        <v>11</v>
      </c>
      <c r="B19" s="19">
        <f>'FRIT FV 090.540 - FTA'!B19</f>
        <v>46245</v>
      </c>
      <c r="C19" s="19" t="s">
        <v>19</v>
      </c>
      <c r="D19" s="74"/>
      <c r="E19" s="74">
        <f t="shared" ref="E19:E39" si="4">D19/6.25</f>
        <v>0</v>
      </c>
      <c r="F19" s="74"/>
      <c r="G19" s="74"/>
      <c r="H19" s="41">
        <f>SUM($F$8:F19)/A19</f>
        <v>0</v>
      </c>
      <c r="I19" s="55">
        <f t="shared" si="0"/>
        <v>81.25</v>
      </c>
      <c r="J19" s="54">
        <f t="shared" si="1"/>
        <v>13</v>
      </c>
      <c r="K19" s="21" t="e">
        <f t="shared" si="3"/>
        <v>#DIV/0!</v>
      </c>
    </row>
    <row r="20" spans="1:11" s="23" customFormat="1" ht="22.5" customHeight="1">
      <c r="A20" s="18">
        <v>12</v>
      </c>
      <c r="B20" s="19">
        <f>'FRIT FV 090.540 - FTA'!B20</f>
        <v>46246</v>
      </c>
      <c r="C20" s="19" t="s">
        <v>17</v>
      </c>
      <c r="D20" s="74"/>
      <c r="E20" s="74">
        <f t="shared" si="4"/>
        <v>0</v>
      </c>
      <c r="F20" s="103">
        <v>81.25</v>
      </c>
      <c r="G20" s="74">
        <v>13</v>
      </c>
      <c r="H20" s="41">
        <f>SUM($F$8:F20)/A20</f>
        <v>6.770833333333333</v>
      </c>
      <c r="I20" s="55">
        <f t="shared" si="0"/>
        <v>0</v>
      </c>
      <c r="J20" s="54">
        <f t="shared" si="1"/>
        <v>0</v>
      </c>
      <c r="K20" s="21">
        <f t="shared" si="3"/>
        <v>0</v>
      </c>
    </row>
    <row r="21" spans="1:11" s="23" customFormat="1" ht="22.5" customHeight="1">
      <c r="A21" s="18">
        <v>13</v>
      </c>
      <c r="B21" s="19">
        <f>'FRIT FV 090.540 - FTA'!B21</f>
        <v>46247</v>
      </c>
      <c r="C21" s="19" t="s">
        <v>19</v>
      </c>
      <c r="D21" s="74"/>
      <c r="E21" s="74">
        <f t="shared" si="4"/>
        <v>0</v>
      </c>
      <c r="F21" s="103"/>
      <c r="G21" s="74"/>
      <c r="H21" s="41">
        <f>SUM($F$8:F21)/A21</f>
        <v>6.25</v>
      </c>
      <c r="I21" s="55">
        <f t="shared" si="0"/>
        <v>0</v>
      </c>
      <c r="J21" s="54">
        <f t="shared" si="1"/>
        <v>0</v>
      </c>
      <c r="K21" s="21">
        <f t="shared" si="3"/>
        <v>0</v>
      </c>
    </row>
    <row r="22" spans="1:11" s="23" customFormat="1" ht="22.5" customHeight="1">
      <c r="A22" s="18">
        <v>14</v>
      </c>
      <c r="B22" s="19">
        <f>'FRIT FV 090.540 - FTA'!B22</f>
        <v>46248</v>
      </c>
      <c r="C22" s="19" t="s">
        <v>103</v>
      </c>
      <c r="D22" s="74"/>
      <c r="E22" s="74">
        <f t="shared" si="4"/>
        <v>0</v>
      </c>
      <c r="F22" s="103"/>
      <c r="G22" s="74"/>
      <c r="H22" s="41">
        <f>SUM($F$8:F22)/A22</f>
        <v>5.8035714285714288</v>
      </c>
      <c r="I22" s="55">
        <f t="shared" si="0"/>
        <v>0</v>
      </c>
      <c r="J22" s="54">
        <f t="shared" si="1"/>
        <v>0</v>
      </c>
      <c r="K22" s="21">
        <f t="shared" si="3"/>
        <v>0</v>
      </c>
    </row>
    <row r="23" spans="1:11" s="23" customFormat="1" ht="22.5" customHeight="1">
      <c r="A23" s="18">
        <v>15</v>
      </c>
      <c r="B23" s="19">
        <f>'FRIT FV 090.540 - FTA'!B23</f>
        <v>46249</v>
      </c>
      <c r="C23" s="69" t="s">
        <v>17</v>
      </c>
      <c r="D23" s="74"/>
      <c r="E23" s="74">
        <f t="shared" si="4"/>
        <v>0</v>
      </c>
      <c r="F23" s="103"/>
      <c r="G23" s="74"/>
      <c r="H23" s="41">
        <f>SUM($F$8:F23)/A23</f>
        <v>5.416666666666667</v>
      </c>
      <c r="I23" s="55">
        <f t="shared" si="0"/>
        <v>0</v>
      </c>
      <c r="J23" s="54">
        <f t="shared" si="1"/>
        <v>0</v>
      </c>
      <c r="K23" s="21">
        <f t="shared" si="3"/>
        <v>0</v>
      </c>
    </row>
    <row r="24" spans="1:11" s="23" customFormat="1" ht="22.5" customHeight="1">
      <c r="A24" s="18">
        <v>16</v>
      </c>
      <c r="B24" s="19">
        <f>'FRIT FV 090.540 - FTA'!B24</f>
        <v>46250</v>
      </c>
      <c r="C24" s="69" t="s">
        <v>19</v>
      </c>
      <c r="D24" s="74"/>
      <c r="E24" s="74">
        <f t="shared" si="4"/>
        <v>0</v>
      </c>
      <c r="F24" s="74"/>
      <c r="G24" s="74"/>
      <c r="H24" s="41">
        <f>SUM($F$8:F24)/A24</f>
        <v>5.078125</v>
      </c>
      <c r="I24" s="55">
        <f t="shared" si="0"/>
        <v>0</v>
      </c>
      <c r="J24" s="54">
        <f t="shared" si="1"/>
        <v>0</v>
      </c>
      <c r="K24" s="21">
        <f t="shared" si="3"/>
        <v>0</v>
      </c>
    </row>
    <row r="25" spans="1:11" s="23" customFormat="1" ht="22.5" customHeight="1">
      <c r="A25" s="18">
        <v>17</v>
      </c>
      <c r="B25" s="19">
        <f>'FRIT FV 090.540 - FTA'!B25</f>
        <v>46251</v>
      </c>
      <c r="C25" s="69" t="s">
        <v>19</v>
      </c>
      <c r="D25" s="74"/>
      <c r="E25" s="74">
        <f t="shared" si="4"/>
        <v>0</v>
      </c>
      <c r="F25" s="74"/>
      <c r="G25" s="74"/>
      <c r="H25" s="41">
        <f>SUM($F$8:F25)/A25</f>
        <v>4.7794117647058822</v>
      </c>
      <c r="I25" s="55">
        <f t="shared" si="0"/>
        <v>0</v>
      </c>
      <c r="J25" s="54">
        <f t="shared" si="1"/>
        <v>0</v>
      </c>
      <c r="K25" s="21">
        <f t="shared" si="3"/>
        <v>0</v>
      </c>
    </row>
    <row r="26" spans="1:11" s="23" customFormat="1" ht="22.5" customHeight="1">
      <c r="A26" s="18">
        <v>18</v>
      </c>
      <c r="B26" s="19">
        <f>'FRIT FV 090.540 - FTA'!B26</f>
        <v>46252</v>
      </c>
      <c r="C26" s="69" t="s">
        <v>19</v>
      </c>
      <c r="D26" s="74"/>
      <c r="E26" s="74">
        <f t="shared" si="4"/>
        <v>0</v>
      </c>
      <c r="F26" s="74"/>
      <c r="G26" s="74"/>
      <c r="H26" s="41">
        <f>SUM($F$8:F26)/A26</f>
        <v>4.5138888888888893</v>
      </c>
      <c r="I26" s="55">
        <f t="shared" si="0"/>
        <v>0</v>
      </c>
      <c r="J26" s="54">
        <f t="shared" si="1"/>
        <v>0</v>
      </c>
      <c r="K26" s="21">
        <f t="shared" si="3"/>
        <v>0</v>
      </c>
    </row>
    <row r="27" spans="1:11" s="23" customFormat="1" ht="22.5" customHeight="1">
      <c r="A27" s="18">
        <v>19</v>
      </c>
      <c r="B27" s="19">
        <f>'FRIT FV 090.540 - FTA'!B27</f>
        <v>46253</v>
      </c>
      <c r="C27" s="19" t="s">
        <v>17</v>
      </c>
      <c r="D27" s="74"/>
      <c r="E27" s="74">
        <f t="shared" si="4"/>
        <v>0</v>
      </c>
      <c r="F27" s="74"/>
      <c r="G27" s="74"/>
      <c r="H27" s="41">
        <f>SUM($F$8:F27)/A27</f>
        <v>4.2763157894736841</v>
      </c>
      <c r="I27" s="55">
        <f t="shared" si="0"/>
        <v>0</v>
      </c>
      <c r="J27" s="54">
        <f t="shared" si="1"/>
        <v>0</v>
      </c>
      <c r="K27" s="21">
        <f t="shared" si="3"/>
        <v>0</v>
      </c>
    </row>
    <row r="28" spans="1:11" s="23" customFormat="1" ht="22.5" customHeight="1">
      <c r="A28" s="18">
        <v>20</v>
      </c>
      <c r="B28" s="19">
        <f>'FRIT FV 090.540 - FTA'!B28</f>
        <v>46254</v>
      </c>
      <c r="C28" s="19" t="s">
        <v>19</v>
      </c>
      <c r="D28" s="74"/>
      <c r="E28" s="74">
        <f t="shared" si="4"/>
        <v>0</v>
      </c>
      <c r="F28" s="74"/>
      <c r="G28" s="74"/>
      <c r="H28" s="41">
        <f>SUM($F$8:F28)/A28</f>
        <v>4.0625</v>
      </c>
      <c r="I28" s="55">
        <f t="shared" si="0"/>
        <v>0</v>
      </c>
      <c r="J28" s="54">
        <f t="shared" si="1"/>
        <v>0</v>
      </c>
      <c r="K28" s="21">
        <f t="shared" si="3"/>
        <v>0</v>
      </c>
    </row>
    <row r="29" spans="1:11" s="23" customFormat="1" ht="22.5" customHeight="1">
      <c r="A29" s="18">
        <v>21</v>
      </c>
      <c r="B29" s="19">
        <f>'FRIT FV 090.540 - FTA'!B29</f>
        <v>46255</v>
      </c>
      <c r="C29" s="19" t="s">
        <v>17</v>
      </c>
      <c r="D29" s="74"/>
      <c r="E29" s="74">
        <f t="shared" si="4"/>
        <v>0</v>
      </c>
      <c r="F29" s="74"/>
      <c r="G29" s="74"/>
      <c r="H29" s="41">
        <f>SUM($F$8:F29)/A29</f>
        <v>3.8690476190476191</v>
      </c>
      <c r="I29" s="55">
        <f t="shared" si="0"/>
        <v>0</v>
      </c>
      <c r="J29" s="54">
        <f t="shared" si="1"/>
        <v>0</v>
      </c>
      <c r="K29" s="21">
        <f t="shared" si="3"/>
        <v>0</v>
      </c>
    </row>
    <row r="30" spans="1:11" s="23" customFormat="1" ht="22.5" customHeight="1">
      <c r="A30" s="18">
        <v>22</v>
      </c>
      <c r="B30" s="19">
        <f>'FRIT FV 090.540 - FTA'!B30</f>
        <v>46256</v>
      </c>
      <c r="C30" s="19" t="s">
        <v>19</v>
      </c>
      <c r="D30" s="74"/>
      <c r="E30" s="74">
        <f t="shared" si="4"/>
        <v>0</v>
      </c>
      <c r="F30" s="74"/>
      <c r="G30" s="74"/>
      <c r="H30" s="41">
        <f>SUM($F$8:F30)/A30</f>
        <v>3.6931818181818183</v>
      </c>
      <c r="I30" s="55">
        <f t="shared" si="0"/>
        <v>0</v>
      </c>
      <c r="J30" s="54">
        <f t="shared" si="1"/>
        <v>0</v>
      </c>
      <c r="K30" s="21">
        <f t="shared" si="3"/>
        <v>0</v>
      </c>
    </row>
    <row r="31" spans="1:11" s="23" customFormat="1" ht="22.5" customHeight="1">
      <c r="A31" s="18">
        <v>23</v>
      </c>
      <c r="B31" s="19">
        <f>'FRIT FV 090.540 - FTA'!B31</f>
        <v>46257</v>
      </c>
      <c r="C31" s="19" t="s">
        <v>17</v>
      </c>
      <c r="D31" s="74"/>
      <c r="E31" s="74">
        <f t="shared" si="4"/>
        <v>0</v>
      </c>
      <c r="F31" s="74"/>
      <c r="G31" s="74"/>
      <c r="H31" s="41">
        <f>SUM($F$8:F31)/A31</f>
        <v>3.5326086956521738</v>
      </c>
      <c r="I31" s="55">
        <f t="shared" si="0"/>
        <v>0</v>
      </c>
      <c r="J31" s="54">
        <f t="shared" si="1"/>
        <v>0</v>
      </c>
      <c r="K31" s="21">
        <f t="shared" si="3"/>
        <v>0</v>
      </c>
    </row>
    <row r="32" spans="1:11" s="23" customFormat="1" ht="22.5" customHeight="1">
      <c r="A32" s="18">
        <v>24</v>
      </c>
      <c r="B32" s="19">
        <f>'FRIT FV 090.540 - FTA'!B32</f>
        <v>46258</v>
      </c>
      <c r="C32" s="69" t="s">
        <v>19</v>
      </c>
      <c r="D32" s="74"/>
      <c r="E32" s="74">
        <f t="shared" si="4"/>
        <v>0</v>
      </c>
      <c r="F32" s="74"/>
      <c r="G32" s="74"/>
      <c r="H32" s="41">
        <f>SUM($F$8:F32)/A32</f>
        <v>3.3854166666666665</v>
      </c>
      <c r="I32" s="55">
        <f t="shared" si="0"/>
        <v>0</v>
      </c>
      <c r="J32" s="54">
        <f t="shared" si="1"/>
        <v>0</v>
      </c>
      <c r="K32" s="21">
        <f t="shared" si="3"/>
        <v>0</v>
      </c>
    </row>
    <row r="33" spans="1:11" s="23" customFormat="1" ht="22.5" customHeight="1">
      <c r="A33" s="18">
        <v>25</v>
      </c>
      <c r="B33" s="19">
        <f>'FRIT FV 090.540 - FTA'!B33</f>
        <v>46259</v>
      </c>
      <c r="C33" s="19" t="s">
        <v>19</v>
      </c>
      <c r="D33" s="74"/>
      <c r="E33" s="74">
        <f t="shared" si="4"/>
        <v>0</v>
      </c>
      <c r="F33" s="74"/>
      <c r="G33" s="74"/>
      <c r="H33" s="41">
        <f>SUM($F$8:F33)/A33</f>
        <v>3.25</v>
      </c>
      <c r="I33" s="55">
        <f t="shared" si="0"/>
        <v>0</v>
      </c>
      <c r="J33" s="54">
        <f t="shared" si="1"/>
        <v>0</v>
      </c>
      <c r="K33" s="21">
        <f t="shared" si="3"/>
        <v>0</v>
      </c>
    </row>
    <row r="34" spans="1:11" s="23" customFormat="1" ht="22.5" customHeight="1">
      <c r="A34" s="18">
        <v>26</v>
      </c>
      <c r="B34" s="19">
        <f>'FRIT FV 090.540 - FTA'!B34</f>
        <v>46260</v>
      </c>
      <c r="C34" s="19" t="s">
        <v>17</v>
      </c>
      <c r="D34" s="74"/>
      <c r="E34" s="74">
        <f t="shared" si="4"/>
        <v>0</v>
      </c>
      <c r="F34" s="74"/>
      <c r="G34" s="74"/>
      <c r="H34" s="41">
        <f>SUM($F$8:F34)/A34</f>
        <v>3.125</v>
      </c>
      <c r="I34" s="55">
        <f t="shared" si="0"/>
        <v>0</v>
      </c>
      <c r="J34" s="54">
        <f t="shared" si="1"/>
        <v>0</v>
      </c>
      <c r="K34" s="21">
        <f t="shared" si="3"/>
        <v>0</v>
      </c>
    </row>
    <row r="35" spans="1:11" s="23" customFormat="1" ht="22.5" customHeight="1">
      <c r="A35" s="18">
        <v>27</v>
      </c>
      <c r="B35" s="19">
        <f>'FRIT FV 090.540 - FTA'!B35</f>
        <v>46261</v>
      </c>
      <c r="C35" s="69" t="s">
        <v>19</v>
      </c>
      <c r="D35" s="74"/>
      <c r="E35" s="74">
        <f t="shared" si="4"/>
        <v>0</v>
      </c>
      <c r="F35" s="74"/>
      <c r="G35" s="74"/>
      <c r="H35" s="41">
        <f>SUM($F$8:F35)/A35</f>
        <v>3.0092592592592591</v>
      </c>
      <c r="I35" s="55">
        <f t="shared" si="0"/>
        <v>0</v>
      </c>
      <c r="J35" s="54">
        <f t="shared" si="1"/>
        <v>0</v>
      </c>
      <c r="K35" s="21">
        <f t="shared" si="3"/>
        <v>0</v>
      </c>
    </row>
    <row r="36" spans="1:11" s="23" customFormat="1" ht="22.5" customHeight="1">
      <c r="A36" s="18">
        <v>28</v>
      </c>
      <c r="B36" s="19">
        <f>'FRIT FV 090.540 - FTA'!B36</f>
        <v>46262</v>
      </c>
      <c r="C36" s="69" t="s">
        <v>19</v>
      </c>
      <c r="D36" s="74"/>
      <c r="E36" s="74">
        <f t="shared" si="4"/>
        <v>0</v>
      </c>
      <c r="F36" s="74"/>
      <c r="G36" s="74"/>
      <c r="H36" s="41">
        <f>SUM($F$8:F36)/A36</f>
        <v>2.9017857142857144</v>
      </c>
      <c r="I36" s="55">
        <f t="shared" si="0"/>
        <v>0</v>
      </c>
      <c r="J36" s="54">
        <f t="shared" si="1"/>
        <v>0</v>
      </c>
      <c r="K36" s="21">
        <f t="shared" si="3"/>
        <v>0</v>
      </c>
    </row>
    <row r="37" spans="1:11" s="23" customFormat="1" ht="22.5" customHeight="1">
      <c r="A37" s="18">
        <v>29</v>
      </c>
      <c r="B37" s="19">
        <f>'FRIT FV 090.540 - FTA'!B37</f>
        <v>46263</v>
      </c>
      <c r="C37" s="69" t="s">
        <v>19</v>
      </c>
      <c r="D37" s="74"/>
      <c r="E37" s="74">
        <f t="shared" si="4"/>
        <v>0</v>
      </c>
      <c r="F37" s="74"/>
      <c r="G37" s="74"/>
      <c r="H37" s="41">
        <f>SUM($F$8:F37)/A37</f>
        <v>2.8017241379310347</v>
      </c>
      <c r="I37" s="55">
        <f t="shared" si="0"/>
        <v>0</v>
      </c>
      <c r="J37" s="54">
        <f t="shared" si="1"/>
        <v>0</v>
      </c>
      <c r="K37" s="21">
        <f t="shared" si="3"/>
        <v>0</v>
      </c>
    </row>
    <row r="38" spans="1:11" s="23" customFormat="1" ht="22.5" customHeight="1">
      <c r="A38" s="18">
        <v>30</v>
      </c>
      <c r="B38" s="19">
        <f>'FRIT FV 090.540 - FTA'!B38</f>
        <v>46264</v>
      </c>
      <c r="C38" s="69" t="s">
        <v>19</v>
      </c>
      <c r="D38" s="74"/>
      <c r="E38" s="74">
        <f t="shared" si="4"/>
        <v>0</v>
      </c>
      <c r="F38" s="74"/>
      <c r="G38" s="74"/>
      <c r="H38" s="41">
        <f>SUM($F$8:F38)/A38</f>
        <v>2.7083333333333335</v>
      </c>
      <c r="I38" s="55">
        <f t="shared" si="0"/>
        <v>0</v>
      </c>
      <c r="J38" s="54">
        <f t="shared" si="1"/>
        <v>0</v>
      </c>
      <c r="K38" s="21">
        <f t="shared" si="3"/>
        <v>0</v>
      </c>
    </row>
    <row r="39" spans="1:11" s="23" customFormat="1" ht="21.75" customHeight="1">
      <c r="A39" s="18">
        <v>31</v>
      </c>
      <c r="B39" s="19">
        <f>'FRIT FV 090.540 - FTA'!B39</f>
        <v>46265</v>
      </c>
      <c r="C39" s="69" t="s">
        <v>19</v>
      </c>
      <c r="D39" s="74"/>
      <c r="E39" s="74">
        <f t="shared" si="4"/>
        <v>0</v>
      </c>
      <c r="F39" s="74"/>
      <c r="G39" s="74"/>
      <c r="H39" s="41">
        <f>SUM($F$8:F39)/A39</f>
        <v>2.620967741935484</v>
      </c>
      <c r="I39" s="55">
        <f t="shared" si="0"/>
        <v>0</v>
      </c>
      <c r="J39" s="54">
        <f t="shared" si="1"/>
        <v>0</v>
      </c>
      <c r="K39" s="21">
        <f t="shared" si="3"/>
        <v>0</v>
      </c>
    </row>
    <row r="40" spans="1:11" s="32" customFormat="1" ht="21.75" customHeight="1">
      <c r="A40" s="1517" t="s">
        <v>29</v>
      </c>
      <c r="B40" s="1517"/>
      <c r="C40" s="1517"/>
      <c r="D40" s="57">
        <f>SUM(D9:D39)</f>
        <v>0</v>
      </c>
      <c r="E40" s="57">
        <f>SUM(E9:E39)</f>
        <v>0</v>
      </c>
      <c r="F40" s="46">
        <f>SUM(F9:F39)</f>
        <v>81.25</v>
      </c>
      <c r="G40" s="46">
        <f>SUM(G9:G39)</f>
        <v>13</v>
      </c>
      <c r="H40" s="46"/>
      <c r="I40" s="56">
        <f>I39</f>
        <v>0</v>
      </c>
      <c r="J40" s="56">
        <f>I40/6.25</f>
        <v>0</v>
      </c>
      <c r="K40" s="31"/>
    </row>
    <row r="41" spans="1:11" s="32" customFormat="1" ht="21.75" customHeight="1">
      <c r="A41" s="1517" t="s">
        <v>15</v>
      </c>
      <c r="B41" s="1517"/>
      <c r="C41" s="1517"/>
      <c r="D41" s="57">
        <f>I8+D40</f>
        <v>81.25</v>
      </c>
      <c r="E41" s="57">
        <f>J8+E40</f>
        <v>13</v>
      </c>
      <c r="F41" s="46">
        <f>F8+F40</f>
        <v>81.25</v>
      </c>
      <c r="G41" s="46">
        <f>G8+G40</f>
        <v>13</v>
      </c>
      <c r="H41" s="46"/>
      <c r="I41" s="46">
        <f>D41-F41</f>
        <v>0</v>
      </c>
      <c r="J41" s="46">
        <f>I41/6.25</f>
        <v>0</v>
      </c>
      <c r="K41" s="31"/>
    </row>
    <row r="42" spans="1:11" ht="23.25" customHeight="1">
      <c r="A42" s="5"/>
      <c r="B42" s="5"/>
      <c r="C42" s="5"/>
      <c r="D42" s="7"/>
      <c r="E42" s="7"/>
      <c r="F42" s="24"/>
      <c r="G42" s="24"/>
      <c r="H42" s="7"/>
      <c r="I42" s="7"/>
      <c r="J42" s="7"/>
    </row>
    <row r="43" spans="1:11">
      <c r="F43" s="24"/>
      <c r="G43" s="24"/>
    </row>
  </sheetData>
  <mergeCells count="12">
    <mergeCell ref="A8:C8"/>
    <mergeCell ref="A40:C40"/>
    <mergeCell ref="A41:C41"/>
    <mergeCell ref="A2:K2"/>
    <mergeCell ref="A6:A7"/>
    <mergeCell ref="B6:B7"/>
    <mergeCell ref="C6:C7"/>
    <mergeCell ref="D6:E6"/>
    <mergeCell ref="F6:G6"/>
    <mergeCell ref="H6:H7"/>
    <mergeCell ref="I6:J6"/>
    <mergeCell ref="K6:K7"/>
  </mergeCells>
  <hyperlinks>
    <hyperlink ref="K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43"/>
  <sheetViews>
    <sheetView zoomScale="70" zoomScaleNormal="70" workbookViewId="0">
      <pane ySplit="8" topLeftCell="A13" activePane="bottomLeft" state="frozen"/>
      <selection activeCell="K5" sqref="K5"/>
      <selection pane="bottomLeft" activeCell="O18" sqref="O18"/>
    </sheetView>
  </sheetViews>
  <sheetFormatPr defaultColWidth="9.28515625" defaultRowHeight="16.5"/>
  <cols>
    <col min="1" max="1" width="5.42578125" style="42" customWidth="1"/>
    <col min="2" max="2" width="9.85546875" style="9" customWidth="1"/>
    <col min="3" max="3" width="10.7109375" style="42" customWidth="1"/>
    <col min="4" max="10" width="13.85546875" style="6" customWidth="1"/>
    <col min="11" max="11" width="19.28515625" style="9" customWidth="1"/>
    <col min="12" max="16384" width="9.28515625" style="9"/>
  </cols>
  <sheetData>
    <row r="1" spans="1:15" ht="114.75" customHeight="1"/>
    <row r="2" spans="1:15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</row>
    <row r="3" spans="1:15" s="42" customFormat="1" ht="21.75" customHeight="1">
      <c r="B3" s="64"/>
      <c r="C3" s="64"/>
      <c r="D3" s="64"/>
      <c r="E3" s="64"/>
      <c r="F3" s="66" t="s">
        <v>38</v>
      </c>
      <c r="G3" s="67"/>
      <c r="H3" s="65" t="s">
        <v>96</v>
      </c>
      <c r="I3" s="64"/>
      <c r="J3" s="64"/>
      <c r="K3" s="64"/>
    </row>
    <row r="4" spans="1:15" s="42" customFormat="1" ht="21.75" customHeight="1">
      <c r="B4" s="8" t="e">
        <f>'FRIT FV 090.540 - FTA'!#REF!</f>
        <v>#REF!</v>
      </c>
      <c r="C4" s="8" t="e">
        <f>'FRIT FV 090.540 - FTA'!#REF!</f>
        <v>#REF!</v>
      </c>
      <c r="D4" s="8" t="e">
        <f>'FRIT FV 090.540 - FTA'!#REF!</f>
        <v>#REF!</v>
      </c>
      <c r="E4" s="8" t="e">
        <f>'FRIT FV 090.540 - FTA'!#REF!</f>
        <v>#REF!</v>
      </c>
      <c r="F4" s="8" t="e">
        <f>'FRIT FV 090.540 - FTA'!#REF!</f>
        <v>#REF!</v>
      </c>
      <c r="G4" s="8" t="e">
        <f>'FRIT FV 090.540 - FTA'!#REF!</f>
        <v>#REF!</v>
      </c>
      <c r="H4" s="8" t="e">
        <f>'FRIT FV 090.540 - FTA'!#REF!</f>
        <v>#REF!</v>
      </c>
      <c r="I4" s="8" t="e">
        <f>'FRIT FV 090.540 - FTA'!#REF!</f>
        <v>#REF!</v>
      </c>
      <c r="L4" s="75"/>
      <c r="M4" s="75"/>
    </row>
    <row r="5" spans="1:15" ht="22.5" customHeight="1">
      <c r="F5" s="10"/>
      <c r="G5" s="10"/>
      <c r="H5" s="10"/>
      <c r="J5" s="12" t="s">
        <v>26</v>
      </c>
      <c r="K5" s="35" t="s">
        <v>18</v>
      </c>
    </row>
    <row r="6" spans="1:15" s="13" customFormat="1" ht="28.5" customHeight="1">
      <c r="A6" s="1531" t="s">
        <v>2</v>
      </c>
      <c r="B6" s="1532" t="s">
        <v>1</v>
      </c>
      <c r="C6" s="1533" t="s">
        <v>24</v>
      </c>
      <c r="D6" s="1534" t="s">
        <v>27</v>
      </c>
      <c r="E6" s="1534"/>
      <c r="F6" s="1534" t="s">
        <v>31</v>
      </c>
      <c r="G6" s="1534"/>
      <c r="H6" s="1534" t="s">
        <v>32</v>
      </c>
      <c r="I6" s="1534" t="s">
        <v>14</v>
      </c>
      <c r="J6" s="1534"/>
      <c r="K6" s="1534" t="s">
        <v>30</v>
      </c>
    </row>
    <row r="7" spans="1:15" s="13" customFormat="1" ht="28.5" customHeight="1">
      <c r="A7" s="1531"/>
      <c r="B7" s="1532"/>
      <c r="C7" s="1533"/>
      <c r="D7" s="71" t="s">
        <v>10</v>
      </c>
      <c r="E7" s="71" t="s">
        <v>58</v>
      </c>
      <c r="F7" s="71" t="s">
        <v>10</v>
      </c>
      <c r="G7" s="71" t="s">
        <v>58</v>
      </c>
      <c r="H7" s="1534"/>
      <c r="I7" s="71" t="s">
        <v>10</v>
      </c>
      <c r="J7" s="71" t="s">
        <v>58</v>
      </c>
      <c r="K7" s="1534"/>
    </row>
    <row r="8" spans="1:15" s="13" customFormat="1" ht="25.5" customHeight="1">
      <c r="A8" s="1514" t="s">
        <v>3</v>
      </c>
      <c r="B8" s="1515"/>
      <c r="C8" s="1516"/>
      <c r="D8" s="73">
        <f>I8</f>
        <v>143.75</v>
      </c>
      <c r="E8" s="73">
        <f>J8</f>
        <v>23</v>
      </c>
      <c r="F8" s="73"/>
      <c r="G8" s="73"/>
      <c r="H8" s="14"/>
      <c r="I8" s="53">
        <v>143.75</v>
      </c>
      <c r="J8" s="54">
        <f>I8/6.25</f>
        <v>23</v>
      </c>
      <c r="K8" s="17"/>
    </row>
    <row r="9" spans="1:15" s="13" customFormat="1" ht="22.5" customHeight="1">
      <c r="A9" s="18">
        <v>1</v>
      </c>
      <c r="B9" s="19">
        <f>'FRIT FV 090.540 - FTA'!B9</f>
        <v>46235</v>
      </c>
      <c r="C9" s="19" t="s">
        <v>22</v>
      </c>
      <c r="D9" s="74"/>
      <c r="E9" s="74">
        <f>D9/6.25</f>
        <v>0</v>
      </c>
      <c r="F9" s="74"/>
      <c r="G9" s="74">
        <f>F9/6.25</f>
        <v>0</v>
      </c>
      <c r="H9" s="41">
        <f>SUM($F$8:F9)/A9</f>
        <v>0</v>
      </c>
      <c r="I9" s="55">
        <f t="shared" ref="I9:I39" si="0">I8+D9-F9</f>
        <v>143.75</v>
      </c>
      <c r="J9" s="54">
        <f t="shared" ref="J9:J39" si="1">I9/6.25</f>
        <v>23</v>
      </c>
      <c r="K9" s="21" t="e">
        <f>I9/H9</f>
        <v>#DIV/0!</v>
      </c>
    </row>
    <row r="10" spans="1:15" s="13" customFormat="1" ht="22.5" customHeight="1">
      <c r="A10" s="18">
        <v>2</v>
      </c>
      <c r="B10" s="19">
        <f>'FRIT FV 090.540 - FTA'!B10</f>
        <v>46236</v>
      </c>
      <c r="C10" s="19" t="s">
        <v>22</v>
      </c>
      <c r="D10" s="74"/>
      <c r="E10" s="74">
        <f t="shared" ref="E10:E18" si="2">D10/6.25</f>
        <v>0</v>
      </c>
      <c r="F10" s="74"/>
      <c r="G10" s="74">
        <f t="shared" ref="G10:G18" si="3">F10/6.25</f>
        <v>0</v>
      </c>
      <c r="H10" s="41">
        <f>SUM($F$8:F10)/A10</f>
        <v>0</v>
      </c>
      <c r="I10" s="55">
        <f t="shared" si="0"/>
        <v>143.75</v>
      </c>
      <c r="J10" s="54">
        <f t="shared" si="1"/>
        <v>23</v>
      </c>
      <c r="K10" s="21" t="e">
        <f>I10/H10</f>
        <v>#DIV/0!</v>
      </c>
    </row>
    <row r="11" spans="1:15" s="13" customFormat="1" ht="22.5" customHeight="1">
      <c r="A11" s="18">
        <v>3</v>
      </c>
      <c r="B11" s="19">
        <f>'FRIT FV 090.540 - FTA'!B11</f>
        <v>46237</v>
      </c>
      <c r="C11" s="19" t="s">
        <v>22</v>
      </c>
      <c r="D11" s="74"/>
      <c r="E11" s="74">
        <f t="shared" si="2"/>
        <v>0</v>
      </c>
      <c r="F11" s="74"/>
      <c r="G11" s="74">
        <f t="shared" si="3"/>
        <v>0</v>
      </c>
      <c r="H11" s="41">
        <f>SUM($F$8:F11)/A11</f>
        <v>0</v>
      </c>
      <c r="I11" s="55">
        <f t="shared" si="0"/>
        <v>143.75</v>
      </c>
      <c r="J11" s="54">
        <f t="shared" si="1"/>
        <v>23</v>
      </c>
      <c r="K11" s="21" t="e">
        <f t="shared" ref="K11:K39" si="4">I11/H11</f>
        <v>#DIV/0!</v>
      </c>
    </row>
    <row r="12" spans="1:15" s="23" customFormat="1" ht="22.5" customHeight="1">
      <c r="A12" s="18">
        <v>4</v>
      </c>
      <c r="B12" s="19">
        <f>'FRIT FV 090.540 - FTA'!B12</f>
        <v>46238</v>
      </c>
      <c r="C12" s="19" t="s">
        <v>22</v>
      </c>
      <c r="D12" s="74"/>
      <c r="E12" s="74">
        <f t="shared" si="2"/>
        <v>0</v>
      </c>
      <c r="F12" s="74"/>
      <c r="G12" s="74">
        <f t="shared" si="3"/>
        <v>0</v>
      </c>
      <c r="H12" s="41">
        <f>SUM($F$8:F12)/A12</f>
        <v>0</v>
      </c>
      <c r="I12" s="55">
        <f t="shared" si="0"/>
        <v>143.75</v>
      </c>
      <c r="J12" s="54">
        <f t="shared" si="1"/>
        <v>23</v>
      </c>
      <c r="K12" s="21" t="e">
        <f t="shared" si="4"/>
        <v>#DIV/0!</v>
      </c>
      <c r="M12" s="13"/>
      <c r="N12" s="13"/>
      <c r="O12" s="13"/>
    </row>
    <row r="13" spans="1:15" s="23" customFormat="1" ht="22.5" customHeight="1">
      <c r="A13" s="18">
        <v>5</v>
      </c>
      <c r="B13" s="19">
        <f>'FRIT FV 090.540 - FTA'!B13</f>
        <v>46239</v>
      </c>
      <c r="C13" s="19" t="s">
        <v>22</v>
      </c>
      <c r="D13" s="74"/>
      <c r="E13" s="74">
        <f t="shared" si="2"/>
        <v>0</v>
      </c>
      <c r="F13" s="74"/>
      <c r="G13" s="74">
        <f t="shared" si="3"/>
        <v>0</v>
      </c>
      <c r="H13" s="41">
        <f>SUM($F$8:F13)/A13</f>
        <v>0</v>
      </c>
      <c r="I13" s="55">
        <f t="shared" si="0"/>
        <v>143.75</v>
      </c>
      <c r="J13" s="54">
        <f t="shared" si="1"/>
        <v>23</v>
      </c>
      <c r="K13" s="21" t="e">
        <f t="shared" si="4"/>
        <v>#DIV/0!</v>
      </c>
    </row>
    <row r="14" spans="1:15" s="23" customFormat="1" ht="22.5" customHeight="1">
      <c r="A14" s="18">
        <v>6</v>
      </c>
      <c r="B14" s="19">
        <f>'FRIT FV 090.540 - FTA'!B14</f>
        <v>46240</v>
      </c>
      <c r="C14" s="19" t="s">
        <v>22</v>
      </c>
      <c r="D14" s="74"/>
      <c r="E14" s="74">
        <f t="shared" si="2"/>
        <v>0</v>
      </c>
      <c r="F14" s="74"/>
      <c r="G14" s="74">
        <f t="shared" si="3"/>
        <v>0</v>
      </c>
      <c r="H14" s="41">
        <f>SUM($F$8:F14)/A14</f>
        <v>0</v>
      </c>
      <c r="I14" s="55">
        <f t="shared" si="0"/>
        <v>143.75</v>
      </c>
      <c r="J14" s="54">
        <f t="shared" si="1"/>
        <v>23</v>
      </c>
      <c r="K14" s="21" t="e">
        <f t="shared" si="4"/>
        <v>#DIV/0!</v>
      </c>
    </row>
    <row r="15" spans="1:15" s="23" customFormat="1" ht="22.5" customHeight="1">
      <c r="A15" s="18">
        <v>7</v>
      </c>
      <c r="B15" s="19">
        <f>'FRIT FV 090.540 - FTA'!B15</f>
        <v>46241</v>
      </c>
      <c r="C15" s="19" t="s">
        <v>22</v>
      </c>
      <c r="D15" s="74"/>
      <c r="E15" s="74">
        <f t="shared" si="2"/>
        <v>0</v>
      </c>
      <c r="F15" s="74"/>
      <c r="G15" s="74">
        <f t="shared" si="3"/>
        <v>0</v>
      </c>
      <c r="H15" s="41">
        <f>SUM($F$8:F15)/A15</f>
        <v>0</v>
      </c>
      <c r="I15" s="55">
        <f t="shared" si="0"/>
        <v>143.75</v>
      </c>
      <c r="J15" s="54">
        <f t="shared" si="1"/>
        <v>23</v>
      </c>
      <c r="K15" s="21" t="e">
        <f t="shared" si="4"/>
        <v>#DIV/0!</v>
      </c>
    </row>
    <row r="16" spans="1:15" s="23" customFormat="1" ht="22.5" customHeight="1">
      <c r="A16" s="18">
        <v>8</v>
      </c>
      <c r="B16" s="19">
        <f>'FRIT FV 090.540 - FTA'!B16</f>
        <v>46242</v>
      </c>
      <c r="C16" s="19" t="s">
        <v>22</v>
      </c>
      <c r="D16" s="74"/>
      <c r="E16" s="74">
        <f t="shared" si="2"/>
        <v>0</v>
      </c>
      <c r="F16" s="74"/>
      <c r="G16" s="74">
        <f t="shared" si="3"/>
        <v>0</v>
      </c>
      <c r="H16" s="41">
        <f>SUM($F$8:F16)/A16</f>
        <v>0</v>
      </c>
      <c r="I16" s="55">
        <f t="shared" si="0"/>
        <v>143.75</v>
      </c>
      <c r="J16" s="54">
        <f t="shared" si="1"/>
        <v>23</v>
      </c>
      <c r="K16" s="21" t="e">
        <f t="shared" si="4"/>
        <v>#DIV/0!</v>
      </c>
    </row>
    <row r="17" spans="1:11" s="23" customFormat="1" ht="22.5" customHeight="1">
      <c r="A17" s="18">
        <v>9</v>
      </c>
      <c r="B17" s="19">
        <f>'FRIT FV 090.540 - FTA'!B17</f>
        <v>46243</v>
      </c>
      <c r="C17" s="19" t="s">
        <v>22</v>
      </c>
      <c r="D17" s="74"/>
      <c r="E17" s="74">
        <f t="shared" si="2"/>
        <v>0</v>
      </c>
      <c r="F17" s="74"/>
      <c r="G17" s="74">
        <f t="shared" si="3"/>
        <v>0</v>
      </c>
      <c r="H17" s="41">
        <f>SUM($F$8:F17)/A17</f>
        <v>0</v>
      </c>
      <c r="I17" s="55">
        <f t="shared" si="0"/>
        <v>143.75</v>
      </c>
      <c r="J17" s="54">
        <f t="shared" si="1"/>
        <v>23</v>
      </c>
      <c r="K17" s="21" t="e">
        <f t="shared" si="4"/>
        <v>#DIV/0!</v>
      </c>
    </row>
    <row r="18" spans="1:11" s="23" customFormat="1" ht="22.5" customHeight="1">
      <c r="A18" s="18">
        <v>10</v>
      </c>
      <c r="B18" s="19">
        <f>'FRIT FV 090.540 - FTA'!B18</f>
        <v>46244</v>
      </c>
      <c r="C18" s="19" t="s">
        <v>22</v>
      </c>
      <c r="D18" s="74"/>
      <c r="E18" s="74">
        <f t="shared" si="2"/>
        <v>0</v>
      </c>
      <c r="F18" s="74"/>
      <c r="G18" s="74">
        <f t="shared" si="3"/>
        <v>0</v>
      </c>
      <c r="H18" s="41">
        <f>SUM($F$8:F18)/A18</f>
        <v>0</v>
      </c>
      <c r="I18" s="55">
        <f t="shared" si="0"/>
        <v>143.75</v>
      </c>
      <c r="J18" s="54">
        <f t="shared" si="1"/>
        <v>23</v>
      </c>
      <c r="K18" s="21" t="e">
        <f t="shared" si="4"/>
        <v>#DIV/0!</v>
      </c>
    </row>
    <row r="19" spans="1:11" s="23" customFormat="1" ht="22.5" customHeight="1">
      <c r="A19" s="18">
        <v>11</v>
      </c>
      <c r="B19" s="19">
        <f>'FRIT FV 090.540 - FTA'!B19</f>
        <v>46245</v>
      </c>
      <c r="C19" s="19" t="s">
        <v>22</v>
      </c>
      <c r="D19" s="74"/>
      <c r="E19" s="74">
        <f t="shared" ref="E19:E39" si="5">D19/6.25</f>
        <v>0</v>
      </c>
      <c r="F19" s="74"/>
      <c r="G19" s="74">
        <f t="shared" ref="G19:G39" si="6">F19/6.25</f>
        <v>0</v>
      </c>
      <c r="H19" s="41">
        <f>SUM($F$8:F19)/A19</f>
        <v>0</v>
      </c>
      <c r="I19" s="55">
        <f t="shared" si="0"/>
        <v>143.75</v>
      </c>
      <c r="J19" s="54">
        <f t="shared" si="1"/>
        <v>23</v>
      </c>
      <c r="K19" s="21" t="e">
        <f t="shared" si="4"/>
        <v>#DIV/0!</v>
      </c>
    </row>
    <row r="20" spans="1:11" s="23" customFormat="1" ht="22.5" customHeight="1">
      <c r="A20" s="18">
        <v>12</v>
      </c>
      <c r="B20" s="19">
        <f>'FRIT FV 090.540 - FTA'!B20</f>
        <v>46246</v>
      </c>
      <c r="C20" s="19" t="s">
        <v>21</v>
      </c>
      <c r="D20" s="74"/>
      <c r="E20" s="74">
        <f t="shared" si="5"/>
        <v>0</v>
      </c>
      <c r="F20" s="74">
        <v>143.75</v>
      </c>
      <c r="G20" s="74">
        <f t="shared" si="6"/>
        <v>23</v>
      </c>
      <c r="H20" s="41">
        <f>SUM($F$8:F20)/A20</f>
        <v>11.979166666666666</v>
      </c>
      <c r="I20" s="55">
        <f t="shared" si="0"/>
        <v>0</v>
      </c>
      <c r="J20" s="54">
        <f t="shared" si="1"/>
        <v>0</v>
      </c>
      <c r="K20" s="21">
        <f t="shared" si="4"/>
        <v>0</v>
      </c>
    </row>
    <row r="21" spans="1:11" s="23" customFormat="1" ht="22.5" customHeight="1">
      <c r="A21" s="18">
        <v>13</v>
      </c>
      <c r="B21" s="19">
        <f>'FRIT FV 090.540 - FTA'!B21</f>
        <v>46247</v>
      </c>
      <c r="C21" s="19" t="s">
        <v>19</v>
      </c>
      <c r="D21" s="74"/>
      <c r="E21" s="74">
        <f t="shared" si="5"/>
        <v>0</v>
      </c>
      <c r="F21" s="74"/>
      <c r="G21" s="74">
        <f t="shared" si="6"/>
        <v>0</v>
      </c>
      <c r="H21" s="41">
        <f>SUM($F$8:F21)/A21</f>
        <v>11.057692307692308</v>
      </c>
      <c r="I21" s="55">
        <f t="shared" si="0"/>
        <v>0</v>
      </c>
      <c r="J21" s="54">
        <f t="shared" si="1"/>
        <v>0</v>
      </c>
      <c r="K21" s="21">
        <f t="shared" si="4"/>
        <v>0</v>
      </c>
    </row>
    <row r="22" spans="1:11" s="23" customFormat="1" ht="22.5" customHeight="1">
      <c r="A22" s="18">
        <v>14</v>
      </c>
      <c r="B22" s="19">
        <f>'FRIT FV 090.540 - FTA'!B22</f>
        <v>46248</v>
      </c>
      <c r="C22" s="19" t="s">
        <v>103</v>
      </c>
      <c r="D22" s="74"/>
      <c r="E22" s="74">
        <f t="shared" si="5"/>
        <v>0</v>
      </c>
      <c r="F22" s="74"/>
      <c r="G22" s="74">
        <f t="shared" si="6"/>
        <v>0</v>
      </c>
      <c r="H22" s="41">
        <f>SUM($F$8:F22)/A22</f>
        <v>10.267857142857142</v>
      </c>
      <c r="I22" s="55">
        <f t="shared" si="0"/>
        <v>0</v>
      </c>
      <c r="J22" s="54">
        <f t="shared" si="1"/>
        <v>0</v>
      </c>
      <c r="K22" s="21">
        <f t="shared" si="4"/>
        <v>0</v>
      </c>
    </row>
    <row r="23" spans="1:11" s="23" customFormat="1" ht="22.5" customHeight="1">
      <c r="A23" s="18">
        <v>15</v>
      </c>
      <c r="B23" s="19">
        <f>'FRIT FV 090.540 - FTA'!B23</f>
        <v>46249</v>
      </c>
      <c r="C23" s="19" t="s">
        <v>19</v>
      </c>
      <c r="D23" s="74"/>
      <c r="E23" s="74">
        <f t="shared" si="5"/>
        <v>0</v>
      </c>
      <c r="F23" s="74"/>
      <c r="G23" s="74">
        <f t="shared" si="6"/>
        <v>0</v>
      </c>
      <c r="H23" s="41">
        <f>SUM($F$8:F23)/A23</f>
        <v>9.5833333333333339</v>
      </c>
      <c r="I23" s="55">
        <f t="shared" si="0"/>
        <v>0</v>
      </c>
      <c r="J23" s="54">
        <f t="shared" si="1"/>
        <v>0</v>
      </c>
      <c r="K23" s="21">
        <f t="shared" si="4"/>
        <v>0</v>
      </c>
    </row>
    <row r="24" spans="1:11" s="23" customFormat="1" ht="22.5" customHeight="1">
      <c r="A24" s="18">
        <v>16</v>
      </c>
      <c r="B24" s="19">
        <f>'FRIT FV 090.540 - FTA'!B24</f>
        <v>46250</v>
      </c>
      <c r="C24" s="19" t="s">
        <v>19</v>
      </c>
      <c r="D24" s="74"/>
      <c r="E24" s="74">
        <f t="shared" si="5"/>
        <v>0</v>
      </c>
      <c r="F24" s="74"/>
      <c r="G24" s="74">
        <f t="shared" si="6"/>
        <v>0</v>
      </c>
      <c r="H24" s="41">
        <f>SUM($F$8:F24)/A24</f>
        <v>8.984375</v>
      </c>
      <c r="I24" s="55">
        <f t="shared" si="0"/>
        <v>0</v>
      </c>
      <c r="J24" s="54">
        <f t="shared" si="1"/>
        <v>0</v>
      </c>
      <c r="K24" s="21">
        <f t="shared" si="4"/>
        <v>0</v>
      </c>
    </row>
    <row r="25" spans="1:11" s="23" customFormat="1" ht="22.5" customHeight="1">
      <c r="A25" s="18">
        <v>17</v>
      </c>
      <c r="B25" s="19">
        <f>'FRIT FV 090.540 - FTA'!B25</f>
        <v>46251</v>
      </c>
      <c r="C25" s="19" t="s">
        <v>19</v>
      </c>
      <c r="D25" s="74"/>
      <c r="E25" s="74">
        <f t="shared" si="5"/>
        <v>0</v>
      </c>
      <c r="F25" s="74"/>
      <c r="G25" s="74">
        <f t="shared" si="6"/>
        <v>0</v>
      </c>
      <c r="H25" s="41">
        <f>SUM($F$8:F25)/A25</f>
        <v>8.4558823529411757</v>
      </c>
      <c r="I25" s="55">
        <f t="shared" si="0"/>
        <v>0</v>
      </c>
      <c r="J25" s="54">
        <f t="shared" si="1"/>
        <v>0</v>
      </c>
      <c r="K25" s="21">
        <f t="shared" si="4"/>
        <v>0</v>
      </c>
    </row>
    <row r="26" spans="1:11" s="23" customFormat="1" ht="22.5" customHeight="1">
      <c r="A26" s="18">
        <v>18</v>
      </c>
      <c r="B26" s="19">
        <f>'FRIT FV 090.540 - FTA'!B26</f>
        <v>46252</v>
      </c>
      <c r="C26" s="19" t="s">
        <v>19</v>
      </c>
      <c r="D26" s="74"/>
      <c r="E26" s="74">
        <f t="shared" si="5"/>
        <v>0</v>
      </c>
      <c r="F26" s="74"/>
      <c r="G26" s="74">
        <f t="shared" si="6"/>
        <v>0</v>
      </c>
      <c r="H26" s="41">
        <f>SUM($F$8:F26)/A26</f>
        <v>7.9861111111111107</v>
      </c>
      <c r="I26" s="55">
        <f t="shared" si="0"/>
        <v>0</v>
      </c>
      <c r="J26" s="54">
        <f t="shared" si="1"/>
        <v>0</v>
      </c>
      <c r="K26" s="21">
        <f t="shared" si="4"/>
        <v>0</v>
      </c>
    </row>
    <row r="27" spans="1:11" s="23" customFormat="1" ht="22.5" customHeight="1">
      <c r="A27" s="18">
        <v>19</v>
      </c>
      <c r="B27" s="19">
        <f>'FRIT FV 090.540 - FTA'!B27</f>
        <v>46253</v>
      </c>
      <c r="C27" s="19" t="s">
        <v>19</v>
      </c>
      <c r="D27" s="74"/>
      <c r="E27" s="74">
        <f t="shared" si="5"/>
        <v>0</v>
      </c>
      <c r="F27" s="74"/>
      <c r="G27" s="74">
        <f t="shared" si="6"/>
        <v>0</v>
      </c>
      <c r="H27" s="41">
        <f>SUM($F$8:F27)/A27</f>
        <v>7.5657894736842106</v>
      </c>
      <c r="I27" s="55">
        <f t="shared" si="0"/>
        <v>0</v>
      </c>
      <c r="J27" s="54">
        <f t="shared" si="1"/>
        <v>0</v>
      </c>
      <c r="K27" s="21">
        <f t="shared" si="4"/>
        <v>0</v>
      </c>
    </row>
    <row r="28" spans="1:11" s="23" customFormat="1" ht="22.5" customHeight="1">
      <c r="A28" s="18">
        <v>20</v>
      </c>
      <c r="B28" s="19">
        <f>'FRIT FV 090.540 - FTA'!B28</f>
        <v>46254</v>
      </c>
      <c r="C28" s="19" t="s">
        <v>19</v>
      </c>
      <c r="D28" s="74"/>
      <c r="E28" s="74">
        <f t="shared" si="5"/>
        <v>0</v>
      </c>
      <c r="F28" s="74"/>
      <c r="G28" s="74">
        <f t="shared" si="6"/>
        <v>0</v>
      </c>
      <c r="H28" s="41">
        <f>SUM($F$8:F28)/A28</f>
        <v>7.1875</v>
      </c>
      <c r="I28" s="55">
        <f t="shared" si="0"/>
        <v>0</v>
      </c>
      <c r="J28" s="54">
        <f t="shared" si="1"/>
        <v>0</v>
      </c>
      <c r="K28" s="21">
        <f t="shared" si="4"/>
        <v>0</v>
      </c>
    </row>
    <row r="29" spans="1:11" s="23" customFormat="1" ht="22.5" customHeight="1">
      <c r="A29" s="18">
        <v>21</v>
      </c>
      <c r="B29" s="19">
        <f>'FRIT FV 090.540 - FTA'!B29</f>
        <v>46255</v>
      </c>
      <c r="C29" s="19" t="s">
        <v>19</v>
      </c>
      <c r="D29" s="74"/>
      <c r="E29" s="74">
        <f t="shared" si="5"/>
        <v>0</v>
      </c>
      <c r="F29" s="74"/>
      <c r="G29" s="74">
        <f t="shared" si="6"/>
        <v>0</v>
      </c>
      <c r="H29" s="41">
        <f>SUM($F$8:F29)/A29</f>
        <v>6.8452380952380949</v>
      </c>
      <c r="I29" s="55">
        <f t="shared" si="0"/>
        <v>0</v>
      </c>
      <c r="J29" s="54">
        <f t="shared" si="1"/>
        <v>0</v>
      </c>
      <c r="K29" s="21">
        <f t="shared" si="4"/>
        <v>0</v>
      </c>
    </row>
    <row r="30" spans="1:11" s="23" customFormat="1" ht="22.5" customHeight="1">
      <c r="A30" s="18">
        <v>22</v>
      </c>
      <c r="B30" s="19">
        <f>'FRIT FV 090.540 - FTA'!B30</f>
        <v>46256</v>
      </c>
      <c r="C30" s="19" t="s">
        <v>19</v>
      </c>
      <c r="D30" s="74"/>
      <c r="E30" s="74">
        <f t="shared" si="5"/>
        <v>0</v>
      </c>
      <c r="F30" s="74"/>
      <c r="G30" s="74">
        <f t="shared" si="6"/>
        <v>0</v>
      </c>
      <c r="H30" s="41">
        <f>SUM($F$8:F30)/A30</f>
        <v>6.5340909090909092</v>
      </c>
      <c r="I30" s="55">
        <f t="shared" si="0"/>
        <v>0</v>
      </c>
      <c r="J30" s="54">
        <f t="shared" si="1"/>
        <v>0</v>
      </c>
      <c r="K30" s="21">
        <f t="shared" si="4"/>
        <v>0</v>
      </c>
    </row>
    <row r="31" spans="1:11" s="23" customFormat="1" ht="22.5" customHeight="1">
      <c r="A31" s="18">
        <v>23</v>
      </c>
      <c r="B31" s="19">
        <f>'FRIT FV 090.540 - FTA'!B31</f>
        <v>46257</v>
      </c>
      <c r="C31" s="19" t="s">
        <v>19</v>
      </c>
      <c r="D31" s="74"/>
      <c r="E31" s="74">
        <f t="shared" si="5"/>
        <v>0</v>
      </c>
      <c r="F31" s="74"/>
      <c r="G31" s="74">
        <f t="shared" si="6"/>
        <v>0</v>
      </c>
      <c r="H31" s="41">
        <f>SUM($F$8:F31)/A31</f>
        <v>6.25</v>
      </c>
      <c r="I31" s="55">
        <f t="shared" si="0"/>
        <v>0</v>
      </c>
      <c r="J31" s="54">
        <f t="shared" si="1"/>
        <v>0</v>
      </c>
      <c r="K31" s="21">
        <f t="shared" si="4"/>
        <v>0</v>
      </c>
    </row>
    <row r="32" spans="1:11" s="23" customFormat="1" ht="22.5" customHeight="1">
      <c r="A32" s="18">
        <v>24</v>
      </c>
      <c r="B32" s="19">
        <f>'FRIT FV 090.540 - FTA'!B32</f>
        <v>46258</v>
      </c>
      <c r="C32" s="19" t="s">
        <v>22</v>
      </c>
      <c r="D32" s="74"/>
      <c r="E32" s="74">
        <f t="shared" si="5"/>
        <v>0</v>
      </c>
      <c r="F32" s="74"/>
      <c r="G32" s="74">
        <f t="shared" si="6"/>
        <v>0</v>
      </c>
      <c r="H32" s="41">
        <f>SUM($F$8:F32)/A32</f>
        <v>5.989583333333333</v>
      </c>
      <c r="I32" s="55">
        <f t="shared" si="0"/>
        <v>0</v>
      </c>
      <c r="J32" s="54">
        <f t="shared" si="1"/>
        <v>0</v>
      </c>
      <c r="K32" s="21">
        <f t="shared" si="4"/>
        <v>0</v>
      </c>
    </row>
    <row r="33" spans="1:11" s="23" customFormat="1" ht="22.5" customHeight="1">
      <c r="A33" s="18">
        <v>25</v>
      </c>
      <c r="B33" s="19">
        <f>'FRIT FV 090.540 - FTA'!B33</f>
        <v>46259</v>
      </c>
      <c r="C33" s="19" t="s">
        <v>19</v>
      </c>
      <c r="D33" s="74"/>
      <c r="E33" s="74">
        <f t="shared" si="5"/>
        <v>0</v>
      </c>
      <c r="F33" s="74"/>
      <c r="G33" s="74">
        <f t="shared" si="6"/>
        <v>0</v>
      </c>
      <c r="H33" s="41">
        <f>SUM($F$8:F33)/A33</f>
        <v>5.75</v>
      </c>
      <c r="I33" s="55">
        <f t="shared" si="0"/>
        <v>0</v>
      </c>
      <c r="J33" s="54">
        <f t="shared" si="1"/>
        <v>0</v>
      </c>
      <c r="K33" s="21">
        <f t="shared" si="4"/>
        <v>0</v>
      </c>
    </row>
    <row r="34" spans="1:11" s="23" customFormat="1" ht="22.5" customHeight="1">
      <c r="A34" s="18">
        <v>26</v>
      </c>
      <c r="B34" s="19">
        <f>'FRIT FV 090.540 - FTA'!B34</f>
        <v>46260</v>
      </c>
      <c r="C34" s="19" t="s">
        <v>21</v>
      </c>
      <c r="D34" s="74"/>
      <c r="E34" s="74">
        <f t="shared" si="5"/>
        <v>0</v>
      </c>
      <c r="F34" s="74"/>
      <c r="G34" s="74">
        <f t="shared" si="6"/>
        <v>0</v>
      </c>
      <c r="H34" s="41">
        <f>SUM($F$8:F34)/A34</f>
        <v>5.5288461538461542</v>
      </c>
      <c r="I34" s="55">
        <f t="shared" si="0"/>
        <v>0</v>
      </c>
      <c r="J34" s="54">
        <f t="shared" si="1"/>
        <v>0</v>
      </c>
      <c r="K34" s="21">
        <f t="shared" si="4"/>
        <v>0</v>
      </c>
    </row>
    <row r="35" spans="1:11" s="23" customFormat="1" ht="22.5" customHeight="1">
      <c r="A35" s="18">
        <v>27</v>
      </c>
      <c r="B35" s="19">
        <f>'FRIT FV 090.540 - FTA'!B35</f>
        <v>46261</v>
      </c>
      <c r="C35" s="69" t="s">
        <v>22</v>
      </c>
      <c r="D35" s="74"/>
      <c r="E35" s="74">
        <f t="shared" si="5"/>
        <v>0</v>
      </c>
      <c r="F35" s="74"/>
      <c r="G35" s="74">
        <f t="shared" si="6"/>
        <v>0</v>
      </c>
      <c r="H35" s="41">
        <f>SUM($F$8:F35)/A35</f>
        <v>5.3240740740740744</v>
      </c>
      <c r="I35" s="55">
        <f t="shared" si="0"/>
        <v>0</v>
      </c>
      <c r="J35" s="54">
        <f t="shared" si="1"/>
        <v>0</v>
      </c>
      <c r="K35" s="21">
        <f t="shared" si="4"/>
        <v>0</v>
      </c>
    </row>
    <row r="36" spans="1:11" s="23" customFormat="1" ht="22.5" customHeight="1">
      <c r="A36" s="18">
        <v>28</v>
      </c>
      <c r="B36" s="19">
        <f>'FRIT FV 090.540 - FTA'!B36</f>
        <v>46262</v>
      </c>
      <c r="C36" s="69" t="s">
        <v>22</v>
      </c>
      <c r="D36" s="74"/>
      <c r="E36" s="74">
        <f t="shared" si="5"/>
        <v>0</v>
      </c>
      <c r="F36" s="74"/>
      <c r="G36" s="74">
        <f t="shared" si="6"/>
        <v>0</v>
      </c>
      <c r="H36" s="41">
        <f>SUM($F$8:F36)/A36</f>
        <v>5.1339285714285712</v>
      </c>
      <c r="I36" s="55">
        <f t="shared" si="0"/>
        <v>0</v>
      </c>
      <c r="J36" s="54">
        <f t="shared" si="1"/>
        <v>0</v>
      </c>
      <c r="K36" s="21">
        <f t="shared" si="4"/>
        <v>0</v>
      </c>
    </row>
    <row r="37" spans="1:11" s="23" customFormat="1" ht="22.5" customHeight="1">
      <c r="A37" s="18">
        <v>29</v>
      </c>
      <c r="B37" s="19">
        <f>'FRIT FV 090.540 - FTA'!B37</f>
        <v>46263</v>
      </c>
      <c r="C37" s="69" t="s">
        <v>22</v>
      </c>
      <c r="D37" s="74"/>
      <c r="E37" s="74">
        <f t="shared" si="5"/>
        <v>0</v>
      </c>
      <c r="F37" s="74"/>
      <c r="G37" s="74">
        <f t="shared" si="6"/>
        <v>0</v>
      </c>
      <c r="H37" s="41">
        <f>SUM($F$8:F37)/A37</f>
        <v>4.9568965517241379</v>
      </c>
      <c r="I37" s="55">
        <f t="shared" si="0"/>
        <v>0</v>
      </c>
      <c r="J37" s="54">
        <f t="shared" si="1"/>
        <v>0</v>
      </c>
      <c r="K37" s="21">
        <f t="shared" si="4"/>
        <v>0</v>
      </c>
    </row>
    <row r="38" spans="1:11" s="23" customFormat="1" ht="22.5" customHeight="1">
      <c r="A38" s="18">
        <v>30</v>
      </c>
      <c r="B38" s="19">
        <f>'FRIT FV 090.540 - FTA'!B38</f>
        <v>46264</v>
      </c>
      <c r="C38" s="69" t="s">
        <v>22</v>
      </c>
      <c r="D38" s="74"/>
      <c r="E38" s="74">
        <f t="shared" si="5"/>
        <v>0</v>
      </c>
      <c r="F38" s="74"/>
      <c r="G38" s="74">
        <f t="shared" si="6"/>
        <v>0</v>
      </c>
      <c r="H38" s="41">
        <f>SUM($F$8:F38)/A38</f>
        <v>4.791666666666667</v>
      </c>
      <c r="I38" s="55">
        <f t="shared" si="0"/>
        <v>0</v>
      </c>
      <c r="J38" s="54">
        <f t="shared" si="1"/>
        <v>0</v>
      </c>
      <c r="K38" s="21">
        <f t="shared" si="4"/>
        <v>0</v>
      </c>
    </row>
    <row r="39" spans="1:11" s="23" customFormat="1" ht="22.5" customHeight="1">
      <c r="A39" s="18">
        <v>31</v>
      </c>
      <c r="B39" s="19">
        <f>'FRIT FV 090.540 - FTA'!B39</f>
        <v>46265</v>
      </c>
      <c r="C39" s="69" t="s">
        <v>22</v>
      </c>
      <c r="D39" s="74"/>
      <c r="E39" s="74">
        <f t="shared" si="5"/>
        <v>0</v>
      </c>
      <c r="F39" s="74"/>
      <c r="G39" s="74">
        <f t="shared" si="6"/>
        <v>0</v>
      </c>
      <c r="H39" s="41">
        <f>SUM($F$8:F39)/A39</f>
        <v>4.637096774193548</v>
      </c>
      <c r="I39" s="55">
        <f t="shared" si="0"/>
        <v>0</v>
      </c>
      <c r="J39" s="54">
        <f t="shared" si="1"/>
        <v>0</v>
      </c>
      <c r="K39" s="21">
        <f t="shared" si="4"/>
        <v>0</v>
      </c>
    </row>
    <row r="40" spans="1:11" s="32" customFormat="1" ht="26.25" customHeight="1">
      <c r="A40" s="1517" t="s">
        <v>29</v>
      </c>
      <c r="B40" s="1517"/>
      <c r="C40" s="1517"/>
      <c r="D40" s="57">
        <f>SUM(D9:D39)</f>
        <v>0</v>
      </c>
      <c r="E40" s="57">
        <f>SUM(E9:E39)</f>
        <v>0</v>
      </c>
      <c r="F40" s="46">
        <f>SUM(F9:F39)</f>
        <v>143.75</v>
      </c>
      <c r="G40" s="46">
        <f>SUM(G9:G39)</f>
        <v>23</v>
      </c>
      <c r="H40" s="46"/>
      <c r="I40" s="56">
        <f>I39</f>
        <v>0</v>
      </c>
      <c r="J40" s="56">
        <f>J39</f>
        <v>0</v>
      </c>
      <c r="K40" s="31"/>
    </row>
    <row r="41" spans="1:11" s="32" customFormat="1" ht="26.25" customHeight="1">
      <c r="A41" s="1517" t="s">
        <v>15</v>
      </c>
      <c r="B41" s="1517"/>
      <c r="C41" s="1517"/>
      <c r="D41" s="57">
        <f>D8+D40</f>
        <v>143.75</v>
      </c>
      <c r="E41" s="57">
        <f>E8+E40</f>
        <v>23</v>
      </c>
      <c r="F41" s="46">
        <f>F8+F40</f>
        <v>143.75</v>
      </c>
      <c r="G41" s="46">
        <f>G8+G40</f>
        <v>23</v>
      </c>
      <c r="H41" s="46"/>
      <c r="I41" s="46">
        <f>D41-F41</f>
        <v>0</v>
      </c>
      <c r="J41" s="46">
        <f>E41-G41</f>
        <v>0</v>
      </c>
      <c r="K41" s="31"/>
    </row>
    <row r="42" spans="1:11" ht="23.25" customHeight="1">
      <c r="A42" s="5"/>
      <c r="B42" s="5"/>
      <c r="C42" s="5"/>
      <c r="D42" s="7"/>
      <c r="E42" s="7"/>
      <c r="F42" s="24"/>
      <c r="G42" s="24"/>
      <c r="H42" s="7"/>
      <c r="I42" s="7"/>
      <c r="J42" s="7"/>
    </row>
    <row r="43" spans="1:11">
      <c r="F43" s="24"/>
      <c r="G43" s="24"/>
    </row>
  </sheetData>
  <mergeCells count="12">
    <mergeCell ref="A41:C41"/>
    <mergeCell ref="A2:K2"/>
    <mergeCell ref="A8:C8"/>
    <mergeCell ref="A40:C40"/>
    <mergeCell ref="A6:A7"/>
    <mergeCell ref="B6:B7"/>
    <mergeCell ref="C6:C7"/>
    <mergeCell ref="D6:E6"/>
    <mergeCell ref="F6:G6"/>
    <mergeCell ref="H6:H7"/>
    <mergeCell ref="I6:J6"/>
    <mergeCell ref="K6:K7"/>
  </mergeCells>
  <hyperlinks>
    <hyperlink ref="K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43"/>
  <sheetViews>
    <sheetView zoomScale="70" zoomScaleNormal="70" workbookViewId="0">
      <pane ySplit="8" topLeftCell="A18" activePane="bottomLeft" state="frozen"/>
      <selection activeCell="K5" sqref="K5"/>
      <selection pane="bottomLeft" activeCell="P22" sqref="P22:Q22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0.7109375" style="42" customWidth="1"/>
    <col min="4" max="10" width="13.85546875" style="6" customWidth="1"/>
    <col min="11" max="11" width="19.28515625" style="42" customWidth="1"/>
    <col min="12" max="16384" width="9.28515625" style="42"/>
  </cols>
  <sheetData>
    <row r="1" spans="1:15" ht="114.75" customHeight="1"/>
    <row r="2" spans="1:15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</row>
    <row r="3" spans="1:15" ht="21.75" customHeight="1">
      <c r="B3" s="64"/>
      <c r="C3" s="64"/>
      <c r="D3" s="64"/>
      <c r="E3" s="64"/>
      <c r="F3" s="66" t="s">
        <v>33</v>
      </c>
      <c r="G3" s="67"/>
      <c r="H3" s="65" t="s">
        <v>70</v>
      </c>
      <c r="I3" s="64"/>
      <c r="J3" s="64"/>
      <c r="K3" s="64"/>
    </row>
    <row r="4" spans="1:15" ht="21.75" customHeight="1">
      <c r="B4" s="8" t="e">
        <f>'FRIT FV 090.540 - FTA'!#REF!</f>
        <v>#REF!</v>
      </c>
      <c r="C4" s="8" t="e">
        <f>'FRIT FV 090.540 - FTA'!#REF!</f>
        <v>#REF!</v>
      </c>
      <c r="D4" s="8" t="e">
        <f>'FRIT FV 090.540 - FTA'!#REF!</f>
        <v>#REF!</v>
      </c>
      <c r="E4" s="8" t="e">
        <f>'FRIT FV 090.540 - FTA'!#REF!</f>
        <v>#REF!</v>
      </c>
      <c r="F4" s="8" t="e">
        <f>'FRIT FV 090.540 - FTA'!#REF!</f>
        <v>#REF!</v>
      </c>
      <c r="G4" s="8" t="e">
        <f>'FRIT FV 090.540 - FTA'!#REF!</f>
        <v>#REF!</v>
      </c>
      <c r="H4" s="8" t="e">
        <f>'FRIT FV 090.540 - FTA'!#REF!</f>
        <v>#REF!</v>
      </c>
      <c r="I4" s="8" t="e">
        <f>'FRIT FV 090.540 - FTA'!#REF!</f>
        <v>#REF!</v>
      </c>
      <c r="J4" s="42"/>
      <c r="L4" s="75"/>
      <c r="M4" s="75"/>
    </row>
    <row r="5" spans="1:15" ht="22.5" customHeight="1">
      <c r="F5" s="10"/>
      <c r="G5" s="10"/>
      <c r="H5" s="10"/>
      <c r="J5" s="12" t="s">
        <v>26</v>
      </c>
      <c r="K5" s="35" t="s">
        <v>18</v>
      </c>
    </row>
    <row r="6" spans="1:15" s="13" customFormat="1" ht="28.5" customHeight="1">
      <c r="A6" s="1531" t="s">
        <v>2</v>
      </c>
      <c r="B6" s="1532" t="s">
        <v>1</v>
      </c>
      <c r="C6" s="1533" t="s">
        <v>24</v>
      </c>
      <c r="D6" s="1534" t="s">
        <v>27</v>
      </c>
      <c r="E6" s="1534"/>
      <c r="F6" s="1534" t="s">
        <v>31</v>
      </c>
      <c r="G6" s="1534"/>
      <c r="H6" s="1534" t="s">
        <v>32</v>
      </c>
      <c r="I6" s="1534" t="s">
        <v>14</v>
      </c>
      <c r="J6" s="1534"/>
      <c r="K6" s="1534" t="s">
        <v>30</v>
      </c>
    </row>
    <row r="7" spans="1:15" s="13" customFormat="1" ht="28.5" customHeight="1">
      <c r="A7" s="1531"/>
      <c r="B7" s="1532"/>
      <c r="C7" s="1533"/>
      <c r="D7" s="90" t="s">
        <v>10</v>
      </c>
      <c r="E7" s="90" t="s">
        <v>58</v>
      </c>
      <c r="F7" s="90" t="s">
        <v>10</v>
      </c>
      <c r="G7" s="90" t="s">
        <v>58</v>
      </c>
      <c r="H7" s="1534"/>
      <c r="I7" s="90" t="s">
        <v>10</v>
      </c>
      <c r="J7" s="90" t="s">
        <v>58</v>
      </c>
      <c r="K7" s="1534"/>
    </row>
    <row r="8" spans="1:15" s="13" customFormat="1" ht="25.5" customHeight="1">
      <c r="A8" s="1514" t="s">
        <v>3</v>
      </c>
      <c r="B8" s="1515"/>
      <c r="C8" s="1516"/>
      <c r="D8" s="73">
        <f>I8</f>
        <v>37.5</v>
      </c>
      <c r="E8" s="73">
        <f>J8</f>
        <v>6</v>
      </c>
      <c r="F8" s="73"/>
      <c r="G8" s="73"/>
      <c r="H8" s="14"/>
      <c r="I8" s="53">
        <v>37.5</v>
      </c>
      <c r="J8" s="54">
        <f>I8/6.25</f>
        <v>6</v>
      </c>
      <c r="K8" s="17"/>
    </row>
    <row r="9" spans="1:15" s="13" customFormat="1" ht="22.5" customHeight="1">
      <c r="A9" s="18">
        <v>1</v>
      </c>
      <c r="B9" s="19">
        <f>'FRIT FV 090.540 - FTA'!B9</f>
        <v>46235</v>
      </c>
      <c r="C9" s="19" t="s">
        <v>22</v>
      </c>
      <c r="D9" s="74"/>
      <c r="E9" s="74">
        <f>D9/6.25</f>
        <v>0</v>
      </c>
      <c r="F9" s="74"/>
      <c r="G9" s="74">
        <f>F9/6.25</f>
        <v>0</v>
      </c>
      <c r="H9" s="41">
        <f>SUM($F$8:F9)/A9</f>
        <v>0</v>
      </c>
      <c r="I9" s="55">
        <f t="shared" ref="I9:I39" si="0">I8+D9-F9</f>
        <v>37.5</v>
      </c>
      <c r="J9" s="54">
        <f t="shared" ref="J9:J39" si="1">I9/6.25</f>
        <v>6</v>
      </c>
      <c r="K9" s="21" t="e">
        <f>I9/H9</f>
        <v>#DIV/0!</v>
      </c>
    </row>
    <row r="10" spans="1:15" s="13" customFormat="1" ht="22.5" customHeight="1">
      <c r="A10" s="18">
        <v>2</v>
      </c>
      <c r="B10" s="19">
        <f>'FRIT FV 090.540 - FTA'!B10</f>
        <v>46236</v>
      </c>
      <c r="C10" s="19" t="s">
        <v>22</v>
      </c>
      <c r="D10" s="74"/>
      <c r="E10" s="74">
        <f t="shared" ref="E10:E17" si="2">D10/6.25</f>
        <v>0</v>
      </c>
      <c r="F10" s="74"/>
      <c r="G10" s="74">
        <f t="shared" ref="G10:G17" si="3">F10/6.25</f>
        <v>0</v>
      </c>
      <c r="H10" s="41">
        <f>SUM($F$8:F10)/A10</f>
        <v>0</v>
      </c>
      <c r="I10" s="55">
        <f t="shared" si="0"/>
        <v>37.5</v>
      </c>
      <c r="J10" s="54">
        <f t="shared" si="1"/>
        <v>6</v>
      </c>
      <c r="K10" s="21" t="e">
        <f t="shared" ref="K10:K39" si="4">I10/H10</f>
        <v>#DIV/0!</v>
      </c>
    </row>
    <row r="11" spans="1:15" s="13" customFormat="1" ht="22.5" customHeight="1">
      <c r="A11" s="18">
        <v>3</v>
      </c>
      <c r="B11" s="19">
        <f>'FRIT FV 090.540 - FTA'!B11</f>
        <v>46237</v>
      </c>
      <c r="C11" s="19" t="s">
        <v>22</v>
      </c>
      <c r="D11" s="74"/>
      <c r="E11" s="74">
        <f t="shared" si="2"/>
        <v>0</v>
      </c>
      <c r="F11" s="74"/>
      <c r="G11" s="74">
        <f t="shared" si="3"/>
        <v>0</v>
      </c>
      <c r="H11" s="41">
        <f>SUM($F$8:F11)/A11</f>
        <v>0</v>
      </c>
      <c r="I11" s="55">
        <f t="shared" si="0"/>
        <v>37.5</v>
      </c>
      <c r="J11" s="54">
        <f t="shared" si="1"/>
        <v>6</v>
      </c>
      <c r="K11" s="21" t="e">
        <f t="shared" si="4"/>
        <v>#DIV/0!</v>
      </c>
    </row>
    <row r="12" spans="1:15" s="23" customFormat="1" ht="22.5" customHeight="1">
      <c r="A12" s="18">
        <v>4</v>
      </c>
      <c r="B12" s="19">
        <f>'FRIT FV 090.540 - FTA'!B12</f>
        <v>46238</v>
      </c>
      <c r="C12" s="19" t="s">
        <v>22</v>
      </c>
      <c r="D12" s="74"/>
      <c r="E12" s="74">
        <f t="shared" si="2"/>
        <v>0</v>
      </c>
      <c r="F12" s="74"/>
      <c r="G12" s="74">
        <f t="shared" si="3"/>
        <v>0</v>
      </c>
      <c r="H12" s="41">
        <f>SUM($F$8:F12)/A12</f>
        <v>0</v>
      </c>
      <c r="I12" s="55">
        <f t="shared" si="0"/>
        <v>37.5</v>
      </c>
      <c r="J12" s="54">
        <f t="shared" si="1"/>
        <v>6</v>
      </c>
      <c r="K12" s="21" t="e">
        <f t="shared" si="4"/>
        <v>#DIV/0!</v>
      </c>
      <c r="M12" s="13"/>
      <c r="N12" s="13"/>
      <c r="O12" s="13"/>
    </row>
    <row r="13" spans="1:15" s="23" customFormat="1" ht="22.5" customHeight="1">
      <c r="A13" s="18">
        <v>5</v>
      </c>
      <c r="B13" s="19">
        <f>'FRIT FV 090.540 - FTA'!B13</f>
        <v>46239</v>
      </c>
      <c r="C13" s="19" t="s">
        <v>22</v>
      </c>
      <c r="D13" s="74"/>
      <c r="E13" s="74">
        <f t="shared" si="2"/>
        <v>0</v>
      </c>
      <c r="F13" s="74"/>
      <c r="G13" s="74">
        <f t="shared" si="3"/>
        <v>0</v>
      </c>
      <c r="H13" s="41">
        <f>SUM($F$8:F13)/A13</f>
        <v>0</v>
      </c>
      <c r="I13" s="55">
        <f t="shared" si="0"/>
        <v>37.5</v>
      </c>
      <c r="J13" s="54">
        <f t="shared" si="1"/>
        <v>6</v>
      </c>
      <c r="K13" s="21" t="e">
        <f t="shared" si="4"/>
        <v>#DIV/0!</v>
      </c>
    </row>
    <row r="14" spans="1:15" s="23" customFormat="1" ht="22.5" customHeight="1">
      <c r="A14" s="18">
        <v>6</v>
      </c>
      <c r="B14" s="19">
        <f>'FRIT FV 090.540 - FTA'!B14</f>
        <v>46240</v>
      </c>
      <c r="C14" s="19" t="s">
        <v>22</v>
      </c>
      <c r="D14" s="74"/>
      <c r="E14" s="74">
        <f t="shared" si="2"/>
        <v>0</v>
      </c>
      <c r="F14" s="74"/>
      <c r="G14" s="74">
        <f t="shared" si="3"/>
        <v>0</v>
      </c>
      <c r="H14" s="41">
        <f>SUM($F$8:F14)/A14</f>
        <v>0</v>
      </c>
      <c r="I14" s="55">
        <f t="shared" si="0"/>
        <v>37.5</v>
      </c>
      <c r="J14" s="54">
        <f t="shared" si="1"/>
        <v>6</v>
      </c>
      <c r="K14" s="21" t="e">
        <f t="shared" si="4"/>
        <v>#DIV/0!</v>
      </c>
    </row>
    <row r="15" spans="1:15" s="23" customFormat="1" ht="22.5" customHeight="1">
      <c r="A15" s="18">
        <v>7</v>
      </c>
      <c r="B15" s="19">
        <f>'FRIT FV 090.540 - FTA'!B15</f>
        <v>46241</v>
      </c>
      <c r="C15" s="19" t="s">
        <v>22</v>
      </c>
      <c r="D15" s="74"/>
      <c r="E15" s="74">
        <f t="shared" si="2"/>
        <v>0</v>
      </c>
      <c r="F15" s="74"/>
      <c r="G15" s="74">
        <f t="shared" si="3"/>
        <v>0</v>
      </c>
      <c r="H15" s="41">
        <f>SUM($F$8:F15)/A15</f>
        <v>0</v>
      </c>
      <c r="I15" s="55">
        <f t="shared" si="0"/>
        <v>37.5</v>
      </c>
      <c r="J15" s="54">
        <f t="shared" si="1"/>
        <v>6</v>
      </c>
      <c r="K15" s="21" t="e">
        <f t="shared" si="4"/>
        <v>#DIV/0!</v>
      </c>
    </row>
    <row r="16" spans="1:15" s="23" customFormat="1" ht="22.5" customHeight="1">
      <c r="A16" s="18">
        <v>8</v>
      </c>
      <c r="B16" s="19">
        <f>'FRIT FV 090.540 - FTA'!B16</f>
        <v>46242</v>
      </c>
      <c r="C16" s="19" t="s">
        <v>22</v>
      </c>
      <c r="D16" s="74"/>
      <c r="E16" s="74">
        <f t="shared" si="2"/>
        <v>0</v>
      </c>
      <c r="F16" s="74"/>
      <c r="G16" s="74">
        <f t="shared" si="3"/>
        <v>0</v>
      </c>
      <c r="H16" s="41">
        <f>SUM($F$8:F16)/A16</f>
        <v>0</v>
      </c>
      <c r="I16" s="55">
        <f t="shared" si="0"/>
        <v>37.5</v>
      </c>
      <c r="J16" s="54">
        <f t="shared" si="1"/>
        <v>6</v>
      </c>
      <c r="K16" s="21" t="e">
        <f t="shared" si="4"/>
        <v>#DIV/0!</v>
      </c>
    </row>
    <row r="17" spans="1:11" s="23" customFormat="1" ht="22.5" customHeight="1">
      <c r="A17" s="18">
        <v>9</v>
      </c>
      <c r="B17" s="19">
        <f>'FRIT FV 090.540 - FTA'!B17</f>
        <v>46243</v>
      </c>
      <c r="C17" s="19" t="s">
        <v>22</v>
      </c>
      <c r="D17" s="74"/>
      <c r="E17" s="74">
        <f t="shared" si="2"/>
        <v>0</v>
      </c>
      <c r="F17" s="74"/>
      <c r="G17" s="74">
        <f t="shared" si="3"/>
        <v>0</v>
      </c>
      <c r="H17" s="41">
        <f>SUM($F$8:F17)/A17</f>
        <v>0</v>
      </c>
      <c r="I17" s="55">
        <f t="shared" si="0"/>
        <v>37.5</v>
      </c>
      <c r="J17" s="54">
        <f t="shared" si="1"/>
        <v>6</v>
      </c>
      <c r="K17" s="21" t="e">
        <f t="shared" si="4"/>
        <v>#DIV/0!</v>
      </c>
    </row>
    <row r="18" spans="1:11" s="23" customFormat="1" ht="22.5" customHeight="1">
      <c r="A18" s="18">
        <v>10</v>
      </c>
      <c r="B18" s="19">
        <f>'FRIT FV 090.540 - FTA'!B18</f>
        <v>46244</v>
      </c>
      <c r="C18" s="19" t="s">
        <v>22</v>
      </c>
      <c r="D18" s="74"/>
      <c r="E18" s="74">
        <f t="shared" ref="E18:E39" si="5">D18/6.25</f>
        <v>0</v>
      </c>
      <c r="F18" s="74"/>
      <c r="G18" s="74">
        <f t="shared" ref="G18:G39" si="6">F18/6.25</f>
        <v>0</v>
      </c>
      <c r="H18" s="41">
        <f>SUM($F$8:F18)/A18</f>
        <v>0</v>
      </c>
      <c r="I18" s="55">
        <f t="shared" si="0"/>
        <v>37.5</v>
      </c>
      <c r="J18" s="54">
        <f t="shared" si="1"/>
        <v>6</v>
      </c>
      <c r="K18" s="21" t="e">
        <f t="shared" si="4"/>
        <v>#DIV/0!</v>
      </c>
    </row>
    <row r="19" spans="1:11" s="23" customFormat="1" ht="22.5" customHeight="1">
      <c r="A19" s="18">
        <v>11</v>
      </c>
      <c r="B19" s="19">
        <f>'FRIT FV 090.540 - FTA'!B19</f>
        <v>46245</v>
      </c>
      <c r="C19" s="19" t="s">
        <v>22</v>
      </c>
      <c r="D19" s="74"/>
      <c r="E19" s="74">
        <f t="shared" si="5"/>
        <v>0</v>
      </c>
      <c r="F19" s="74"/>
      <c r="G19" s="74">
        <f t="shared" si="6"/>
        <v>0</v>
      </c>
      <c r="H19" s="41">
        <f>SUM($F$8:F19)/A19</f>
        <v>0</v>
      </c>
      <c r="I19" s="55">
        <f t="shared" si="0"/>
        <v>37.5</v>
      </c>
      <c r="J19" s="54">
        <f t="shared" si="1"/>
        <v>6</v>
      </c>
      <c r="K19" s="21" t="e">
        <f t="shared" si="4"/>
        <v>#DIV/0!</v>
      </c>
    </row>
    <row r="20" spans="1:11" s="23" customFormat="1" ht="22.5" customHeight="1">
      <c r="A20" s="18">
        <v>12</v>
      </c>
      <c r="B20" s="19">
        <f>'FRIT FV 090.540 - FTA'!B20</f>
        <v>46246</v>
      </c>
      <c r="C20" s="19" t="s">
        <v>17</v>
      </c>
      <c r="D20" s="74"/>
      <c r="E20" s="74">
        <f t="shared" si="5"/>
        <v>0</v>
      </c>
      <c r="F20" s="74">
        <v>37.5</v>
      </c>
      <c r="G20" s="74">
        <f t="shared" si="6"/>
        <v>6</v>
      </c>
      <c r="H20" s="41">
        <f>SUM($F$8:F20)/A20</f>
        <v>3.125</v>
      </c>
      <c r="I20" s="55">
        <f t="shared" si="0"/>
        <v>0</v>
      </c>
      <c r="J20" s="54">
        <f t="shared" si="1"/>
        <v>0</v>
      </c>
      <c r="K20" s="21">
        <f t="shared" si="4"/>
        <v>0</v>
      </c>
    </row>
    <row r="21" spans="1:11" s="23" customFormat="1" ht="22.5" customHeight="1">
      <c r="A21" s="18">
        <v>13</v>
      </c>
      <c r="B21" s="19">
        <f>'FRIT FV 090.540 - FTA'!B21</f>
        <v>46247</v>
      </c>
      <c r="C21" s="19" t="s">
        <v>19</v>
      </c>
      <c r="D21" s="74"/>
      <c r="E21" s="74">
        <f t="shared" si="5"/>
        <v>0</v>
      </c>
      <c r="F21" s="74"/>
      <c r="G21" s="74">
        <f t="shared" si="6"/>
        <v>0</v>
      </c>
      <c r="H21" s="41">
        <f>SUM($F$8:F21)/A21</f>
        <v>2.8846153846153846</v>
      </c>
      <c r="I21" s="55">
        <f t="shared" si="0"/>
        <v>0</v>
      </c>
      <c r="J21" s="54">
        <f t="shared" si="1"/>
        <v>0</v>
      </c>
      <c r="K21" s="21">
        <f t="shared" si="4"/>
        <v>0</v>
      </c>
    </row>
    <row r="22" spans="1:11" s="23" customFormat="1" ht="22.5" customHeight="1">
      <c r="A22" s="18">
        <v>14</v>
      </c>
      <c r="B22" s="19">
        <f>'FRIT FV 090.540 - FTA'!B22</f>
        <v>46248</v>
      </c>
      <c r="C22" s="19" t="s">
        <v>103</v>
      </c>
      <c r="D22" s="74"/>
      <c r="E22" s="74">
        <f t="shared" si="5"/>
        <v>0</v>
      </c>
      <c r="F22" s="74"/>
      <c r="G22" s="74">
        <f t="shared" si="6"/>
        <v>0</v>
      </c>
      <c r="H22" s="41">
        <f>SUM($F$8:F22)/A22</f>
        <v>2.6785714285714284</v>
      </c>
      <c r="I22" s="55">
        <f t="shared" si="0"/>
        <v>0</v>
      </c>
      <c r="J22" s="54">
        <f t="shared" si="1"/>
        <v>0</v>
      </c>
      <c r="K22" s="21">
        <f t="shared" si="4"/>
        <v>0</v>
      </c>
    </row>
    <row r="23" spans="1:11" s="23" customFormat="1" ht="22.5" customHeight="1">
      <c r="A23" s="18">
        <v>15</v>
      </c>
      <c r="B23" s="19">
        <f>'FRIT FV 090.540 - FTA'!B23</f>
        <v>46249</v>
      </c>
      <c r="C23" s="69" t="s">
        <v>20</v>
      </c>
      <c r="D23" s="74"/>
      <c r="E23" s="74">
        <f t="shared" si="5"/>
        <v>0</v>
      </c>
      <c r="F23" s="74"/>
      <c r="G23" s="74">
        <f t="shared" si="6"/>
        <v>0</v>
      </c>
      <c r="H23" s="41">
        <f>SUM($F$8:F23)/A23</f>
        <v>2.5</v>
      </c>
      <c r="I23" s="55">
        <f t="shared" si="0"/>
        <v>0</v>
      </c>
      <c r="J23" s="54">
        <f t="shared" si="1"/>
        <v>0</v>
      </c>
      <c r="K23" s="21">
        <f t="shared" si="4"/>
        <v>0</v>
      </c>
    </row>
    <row r="24" spans="1:11" s="23" customFormat="1" ht="22.5" customHeight="1">
      <c r="A24" s="18">
        <v>16</v>
      </c>
      <c r="B24" s="19">
        <f>'FRIT FV 090.540 - FTA'!B24</f>
        <v>46250</v>
      </c>
      <c r="C24" s="69" t="s">
        <v>19</v>
      </c>
      <c r="D24" s="74"/>
      <c r="E24" s="74">
        <f t="shared" si="5"/>
        <v>0</v>
      </c>
      <c r="F24" s="74"/>
      <c r="G24" s="74">
        <f t="shared" si="6"/>
        <v>0</v>
      </c>
      <c r="H24" s="41">
        <f>SUM($F$8:F24)/A24</f>
        <v>2.34375</v>
      </c>
      <c r="I24" s="55">
        <f t="shared" si="0"/>
        <v>0</v>
      </c>
      <c r="J24" s="54">
        <f t="shared" si="1"/>
        <v>0</v>
      </c>
      <c r="K24" s="21">
        <f t="shared" si="4"/>
        <v>0</v>
      </c>
    </row>
    <row r="25" spans="1:11" s="23" customFormat="1" ht="22.5" customHeight="1">
      <c r="A25" s="18">
        <v>17</v>
      </c>
      <c r="B25" s="19">
        <f>'FRIT FV 090.540 - FTA'!B25</f>
        <v>46251</v>
      </c>
      <c r="C25" s="69" t="s">
        <v>19</v>
      </c>
      <c r="D25" s="74"/>
      <c r="E25" s="74">
        <f t="shared" si="5"/>
        <v>0</v>
      </c>
      <c r="F25" s="74"/>
      <c r="G25" s="74">
        <f t="shared" si="6"/>
        <v>0</v>
      </c>
      <c r="H25" s="41">
        <f>SUM($F$8:F25)/A25</f>
        <v>2.2058823529411766</v>
      </c>
      <c r="I25" s="55">
        <f t="shared" si="0"/>
        <v>0</v>
      </c>
      <c r="J25" s="54">
        <f t="shared" si="1"/>
        <v>0</v>
      </c>
      <c r="K25" s="21">
        <f t="shared" si="4"/>
        <v>0</v>
      </c>
    </row>
    <row r="26" spans="1:11" s="23" customFormat="1" ht="22.5" customHeight="1">
      <c r="A26" s="18">
        <v>18</v>
      </c>
      <c r="B26" s="19">
        <f>'FRIT FV 090.540 - FTA'!B26</f>
        <v>46252</v>
      </c>
      <c r="C26" s="69" t="s">
        <v>19</v>
      </c>
      <c r="D26" s="74"/>
      <c r="E26" s="74">
        <f t="shared" si="5"/>
        <v>0</v>
      </c>
      <c r="F26" s="74"/>
      <c r="G26" s="74">
        <f t="shared" si="6"/>
        <v>0</v>
      </c>
      <c r="H26" s="41">
        <f>SUM($F$8:F26)/A26</f>
        <v>2.0833333333333335</v>
      </c>
      <c r="I26" s="55">
        <f t="shared" si="0"/>
        <v>0</v>
      </c>
      <c r="J26" s="54">
        <f t="shared" si="1"/>
        <v>0</v>
      </c>
      <c r="K26" s="21">
        <f t="shared" si="4"/>
        <v>0</v>
      </c>
    </row>
    <row r="27" spans="1:11" s="23" customFormat="1" ht="22.5" customHeight="1">
      <c r="A27" s="18">
        <v>19</v>
      </c>
      <c r="B27" s="19">
        <f>'FRIT FV 090.540 - FTA'!B27</f>
        <v>46253</v>
      </c>
      <c r="C27" s="19" t="s">
        <v>17</v>
      </c>
      <c r="D27" s="74"/>
      <c r="E27" s="74">
        <f t="shared" si="5"/>
        <v>0</v>
      </c>
      <c r="F27" s="74"/>
      <c r="G27" s="74">
        <f t="shared" si="6"/>
        <v>0</v>
      </c>
      <c r="H27" s="41">
        <f>SUM($F$8:F27)/A27</f>
        <v>1.9736842105263157</v>
      </c>
      <c r="I27" s="55">
        <f t="shared" si="0"/>
        <v>0</v>
      </c>
      <c r="J27" s="54">
        <f t="shared" si="1"/>
        <v>0</v>
      </c>
      <c r="K27" s="21">
        <f t="shared" si="4"/>
        <v>0</v>
      </c>
    </row>
    <row r="28" spans="1:11" s="23" customFormat="1" ht="22.5" customHeight="1">
      <c r="A28" s="18">
        <v>20</v>
      </c>
      <c r="B28" s="19">
        <f>'FRIT FV 090.540 - FTA'!B28</f>
        <v>46254</v>
      </c>
      <c r="C28" s="19" t="s">
        <v>19</v>
      </c>
      <c r="D28" s="74"/>
      <c r="E28" s="74">
        <f t="shared" si="5"/>
        <v>0</v>
      </c>
      <c r="F28" s="74"/>
      <c r="G28" s="74">
        <f t="shared" si="6"/>
        <v>0</v>
      </c>
      <c r="H28" s="41">
        <f>SUM($F$8:F28)/A28</f>
        <v>1.875</v>
      </c>
      <c r="I28" s="55">
        <f t="shared" si="0"/>
        <v>0</v>
      </c>
      <c r="J28" s="54">
        <f t="shared" si="1"/>
        <v>0</v>
      </c>
      <c r="K28" s="21">
        <f t="shared" si="4"/>
        <v>0</v>
      </c>
    </row>
    <row r="29" spans="1:11" s="23" customFormat="1" ht="22.5" customHeight="1">
      <c r="A29" s="18">
        <v>21</v>
      </c>
      <c r="B29" s="19">
        <f>'FRIT FV 090.540 - FTA'!B29</f>
        <v>46255</v>
      </c>
      <c r="C29" s="19" t="s">
        <v>19</v>
      </c>
      <c r="D29" s="74"/>
      <c r="E29" s="74">
        <f t="shared" si="5"/>
        <v>0</v>
      </c>
      <c r="F29" s="74"/>
      <c r="G29" s="74">
        <f t="shared" si="6"/>
        <v>0</v>
      </c>
      <c r="H29" s="41">
        <f>SUM($F$8:F29)/A29</f>
        <v>1.7857142857142858</v>
      </c>
      <c r="I29" s="55">
        <f t="shared" si="0"/>
        <v>0</v>
      </c>
      <c r="J29" s="54">
        <f t="shared" si="1"/>
        <v>0</v>
      </c>
      <c r="K29" s="21">
        <f t="shared" si="4"/>
        <v>0</v>
      </c>
    </row>
    <row r="30" spans="1:11" s="23" customFormat="1" ht="22.5" customHeight="1">
      <c r="A30" s="18">
        <v>22</v>
      </c>
      <c r="B30" s="19">
        <f>'FRIT FV 090.540 - FTA'!B30</f>
        <v>46256</v>
      </c>
      <c r="C30" s="19" t="s">
        <v>19</v>
      </c>
      <c r="D30" s="74"/>
      <c r="E30" s="74">
        <f t="shared" si="5"/>
        <v>0</v>
      </c>
      <c r="F30" s="74"/>
      <c r="G30" s="74">
        <f t="shared" si="6"/>
        <v>0</v>
      </c>
      <c r="H30" s="41">
        <f>SUM($F$8:F30)/A30</f>
        <v>1.7045454545454546</v>
      </c>
      <c r="I30" s="55">
        <f t="shared" si="0"/>
        <v>0</v>
      </c>
      <c r="J30" s="54">
        <f t="shared" si="1"/>
        <v>0</v>
      </c>
      <c r="K30" s="21">
        <f t="shared" si="4"/>
        <v>0</v>
      </c>
    </row>
    <row r="31" spans="1:11" s="23" customFormat="1" ht="22.5" customHeight="1">
      <c r="A31" s="18">
        <v>23</v>
      </c>
      <c r="B31" s="19">
        <f>'FRIT FV 090.540 - FTA'!B31</f>
        <v>46257</v>
      </c>
      <c r="C31" s="19" t="s">
        <v>17</v>
      </c>
      <c r="D31" s="74"/>
      <c r="E31" s="74">
        <f t="shared" si="5"/>
        <v>0</v>
      </c>
      <c r="F31" s="74"/>
      <c r="G31" s="74">
        <f t="shared" si="6"/>
        <v>0</v>
      </c>
      <c r="H31" s="41">
        <f>SUM($F$8:F31)/A31</f>
        <v>1.6304347826086956</v>
      </c>
      <c r="I31" s="55">
        <f t="shared" si="0"/>
        <v>0</v>
      </c>
      <c r="J31" s="54">
        <f t="shared" si="1"/>
        <v>0</v>
      </c>
      <c r="K31" s="21">
        <f t="shared" si="4"/>
        <v>0</v>
      </c>
    </row>
    <row r="32" spans="1:11" s="23" customFormat="1" ht="22.5" customHeight="1">
      <c r="A32" s="18">
        <v>24</v>
      </c>
      <c r="B32" s="19">
        <f>'FRIT FV 090.540 - FTA'!B32</f>
        <v>46258</v>
      </c>
      <c r="C32" s="69" t="s">
        <v>22</v>
      </c>
      <c r="D32" s="74"/>
      <c r="E32" s="74">
        <f t="shared" si="5"/>
        <v>0</v>
      </c>
      <c r="F32" s="74"/>
      <c r="G32" s="74">
        <f t="shared" si="6"/>
        <v>0</v>
      </c>
      <c r="H32" s="41">
        <f>SUM($F$8:F32)/A32</f>
        <v>1.5625</v>
      </c>
      <c r="I32" s="55">
        <f t="shared" si="0"/>
        <v>0</v>
      </c>
      <c r="J32" s="54">
        <f t="shared" si="1"/>
        <v>0</v>
      </c>
      <c r="K32" s="21">
        <f t="shared" si="4"/>
        <v>0</v>
      </c>
    </row>
    <row r="33" spans="1:11" s="23" customFormat="1" ht="22.5" customHeight="1">
      <c r="A33" s="18">
        <v>25</v>
      </c>
      <c r="B33" s="19">
        <f>'FRIT FV 090.540 - FTA'!B33</f>
        <v>46259</v>
      </c>
      <c r="C33" s="69" t="s">
        <v>22</v>
      </c>
      <c r="D33" s="74"/>
      <c r="E33" s="74">
        <f t="shared" si="5"/>
        <v>0</v>
      </c>
      <c r="F33" s="74"/>
      <c r="G33" s="74">
        <f t="shared" si="6"/>
        <v>0</v>
      </c>
      <c r="H33" s="41">
        <f>SUM($F$8:F33)/A33</f>
        <v>1.5</v>
      </c>
      <c r="I33" s="55">
        <f t="shared" si="0"/>
        <v>0</v>
      </c>
      <c r="J33" s="54">
        <f t="shared" si="1"/>
        <v>0</v>
      </c>
      <c r="K33" s="21">
        <f t="shared" si="4"/>
        <v>0</v>
      </c>
    </row>
    <row r="34" spans="1:11" s="23" customFormat="1" ht="22.5" customHeight="1">
      <c r="A34" s="18">
        <v>26</v>
      </c>
      <c r="B34" s="19">
        <f>'FRIT FV 090.540 - FTA'!B34</f>
        <v>46260</v>
      </c>
      <c r="C34" s="69" t="s">
        <v>22</v>
      </c>
      <c r="D34" s="74"/>
      <c r="E34" s="74">
        <f t="shared" si="5"/>
        <v>0</v>
      </c>
      <c r="F34" s="74"/>
      <c r="G34" s="74">
        <f t="shared" si="6"/>
        <v>0</v>
      </c>
      <c r="H34" s="41">
        <f>SUM($F$8:F34)/A34</f>
        <v>1.4423076923076923</v>
      </c>
      <c r="I34" s="55">
        <f t="shared" si="0"/>
        <v>0</v>
      </c>
      <c r="J34" s="54">
        <f t="shared" si="1"/>
        <v>0</v>
      </c>
      <c r="K34" s="21">
        <f t="shared" si="4"/>
        <v>0</v>
      </c>
    </row>
    <row r="35" spans="1:11" s="23" customFormat="1" ht="22.5" customHeight="1">
      <c r="A35" s="18">
        <v>27</v>
      </c>
      <c r="B35" s="19">
        <f>'FRIT FV 090.540 - FTA'!B35</f>
        <v>46261</v>
      </c>
      <c r="C35" s="69" t="s">
        <v>22</v>
      </c>
      <c r="D35" s="74"/>
      <c r="E35" s="74">
        <f t="shared" si="5"/>
        <v>0</v>
      </c>
      <c r="F35" s="74"/>
      <c r="G35" s="74">
        <f t="shared" si="6"/>
        <v>0</v>
      </c>
      <c r="H35" s="41">
        <f>SUM($F$8:F35)/A35</f>
        <v>1.3888888888888888</v>
      </c>
      <c r="I35" s="55">
        <f t="shared" si="0"/>
        <v>0</v>
      </c>
      <c r="J35" s="54">
        <f t="shared" si="1"/>
        <v>0</v>
      </c>
      <c r="K35" s="21">
        <f t="shared" si="4"/>
        <v>0</v>
      </c>
    </row>
    <row r="36" spans="1:11" s="23" customFormat="1" ht="22.5" customHeight="1">
      <c r="A36" s="18">
        <v>28</v>
      </c>
      <c r="B36" s="19">
        <f>'FRIT FV 090.540 - FTA'!B36</f>
        <v>46262</v>
      </c>
      <c r="C36" s="69" t="s">
        <v>22</v>
      </c>
      <c r="D36" s="74"/>
      <c r="E36" s="74">
        <f t="shared" si="5"/>
        <v>0</v>
      </c>
      <c r="F36" s="74"/>
      <c r="G36" s="74">
        <f t="shared" si="6"/>
        <v>0</v>
      </c>
      <c r="H36" s="41">
        <f>SUM($F$8:F36)/A36</f>
        <v>1.3392857142857142</v>
      </c>
      <c r="I36" s="55">
        <f t="shared" si="0"/>
        <v>0</v>
      </c>
      <c r="J36" s="54">
        <f t="shared" si="1"/>
        <v>0</v>
      </c>
      <c r="K36" s="21">
        <f t="shared" si="4"/>
        <v>0</v>
      </c>
    </row>
    <row r="37" spans="1:11" s="23" customFormat="1" ht="22.5" customHeight="1">
      <c r="A37" s="18">
        <v>29</v>
      </c>
      <c r="B37" s="19">
        <f>'FRIT FV 090.540 - FTA'!B37</f>
        <v>46263</v>
      </c>
      <c r="C37" s="69" t="s">
        <v>22</v>
      </c>
      <c r="D37" s="74"/>
      <c r="E37" s="74">
        <f t="shared" si="5"/>
        <v>0</v>
      </c>
      <c r="F37" s="74"/>
      <c r="G37" s="74">
        <f t="shared" si="6"/>
        <v>0</v>
      </c>
      <c r="H37" s="41">
        <f>SUM($F$8:F37)/A37</f>
        <v>1.2931034482758621</v>
      </c>
      <c r="I37" s="55">
        <f t="shared" si="0"/>
        <v>0</v>
      </c>
      <c r="J37" s="54">
        <f t="shared" si="1"/>
        <v>0</v>
      </c>
      <c r="K37" s="21">
        <f t="shared" si="4"/>
        <v>0</v>
      </c>
    </row>
    <row r="38" spans="1:11" s="23" customFormat="1" ht="22.5" customHeight="1">
      <c r="A38" s="18">
        <v>30</v>
      </c>
      <c r="B38" s="19">
        <f>'FRIT FV 090.540 - FTA'!B38</f>
        <v>46264</v>
      </c>
      <c r="C38" s="69" t="s">
        <v>22</v>
      </c>
      <c r="D38" s="74"/>
      <c r="E38" s="74">
        <f t="shared" si="5"/>
        <v>0</v>
      </c>
      <c r="F38" s="74"/>
      <c r="G38" s="74">
        <f t="shared" si="6"/>
        <v>0</v>
      </c>
      <c r="H38" s="41">
        <f>SUM($F$8:F38)/A38</f>
        <v>1.25</v>
      </c>
      <c r="I38" s="55">
        <f t="shared" si="0"/>
        <v>0</v>
      </c>
      <c r="J38" s="54">
        <f t="shared" si="1"/>
        <v>0</v>
      </c>
      <c r="K38" s="21">
        <f t="shared" si="4"/>
        <v>0</v>
      </c>
    </row>
    <row r="39" spans="1:11" s="23" customFormat="1" ht="22.5" customHeight="1">
      <c r="A39" s="18">
        <v>31</v>
      </c>
      <c r="B39" s="19">
        <f>'FRIT FV 090.540 - FTA'!B39</f>
        <v>46265</v>
      </c>
      <c r="C39" s="69" t="s">
        <v>22</v>
      </c>
      <c r="D39" s="74"/>
      <c r="E39" s="74">
        <f t="shared" si="5"/>
        <v>0</v>
      </c>
      <c r="F39" s="74"/>
      <c r="G39" s="74">
        <f t="shared" si="6"/>
        <v>0</v>
      </c>
      <c r="H39" s="41">
        <f>SUM($F$8:F39)/A39</f>
        <v>1.2096774193548387</v>
      </c>
      <c r="I39" s="55">
        <f t="shared" si="0"/>
        <v>0</v>
      </c>
      <c r="J39" s="54">
        <f t="shared" si="1"/>
        <v>0</v>
      </c>
      <c r="K39" s="21">
        <f t="shared" si="4"/>
        <v>0</v>
      </c>
    </row>
    <row r="40" spans="1:11" s="32" customFormat="1" ht="26.25" customHeight="1">
      <c r="A40" s="1517" t="s">
        <v>29</v>
      </c>
      <c r="B40" s="1517"/>
      <c r="C40" s="1517"/>
      <c r="D40" s="57">
        <f>SUM(D9:D39)</f>
        <v>0</v>
      </c>
      <c r="E40" s="57">
        <f>SUM(E9:E39)</f>
        <v>0</v>
      </c>
      <c r="F40" s="46">
        <f>SUM(F9:F39)</f>
        <v>37.5</v>
      </c>
      <c r="G40" s="46">
        <f>SUM(G9:G39)</f>
        <v>6</v>
      </c>
      <c r="H40" s="46"/>
      <c r="I40" s="56">
        <f>I39</f>
        <v>0</v>
      </c>
      <c r="J40" s="56">
        <f>J39</f>
        <v>0</v>
      </c>
      <c r="K40" s="31"/>
    </row>
    <row r="41" spans="1:11" s="32" customFormat="1" ht="26.25" customHeight="1">
      <c r="A41" s="1517" t="s">
        <v>15</v>
      </c>
      <c r="B41" s="1517"/>
      <c r="C41" s="1517"/>
      <c r="D41" s="57">
        <f>D8+D40</f>
        <v>37.5</v>
      </c>
      <c r="E41" s="57">
        <f>E8+E40</f>
        <v>6</v>
      </c>
      <c r="F41" s="46">
        <f>F8+F40</f>
        <v>37.5</v>
      </c>
      <c r="G41" s="46">
        <f>G8+G40</f>
        <v>6</v>
      </c>
      <c r="H41" s="46"/>
      <c r="I41" s="46">
        <f>D41-F41</f>
        <v>0</v>
      </c>
      <c r="J41" s="46">
        <f>E41-G41</f>
        <v>0</v>
      </c>
      <c r="K41" s="31"/>
    </row>
    <row r="42" spans="1:11" ht="23.25" customHeight="1">
      <c r="A42" s="5"/>
      <c r="B42" s="5"/>
      <c r="C42" s="5"/>
      <c r="D42" s="7"/>
      <c r="E42" s="7"/>
      <c r="F42" s="24"/>
      <c r="G42" s="24"/>
      <c r="H42" s="7"/>
      <c r="I42" s="7"/>
      <c r="J42" s="7"/>
    </row>
    <row r="43" spans="1:11">
      <c r="F43" s="24"/>
      <c r="G43" s="24"/>
    </row>
  </sheetData>
  <mergeCells count="12">
    <mergeCell ref="A41:C41"/>
    <mergeCell ref="A2:K2"/>
    <mergeCell ref="A8:C8"/>
    <mergeCell ref="A40:C40"/>
    <mergeCell ref="A6:A7"/>
    <mergeCell ref="B6:B7"/>
    <mergeCell ref="C6:C7"/>
    <mergeCell ref="D6:E6"/>
    <mergeCell ref="F6:G6"/>
    <mergeCell ref="H6:H7"/>
    <mergeCell ref="I6:J6"/>
    <mergeCell ref="K6:K7"/>
  </mergeCells>
  <hyperlinks>
    <hyperlink ref="K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43"/>
  <sheetViews>
    <sheetView zoomScale="70" zoomScaleNormal="70" workbookViewId="0">
      <pane ySplit="8" topLeftCell="A12" activePane="bottomLeft" state="frozen"/>
      <selection activeCell="K5" sqref="K5"/>
      <selection pane="bottomLeft" activeCell="R17" sqref="R17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0.7109375" style="42" customWidth="1"/>
    <col min="4" max="10" width="13.85546875" style="6" customWidth="1"/>
    <col min="11" max="11" width="19.28515625" style="42" customWidth="1"/>
    <col min="12" max="16384" width="9.28515625" style="42"/>
  </cols>
  <sheetData>
    <row r="1" spans="1:15" ht="114.75" customHeight="1"/>
    <row r="2" spans="1:15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</row>
    <row r="3" spans="1:15" ht="21.75" customHeight="1">
      <c r="B3" s="64"/>
      <c r="C3" s="64"/>
      <c r="D3" s="64"/>
      <c r="E3" s="64"/>
      <c r="F3" s="66" t="s">
        <v>33</v>
      </c>
      <c r="G3" s="67"/>
      <c r="H3" s="65" t="s">
        <v>72</v>
      </c>
      <c r="I3" s="64"/>
      <c r="J3" s="64"/>
      <c r="K3" s="64"/>
    </row>
    <row r="4" spans="1:15" s="8" customFormat="1" ht="21.75" customHeight="1">
      <c r="B4" s="8" t="e">
        <f>'FRIT FV 090.540 - FTA'!#REF!</f>
        <v>#REF!</v>
      </c>
      <c r="C4" s="8" t="e">
        <f>'FRIT FV 090.540 - FTA'!#REF!</f>
        <v>#REF!</v>
      </c>
      <c r="D4" s="8" t="e">
        <f>'FRIT FV 090.540 - FTA'!#REF!</f>
        <v>#REF!</v>
      </c>
      <c r="E4" s="8" t="e">
        <f>'FRIT FV 090.540 - FTA'!#REF!</f>
        <v>#REF!</v>
      </c>
      <c r="F4" s="8" t="e">
        <f>'FRIT FV 090.540 - FTA'!#REF!</f>
        <v>#REF!</v>
      </c>
      <c r="G4" s="8" t="e">
        <f>'FRIT FV 090.540 - FTA'!#REF!</f>
        <v>#REF!</v>
      </c>
      <c r="H4" s="8" t="e">
        <f>'FRIT FV 090.540 - FTA'!#REF!</f>
        <v>#REF!</v>
      </c>
      <c r="I4" s="8" t="e">
        <f>'FRIT FV 090.540 - FTA'!#REF!</f>
        <v>#REF!</v>
      </c>
      <c r="L4" s="75"/>
      <c r="M4" s="75"/>
    </row>
    <row r="5" spans="1:15" ht="22.5" customHeight="1">
      <c r="F5" s="10"/>
      <c r="G5" s="10"/>
      <c r="H5" s="10"/>
      <c r="J5" s="12" t="s">
        <v>26</v>
      </c>
      <c r="K5" s="35" t="s">
        <v>18</v>
      </c>
      <c r="M5" s="8"/>
    </row>
    <row r="6" spans="1:15" s="13" customFormat="1" ht="28.5" customHeight="1">
      <c r="A6" s="1531" t="s">
        <v>2</v>
      </c>
      <c r="B6" s="1532" t="s">
        <v>1</v>
      </c>
      <c r="C6" s="1533" t="s">
        <v>24</v>
      </c>
      <c r="D6" s="1534" t="s">
        <v>27</v>
      </c>
      <c r="E6" s="1534"/>
      <c r="F6" s="1534" t="s">
        <v>31</v>
      </c>
      <c r="G6" s="1534"/>
      <c r="H6" s="1534" t="s">
        <v>32</v>
      </c>
      <c r="I6" s="1534" t="s">
        <v>14</v>
      </c>
      <c r="J6" s="1534"/>
      <c r="K6" s="1534" t="s">
        <v>30</v>
      </c>
    </row>
    <row r="7" spans="1:15" s="13" customFormat="1" ht="28.5" customHeight="1">
      <c r="A7" s="1531"/>
      <c r="B7" s="1532"/>
      <c r="C7" s="1533"/>
      <c r="D7" s="90" t="s">
        <v>10</v>
      </c>
      <c r="E7" s="90" t="s">
        <v>58</v>
      </c>
      <c r="F7" s="90" t="s">
        <v>10</v>
      </c>
      <c r="G7" s="90" t="s">
        <v>58</v>
      </c>
      <c r="H7" s="1534"/>
      <c r="I7" s="90" t="s">
        <v>10</v>
      </c>
      <c r="J7" s="90" t="s">
        <v>58</v>
      </c>
      <c r="K7" s="1534"/>
    </row>
    <row r="8" spans="1:15" s="13" customFormat="1" ht="25.5" customHeight="1">
      <c r="A8" s="1514" t="s">
        <v>3</v>
      </c>
      <c r="B8" s="1515"/>
      <c r="C8" s="1516"/>
      <c r="D8" s="73">
        <f>I8</f>
        <v>87.5</v>
      </c>
      <c r="E8" s="73">
        <f>J8</f>
        <v>14</v>
      </c>
      <c r="F8" s="73"/>
      <c r="G8" s="73"/>
      <c r="H8" s="14"/>
      <c r="I8" s="53">
        <v>87.5</v>
      </c>
      <c r="J8" s="54">
        <f>I8/6.25</f>
        <v>14</v>
      </c>
      <c r="K8" s="17"/>
    </row>
    <row r="9" spans="1:15" s="13" customFormat="1" ht="22.5" customHeight="1">
      <c r="A9" s="18">
        <v>1</v>
      </c>
      <c r="B9" s="19">
        <f>'FRIT FV 090.540 - FTA'!B9</f>
        <v>46235</v>
      </c>
      <c r="C9" s="19" t="s">
        <v>22</v>
      </c>
      <c r="D9" s="74"/>
      <c r="E9" s="74">
        <f>D9/6.25</f>
        <v>0</v>
      </c>
      <c r="F9" s="74"/>
      <c r="G9" s="74">
        <f>F9/6.25</f>
        <v>0</v>
      </c>
      <c r="H9" s="41">
        <f>SUM($F$8:F9)/A9</f>
        <v>0</v>
      </c>
      <c r="I9" s="55">
        <f t="shared" ref="I9:I39" si="0">I8+D9-F9</f>
        <v>87.5</v>
      </c>
      <c r="J9" s="54">
        <f t="shared" ref="J9:J39" si="1">I9/6.25</f>
        <v>14</v>
      </c>
      <c r="K9" s="21" t="e">
        <f>I9/H9</f>
        <v>#DIV/0!</v>
      </c>
    </row>
    <row r="10" spans="1:15" s="13" customFormat="1" ht="22.5" customHeight="1">
      <c r="A10" s="18">
        <v>2</v>
      </c>
      <c r="B10" s="19">
        <f>'FRIT FV 090.540 - FTA'!B10</f>
        <v>46236</v>
      </c>
      <c r="C10" s="19" t="s">
        <v>22</v>
      </c>
      <c r="D10" s="74"/>
      <c r="E10" s="74">
        <f t="shared" ref="E10:E39" si="2">D10/6.25</f>
        <v>0</v>
      </c>
      <c r="F10" s="74"/>
      <c r="G10" s="74">
        <f t="shared" ref="G10:G39" si="3">F10/6.25</f>
        <v>0</v>
      </c>
      <c r="H10" s="41">
        <f>SUM($F$8:F10)/A10</f>
        <v>0</v>
      </c>
      <c r="I10" s="55">
        <f t="shared" si="0"/>
        <v>87.5</v>
      </c>
      <c r="J10" s="54">
        <f t="shared" si="1"/>
        <v>14</v>
      </c>
      <c r="K10" s="21" t="e">
        <f>I10/H10</f>
        <v>#DIV/0!</v>
      </c>
    </row>
    <row r="11" spans="1:15" s="13" customFormat="1" ht="22.5" customHeight="1">
      <c r="A11" s="18">
        <v>3</v>
      </c>
      <c r="B11" s="19">
        <f>'FRIT FV 090.540 - FTA'!B11</f>
        <v>46237</v>
      </c>
      <c r="C11" s="19" t="s">
        <v>22</v>
      </c>
      <c r="D11" s="74"/>
      <c r="E11" s="74">
        <f t="shared" si="2"/>
        <v>0</v>
      </c>
      <c r="F11" s="74"/>
      <c r="G11" s="74">
        <f t="shared" si="3"/>
        <v>0</v>
      </c>
      <c r="H11" s="41">
        <f>SUM($F$8:F11)/A11</f>
        <v>0</v>
      </c>
      <c r="I11" s="55">
        <f t="shared" si="0"/>
        <v>87.5</v>
      </c>
      <c r="J11" s="54">
        <f t="shared" si="1"/>
        <v>14</v>
      </c>
      <c r="K11" s="21" t="e">
        <f t="shared" ref="K11:K39" si="4">I11/H11</f>
        <v>#DIV/0!</v>
      </c>
    </row>
    <row r="12" spans="1:15" s="23" customFormat="1" ht="22.5" customHeight="1">
      <c r="A12" s="18">
        <v>4</v>
      </c>
      <c r="B12" s="19">
        <f>'FRIT FV 090.540 - FTA'!B12</f>
        <v>46238</v>
      </c>
      <c r="C12" s="19" t="s">
        <v>22</v>
      </c>
      <c r="D12" s="74"/>
      <c r="E12" s="74">
        <f t="shared" si="2"/>
        <v>0</v>
      </c>
      <c r="F12" s="74"/>
      <c r="G12" s="74">
        <f t="shared" si="3"/>
        <v>0</v>
      </c>
      <c r="H12" s="41">
        <f>SUM($F$8:F12)/A12</f>
        <v>0</v>
      </c>
      <c r="I12" s="55">
        <f t="shared" si="0"/>
        <v>87.5</v>
      </c>
      <c r="J12" s="54">
        <f t="shared" si="1"/>
        <v>14</v>
      </c>
      <c r="K12" s="21" t="e">
        <f t="shared" si="4"/>
        <v>#DIV/0!</v>
      </c>
      <c r="M12" s="13"/>
      <c r="N12" s="13"/>
      <c r="O12" s="13"/>
    </row>
    <row r="13" spans="1:15" s="23" customFormat="1" ht="22.5" customHeight="1">
      <c r="A13" s="18">
        <v>5</v>
      </c>
      <c r="B13" s="19">
        <f>'FRIT FV 090.540 - FTA'!B13</f>
        <v>46239</v>
      </c>
      <c r="C13" s="19" t="s">
        <v>22</v>
      </c>
      <c r="D13" s="74"/>
      <c r="E13" s="74">
        <f t="shared" si="2"/>
        <v>0</v>
      </c>
      <c r="F13" s="74"/>
      <c r="G13" s="74">
        <f t="shared" si="3"/>
        <v>0</v>
      </c>
      <c r="H13" s="41">
        <f>SUM($F$8:F13)/A13</f>
        <v>0</v>
      </c>
      <c r="I13" s="55">
        <f t="shared" si="0"/>
        <v>87.5</v>
      </c>
      <c r="J13" s="54">
        <f t="shared" si="1"/>
        <v>14</v>
      </c>
      <c r="K13" s="21" t="e">
        <f t="shared" si="4"/>
        <v>#DIV/0!</v>
      </c>
    </row>
    <row r="14" spans="1:15" s="23" customFormat="1" ht="22.5" customHeight="1">
      <c r="A14" s="18">
        <v>6</v>
      </c>
      <c r="B14" s="19">
        <f>'FRIT FV 090.540 - FTA'!B14</f>
        <v>46240</v>
      </c>
      <c r="C14" s="19" t="s">
        <v>22</v>
      </c>
      <c r="D14" s="74"/>
      <c r="E14" s="74">
        <f t="shared" si="2"/>
        <v>0</v>
      </c>
      <c r="F14" s="74"/>
      <c r="G14" s="74">
        <f t="shared" si="3"/>
        <v>0</v>
      </c>
      <c r="H14" s="41">
        <f>SUM($F$8:F14)/A14</f>
        <v>0</v>
      </c>
      <c r="I14" s="55">
        <f t="shared" si="0"/>
        <v>87.5</v>
      </c>
      <c r="J14" s="54">
        <f t="shared" si="1"/>
        <v>14</v>
      </c>
      <c r="K14" s="21" t="e">
        <f t="shared" si="4"/>
        <v>#DIV/0!</v>
      </c>
    </row>
    <row r="15" spans="1:15" s="23" customFormat="1" ht="22.5" customHeight="1">
      <c r="A15" s="18">
        <v>7</v>
      </c>
      <c r="B15" s="19">
        <f>'FRIT FV 090.540 - FTA'!B15</f>
        <v>46241</v>
      </c>
      <c r="C15" s="19" t="s">
        <v>22</v>
      </c>
      <c r="D15" s="74"/>
      <c r="E15" s="74">
        <f t="shared" si="2"/>
        <v>0</v>
      </c>
      <c r="F15" s="74"/>
      <c r="G15" s="74">
        <f t="shared" si="3"/>
        <v>0</v>
      </c>
      <c r="H15" s="41">
        <f>SUM($F$8:F15)/A15</f>
        <v>0</v>
      </c>
      <c r="I15" s="55">
        <f t="shared" si="0"/>
        <v>87.5</v>
      </c>
      <c r="J15" s="54">
        <f t="shared" si="1"/>
        <v>14</v>
      </c>
      <c r="K15" s="21" t="e">
        <f t="shared" si="4"/>
        <v>#DIV/0!</v>
      </c>
    </row>
    <row r="16" spans="1:15" s="23" customFormat="1" ht="22.5" customHeight="1">
      <c r="A16" s="18">
        <v>8</v>
      </c>
      <c r="B16" s="19">
        <f>'FRIT FV 090.540 - FTA'!B16</f>
        <v>46242</v>
      </c>
      <c r="C16" s="19" t="s">
        <v>22</v>
      </c>
      <c r="D16" s="74"/>
      <c r="E16" s="74">
        <f t="shared" si="2"/>
        <v>0</v>
      </c>
      <c r="F16" s="74"/>
      <c r="G16" s="74">
        <f t="shared" si="3"/>
        <v>0</v>
      </c>
      <c r="H16" s="41">
        <f>SUM($F$8:F16)/A16</f>
        <v>0</v>
      </c>
      <c r="I16" s="55">
        <f t="shared" si="0"/>
        <v>87.5</v>
      </c>
      <c r="J16" s="54">
        <f t="shared" si="1"/>
        <v>14</v>
      </c>
      <c r="K16" s="21" t="e">
        <f t="shared" si="4"/>
        <v>#DIV/0!</v>
      </c>
    </row>
    <row r="17" spans="1:11" s="23" customFormat="1" ht="22.5" customHeight="1">
      <c r="A17" s="18">
        <v>9</v>
      </c>
      <c r="B17" s="19">
        <f>'FRIT FV 090.540 - FTA'!B17</f>
        <v>46243</v>
      </c>
      <c r="C17" s="19" t="s">
        <v>22</v>
      </c>
      <c r="D17" s="74"/>
      <c r="E17" s="74">
        <f t="shared" si="2"/>
        <v>0</v>
      </c>
      <c r="F17" s="74"/>
      <c r="G17" s="74">
        <f t="shared" si="3"/>
        <v>0</v>
      </c>
      <c r="H17" s="41">
        <f>SUM($F$8:F17)/A17</f>
        <v>0</v>
      </c>
      <c r="I17" s="55">
        <f t="shared" si="0"/>
        <v>87.5</v>
      </c>
      <c r="J17" s="54">
        <f t="shared" si="1"/>
        <v>14</v>
      </c>
      <c r="K17" s="21" t="e">
        <f t="shared" si="4"/>
        <v>#DIV/0!</v>
      </c>
    </row>
    <row r="18" spans="1:11" s="23" customFormat="1" ht="22.5" customHeight="1">
      <c r="A18" s="18">
        <v>10</v>
      </c>
      <c r="B18" s="19">
        <f>'FRIT FV 090.540 - FTA'!B18</f>
        <v>46244</v>
      </c>
      <c r="C18" s="19" t="s">
        <v>22</v>
      </c>
      <c r="D18" s="74"/>
      <c r="E18" s="74">
        <f t="shared" si="2"/>
        <v>0</v>
      </c>
      <c r="F18" s="74"/>
      <c r="G18" s="74">
        <f t="shared" si="3"/>
        <v>0</v>
      </c>
      <c r="H18" s="41">
        <f>SUM($F$8:F18)/A18</f>
        <v>0</v>
      </c>
      <c r="I18" s="55">
        <f t="shared" si="0"/>
        <v>87.5</v>
      </c>
      <c r="J18" s="54">
        <f t="shared" si="1"/>
        <v>14</v>
      </c>
      <c r="K18" s="21" t="e">
        <f t="shared" si="4"/>
        <v>#DIV/0!</v>
      </c>
    </row>
    <row r="19" spans="1:11" s="23" customFormat="1" ht="22.5" customHeight="1">
      <c r="A19" s="18">
        <v>11</v>
      </c>
      <c r="B19" s="19">
        <f>'FRIT FV 090.540 - FTA'!B19</f>
        <v>46245</v>
      </c>
      <c r="C19" s="19" t="s">
        <v>22</v>
      </c>
      <c r="D19" s="74"/>
      <c r="E19" s="74">
        <f t="shared" si="2"/>
        <v>0</v>
      </c>
      <c r="F19" s="74"/>
      <c r="G19" s="74">
        <f t="shared" si="3"/>
        <v>0</v>
      </c>
      <c r="H19" s="41">
        <f>SUM($F$8:F19)/A19</f>
        <v>0</v>
      </c>
      <c r="I19" s="55">
        <f t="shared" si="0"/>
        <v>87.5</v>
      </c>
      <c r="J19" s="54">
        <f t="shared" si="1"/>
        <v>14</v>
      </c>
      <c r="K19" s="21" t="e">
        <f t="shared" si="4"/>
        <v>#DIV/0!</v>
      </c>
    </row>
    <row r="20" spans="1:11" s="23" customFormat="1" ht="22.5" customHeight="1">
      <c r="A20" s="18">
        <v>12</v>
      </c>
      <c r="B20" s="19">
        <f>'FRIT FV 090.540 - FTA'!B20</f>
        <v>46246</v>
      </c>
      <c r="C20" s="19" t="s">
        <v>17</v>
      </c>
      <c r="D20" s="74"/>
      <c r="E20" s="74">
        <f t="shared" si="2"/>
        <v>0</v>
      </c>
      <c r="F20" s="104">
        <v>87.5</v>
      </c>
      <c r="G20" s="74">
        <f t="shared" si="3"/>
        <v>14</v>
      </c>
      <c r="H20" s="41">
        <f>SUM($F$8:F20)/A20</f>
        <v>7.291666666666667</v>
      </c>
      <c r="I20" s="55">
        <f t="shared" si="0"/>
        <v>0</v>
      </c>
      <c r="J20" s="54">
        <f t="shared" si="1"/>
        <v>0</v>
      </c>
      <c r="K20" s="21">
        <f t="shared" si="4"/>
        <v>0</v>
      </c>
    </row>
    <row r="21" spans="1:11" s="23" customFormat="1" ht="22.5" customHeight="1">
      <c r="A21" s="18">
        <v>13</v>
      </c>
      <c r="B21" s="19">
        <f>'FRIT FV 090.540 - FTA'!B21</f>
        <v>46247</v>
      </c>
      <c r="C21" s="19" t="s">
        <v>19</v>
      </c>
      <c r="D21" s="74"/>
      <c r="E21" s="74">
        <f t="shared" si="2"/>
        <v>0</v>
      </c>
      <c r="F21" s="104"/>
      <c r="G21" s="74">
        <f t="shared" si="3"/>
        <v>0</v>
      </c>
      <c r="H21" s="41">
        <f>SUM($F$8:F21)/A21</f>
        <v>6.7307692307692308</v>
      </c>
      <c r="I21" s="55">
        <f t="shared" si="0"/>
        <v>0</v>
      </c>
      <c r="J21" s="54">
        <f t="shared" si="1"/>
        <v>0</v>
      </c>
      <c r="K21" s="21">
        <f t="shared" si="4"/>
        <v>0</v>
      </c>
    </row>
    <row r="22" spans="1:11" s="23" customFormat="1" ht="22.5" customHeight="1">
      <c r="A22" s="18">
        <v>14</v>
      </c>
      <c r="B22" s="19">
        <f>'FRIT FV 090.540 - FTA'!B22</f>
        <v>46248</v>
      </c>
      <c r="C22" s="19" t="s">
        <v>103</v>
      </c>
      <c r="D22" s="74"/>
      <c r="E22" s="74">
        <f t="shared" si="2"/>
        <v>0</v>
      </c>
      <c r="F22" s="104"/>
      <c r="G22" s="74">
        <f t="shared" si="3"/>
        <v>0</v>
      </c>
      <c r="H22" s="41">
        <f>SUM($F$8:F22)/A22</f>
        <v>6.25</v>
      </c>
      <c r="I22" s="55">
        <f t="shared" si="0"/>
        <v>0</v>
      </c>
      <c r="J22" s="54">
        <f t="shared" si="1"/>
        <v>0</v>
      </c>
      <c r="K22" s="21">
        <f t="shared" si="4"/>
        <v>0</v>
      </c>
    </row>
    <row r="23" spans="1:11" s="23" customFormat="1" ht="22.5" customHeight="1">
      <c r="A23" s="18">
        <v>15</v>
      </c>
      <c r="B23" s="19">
        <f>'FRIT FV 090.540 - FTA'!B23</f>
        <v>46249</v>
      </c>
      <c r="C23" s="69" t="s">
        <v>17</v>
      </c>
      <c r="D23" s="74"/>
      <c r="E23" s="74">
        <f t="shared" si="2"/>
        <v>0</v>
      </c>
      <c r="F23" s="104"/>
      <c r="G23" s="106">
        <f t="shared" si="3"/>
        <v>0</v>
      </c>
      <c r="H23" s="41">
        <f>SUM($F$8:F23)/A23</f>
        <v>5.833333333333333</v>
      </c>
      <c r="I23" s="55">
        <f t="shared" si="0"/>
        <v>0</v>
      </c>
      <c r="J23" s="54">
        <f t="shared" si="1"/>
        <v>0</v>
      </c>
      <c r="K23" s="21">
        <f t="shared" si="4"/>
        <v>0</v>
      </c>
    </row>
    <row r="24" spans="1:11" s="23" customFormat="1" ht="22.5" customHeight="1">
      <c r="A24" s="18">
        <v>16</v>
      </c>
      <c r="B24" s="19">
        <f>'FRIT FV 090.540 - FTA'!B24</f>
        <v>46250</v>
      </c>
      <c r="C24" s="69" t="s">
        <v>19</v>
      </c>
      <c r="D24" s="74"/>
      <c r="E24" s="74">
        <f t="shared" si="2"/>
        <v>0</v>
      </c>
      <c r="F24" s="74"/>
      <c r="G24" s="74">
        <f t="shared" si="3"/>
        <v>0</v>
      </c>
      <c r="H24" s="41">
        <f>SUM($F$8:F24)/A24</f>
        <v>5.46875</v>
      </c>
      <c r="I24" s="55">
        <f t="shared" si="0"/>
        <v>0</v>
      </c>
      <c r="J24" s="54">
        <f t="shared" si="1"/>
        <v>0</v>
      </c>
      <c r="K24" s="21">
        <f t="shared" si="4"/>
        <v>0</v>
      </c>
    </row>
    <row r="25" spans="1:11" s="23" customFormat="1" ht="22.5" customHeight="1">
      <c r="A25" s="18">
        <v>17</v>
      </c>
      <c r="B25" s="19">
        <f>'FRIT FV 090.540 - FTA'!B25</f>
        <v>46251</v>
      </c>
      <c r="C25" s="69" t="s">
        <v>19</v>
      </c>
      <c r="D25" s="74"/>
      <c r="E25" s="74">
        <f t="shared" si="2"/>
        <v>0</v>
      </c>
      <c r="F25" s="74"/>
      <c r="G25" s="74">
        <f t="shared" si="3"/>
        <v>0</v>
      </c>
      <c r="H25" s="41">
        <f>SUM($F$8:F25)/A25</f>
        <v>5.1470588235294121</v>
      </c>
      <c r="I25" s="55">
        <f t="shared" si="0"/>
        <v>0</v>
      </c>
      <c r="J25" s="54">
        <f t="shared" si="1"/>
        <v>0</v>
      </c>
      <c r="K25" s="21">
        <f t="shared" si="4"/>
        <v>0</v>
      </c>
    </row>
    <row r="26" spans="1:11" s="23" customFormat="1" ht="22.5" customHeight="1">
      <c r="A26" s="18">
        <v>18</v>
      </c>
      <c r="B26" s="19">
        <f>'FRIT FV 090.540 - FTA'!B26</f>
        <v>46252</v>
      </c>
      <c r="C26" s="19" t="s">
        <v>19</v>
      </c>
      <c r="D26" s="74"/>
      <c r="E26" s="74">
        <f t="shared" si="2"/>
        <v>0</v>
      </c>
      <c r="F26" s="74"/>
      <c r="G26" s="74">
        <f t="shared" si="3"/>
        <v>0</v>
      </c>
      <c r="H26" s="41">
        <f>SUM($F$8:F26)/A26</f>
        <v>4.8611111111111107</v>
      </c>
      <c r="I26" s="55">
        <f t="shared" si="0"/>
        <v>0</v>
      </c>
      <c r="J26" s="54">
        <f t="shared" si="1"/>
        <v>0</v>
      </c>
      <c r="K26" s="21">
        <f t="shared" si="4"/>
        <v>0</v>
      </c>
    </row>
    <row r="27" spans="1:11" s="23" customFormat="1" ht="22.5" customHeight="1">
      <c r="A27" s="18">
        <v>19</v>
      </c>
      <c r="B27" s="19">
        <f>'FRIT FV 090.540 - FTA'!B27</f>
        <v>46253</v>
      </c>
      <c r="C27" s="19" t="s">
        <v>19</v>
      </c>
      <c r="D27" s="74"/>
      <c r="E27" s="74">
        <f t="shared" si="2"/>
        <v>0</v>
      </c>
      <c r="F27" s="74"/>
      <c r="G27" s="74">
        <f t="shared" si="3"/>
        <v>0</v>
      </c>
      <c r="H27" s="41">
        <f>SUM($F$8:F27)/A27</f>
        <v>4.6052631578947372</v>
      </c>
      <c r="I27" s="55">
        <f t="shared" si="0"/>
        <v>0</v>
      </c>
      <c r="J27" s="54">
        <f t="shared" si="1"/>
        <v>0</v>
      </c>
      <c r="K27" s="21">
        <f t="shared" si="4"/>
        <v>0</v>
      </c>
    </row>
    <row r="28" spans="1:11" s="23" customFormat="1" ht="22.5" customHeight="1">
      <c r="A28" s="18">
        <v>20</v>
      </c>
      <c r="B28" s="19">
        <f>'FRIT FV 090.540 - FTA'!B28</f>
        <v>46254</v>
      </c>
      <c r="C28" s="19" t="s">
        <v>19</v>
      </c>
      <c r="D28" s="74"/>
      <c r="E28" s="74">
        <f t="shared" si="2"/>
        <v>0</v>
      </c>
      <c r="F28" s="74"/>
      <c r="G28" s="74">
        <f t="shared" si="3"/>
        <v>0</v>
      </c>
      <c r="H28" s="41">
        <f>SUM($F$8:F28)/A28</f>
        <v>4.375</v>
      </c>
      <c r="I28" s="55">
        <f t="shared" si="0"/>
        <v>0</v>
      </c>
      <c r="J28" s="54">
        <f t="shared" si="1"/>
        <v>0</v>
      </c>
      <c r="K28" s="21">
        <f t="shared" si="4"/>
        <v>0</v>
      </c>
    </row>
    <row r="29" spans="1:11" s="23" customFormat="1" ht="22.5" customHeight="1">
      <c r="A29" s="18">
        <v>21</v>
      </c>
      <c r="B29" s="19">
        <f>'FRIT FV 090.540 - FTA'!B29</f>
        <v>46255</v>
      </c>
      <c r="C29" s="19" t="s">
        <v>19</v>
      </c>
      <c r="D29" s="74"/>
      <c r="E29" s="74">
        <f t="shared" si="2"/>
        <v>0</v>
      </c>
      <c r="F29" s="74"/>
      <c r="G29" s="74">
        <f t="shared" si="3"/>
        <v>0</v>
      </c>
      <c r="H29" s="41">
        <f>SUM($F$8:F29)/A29</f>
        <v>4.166666666666667</v>
      </c>
      <c r="I29" s="55">
        <f t="shared" si="0"/>
        <v>0</v>
      </c>
      <c r="J29" s="54">
        <f t="shared" si="1"/>
        <v>0</v>
      </c>
      <c r="K29" s="21">
        <f t="shared" si="4"/>
        <v>0</v>
      </c>
    </row>
    <row r="30" spans="1:11" s="23" customFormat="1" ht="22.5" customHeight="1">
      <c r="A30" s="18">
        <v>22</v>
      </c>
      <c r="B30" s="19">
        <f>'FRIT FV 090.540 - FTA'!B30</f>
        <v>46256</v>
      </c>
      <c r="C30" s="19" t="s">
        <v>19</v>
      </c>
      <c r="D30" s="74"/>
      <c r="E30" s="74">
        <f t="shared" si="2"/>
        <v>0</v>
      </c>
      <c r="F30" s="74"/>
      <c r="G30" s="74">
        <f t="shared" si="3"/>
        <v>0</v>
      </c>
      <c r="H30" s="41">
        <f>SUM($F$8:F30)/A30</f>
        <v>3.9772727272727271</v>
      </c>
      <c r="I30" s="55">
        <f t="shared" si="0"/>
        <v>0</v>
      </c>
      <c r="J30" s="54">
        <f t="shared" si="1"/>
        <v>0</v>
      </c>
      <c r="K30" s="21">
        <f t="shared" si="4"/>
        <v>0</v>
      </c>
    </row>
    <row r="31" spans="1:11" s="23" customFormat="1" ht="22.5" customHeight="1">
      <c r="A31" s="18">
        <v>23</v>
      </c>
      <c r="B31" s="19">
        <f>'FRIT FV 090.540 - FTA'!B31</f>
        <v>46257</v>
      </c>
      <c r="C31" s="19" t="s">
        <v>19</v>
      </c>
      <c r="D31" s="74"/>
      <c r="E31" s="74">
        <f t="shared" si="2"/>
        <v>0</v>
      </c>
      <c r="F31" s="74"/>
      <c r="G31" s="74">
        <f t="shared" si="3"/>
        <v>0</v>
      </c>
      <c r="H31" s="41">
        <f>SUM($F$8:F31)/A31</f>
        <v>3.8043478260869565</v>
      </c>
      <c r="I31" s="55">
        <f t="shared" si="0"/>
        <v>0</v>
      </c>
      <c r="J31" s="54">
        <f t="shared" si="1"/>
        <v>0</v>
      </c>
      <c r="K31" s="21">
        <f t="shared" si="4"/>
        <v>0</v>
      </c>
    </row>
    <row r="32" spans="1:11" s="23" customFormat="1" ht="22.5" customHeight="1">
      <c r="A32" s="18">
        <v>24</v>
      </c>
      <c r="B32" s="19">
        <f>'FRIT FV 090.540 - FTA'!B32</f>
        <v>46258</v>
      </c>
      <c r="C32" s="69" t="s">
        <v>19</v>
      </c>
      <c r="D32" s="74"/>
      <c r="E32" s="74">
        <f t="shared" si="2"/>
        <v>0</v>
      </c>
      <c r="F32" s="74"/>
      <c r="G32" s="74">
        <f t="shared" si="3"/>
        <v>0</v>
      </c>
      <c r="H32" s="41">
        <f>SUM($F$8:F32)/A32</f>
        <v>3.6458333333333335</v>
      </c>
      <c r="I32" s="55">
        <f t="shared" si="0"/>
        <v>0</v>
      </c>
      <c r="J32" s="54">
        <f t="shared" si="1"/>
        <v>0</v>
      </c>
      <c r="K32" s="21">
        <f t="shared" si="4"/>
        <v>0</v>
      </c>
    </row>
    <row r="33" spans="1:11" s="23" customFormat="1" ht="22.5" customHeight="1">
      <c r="A33" s="18">
        <v>25</v>
      </c>
      <c r="B33" s="19">
        <f>'FRIT FV 090.540 - FTA'!B33</f>
        <v>46259</v>
      </c>
      <c r="C33" s="19" t="s">
        <v>17</v>
      </c>
      <c r="D33" s="74"/>
      <c r="E33" s="74">
        <f t="shared" si="2"/>
        <v>0</v>
      </c>
      <c r="F33" s="74"/>
      <c r="G33" s="74">
        <f t="shared" si="3"/>
        <v>0</v>
      </c>
      <c r="H33" s="41">
        <f>SUM($F$8:F33)/A33</f>
        <v>3.5</v>
      </c>
      <c r="I33" s="55">
        <f t="shared" si="0"/>
        <v>0</v>
      </c>
      <c r="J33" s="54">
        <f t="shared" si="1"/>
        <v>0</v>
      </c>
      <c r="K33" s="21">
        <f t="shared" si="4"/>
        <v>0</v>
      </c>
    </row>
    <row r="34" spans="1:11" s="23" customFormat="1" ht="22.5" customHeight="1">
      <c r="A34" s="18">
        <v>26</v>
      </c>
      <c r="B34" s="19">
        <f>'FRIT FV 090.540 - FTA'!B34</f>
        <v>46260</v>
      </c>
      <c r="C34" s="19" t="s">
        <v>19</v>
      </c>
      <c r="D34" s="74"/>
      <c r="E34" s="74">
        <f t="shared" si="2"/>
        <v>0</v>
      </c>
      <c r="F34" s="74"/>
      <c r="G34" s="74">
        <f t="shared" si="3"/>
        <v>0</v>
      </c>
      <c r="H34" s="41">
        <f>SUM($F$8:F34)/A34</f>
        <v>3.3653846153846154</v>
      </c>
      <c r="I34" s="55">
        <f t="shared" si="0"/>
        <v>0</v>
      </c>
      <c r="J34" s="54">
        <f t="shared" si="1"/>
        <v>0</v>
      </c>
      <c r="K34" s="21">
        <f t="shared" si="4"/>
        <v>0</v>
      </c>
    </row>
    <row r="35" spans="1:11" s="23" customFormat="1" ht="22.5" customHeight="1">
      <c r="A35" s="18">
        <v>27</v>
      </c>
      <c r="B35" s="19">
        <f>'FRIT FV 090.540 - FTA'!B35</f>
        <v>46261</v>
      </c>
      <c r="C35" s="19" t="s">
        <v>19</v>
      </c>
      <c r="D35" s="74"/>
      <c r="E35" s="74">
        <f t="shared" si="2"/>
        <v>0</v>
      </c>
      <c r="F35" s="74"/>
      <c r="G35" s="74">
        <f t="shared" si="3"/>
        <v>0</v>
      </c>
      <c r="H35" s="41">
        <f>SUM($F$8:F35)/A35</f>
        <v>3.2407407407407409</v>
      </c>
      <c r="I35" s="55">
        <f t="shared" si="0"/>
        <v>0</v>
      </c>
      <c r="J35" s="54">
        <f t="shared" si="1"/>
        <v>0</v>
      </c>
      <c r="K35" s="21">
        <f t="shared" si="4"/>
        <v>0</v>
      </c>
    </row>
    <row r="36" spans="1:11" s="23" customFormat="1" ht="22.5" customHeight="1">
      <c r="A36" s="18">
        <v>28</v>
      </c>
      <c r="B36" s="19">
        <f>'FRIT FV 090.540 - FTA'!B36</f>
        <v>46262</v>
      </c>
      <c r="C36" s="19" t="s">
        <v>19</v>
      </c>
      <c r="D36" s="74"/>
      <c r="E36" s="74">
        <f t="shared" si="2"/>
        <v>0</v>
      </c>
      <c r="F36" s="74"/>
      <c r="G36" s="74">
        <f t="shared" si="3"/>
        <v>0</v>
      </c>
      <c r="H36" s="41">
        <f>SUM($F$8:F36)/A36</f>
        <v>3.125</v>
      </c>
      <c r="I36" s="55">
        <f t="shared" si="0"/>
        <v>0</v>
      </c>
      <c r="J36" s="54">
        <f t="shared" si="1"/>
        <v>0</v>
      </c>
      <c r="K36" s="21">
        <f t="shared" si="4"/>
        <v>0</v>
      </c>
    </row>
    <row r="37" spans="1:11" s="23" customFormat="1" ht="22.5" customHeight="1">
      <c r="A37" s="18">
        <v>29</v>
      </c>
      <c r="B37" s="19">
        <f>'FRIT FV 090.540 - FTA'!B37</f>
        <v>46263</v>
      </c>
      <c r="C37" s="19" t="s">
        <v>19</v>
      </c>
      <c r="D37" s="74"/>
      <c r="E37" s="74">
        <f t="shared" si="2"/>
        <v>0</v>
      </c>
      <c r="F37" s="74"/>
      <c r="G37" s="74">
        <f t="shared" si="3"/>
        <v>0</v>
      </c>
      <c r="H37" s="41">
        <f>SUM($F$8:F37)/A37</f>
        <v>3.0172413793103448</v>
      </c>
      <c r="I37" s="55">
        <f t="shared" si="0"/>
        <v>0</v>
      </c>
      <c r="J37" s="54">
        <f t="shared" si="1"/>
        <v>0</v>
      </c>
      <c r="K37" s="21">
        <f t="shared" si="4"/>
        <v>0</v>
      </c>
    </row>
    <row r="38" spans="1:11" s="23" customFormat="1" ht="22.5" customHeight="1">
      <c r="A38" s="18">
        <v>30</v>
      </c>
      <c r="B38" s="19">
        <f>'FRIT FV 090.540 - FTA'!B38</f>
        <v>46264</v>
      </c>
      <c r="C38" s="19" t="s">
        <v>19</v>
      </c>
      <c r="D38" s="74"/>
      <c r="E38" s="74">
        <f t="shared" si="2"/>
        <v>0</v>
      </c>
      <c r="F38" s="74"/>
      <c r="G38" s="74">
        <f t="shared" si="3"/>
        <v>0</v>
      </c>
      <c r="H38" s="41">
        <f>SUM($F$8:F38)/A38</f>
        <v>2.9166666666666665</v>
      </c>
      <c r="I38" s="55">
        <f t="shared" si="0"/>
        <v>0</v>
      </c>
      <c r="J38" s="54">
        <f>I38/6.25</f>
        <v>0</v>
      </c>
      <c r="K38" s="21">
        <f t="shared" si="4"/>
        <v>0</v>
      </c>
    </row>
    <row r="39" spans="1:11" s="23" customFormat="1" ht="22.5" customHeight="1">
      <c r="A39" s="18">
        <v>31</v>
      </c>
      <c r="B39" s="19">
        <f>'FRIT FV 090.540 - FTA'!B39</f>
        <v>46265</v>
      </c>
      <c r="C39" s="19" t="s">
        <v>19</v>
      </c>
      <c r="D39" s="74"/>
      <c r="E39" s="74">
        <f t="shared" si="2"/>
        <v>0</v>
      </c>
      <c r="F39" s="74"/>
      <c r="G39" s="74">
        <f t="shared" si="3"/>
        <v>0</v>
      </c>
      <c r="H39" s="41">
        <f>SUM($F$8:F39)/A39</f>
        <v>2.8225806451612905</v>
      </c>
      <c r="I39" s="55">
        <f t="shared" si="0"/>
        <v>0</v>
      </c>
      <c r="J39" s="54">
        <f t="shared" si="1"/>
        <v>0</v>
      </c>
      <c r="K39" s="21">
        <f t="shared" si="4"/>
        <v>0</v>
      </c>
    </row>
    <row r="40" spans="1:11" s="32" customFormat="1" ht="26.25" customHeight="1">
      <c r="A40" s="1517" t="s">
        <v>29</v>
      </c>
      <c r="B40" s="1517"/>
      <c r="C40" s="1517"/>
      <c r="D40" s="57">
        <f>SUM(D9:D39)</f>
        <v>0</v>
      </c>
      <c r="E40" s="57">
        <f>SUM(E9:E39)</f>
        <v>0</v>
      </c>
      <c r="F40" s="46">
        <f>SUM(F9:F39)</f>
        <v>87.5</v>
      </c>
      <c r="G40" s="46">
        <f>SUM(G9:G39)</f>
        <v>14</v>
      </c>
      <c r="H40" s="46"/>
      <c r="I40" s="56">
        <f>I39</f>
        <v>0</v>
      </c>
      <c r="J40" s="56">
        <f>J39</f>
        <v>0</v>
      </c>
      <c r="K40" s="31"/>
    </row>
    <row r="41" spans="1:11" s="32" customFormat="1" ht="26.25" customHeight="1">
      <c r="A41" s="1517" t="s">
        <v>15</v>
      </c>
      <c r="B41" s="1517"/>
      <c r="C41" s="1517"/>
      <c r="D41" s="57">
        <f>D8+D40</f>
        <v>87.5</v>
      </c>
      <c r="E41" s="57">
        <f>E8+E40</f>
        <v>14</v>
      </c>
      <c r="F41" s="46">
        <f>F8+F40</f>
        <v>87.5</v>
      </c>
      <c r="G41" s="46">
        <f>G8+G40</f>
        <v>14</v>
      </c>
      <c r="H41" s="46"/>
      <c r="I41" s="46">
        <f>D41-F41</f>
        <v>0</v>
      </c>
      <c r="J41" s="46">
        <f>E41-G41</f>
        <v>0</v>
      </c>
      <c r="K41" s="31"/>
    </row>
    <row r="42" spans="1:11" ht="23.25" customHeight="1">
      <c r="A42" s="5"/>
      <c r="B42" s="5"/>
      <c r="C42" s="5"/>
      <c r="D42" s="7"/>
      <c r="E42" s="7"/>
      <c r="F42" s="24"/>
      <c r="G42" s="24"/>
      <c r="H42" s="7"/>
      <c r="I42" s="7"/>
      <c r="J42" s="7"/>
    </row>
    <row r="43" spans="1:11">
      <c r="F43" s="24"/>
      <c r="G43" s="24"/>
    </row>
  </sheetData>
  <mergeCells count="12">
    <mergeCell ref="A41:C41"/>
    <mergeCell ref="A2:K2"/>
    <mergeCell ref="A8:C8"/>
    <mergeCell ref="A40:C40"/>
    <mergeCell ref="A6:A7"/>
    <mergeCell ref="B6:B7"/>
    <mergeCell ref="C6:C7"/>
    <mergeCell ref="D6:E6"/>
    <mergeCell ref="F6:G6"/>
    <mergeCell ref="H6:H7"/>
    <mergeCell ref="I6:J6"/>
    <mergeCell ref="K6:K7"/>
  </mergeCells>
  <hyperlinks>
    <hyperlink ref="K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43"/>
  <sheetViews>
    <sheetView zoomScale="70" zoomScaleNormal="70" workbookViewId="0">
      <pane ySplit="8" topLeftCell="A19" activePane="bottomLeft" state="frozen"/>
      <selection activeCell="K5" sqref="K5"/>
      <selection pane="bottomLeft" activeCell="R26" sqref="R2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0.7109375" style="42" customWidth="1"/>
    <col min="4" max="10" width="13.85546875" style="6" customWidth="1"/>
    <col min="11" max="11" width="19.28515625" style="42" customWidth="1"/>
    <col min="12" max="16384" width="9.28515625" style="42"/>
  </cols>
  <sheetData>
    <row r="1" spans="1:15" ht="114.75" customHeight="1"/>
    <row r="2" spans="1:15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</row>
    <row r="3" spans="1:15" ht="21.75" customHeight="1">
      <c r="B3" s="64"/>
      <c r="C3" s="64"/>
      <c r="D3" s="64"/>
      <c r="E3" s="64"/>
      <c r="F3" s="66" t="s">
        <v>33</v>
      </c>
      <c r="G3" s="67"/>
      <c r="H3" s="65" t="s">
        <v>73</v>
      </c>
      <c r="I3" s="64"/>
      <c r="J3" s="64"/>
      <c r="K3" s="64"/>
    </row>
    <row r="4" spans="1:15" ht="21.75" customHeight="1">
      <c r="B4" s="8" t="e">
        <f>'FRIT FV 090.540 - FTA'!#REF!</f>
        <v>#REF!</v>
      </c>
      <c r="C4" s="8" t="e">
        <f>'FRIT FV 090.540 - FTA'!#REF!</f>
        <v>#REF!</v>
      </c>
      <c r="D4" s="8" t="e">
        <f>'FRIT FV 090.540 - FTA'!#REF!</f>
        <v>#REF!</v>
      </c>
      <c r="E4" s="8" t="e">
        <f>'FRIT FV 090.540 - FTA'!#REF!</f>
        <v>#REF!</v>
      </c>
      <c r="F4" s="8" t="e">
        <f>'FRIT FV 090.540 - FTA'!#REF!</f>
        <v>#REF!</v>
      </c>
      <c r="G4" s="8" t="e">
        <f>'FRIT FV 090.540 - FTA'!#REF!</f>
        <v>#REF!</v>
      </c>
      <c r="H4" s="8" t="e">
        <f>'FRIT FV 090.540 - FTA'!#REF!</f>
        <v>#REF!</v>
      </c>
      <c r="I4" s="8" t="e">
        <f>'FRIT FV 090.540 - FTA'!#REF!</f>
        <v>#REF!</v>
      </c>
      <c r="J4" s="42"/>
      <c r="L4" s="75"/>
      <c r="M4" s="75"/>
    </row>
    <row r="5" spans="1:15" ht="22.5" customHeight="1">
      <c r="F5" s="10"/>
      <c r="G5" s="10"/>
      <c r="H5" s="10"/>
      <c r="J5" s="12" t="s">
        <v>26</v>
      </c>
      <c r="K5" s="35" t="s">
        <v>18</v>
      </c>
    </row>
    <row r="6" spans="1:15" s="13" customFormat="1" ht="28.5" customHeight="1">
      <c r="A6" s="1531" t="s">
        <v>2</v>
      </c>
      <c r="B6" s="1532" t="s">
        <v>1</v>
      </c>
      <c r="C6" s="1533" t="s">
        <v>24</v>
      </c>
      <c r="D6" s="1534" t="s">
        <v>27</v>
      </c>
      <c r="E6" s="1534"/>
      <c r="F6" s="1534" t="s">
        <v>31</v>
      </c>
      <c r="G6" s="1534"/>
      <c r="H6" s="1534" t="s">
        <v>32</v>
      </c>
      <c r="I6" s="1534" t="s">
        <v>14</v>
      </c>
      <c r="J6" s="1534"/>
      <c r="K6" s="1534" t="s">
        <v>30</v>
      </c>
    </row>
    <row r="7" spans="1:15" s="13" customFormat="1" ht="28.5" customHeight="1">
      <c r="A7" s="1531"/>
      <c r="B7" s="1532"/>
      <c r="C7" s="1533"/>
      <c r="D7" s="90" t="s">
        <v>10</v>
      </c>
      <c r="E7" s="90" t="s">
        <v>58</v>
      </c>
      <c r="F7" s="90" t="s">
        <v>10</v>
      </c>
      <c r="G7" s="90" t="s">
        <v>58</v>
      </c>
      <c r="H7" s="1534"/>
      <c r="I7" s="90" t="s">
        <v>10</v>
      </c>
      <c r="J7" s="90" t="s">
        <v>58</v>
      </c>
      <c r="K7" s="1534"/>
    </row>
    <row r="8" spans="1:15" s="13" customFormat="1" ht="25.5" customHeight="1">
      <c r="A8" s="1514" t="s">
        <v>3</v>
      </c>
      <c r="B8" s="1515"/>
      <c r="C8" s="1516"/>
      <c r="D8" s="73">
        <f>I8</f>
        <v>40</v>
      </c>
      <c r="E8" s="73">
        <f>J8</f>
        <v>8</v>
      </c>
      <c r="F8" s="73"/>
      <c r="G8" s="73"/>
      <c r="H8" s="14"/>
      <c r="I8" s="53">
        <v>40</v>
      </c>
      <c r="J8" s="54">
        <f>I8/5</f>
        <v>8</v>
      </c>
      <c r="K8" s="17"/>
    </row>
    <row r="9" spans="1:15" s="13" customFormat="1" ht="22.5" customHeight="1">
      <c r="A9" s="18">
        <v>1</v>
      </c>
      <c r="B9" s="19">
        <f>'FRIT FV 090.540 - FTA'!B9</f>
        <v>46235</v>
      </c>
      <c r="C9" s="19" t="s">
        <v>22</v>
      </c>
      <c r="D9" s="74"/>
      <c r="E9" s="74"/>
      <c r="F9" s="74"/>
      <c r="G9" s="74">
        <f>F9/5</f>
        <v>0</v>
      </c>
      <c r="H9" s="41">
        <f>SUM($F$8:F9)/A9</f>
        <v>0</v>
      </c>
      <c r="I9" s="55">
        <f t="shared" ref="I9:I39" si="0">I8+D9-F9</f>
        <v>40</v>
      </c>
      <c r="J9" s="54">
        <f t="shared" ref="J9:J39" si="1">I9/5</f>
        <v>8</v>
      </c>
      <c r="K9" s="21" t="e">
        <f>I9/H9</f>
        <v>#DIV/0!</v>
      </c>
    </row>
    <row r="10" spans="1:15" s="13" customFormat="1" ht="22.5" customHeight="1">
      <c r="A10" s="18">
        <v>2</v>
      </c>
      <c r="B10" s="19">
        <f>'FRIT FV 090.540 - FTA'!B10</f>
        <v>46236</v>
      </c>
      <c r="C10" s="19" t="s">
        <v>22</v>
      </c>
      <c r="D10" s="74"/>
      <c r="E10" s="74">
        <f>D10/5</f>
        <v>0</v>
      </c>
      <c r="F10" s="74"/>
      <c r="G10" s="74">
        <f t="shared" ref="G10:G18" si="2">F10/5</f>
        <v>0</v>
      </c>
      <c r="H10" s="41">
        <f>SUM($F$8:F10)/A10</f>
        <v>0</v>
      </c>
      <c r="I10" s="55">
        <f t="shared" si="0"/>
        <v>40</v>
      </c>
      <c r="J10" s="54">
        <f t="shared" si="1"/>
        <v>8</v>
      </c>
      <c r="K10" s="21" t="e">
        <f t="shared" ref="K10:K39" si="3">I10/H10</f>
        <v>#DIV/0!</v>
      </c>
    </row>
    <row r="11" spans="1:15" s="13" customFormat="1" ht="22.5" customHeight="1">
      <c r="A11" s="18">
        <v>3</v>
      </c>
      <c r="B11" s="19">
        <f>'FRIT FV 090.540 - FTA'!B11</f>
        <v>46237</v>
      </c>
      <c r="C11" s="19" t="s">
        <v>22</v>
      </c>
      <c r="D11" s="74"/>
      <c r="E11" s="74">
        <f t="shared" ref="E11:E18" si="4">D11/5</f>
        <v>0</v>
      </c>
      <c r="F11" s="74"/>
      <c r="G11" s="74">
        <f t="shared" si="2"/>
        <v>0</v>
      </c>
      <c r="H11" s="41">
        <f>SUM($F$8:F11)/A11</f>
        <v>0</v>
      </c>
      <c r="I11" s="55">
        <f t="shared" si="0"/>
        <v>40</v>
      </c>
      <c r="J11" s="54">
        <f t="shared" si="1"/>
        <v>8</v>
      </c>
      <c r="K11" s="21" t="e">
        <f t="shared" si="3"/>
        <v>#DIV/0!</v>
      </c>
    </row>
    <row r="12" spans="1:15" s="23" customFormat="1" ht="22.5" customHeight="1">
      <c r="A12" s="18">
        <v>4</v>
      </c>
      <c r="B12" s="19">
        <f>'FRIT FV 090.540 - FTA'!B12</f>
        <v>46238</v>
      </c>
      <c r="C12" s="19" t="s">
        <v>22</v>
      </c>
      <c r="D12" s="74"/>
      <c r="E12" s="74">
        <f t="shared" si="4"/>
        <v>0</v>
      </c>
      <c r="F12" s="74"/>
      <c r="G12" s="74">
        <f t="shared" si="2"/>
        <v>0</v>
      </c>
      <c r="H12" s="41">
        <f>SUM($F$8:F12)/A12</f>
        <v>0</v>
      </c>
      <c r="I12" s="55">
        <f t="shared" si="0"/>
        <v>40</v>
      </c>
      <c r="J12" s="54">
        <f t="shared" si="1"/>
        <v>8</v>
      </c>
      <c r="K12" s="21" t="e">
        <f t="shared" si="3"/>
        <v>#DIV/0!</v>
      </c>
      <c r="M12" s="13"/>
      <c r="N12" s="13"/>
      <c r="O12" s="13"/>
    </row>
    <row r="13" spans="1:15" s="23" customFormat="1" ht="22.5" customHeight="1">
      <c r="A13" s="18">
        <v>5</v>
      </c>
      <c r="B13" s="19">
        <f>'FRIT FV 090.540 - FTA'!B13</f>
        <v>46239</v>
      </c>
      <c r="C13" s="19" t="s">
        <v>22</v>
      </c>
      <c r="D13" s="74"/>
      <c r="E13" s="74">
        <f t="shared" si="4"/>
        <v>0</v>
      </c>
      <c r="F13" s="74"/>
      <c r="G13" s="74">
        <f t="shared" si="2"/>
        <v>0</v>
      </c>
      <c r="H13" s="41">
        <f>SUM($F$8:F13)/A13</f>
        <v>0</v>
      </c>
      <c r="I13" s="55">
        <f t="shared" si="0"/>
        <v>40</v>
      </c>
      <c r="J13" s="54">
        <f t="shared" si="1"/>
        <v>8</v>
      </c>
      <c r="K13" s="21" t="e">
        <f t="shared" si="3"/>
        <v>#DIV/0!</v>
      </c>
    </row>
    <row r="14" spans="1:15" s="23" customFormat="1" ht="22.5" customHeight="1">
      <c r="A14" s="18">
        <v>6</v>
      </c>
      <c r="B14" s="19">
        <f>'FRIT FV 090.540 - FTA'!B14</f>
        <v>46240</v>
      </c>
      <c r="C14" s="19" t="s">
        <v>22</v>
      </c>
      <c r="D14" s="74"/>
      <c r="E14" s="74">
        <f t="shared" si="4"/>
        <v>0</v>
      </c>
      <c r="F14" s="74"/>
      <c r="G14" s="74">
        <f t="shared" si="2"/>
        <v>0</v>
      </c>
      <c r="H14" s="41">
        <f>SUM($F$8:F14)/A14</f>
        <v>0</v>
      </c>
      <c r="I14" s="55">
        <f t="shared" si="0"/>
        <v>40</v>
      </c>
      <c r="J14" s="54">
        <f t="shared" si="1"/>
        <v>8</v>
      </c>
      <c r="K14" s="21" t="e">
        <f t="shared" si="3"/>
        <v>#DIV/0!</v>
      </c>
    </row>
    <row r="15" spans="1:15" s="23" customFormat="1" ht="22.5" customHeight="1">
      <c r="A15" s="18">
        <v>7</v>
      </c>
      <c r="B15" s="19">
        <f>'FRIT FV 090.540 - FTA'!B15</f>
        <v>46241</v>
      </c>
      <c r="C15" s="19" t="s">
        <v>22</v>
      </c>
      <c r="D15" s="74"/>
      <c r="E15" s="74">
        <f t="shared" si="4"/>
        <v>0</v>
      </c>
      <c r="F15" s="74"/>
      <c r="G15" s="74">
        <f t="shared" si="2"/>
        <v>0</v>
      </c>
      <c r="H15" s="41">
        <f>SUM($F$8:F15)/A15</f>
        <v>0</v>
      </c>
      <c r="I15" s="55">
        <f t="shared" si="0"/>
        <v>40</v>
      </c>
      <c r="J15" s="54">
        <f t="shared" si="1"/>
        <v>8</v>
      </c>
      <c r="K15" s="21" t="e">
        <f t="shared" si="3"/>
        <v>#DIV/0!</v>
      </c>
    </row>
    <row r="16" spans="1:15" s="23" customFormat="1" ht="22.5" customHeight="1">
      <c r="A16" s="18">
        <v>8</v>
      </c>
      <c r="B16" s="19">
        <f>'FRIT FV 090.540 - FTA'!B16</f>
        <v>46242</v>
      </c>
      <c r="C16" s="19" t="s">
        <v>22</v>
      </c>
      <c r="D16" s="74"/>
      <c r="E16" s="74">
        <f t="shared" si="4"/>
        <v>0</v>
      </c>
      <c r="F16" s="74"/>
      <c r="G16" s="74">
        <f t="shared" si="2"/>
        <v>0</v>
      </c>
      <c r="H16" s="41">
        <f>SUM($F$8:F16)/A16</f>
        <v>0</v>
      </c>
      <c r="I16" s="55">
        <f t="shared" si="0"/>
        <v>40</v>
      </c>
      <c r="J16" s="54">
        <f t="shared" si="1"/>
        <v>8</v>
      </c>
      <c r="K16" s="21" t="e">
        <f t="shared" si="3"/>
        <v>#DIV/0!</v>
      </c>
    </row>
    <row r="17" spans="1:11" s="23" customFormat="1" ht="22.5" customHeight="1">
      <c r="A17" s="18">
        <v>9</v>
      </c>
      <c r="B17" s="19">
        <f>'FRIT FV 090.540 - FTA'!B17</f>
        <v>46243</v>
      </c>
      <c r="C17" s="19" t="s">
        <v>22</v>
      </c>
      <c r="D17" s="74"/>
      <c r="E17" s="74">
        <f t="shared" si="4"/>
        <v>0</v>
      </c>
      <c r="F17" s="74"/>
      <c r="G17" s="74">
        <f t="shared" si="2"/>
        <v>0</v>
      </c>
      <c r="H17" s="41">
        <f>SUM($F$8:F17)/A17</f>
        <v>0</v>
      </c>
      <c r="I17" s="55">
        <f t="shared" si="0"/>
        <v>40</v>
      </c>
      <c r="J17" s="54">
        <f t="shared" si="1"/>
        <v>8</v>
      </c>
      <c r="K17" s="21" t="e">
        <f t="shared" si="3"/>
        <v>#DIV/0!</v>
      </c>
    </row>
    <row r="18" spans="1:11" s="23" customFormat="1" ht="22.5" customHeight="1">
      <c r="A18" s="18">
        <v>10</v>
      </c>
      <c r="B18" s="19">
        <f>'FRIT FV 090.540 - FTA'!B18</f>
        <v>46244</v>
      </c>
      <c r="C18" s="19" t="s">
        <v>22</v>
      </c>
      <c r="D18" s="74"/>
      <c r="E18" s="74">
        <f t="shared" si="4"/>
        <v>0</v>
      </c>
      <c r="F18" s="74"/>
      <c r="G18" s="74">
        <f t="shared" si="2"/>
        <v>0</v>
      </c>
      <c r="H18" s="41">
        <f>SUM($F$8:F18)/A18</f>
        <v>0</v>
      </c>
      <c r="I18" s="55">
        <f t="shared" si="0"/>
        <v>40</v>
      </c>
      <c r="J18" s="54">
        <f t="shared" si="1"/>
        <v>8</v>
      </c>
      <c r="K18" s="21" t="e">
        <f t="shared" si="3"/>
        <v>#DIV/0!</v>
      </c>
    </row>
    <row r="19" spans="1:11" s="23" customFormat="1" ht="22.5" customHeight="1">
      <c r="A19" s="18">
        <v>11</v>
      </c>
      <c r="B19" s="19">
        <f>'FRIT FV 090.540 - FTA'!B19</f>
        <v>46245</v>
      </c>
      <c r="C19" s="19" t="s">
        <v>22</v>
      </c>
      <c r="D19" s="74"/>
      <c r="E19" s="74">
        <f t="shared" ref="E19:E39" si="5">D19/5</f>
        <v>0</v>
      </c>
      <c r="F19" s="74"/>
      <c r="G19" s="74">
        <f t="shared" ref="G19:G39" si="6">F19/5</f>
        <v>0</v>
      </c>
      <c r="H19" s="41">
        <f>SUM($F$8:F19)/A19</f>
        <v>0</v>
      </c>
      <c r="I19" s="55">
        <f t="shared" si="0"/>
        <v>40</v>
      </c>
      <c r="J19" s="54">
        <f t="shared" si="1"/>
        <v>8</v>
      </c>
      <c r="K19" s="21" t="e">
        <f t="shared" si="3"/>
        <v>#DIV/0!</v>
      </c>
    </row>
    <row r="20" spans="1:11" s="23" customFormat="1" ht="22.5" customHeight="1">
      <c r="A20" s="18">
        <v>12</v>
      </c>
      <c r="B20" s="19">
        <f>'FRIT FV 090.540 - FTA'!B20</f>
        <v>46246</v>
      </c>
      <c r="C20" s="19" t="s">
        <v>17</v>
      </c>
      <c r="D20" s="74"/>
      <c r="E20" s="74">
        <f t="shared" si="5"/>
        <v>0</v>
      </c>
      <c r="F20" s="105">
        <v>40</v>
      </c>
      <c r="G20" s="74">
        <f t="shared" si="6"/>
        <v>8</v>
      </c>
      <c r="H20" s="41">
        <f>SUM($F$8:F20)/A20</f>
        <v>3.3333333333333335</v>
      </c>
      <c r="I20" s="55">
        <f t="shared" si="0"/>
        <v>0</v>
      </c>
      <c r="J20" s="54">
        <f t="shared" si="1"/>
        <v>0</v>
      </c>
      <c r="K20" s="21">
        <f t="shared" si="3"/>
        <v>0</v>
      </c>
    </row>
    <row r="21" spans="1:11" s="23" customFormat="1" ht="22.5" customHeight="1">
      <c r="A21" s="18">
        <v>13</v>
      </c>
      <c r="B21" s="19">
        <f>'FRIT FV 090.540 - FTA'!B21</f>
        <v>46247</v>
      </c>
      <c r="C21" s="19" t="s">
        <v>19</v>
      </c>
      <c r="D21" s="74"/>
      <c r="E21" s="74">
        <f t="shared" si="5"/>
        <v>0</v>
      </c>
      <c r="F21" s="104"/>
      <c r="G21" s="74">
        <f t="shared" si="6"/>
        <v>0</v>
      </c>
      <c r="H21" s="41">
        <f>SUM($F$8:F21)/A21</f>
        <v>3.0769230769230771</v>
      </c>
      <c r="I21" s="55">
        <f t="shared" si="0"/>
        <v>0</v>
      </c>
      <c r="J21" s="54">
        <f t="shared" si="1"/>
        <v>0</v>
      </c>
      <c r="K21" s="21">
        <f t="shared" si="3"/>
        <v>0</v>
      </c>
    </row>
    <row r="22" spans="1:11" s="23" customFormat="1" ht="22.5" customHeight="1">
      <c r="A22" s="18">
        <v>14</v>
      </c>
      <c r="B22" s="19">
        <f>'FRIT FV 090.540 - FTA'!B22</f>
        <v>46248</v>
      </c>
      <c r="C22" s="19" t="s">
        <v>103</v>
      </c>
      <c r="D22" s="74"/>
      <c r="E22" s="74">
        <f t="shared" si="5"/>
        <v>0</v>
      </c>
      <c r="F22" s="104"/>
      <c r="G22" s="74">
        <f t="shared" si="6"/>
        <v>0</v>
      </c>
      <c r="H22" s="41">
        <f>SUM($F$8:F22)/A22</f>
        <v>2.8571428571428572</v>
      </c>
      <c r="I22" s="55">
        <f t="shared" si="0"/>
        <v>0</v>
      </c>
      <c r="J22" s="54">
        <f t="shared" si="1"/>
        <v>0</v>
      </c>
      <c r="K22" s="21">
        <f t="shared" si="3"/>
        <v>0</v>
      </c>
    </row>
    <row r="23" spans="1:11" s="23" customFormat="1" ht="22.5" customHeight="1">
      <c r="A23" s="18">
        <v>15</v>
      </c>
      <c r="B23" s="19">
        <f>'FRIT FV 090.540 - FTA'!B23</f>
        <v>46249</v>
      </c>
      <c r="C23" s="69" t="s">
        <v>20</v>
      </c>
      <c r="D23" s="74"/>
      <c r="E23" s="74">
        <f t="shared" si="5"/>
        <v>0</v>
      </c>
      <c r="F23" s="104"/>
      <c r="G23" s="74">
        <f t="shared" si="6"/>
        <v>0</v>
      </c>
      <c r="H23" s="41">
        <f>SUM($F$8:F23)/A23</f>
        <v>2.6666666666666665</v>
      </c>
      <c r="I23" s="55">
        <f t="shared" si="0"/>
        <v>0</v>
      </c>
      <c r="J23" s="54">
        <f t="shared" si="1"/>
        <v>0</v>
      </c>
      <c r="K23" s="21">
        <f t="shared" si="3"/>
        <v>0</v>
      </c>
    </row>
    <row r="24" spans="1:11" s="23" customFormat="1" ht="22.5" customHeight="1">
      <c r="A24" s="18">
        <v>16</v>
      </c>
      <c r="B24" s="19">
        <f>'FRIT FV 090.540 - FTA'!B24</f>
        <v>46250</v>
      </c>
      <c r="C24" s="69" t="s">
        <v>19</v>
      </c>
      <c r="D24" s="74"/>
      <c r="E24" s="74">
        <f t="shared" si="5"/>
        <v>0</v>
      </c>
      <c r="F24" s="74"/>
      <c r="G24" s="74">
        <f t="shared" si="6"/>
        <v>0</v>
      </c>
      <c r="H24" s="41">
        <f>SUM($F$8:F24)/A24</f>
        <v>2.5</v>
      </c>
      <c r="I24" s="55">
        <f t="shared" si="0"/>
        <v>0</v>
      </c>
      <c r="J24" s="54">
        <f t="shared" si="1"/>
        <v>0</v>
      </c>
      <c r="K24" s="21">
        <f t="shared" si="3"/>
        <v>0</v>
      </c>
    </row>
    <row r="25" spans="1:11" s="23" customFormat="1" ht="22.5" customHeight="1">
      <c r="A25" s="18">
        <v>17</v>
      </c>
      <c r="B25" s="19">
        <f>'FRIT FV 090.540 - FTA'!B25</f>
        <v>46251</v>
      </c>
      <c r="C25" s="69" t="s">
        <v>19</v>
      </c>
      <c r="D25" s="74"/>
      <c r="E25" s="74">
        <f t="shared" si="5"/>
        <v>0</v>
      </c>
      <c r="F25" s="74"/>
      <c r="G25" s="74">
        <f t="shared" si="6"/>
        <v>0</v>
      </c>
      <c r="H25" s="41">
        <f>SUM($F$8:F25)/A25</f>
        <v>2.3529411764705883</v>
      </c>
      <c r="I25" s="55">
        <f t="shared" si="0"/>
        <v>0</v>
      </c>
      <c r="J25" s="54">
        <f t="shared" si="1"/>
        <v>0</v>
      </c>
      <c r="K25" s="21">
        <f t="shared" si="3"/>
        <v>0</v>
      </c>
    </row>
    <row r="26" spans="1:11" s="23" customFormat="1" ht="22.5" customHeight="1">
      <c r="A26" s="18">
        <v>18</v>
      </c>
      <c r="B26" s="19">
        <f>'FRIT FV 090.540 - FTA'!B26</f>
        <v>46252</v>
      </c>
      <c r="C26" s="19" t="s">
        <v>17</v>
      </c>
      <c r="D26" s="74"/>
      <c r="E26" s="74">
        <f t="shared" si="5"/>
        <v>0</v>
      </c>
      <c r="F26" s="74"/>
      <c r="G26" s="74">
        <f t="shared" si="6"/>
        <v>0</v>
      </c>
      <c r="H26" s="41">
        <f>SUM($F$8:F26)/A26</f>
        <v>2.2222222222222223</v>
      </c>
      <c r="I26" s="55">
        <f t="shared" si="0"/>
        <v>0</v>
      </c>
      <c r="J26" s="54">
        <f t="shared" si="1"/>
        <v>0</v>
      </c>
      <c r="K26" s="21">
        <f t="shared" si="3"/>
        <v>0</v>
      </c>
    </row>
    <row r="27" spans="1:11" s="23" customFormat="1" ht="22.5" customHeight="1">
      <c r="A27" s="18">
        <v>19</v>
      </c>
      <c r="B27" s="19">
        <f>'FRIT FV 090.540 - FTA'!B27</f>
        <v>46253</v>
      </c>
      <c r="C27" s="19" t="s">
        <v>17</v>
      </c>
      <c r="D27" s="74"/>
      <c r="E27" s="74">
        <f t="shared" si="5"/>
        <v>0</v>
      </c>
      <c r="F27" s="74"/>
      <c r="G27" s="74">
        <f t="shared" si="6"/>
        <v>0</v>
      </c>
      <c r="H27" s="41">
        <f>SUM($F$8:F27)/A27</f>
        <v>2.1052631578947367</v>
      </c>
      <c r="I27" s="55">
        <f t="shared" si="0"/>
        <v>0</v>
      </c>
      <c r="J27" s="54">
        <f t="shared" si="1"/>
        <v>0</v>
      </c>
      <c r="K27" s="21">
        <f t="shared" si="3"/>
        <v>0</v>
      </c>
    </row>
    <row r="28" spans="1:11" s="23" customFormat="1" ht="22.5" customHeight="1">
      <c r="A28" s="18">
        <v>20</v>
      </c>
      <c r="B28" s="19">
        <f>'FRIT FV 090.540 - FTA'!B28</f>
        <v>46254</v>
      </c>
      <c r="C28" s="19" t="s">
        <v>19</v>
      </c>
      <c r="D28" s="74"/>
      <c r="E28" s="74">
        <f t="shared" si="5"/>
        <v>0</v>
      </c>
      <c r="F28" s="74"/>
      <c r="G28" s="74">
        <f t="shared" si="6"/>
        <v>0</v>
      </c>
      <c r="H28" s="41">
        <f>SUM($F$8:F28)/A28</f>
        <v>2</v>
      </c>
      <c r="I28" s="55">
        <f t="shared" si="0"/>
        <v>0</v>
      </c>
      <c r="J28" s="54">
        <f t="shared" si="1"/>
        <v>0</v>
      </c>
      <c r="K28" s="21">
        <f t="shared" si="3"/>
        <v>0</v>
      </c>
    </row>
    <row r="29" spans="1:11" s="23" customFormat="1" ht="22.5" customHeight="1">
      <c r="A29" s="18">
        <v>21</v>
      </c>
      <c r="B29" s="19">
        <f>'FRIT FV 090.540 - FTA'!B29</f>
        <v>46255</v>
      </c>
      <c r="C29" s="19" t="s">
        <v>19</v>
      </c>
      <c r="D29" s="74"/>
      <c r="E29" s="74">
        <f t="shared" si="5"/>
        <v>0</v>
      </c>
      <c r="F29" s="74"/>
      <c r="G29" s="74">
        <f t="shared" si="6"/>
        <v>0</v>
      </c>
      <c r="H29" s="41">
        <f>SUM($F$8:F29)/A29</f>
        <v>1.9047619047619047</v>
      </c>
      <c r="I29" s="55">
        <f t="shared" si="0"/>
        <v>0</v>
      </c>
      <c r="J29" s="54">
        <f t="shared" si="1"/>
        <v>0</v>
      </c>
      <c r="K29" s="21">
        <f t="shared" si="3"/>
        <v>0</v>
      </c>
    </row>
    <row r="30" spans="1:11" s="23" customFormat="1" ht="22.5" customHeight="1">
      <c r="A30" s="18">
        <v>22</v>
      </c>
      <c r="B30" s="19">
        <f>'FRIT FV 090.540 - FTA'!B30</f>
        <v>46256</v>
      </c>
      <c r="C30" s="19" t="s">
        <v>19</v>
      </c>
      <c r="D30" s="74"/>
      <c r="E30" s="74">
        <f t="shared" si="5"/>
        <v>0</v>
      </c>
      <c r="F30" s="74"/>
      <c r="G30" s="74">
        <f t="shared" si="6"/>
        <v>0</v>
      </c>
      <c r="H30" s="41">
        <f>SUM($F$8:F30)/A30</f>
        <v>1.8181818181818181</v>
      </c>
      <c r="I30" s="55">
        <f t="shared" si="0"/>
        <v>0</v>
      </c>
      <c r="J30" s="54">
        <f t="shared" si="1"/>
        <v>0</v>
      </c>
      <c r="K30" s="21">
        <f t="shared" si="3"/>
        <v>0</v>
      </c>
    </row>
    <row r="31" spans="1:11" s="23" customFormat="1" ht="22.5" customHeight="1">
      <c r="A31" s="18">
        <v>23</v>
      </c>
      <c r="B31" s="19">
        <f>'FRIT FV 090.540 - FTA'!B31</f>
        <v>46257</v>
      </c>
      <c r="C31" s="19" t="s">
        <v>17</v>
      </c>
      <c r="D31" s="74"/>
      <c r="E31" s="74">
        <f t="shared" si="5"/>
        <v>0</v>
      </c>
      <c r="F31" s="74"/>
      <c r="G31" s="74">
        <f t="shared" si="6"/>
        <v>0</v>
      </c>
      <c r="H31" s="41">
        <f>SUM($F$8:F31)/A31</f>
        <v>1.7391304347826086</v>
      </c>
      <c r="I31" s="55">
        <f t="shared" si="0"/>
        <v>0</v>
      </c>
      <c r="J31" s="54">
        <f t="shared" si="1"/>
        <v>0</v>
      </c>
      <c r="K31" s="21">
        <f t="shared" si="3"/>
        <v>0</v>
      </c>
    </row>
    <row r="32" spans="1:11" s="23" customFormat="1" ht="22.5" customHeight="1">
      <c r="A32" s="18">
        <v>24</v>
      </c>
      <c r="B32" s="19">
        <f>'FRIT FV 090.540 - FTA'!B32</f>
        <v>46258</v>
      </c>
      <c r="C32" s="19" t="s">
        <v>19</v>
      </c>
      <c r="D32" s="74"/>
      <c r="E32" s="74">
        <f t="shared" si="5"/>
        <v>0</v>
      </c>
      <c r="F32" s="74"/>
      <c r="G32" s="74">
        <f t="shared" si="6"/>
        <v>0</v>
      </c>
      <c r="H32" s="41">
        <f>SUM($F$8:F32)/A32</f>
        <v>1.6666666666666667</v>
      </c>
      <c r="I32" s="55">
        <f t="shared" si="0"/>
        <v>0</v>
      </c>
      <c r="J32" s="54">
        <f t="shared" si="1"/>
        <v>0</v>
      </c>
      <c r="K32" s="21">
        <f t="shared" si="3"/>
        <v>0</v>
      </c>
    </row>
    <row r="33" spans="1:11" s="23" customFormat="1" ht="22.5" customHeight="1">
      <c r="A33" s="18">
        <v>25</v>
      </c>
      <c r="B33" s="19">
        <f>'FRIT FV 090.540 - FTA'!B33</f>
        <v>46259</v>
      </c>
      <c r="C33" s="19" t="s">
        <v>19</v>
      </c>
      <c r="D33" s="74"/>
      <c r="E33" s="74">
        <f t="shared" si="5"/>
        <v>0</v>
      </c>
      <c r="F33" s="74"/>
      <c r="G33" s="74">
        <f t="shared" si="6"/>
        <v>0</v>
      </c>
      <c r="H33" s="41">
        <f>SUM($F$8:F33)/A33</f>
        <v>1.6</v>
      </c>
      <c r="I33" s="55">
        <f t="shared" si="0"/>
        <v>0</v>
      </c>
      <c r="J33" s="54">
        <f t="shared" si="1"/>
        <v>0</v>
      </c>
      <c r="K33" s="21">
        <f t="shared" si="3"/>
        <v>0</v>
      </c>
    </row>
    <row r="34" spans="1:11" s="23" customFormat="1" ht="22.5" customHeight="1">
      <c r="A34" s="18">
        <v>26</v>
      </c>
      <c r="B34" s="19">
        <f>'FRIT FV 090.540 - FTA'!B34</f>
        <v>46260</v>
      </c>
      <c r="C34" s="19" t="s">
        <v>17</v>
      </c>
      <c r="D34" s="74"/>
      <c r="E34" s="74">
        <f t="shared" si="5"/>
        <v>0</v>
      </c>
      <c r="F34" s="74"/>
      <c r="G34" s="74">
        <f t="shared" si="6"/>
        <v>0</v>
      </c>
      <c r="H34" s="41">
        <f>SUM($F$8:F34)/A34</f>
        <v>1.5384615384615385</v>
      </c>
      <c r="I34" s="55">
        <f t="shared" si="0"/>
        <v>0</v>
      </c>
      <c r="J34" s="54">
        <f t="shared" si="1"/>
        <v>0</v>
      </c>
      <c r="K34" s="21">
        <f t="shared" si="3"/>
        <v>0</v>
      </c>
    </row>
    <row r="35" spans="1:11" s="23" customFormat="1" ht="22.5" customHeight="1">
      <c r="A35" s="18">
        <v>27</v>
      </c>
      <c r="B35" s="19">
        <f>'FRIT FV 090.540 - FTA'!B35</f>
        <v>46261</v>
      </c>
      <c r="C35" s="19" t="s">
        <v>19</v>
      </c>
      <c r="D35" s="74"/>
      <c r="E35" s="74">
        <f t="shared" si="5"/>
        <v>0</v>
      </c>
      <c r="F35" s="74"/>
      <c r="G35" s="74">
        <f t="shared" si="6"/>
        <v>0</v>
      </c>
      <c r="H35" s="41">
        <f>SUM($F$8:F35)/A35</f>
        <v>1.4814814814814814</v>
      </c>
      <c r="I35" s="55">
        <f t="shared" si="0"/>
        <v>0</v>
      </c>
      <c r="J35" s="54">
        <f t="shared" si="1"/>
        <v>0</v>
      </c>
      <c r="K35" s="21">
        <f t="shared" si="3"/>
        <v>0</v>
      </c>
    </row>
    <row r="36" spans="1:11" s="23" customFormat="1" ht="22.5" customHeight="1">
      <c r="A36" s="18">
        <v>28</v>
      </c>
      <c r="B36" s="19">
        <f>'FRIT FV 090.540 - FTA'!B36</f>
        <v>46262</v>
      </c>
      <c r="C36" s="19" t="s">
        <v>19</v>
      </c>
      <c r="D36" s="74"/>
      <c r="E36" s="74">
        <f t="shared" si="5"/>
        <v>0</v>
      </c>
      <c r="F36" s="74"/>
      <c r="G36" s="74">
        <f t="shared" si="6"/>
        <v>0</v>
      </c>
      <c r="H36" s="41">
        <f>SUM($F$8:F36)/A36</f>
        <v>1.4285714285714286</v>
      </c>
      <c r="I36" s="55">
        <f t="shared" si="0"/>
        <v>0</v>
      </c>
      <c r="J36" s="54">
        <f t="shared" si="1"/>
        <v>0</v>
      </c>
      <c r="K36" s="21">
        <f t="shared" si="3"/>
        <v>0</v>
      </c>
    </row>
    <row r="37" spans="1:11" s="23" customFormat="1" ht="22.5" customHeight="1">
      <c r="A37" s="18">
        <v>29</v>
      </c>
      <c r="B37" s="19">
        <f>'FRIT FV 090.540 - FTA'!B37</f>
        <v>46263</v>
      </c>
      <c r="C37" s="19" t="s">
        <v>19</v>
      </c>
      <c r="D37" s="74"/>
      <c r="E37" s="74">
        <f t="shared" si="5"/>
        <v>0</v>
      </c>
      <c r="F37" s="74"/>
      <c r="G37" s="74">
        <f t="shared" si="6"/>
        <v>0</v>
      </c>
      <c r="H37" s="41">
        <f>SUM($F$8:F37)/A37</f>
        <v>1.3793103448275863</v>
      </c>
      <c r="I37" s="55">
        <f t="shared" si="0"/>
        <v>0</v>
      </c>
      <c r="J37" s="54">
        <f t="shared" si="1"/>
        <v>0</v>
      </c>
      <c r="K37" s="21">
        <f t="shared" si="3"/>
        <v>0</v>
      </c>
    </row>
    <row r="38" spans="1:11" s="23" customFormat="1" ht="22.5" customHeight="1">
      <c r="A38" s="18">
        <v>30</v>
      </c>
      <c r="B38" s="19">
        <f>'FRIT FV 090.540 - FTA'!B38</f>
        <v>46264</v>
      </c>
      <c r="C38" s="19" t="s">
        <v>19</v>
      </c>
      <c r="D38" s="74"/>
      <c r="E38" s="74">
        <f t="shared" si="5"/>
        <v>0</v>
      </c>
      <c r="F38" s="74"/>
      <c r="G38" s="74">
        <f t="shared" si="6"/>
        <v>0</v>
      </c>
      <c r="H38" s="41">
        <f>SUM($F$8:F38)/A38</f>
        <v>1.3333333333333333</v>
      </c>
      <c r="I38" s="55">
        <f t="shared" si="0"/>
        <v>0</v>
      </c>
      <c r="J38" s="54">
        <f t="shared" si="1"/>
        <v>0</v>
      </c>
      <c r="K38" s="21">
        <f t="shared" si="3"/>
        <v>0</v>
      </c>
    </row>
    <row r="39" spans="1:11" s="23" customFormat="1" ht="22.5" customHeight="1">
      <c r="A39" s="18">
        <v>31</v>
      </c>
      <c r="B39" s="19">
        <f>'FRIT FV 090.540 - FTA'!B39</f>
        <v>46265</v>
      </c>
      <c r="C39" s="19" t="s">
        <v>19</v>
      </c>
      <c r="D39" s="74"/>
      <c r="E39" s="74">
        <f t="shared" si="5"/>
        <v>0</v>
      </c>
      <c r="F39" s="74"/>
      <c r="G39" s="74">
        <f t="shared" si="6"/>
        <v>0</v>
      </c>
      <c r="H39" s="41">
        <f>SUM($F$8:F39)/A39</f>
        <v>1.2903225806451613</v>
      </c>
      <c r="I39" s="55">
        <f t="shared" si="0"/>
        <v>0</v>
      </c>
      <c r="J39" s="54">
        <f t="shared" si="1"/>
        <v>0</v>
      </c>
      <c r="K39" s="21">
        <f t="shared" si="3"/>
        <v>0</v>
      </c>
    </row>
    <row r="40" spans="1:11" s="32" customFormat="1" ht="26.25" customHeight="1">
      <c r="A40" s="1517" t="s">
        <v>29</v>
      </c>
      <c r="B40" s="1517"/>
      <c r="C40" s="1517"/>
      <c r="D40" s="57">
        <f>SUM(D9:D39)</f>
        <v>0</v>
      </c>
      <c r="E40" s="57">
        <f>SUM(E9:E39)</f>
        <v>0</v>
      </c>
      <c r="F40" s="46">
        <f>SUM(F9:F39)</f>
        <v>40</v>
      </c>
      <c r="G40" s="46">
        <f>SUM(G9:G39)</f>
        <v>8</v>
      </c>
      <c r="H40" s="46"/>
      <c r="I40" s="56">
        <f>I39</f>
        <v>0</v>
      </c>
      <c r="J40" s="56">
        <f>J39</f>
        <v>0</v>
      </c>
      <c r="K40" s="31"/>
    </row>
    <row r="41" spans="1:11" s="32" customFormat="1" ht="26.25" customHeight="1">
      <c r="A41" s="1517" t="s">
        <v>15</v>
      </c>
      <c r="B41" s="1517"/>
      <c r="C41" s="1517"/>
      <c r="D41" s="57">
        <f>D8+D40</f>
        <v>40</v>
      </c>
      <c r="E41" s="57">
        <f>E8+E40</f>
        <v>8</v>
      </c>
      <c r="F41" s="46">
        <f>F8+F40</f>
        <v>40</v>
      </c>
      <c r="G41" s="46">
        <f>G8+G40</f>
        <v>8</v>
      </c>
      <c r="H41" s="46"/>
      <c r="I41" s="46">
        <f>D41-F41</f>
        <v>0</v>
      </c>
      <c r="J41" s="46">
        <f>E41-G41</f>
        <v>0</v>
      </c>
      <c r="K41" s="31"/>
    </row>
    <row r="42" spans="1:11" ht="23.25" customHeight="1">
      <c r="A42" s="5"/>
      <c r="B42" s="5"/>
      <c r="C42" s="5"/>
      <c r="D42" s="7"/>
      <c r="E42" s="7"/>
      <c r="F42" s="24"/>
      <c r="G42" s="24"/>
      <c r="H42" s="7"/>
      <c r="I42" s="7"/>
      <c r="J42" s="7"/>
    </row>
    <row r="43" spans="1:11">
      <c r="F43" s="24"/>
      <c r="G43" s="24"/>
    </row>
  </sheetData>
  <mergeCells count="12">
    <mergeCell ref="A41:C41"/>
    <mergeCell ref="A2:K2"/>
    <mergeCell ref="A8:C8"/>
    <mergeCell ref="A40:C40"/>
    <mergeCell ref="A6:A7"/>
    <mergeCell ref="B6:B7"/>
    <mergeCell ref="C6:C7"/>
    <mergeCell ref="D6:E6"/>
    <mergeCell ref="F6:G6"/>
    <mergeCell ref="H6:H7"/>
    <mergeCell ref="I6:J6"/>
    <mergeCell ref="K6:K7"/>
  </mergeCells>
  <hyperlinks>
    <hyperlink ref="K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43"/>
  <sheetViews>
    <sheetView zoomScale="70" zoomScaleNormal="70" workbookViewId="0">
      <pane ySplit="8" topLeftCell="A12" activePane="bottomLeft" state="frozen"/>
      <selection activeCell="K5" sqref="K5"/>
      <selection pane="bottomLeft" activeCell="K5" sqref="K5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0.7109375" style="42" customWidth="1"/>
    <col min="4" max="10" width="13.85546875" style="6" customWidth="1"/>
    <col min="11" max="11" width="19.28515625" style="42" customWidth="1"/>
    <col min="12" max="16384" width="9.28515625" style="42"/>
  </cols>
  <sheetData>
    <row r="1" spans="1:15" ht="114.75" customHeight="1"/>
    <row r="2" spans="1:15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</row>
    <row r="3" spans="1:15" ht="21.75" customHeight="1">
      <c r="B3" s="64"/>
      <c r="C3" s="64"/>
      <c r="D3" s="64"/>
      <c r="E3" s="64"/>
      <c r="F3" s="66" t="s">
        <v>33</v>
      </c>
      <c r="G3" s="67" t="s">
        <v>37</v>
      </c>
      <c r="H3" s="65"/>
      <c r="I3" s="64"/>
      <c r="J3" s="64"/>
      <c r="K3" s="64"/>
    </row>
    <row r="4" spans="1:15" ht="21.75" customHeight="1">
      <c r="B4" s="8" t="e">
        <f>'FRIT FV 090.540 - FTA'!#REF!</f>
        <v>#REF!</v>
      </c>
      <c r="C4" s="8" t="e">
        <f>'FRIT FV 090.540 - FTA'!#REF!</f>
        <v>#REF!</v>
      </c>
      <c r="D4" s="8" t="e">
        <f>'FRIT FV 090.540 - FTA'!#REF!</f>
        <v>#REF!</v>
      </c>
      <c r="E4" s="8" t="e">
        <f>'FRIT FV 090.540 - FTA'!#REF!</f>
        <v>#REF!</v>
      </c>
      <c r="F4" s="8" t="e">
        <f>'FRIT FV 090.540 - FTA'!#REF!</f>
        <v>#REF!</v>
      </c>
      <c r="G4" s="8" t="e">
        <f>'FRIT FV 090.540 - FTA'!#REF!</f>
        <v>#REF!</v>
      </c>
      <c r="H4" s="8" t="e">
        <f>'FRIT FV 090.540 - FTA'!#REF!</f>
        <v>#REF!</v>
      </c>
      <c r="I4" s="8" t="e">
        <f>'FRIT FV 090.540 - FTA'!#REF!</f>
        <v>#REF!</v>
      </c>
      <c r="J4" s="42"/>
      <c r="L4" s="75"/>
      <c r="M4" s="75"/>
    </row>
    <row r="5" spans="1:15" ht="22.5" customHeight="1">
      <c r="F5" s="10"/>
      <c r="G5" s="10"/>
      <c r="H5" s="10"/>
      <c r="J5" s="12" t="s">
        <v>26</v>
      </c>
      <c r="K5" s="35" t="s">
        <v>18</v>
      </c>
    </row>
    <row r="6" spans="1:15" s="13" customFormat="1" ht="28.5" customHeight="1">
      <c r="A6" s="1531" t="s">
        <v>2</v>
      </c>
      <c r="B6" s="1532" t="s">
        <v>1</v>
      </c>
      <c r="C6" s="1533" t="s">
        <v>24</v>
      </c>
      <c r="D6" s="1534" t="s">
        <v>27</v>
      </c>
      <c r="E6" s="1534"/>
      <c r="F6" s="1534" t="s">
        <v>31</v>
      </c>
      <c r="G6" s="1534"/>
      <c r="H6" s="1534" t="s">
        <v>32</v>
      </c>
      <c r="I6" s="1534" t="s">
        <v>14</v>
      </c>
      <c r="J6" s="1534"/>
      <c r="K6" s="1534" t="s">
        <v>30</v>
      </c>
    </row>
    <row r="7" spans="1:15" s="13" customFormat="1" ht="28.5" customHeight="1">
      <c r="A7" s="1531"/>
      <c r="B7" s="1532"/>
      <c r="C7" s="1533"/>
      <c r="D7" s="90" t="s">
        <v>10</v>
      </c>
      <c r="E7" s="90" t="s">
        <v>58</v>
      </c>
      <c r="F7" s="90" t="s">
        <v>10</v>
      </c>
      <c r="G7" s="90" t="s">
        <v>58</v>
      </c>
      <c r="H7" s="1534"/>
      <c r="I7" s="90" t="s">
        <v>10</v>
      </c>
      <c r="J7" s="90" t="s">
        <v>58</v>
      </c>
      <c r="K7" s="1534"/>
    </row>
    <row r="8" spans="1:15" s="13" customFormat="1" ht="25.5" customHeight="1">
      <c r="A8" s="1514" t="s">
        <v>3</v>
      </c>
      <c r="B8" s="1515"/>
      <c r="C8" s="1516"/>
      <c r="D8" s="73">
        <f>I8</f>
        <v>20</v>
      </c>
      <c r="E8" s="73">
        <f>J8</f>
        <v>5</v>
      </c>
      <c r="F8" s="73"/>
      <c r="G8" s="73"/>
      <c r="H8" s="14"/>
      <c r="I8" s="53">
        <v>20</v>
      </c>
      <c r="J8" s="54">
        <f>I8/4</f>
        <v>5</v>
      </c>
      <c r="K8" s="17"/>
    </row>
    <row r="9" spans="1:15" s="13" customFormat="1" ht="22.5" customHeight="1">
      <c r="A9" s="18">
        <v>1</v>
      </c>
      <c r="B9" s="19">
        <f>'FRIT FV 090.540 - FTA'!B9</f>
        <v>46235</v>
      </c>
      <c r="C9" s="19" t="s">
        <v>19</v>
      </c>
      <c r="D9" s="74"/>
      <c r="E9" s="74"/>
      <c r="F9" s="74"/>
      <c r="G9" s="74"/>
      <c r="H9" s="41">
        <f>SUM($F$8:F9)/A9</f>
        <v>0</v>
      </c>
      <c r="I9" s="55">
        <f t="shared" ref="I9:I39" si="0">I8+D9-F9</f>
        <v>20</v>
      </c>
      <c r="J9" s="54">
        <f t="shared" ref="J9:J39" si="1">I9/4</f>
        <v>5</v>
      </c>
      <c r="K9" s="21" t="e">
        <f>I9/H9</f>
        <v>#DIV/0!</v>
      </c>
    </row>
    <row r="10" spans="1:15" s="13" customFormat="1" ht="22.5" customHeight="1">
      <c r="A10" s="18">
        <v>2</v>
      </c>
      <c r="B10" s="19">
        <f>'FRIT FV 090.540 - FTA'!B10</f>
        <v>46236</v>
      </c>
      <c r="C10" s="69" t="s">
        <v>19</v>
      </c>
      <c r="D10" s="74"/>
      <c r="E10" s="74"/>
      <c r="F10" s="74"/>
      <c r="G10" s="74"/>
      <c r="H10" s="41">
        <f>SUM($F$8:F10)/A10</f>
        <v>0</v>
      </c>
      <c r="I10" s="55">
        <f t="shared" si="0"/>
        <v>20</v>
      </c>
      <c r="J10" s="54">
        <f t="shared" si="1"/>
        <v>5</v>
      </c>
      <c r="K10" s="21" t="e">
        <f t="shared" ref="K10:K39" si="2">I10/H10</f>
        <v>#DIV/0!</v>
      </c>
    </row>
    <row r="11" spans="1:15" s="13" customFormat="1" ht="22.5" customHeight="1">
      <c r="A11" s="18">
        <v>3</v>
      </c>
      <c r="B11" s="19">
        <f>'FRIT FV 090.540 - FTA'!B11</f>
        <v>46237</v>
      </c>
      <c r="C11" s="69" t="s">
        <v>19</v>
      </c>
      <c r="D11" s="74"/>
      <c r="E11" s="74"/>
      <c r="F11" s="74"/>
      <c r="G11" s="74"/>
      <c r="H11" s="41">
        <f>SUM($F$8:F11)/A11</f>
        <v>0</v>
      </c>
      <c r="I11" s="55">
        <f t="shared" si="0"/>
        <v>20</v>
      </c>
      <c r="J11" s="54">
        <f t="shared" si="1"/>
        <v>5</v>
      </c>
      <c r="K11" s="21" t="e">
        <f t="shared" si="2"/>
        <v>#DIV/0!</v>
      </c>
    </row>
    <row r="12" spans="1:15" s="23" customFormat="1" ht="22.5" customHeight="1">
      <c r="A12" s="18">
        <v>4</v>
      </c>
      <c r="B12" s="19">
        <f>'FRIT FV 090.540 - FTA'!B12</f>
        <v>46238</v>
      </c>
      <c r="C12" s="69" t="s">
        <v>19</v>
      </c>
      <c r="D12" s="74"/>
      <c r="E12" s="74"/>
      <c r="F12" s="74"/>
      <c r="G12" s="74"/>
      <c r="H12" s="41">
        <f>SUM($F$8:F12)/A12</f>
        <v>0</v>
      </c>
      <c r="I12" s="55">
        <f t="shared" si="0"/>
        <v>20</v>
      </c>
      <c r="J12" s="54">
        <f t="shared" si="1"/>
        <v>5</v>
      </c>
      <c r="K12" s="21" t="e">
        <f t="shared" si="2"/>
        <v>#DIV/0!</v>
      </c>
      <c r="M12" s="13"/>
      <c r="N12" s="13"/>
      <c r="O12" s="13"/>
    </row>
    <row r="13" spans="1:15" s="23" customFormat="1" ht="22.5" customHeight="1">
      <c r="A13" s="18">
        <v>5</v>
      </c>
      <c r="B13" s="19">
        <f>'FRIT FV 090.540 - FTA'!B13</f>
        <v>46239</v>
      </c>
      <c r="C13" s="69" t="s">
        <v>19</v>
      </c>
      <c r="D13" s="74"/>
      <c r="E13" s="74"/>
      <c r="F13" s="74"/>
      <c r="G13" s="74"/>
      <c r="H13" s="41">
        <f>SUM($F$8:F13)/A13</f>
        <v>0</v>
      </c>
      <c r="I13" s="55">
        <f t="shared" si="0"/>
        <v>20</v>
      </c>
      <c r="J13" s="54">
        <f t="shared" si="1"/>
        <v>5</v>
      </c>
      <c r="K13" s="21" t="e">
        <f t="shared" si="2"/>
        <v>#DIV/0!</v>
      </c>
    </row>
    <row r="14" spans="1:15" s="23" customFormat="1" ht="22.5" customHeight="1">
      <c r="A14" s="18">
        <v>6</v>
      </c>
      <c r="B14" s="19">
        <f>'FRIT FV 090.540 - FTA'!B14</f>
        <v>46240</v>
      </c>
      <c r="C14" s="69" t="s">
        <v>19</v>
      </c>
      <c r="D14" s="74"/>
      <c r="E14" s="74"/>
      <c r="F14" s="74"/>
      <c r="G14" s="74"/>
      <c r="H14" s="41">
        <f>SUM($F$8:F14)/A14</f>
        <v>0</v>
      </c>
      <c r="I14" s="55">
        <f t="shared" si="0"/>
        <v>20</v>
      </c>
      <c r="J14" s="54">
        <f t="shared" si="1"/>
        <v>5</v>
      </c>
      <c r="K14" s="21" t="e">
        <f t="shared" si="2"/>
        <v>#DIV/0!</v>
      </c>
    </row>
    <row r="15" spans="1:15" s="23" customFormat="1" ht="22.5" customHeight="1">
      <c r="A15" s="18">
        <v>7</v>
      </c>
      <c r="B15" s="19">
        <f>'FRIT FV 090.540 - FTA'!B15</f>
        <v>46241</v>
      </c>
      <c r="C15" s="69" t="s">
        <v>19</v>
      </c>
      <c r="D15" s="74"/>
      <c r="E15" s="74"/>
      <c r="F15" s="74"/>
      <c r="G15" s="74"/>
      <c r="H15" s="41">
        <f>SUM($F$8:F15)/A15</f>
        <v>0</v>
      </c>
      <c r="I15" s="55">
        <f t="shared" si="0"/>
        <v>20</v>
      </c>
      <c r="J15" s="54">
        <f t="shared" si="1"/>
        <v>5</v>
      </c>
      <c r="K15" s="21" t="e">
        <f t="shared" si="2"/>
        <v>#DIV/0!</v>
      </c>
    </row>
    <row r="16" spans="1:15" s="23" customFormat="1" ht="22.5" customHeight="1">
      <c r="A16" s="18">
        <v>8</v>
      </c>
      <c r="B16" s="19">
        <f>'FRIT FV 090.540 - FTA'!B16</f>
        <v>46242</v>
      </c>
      <c r="C16" s="69" t="s">
        <v>19</v>
      </c>
      <c r="D16" s="74"/>
      <c r="E16" s="74"/>
      <c r="F16" s="74"/>
      <c r="G16" s="74"/>
      <c r="H16" s="41">
        <f>SUM($F$8:F16)/A16</f>
        <v>0</v>
      </c>
      <c r="I16" s="55">
        <f t="shared" si="0"/>
        <v>20</v>
      </c>
      <c r="J16" s="54">
        <f t="shared" si="1"/>
        <v>5</v>
      </c>
      <c r="K16" s="21" t="e">
        <f t="shared" si="2"/>
        <v>#DIV/0!</v>
      </c>
    </row>
    <row r="17" spans="1:11" s="23" customFormat="1" ht="22.5" customHeight="1">
      <c r="A17" s="18">
        <v>9</v>
      </c>
      <c r="B17" s="19">
        <f>'FRIT FV 090.540 - FTA'!B17</f>
        <v>46243</v>
      </c>
      <c r="C17" s="19" t="s">
        <v>19</v>
      </c>
      <c r="D17" s="74"/>
      <c r="E17" s="74"/>
      <c r="F17" s="74"/>
      <c r="G17" s="74"/>
      <c r="H17" s="41">
        <f>SUM($F$8:F17)/A17</f>
        <v>0</v>
      </c>
      <c r="I17" s="55">
        <f t="shared" si="0"/>
        <v>20</v>
      </c>
      <c r="J17" s="54">
        <f t="shared" si="1"/>
        <v>5</v>
      </c>
      <c r="K17" s="21" t="e">
        <f t="shared" si="2"/>
        <v>#DIV/0!</v>
      </c>
    </row>
    <row r="18" spans="1:11" s="23" customFormat="1" ht="22.5" customHeight="1">
      <c r="A18" s="18">
        <v>10</v>
      </c>
      <c r="B18" s="19">
        <f>'FRIT FV 090.540 - FTA'!B18</f>
        <v>46244</v>
      </c>
      <c r="C18" s="69" t="s">
        <v>19</v>
      </c>
      <c r="D18" s="74"/>
      <c r="E18" s="74"/>
      <c r="F18" s="74"/>
      <c r="G18" s="74"/>
      <c r="H18" s="41">
        <f>SUM($F$8:F18)/A18</f>
        <v>0</v>
      </c>
      <c r="I18" s="55">
        <f t="shared" si="0"/>
        <v>20</v>
      </c>
      <c r="J18" s="54">
        <f t="shared" si="1"/>
        <v>5</v>
      </c>
      <c r="K18" s="21" t="e">
        <f t="shared" si="2"/>
        <v>#DIV/0!</v>
      </c>
    </row>
    <row r="19" spans="1:11" s="23" customFormat="1" ht="22.5" customHeight="1">
      <c r="A19" s="18">
        <v>11</v>
      </c>
      <c r="B19" s="19">
        <f>'FRIT FV 090.540 - FTA'!B19</f>
        <v>46245</v>
      </c>
      <c r="C19" s="69" t="s">
        <v>19</v>
      </c>
      <c r="D19" s="74"/>
      <c r="E19" s="74"/>
      <c r="F19" s="74"/>
      <c r="G19" s="74"/>
      <c r="H19" s="41">
        <f>SUM($F$8:F19)/A19</f>
        <v>0</v>
      </c>
      <c r="I19" s="55">
        <f t="shared" si="0"/>
        <v>20</v>
      </c>
      <c r="J19" s="54">
        <f t="shared" si="1"/>
        <v>5</v>
      </c>
      <c r="K19" s="21" t="e">
        <f t="shared" si="2"/>
        <v>#DIV/0!</v>
      </c>
    </row>
    <row r="20" spans="1:11" s="23" customFormat="1" ht="22.5" customHeight="1">
      <c r="A20" s="18">
        <v>12</v>
      </c>
      <c r="B20" s="19">
        <f>'FRIT FV 090.540 - FTA'!B20</f>
        <v>46246</v>
      </c>
      <c r="C20" s="69" t="s">
        <v>104</v>
      </c>
      <c r="D20" s="74"/>
      <c r="E20" s="74"/>
      <c r="F20" s="74">
        <v>20</v>
      </c>
      <c r="G20" s="74">
        <v>5</v>
      </c>
      <c r="H20" s="41">
        <f>SUM($F$8:F20)/A20</f>
        <v>1.6666666666666667</v>
      </c>
      <c r="I20" s="55">
        <f t="shared" si="0"/>
        <v>0</v>
      </c>
      <c r="J20" s="54">
        <f t="shared" si="1"/>
        <v>0</v>
      </c>
      <c r="K20" s="21">
        <f t="shared" si="2"/>
        <v>0</v>
      </c>
    </row>
    <row r="21" spans="1:11" s="23" customFormat="1" ht="22.5" customHeight="1">
      <c r="A21" s="18">
        <v>13</v>
      </c>
      <c r="B21" s="19">
        <f>'FRIT FV 090.540 - FTA'!B21</f>
        <v>46247</v>
      </c>
      <c r="C21" s="19" t="s">
        <v>19</v>
      </c>
      <c r="D21" s="74"/>
      <c r="E21" s="74"/>
      <c r="F21" s="74"/>
      <c r="G21" s="74"/>
      <c r="H21" s="41">
        <f>SUM($F$8:F21)/A21</f>
        <v>1.5384615384615385</v>
      </c>
      <c r="I21" s="55">
        <f t="shared" si="0"/>
        <v>0</v>
      </c>
      <c r="J21" s="54">
        <f t="shared" si="1"/>
        <v>0</v>
      </c>
      <c r="K21" s="21">
        <f t="shared" si="2"/>
        <v>0</v>
      </c>
    </row>
    <row r="22" spans="1:11" s="23" customFormat="1" ht="22.5" customHeight="1">
      <c r="A22" s="18">
        <v>14</v>
      </c>
      <c r="B22" s="19">
        <f>'FRIT FV 090.540 - FTA'!B22</f>
        <v>46248</v>
      </c>
      <c r="C22" s="19" t="s">
        <v>19</v>
      </c>
      <c r="D22" s="74"/>
      <c r="E22" s="74"/>
      <c r="F22" s="74"/>
      <c r="G22" s="74"/>
      <c r="H22" s="41">
        <f>SUM($F$8:F22)/A22</f>
        <v>1.4285714285714286</v>
      </c>
      <c r="I22" s="55">
        <f t="shared" si="0"/>
        <v>0</v>
      </c>
      <c r="J22" s="54">
        <f t="shared" si="1"/>
        <v>0</v>
      </c>
      <c r="K22" s="21">
        <f t="shared" si="2"/>
        <v>0</v>
      </c>
    </row>
    <row r="23" spans="1:11" s="23" customFormat="1" ht="22.5" customHeight="1">
      <c r="A23" s="18">
        <v>15</v>
      </c>
      <c r="B23" s="19">
        <f>'FRIT FV 090.540 - FTA'!B23</f>
        <v>46249</v>
      </c>
      <c r="C23" s="69" t="s">
        <v>19</v>
      </c>
      <c r="D23" s="74"/>
      <c r="E23" s="74"/>
      <c r="F23" s="74"/>
      <c r="G23" s="74"/>
      <c r="H23" s="41">
        <f>SUM($F$8:F23)/A23</f>
        <v>1.3333333333333333</v>
      </c>
      <c r="I23" s="55">
        <f t="shared" si="0"/>
        <v>0</v>
      </c>
      <c r="J23" s="54">
        <f t="shared" si="1"/>
        <v>0</v>
      </c>
      <c r="K23" s="21">
        <f t="shared" si="2"/>
        <v>0</v>
      </c>
    </row>
    <row r="24" spans="1:11" s="23" customFormat="1" ht="22.5" customHeight="1">
      <c r="A24" s="18">
        <v>16</v>
      </c>
      <c r="B24" s="19">
        <f>'FRIT FV 090.540 - FTA'!B24</f>
        <v>46250</v>
      </c>
      <c r="C24" s="69" t="s">
        <v>19</v>
      </c>
      <c r="D24" s="74"/>
      <c r="E24" s="74"/>
      <c r="F24" s="74"/>
      <c r="G24" s="74"/>
      <c r="H24" s="41">
        <f>SUM($F$8:F24)/A24</f>
        <v>1.25</v>
      </c>
      <c r="I24" s="55">
        <f t="shared" si="0"/>
        <v>0</v>
      </c>
      <c r="J24" s="54">
        <f t="shared" si="1"/>
        <v>0</v>
      </c>
      <c r="K24" s="21">
        <f t="shared" si="2"/>
        <v>0</v>
      </c>
    </row>
    <row r="25" spans="1:11" s="23" customFormat="1" ht="22.5" customHeight="1">
      <c r="A25" s="18">
        <v>17</v>
      </c>
      <c r="B25" s="19">
        <f>'FRIT FV 090.540 - FTA'!B25</f>
        <v>46251</v>
      </c>
      <c r="C25" s="69" t="s">
        <v>19</v>
      </c>
      <c r="D25" s="74"/>
      <c r="E25" s="74"/>
      <c r="F25" s="74"/>
      <c r="G25" s="74"/>
      <c r="H25" s="41">
        <f>SUM($F$8:F25)/A25</f>
        <v>1.1764705882352942</v>
      </c>
      <c r="I25" s="55">
        <f t="shared" si="0"/>
        <v>0</v>
      </c>
      <c r="J25" s="54">
        <f t="shared" si="1"/>
        <v>0</v>
      </c>
      <c r="K25" s="21">
        <f t="shared" si="2"/>
        <v>0</v>
      </c>
    </row>
    <row r="26" spans="1:11" s="23" customFormat="1" ht="22.5" customHeight="1">
      <c r="A26" s="18">
        <v>18</v>
      </c>
      <c r="B26" s="19">
        <f>'FRIT FV 090.540 - FTA'!B26</f>
        <v>46252</v>
      </c>
      <c r="C26" s="19" t="s">
        <v>19</v>
      </c>
      <c r="D26" s="74"/>
      <c r="E26" s="74"/>
      <c r="F26" s="74"/>
      <c r="G26" s="74"/>
      <c r="H26" s="41">
        <f>SUM($F$8:F26)/A26</f>
        <v>1.1111111111111112</v>
      </c>
      <c r="I26" s="55">
        <f t="shared" si="0"/>
        <v>0</v>
      </c>
      <c r="J26" s="54">
        <f t="shared" si="1"/>
        <v>0</v>
      </c>
      <c r="K26" s="21">
        <f t="shared" si="2"/>
        <v>0</v>
      </c>
    </row>
    <row r="27" spans="1:11" s="23" customFormat="1" ht="22.5" customHeight="1">
      <c r="A27" s="18">
        <v>19</v>
      </c>
      <c r="B27" s="19">
        <f>'FRIT FV 090.540 - FTA'!B27</f>
        <v>46253</v>
      </c>
      <c r="C27" s="19" t="s">
        <v>19</v>
      </c>
      <c r="D27" s="74"/>
      <c r="E27" s="74"/>
      <c r="F27" s="74"/>
      <c r="G27" s="74"/>
      <c r="H27" s="41">
        <f>SUM($F$8:F27)/A27</f>
        <v>1.0526315789473684</v>
      </c>
      <c r="I27" s="55">
        <f t="shared" si="0"/>
        <v>0</v>
      </c>
      <c r="J27" s="54">
        <f t="shared" si="1"/>
        <v>0</v>
      </c>
      <c r="K27" s="21">
        <f t="shared" si="2"/>
        <v>0</v>
      </c>
    </row>
    <row r="28" spans="1:11" s="23" customFormat="1" ht="22.5" customHeight="1">
      <c r="A28" s="18">
        <v>20</v>
      </c>
      <c r="B28" s="19">
        <f>'FRIT FV 090.540 - FTA'!B28</f>
        <v>46254</v>
      </c>
      <c r="C28" s="19" t="s">
        <v>19</v>
      </c>
      <c r="D28" s="74"/>
      <c r="E28" s="74"/>
      <c r="F28" s="74"/>
      <c r="G28" s="74"/>
      <c r="H28" s="41">
        <f>SUM($F$8:F28)/A28</f>
        <v>1</v>
      </c>
      <c r="I28" s="55">
        <f t="shared" si="0"/>
        <v>0</v>
      </c>
      <c r="J28" s="54">
        <f t="shared" si="1"/>
        <v>0</v>
      </c>
      <c r="K28" s="21">
        <f t="shared" si="2"/>
        <v>0</v>
      </c>
    </row>
    <row r="29" spans="1:11" s="23" customFormat="1" ht="22.5" customHeight="1">
      <c r="A29" s="18">
        <v>21</v>
      </c>
      <c r="B29" s="19">
        <f>'FRIT FV 090.540 - FTA'!B29</f>
        <v>46255</v>
      </c>
      <c r="C29" s="19" t="s">
        <v>19</v>
      </c>
      <c r="D29" s="74"/>
      <c r="E29" s="74"/>
      <c r="F29" s="74"/>
      <c r="G29" s="74"/>
      <c r="H29" s="41">
        <f>SUM($F$8:F29)/A29</f>
        <v>0.95238095238095233</v>
      </c>
      <c r="I29" s="55">
        <f t="shared" si="0"/>
        <v>0</v>
      </c>
      <c r="J29" s="54">
        <f t="shared" si="1"/>
        <v>0</v>
      </c>
      <c r="K29" s="21">
        <f t="shared" si="2"/>
        <v>0</v>
      </c>
    </row>
    <row r="30" spans="1:11" s="23" customFormat="1" ht="22.5" customHeight="1">
      <c r="A30" s="18">
        <v>22</v>
      </c>
      <c r="B30" s="19">
        <f>'FRIT FV 090.540 - FTA'!B30</f>
        <v>46256</v>
      </c>
      <c r="C30" s="19" t="s">
        <v>19</v>
      </c>
      <c r="D30" s="74"/>
      <c r="E30" s="74"/>
      <c r="F30" s="74"/>
      <c r="G30" s="74"/>
      <c r="H30" s="41">
        <f>SUM($F$8:F30)/A30</f>
        <v>0.90909090909090906</v>
      </c>
      <c r="I30" s="55">
        <f t="shared" si="0"/>
        <v>0</v>
      </c>
      <c r="J30" s="54">
        <f t="shared" si="1"/>
        <v>0</v>
      </c>
      <c r="K30" s="21">
        <f t="shared" si="2"/>
        <v>0</v>
      </c>
    </row>
    <row r="31" spans="1:11" s="23" customFormat="1" ht="22.5" customHeight="1">
      <c r="A31" s="18">
        <v>23</v>
      </c>
      <c r="B31" s="19">
        <f>'FRIT FV 090.540 - FTA'!B31</f>
        <v>46257</v>
      </c>
      <c r="C31" s="19" t="s">
        <v>19</v>
      </c>
      <c r="D31" s="74"/>
      <c r="E31" s="74"/>
      <c r="F31" s="74"/>
      <c r="G31" s="74"/>
      <c r="H31" s="41">
        <f>SUM($F$8:F31)/A31</f>
        <v>0.86956521739130432</v>
      </c>
      <c r="I31" s="55">
        <f t="shared" si="0"/>
        <v>0</v>
      </c>
      <c r="J31" s="54">
        <f t="shared" si="1"/>
        <v>0</v>
      </c>
      <c r="K31" s="21">
        <f t="shared" si="2"/>
        <v>0</v>
      </c>
    </row>
    <row r="32" spans="1:11" s="23" customFormat="1" ht="22.5" customHeight="1">
      <c r="A32" s="18">
        <v>24</v>
      </c>
      <c r="B32" s="19">
        <f>'FRIT FV 090.540 - FTA'!B32</f>
        <v>46258</v>
      </c>
      <c r="C32" s="69" t="s">
        <v>19</v>
      </c>
      <c r="D32" s="74"/>
      <c r="E32" s="74"/>
      <c r="F32" s="74"/>
      <c r="G32" s="74"/>
      <c r="H32" s="41">
        <f>SUM($F$8:F32)/A32</f>
        <v>0.83333333333333337</v>
      </c>
      <c r="I32" s="55">
        <f t="shared" si="0"/>
        <v>0</v>
      </c>
      <c r="J32" s="54">
        <f t="shared" si="1"/>
        <v>0</v>
      </c>
      <c r="K32" s="21">
        <f t="shared" si="2"/>
        <v>0</v>
      </c>
    </row>
    <row r="33" spans="1:11" s="23" customFormat="1" ht="22.5" customHeight="1">
      <c r="A33" s="18">
        <v>25</v>
      </c>
      <c r="B33" s="19">
        <f>'FRIT FV 090.540 - FTA'!B33</f>
        <v>46259</v>
      </c>
      <c r="C33" s="19" t="s">
        <v>19</v>
      </c>
      <c r="D33" s="74"/>
      <c r="E33" s="74"/>
      <c r="F33" s="74"/>
      <c r="G33" s="74"/>
      <c r="H33" s="41">
        <f>SUM($F$8:F33)/A33</f>
        <v>0.8</v>
      </c>
      <c r="I33" s="55">
        <f t="shared" si="0"/>
        <v>0</v>
      </c>
      <c r="J33" s="54">
        <f t="shared" si="1"/>
        <v>0</v>
      </c>
      <c r="K33" s="21">
        <f t="shared" si="2"/>
        <v>0</v>
      </c>
    </row>
    <row r="34" spans="1:11" s="23" customFormat="1" ht="22.5" customHeight="1">
      <c r="A34" s="18">
        <v>26</v>
      </c>
      <c r="B34" s="19">
        <f>'FRIT FV 090.540 - FTA'!B34</f>
        <v>46260</v>
      </c>
      <c r="C34" s="19" t="s">
        <v>19</v>
      </c>
      <c r="D34" s="74"/>
      <c r="E34" s="74"/>
      <c r="F34" s="74"/>
      <c r="G34" s="74"/>
      <c r="H34" s="41">
        <f>SUM($F$8:F34)/A34</f>
        <v>0.76923076923076927</v>
      </c>
      <c r="I34" s="55">
        <f t="shared" si="0"/>
        <v>0</v>
      </c>
      <c r="J34" s="54">
        <f t="shared" si="1"/>
        <v>0</v>
      </c>
      <c r="K34" s="21">
        <f t="shared" si="2"/>
        <v>0</v>
      </c>
    </row>
    <row r="35" spans="1:11" s="23" customFormat="1" ht="22.5" customHeight="1">
      <c r="A35" s="18">
        <v>27</v>
      </c>
      <c r="B35" s="19">
        <f>'FRIT FV 090.540 - FTA'!B35</f>
        <v>46261</v>
      </c>
      <c r="C35" s="69" t="s">
        <v>19</v>
      </c>
      <c r="D35" s="74"/>
      <c r="E35" s="74"/>
      <c r="F35" s="74"/>
      <c r="G35" s="74"/>
      <c r="H35" s="41">
        <f>SUM($F$8:F35)/A35</f>
        <v>0.7407407407407407</v>
      </c>
      <c r="I35" s="55">
        <f t="shared" si="0"/>
        <v>0</v>
      </c>
      <c r="J35" s="54">
        <f t="shared" si="1"/>
        <v>0</v>
      </c>
      <c r="K35" s="21">
        <f t="shared" si="2"/>
        <v>0</v>
      </c>
    </row>
    <row r="36" spans="1:11" s="23" customFormat="1" ht="22.5" customHeight="1">
      <c r="A36" s="18">
        <v>28</v>
      </c>
      <c r="B36" s="19">
        <f>'FRIT FV 090.540 - FTA'!B36</f>
        <v>46262</v>
      </c>
      <c r="C36" s="69" t="s">
        <v>19</v>
      </c>
      <c r="D36" s="74"/>
      <c r="E36" s="74"/>
      <c r="F36" s="74"/>
      <c r="G36" s="74"/>
      <c r="H36" s="41">
        <f>SUM($F$8:F36)/A36</f>
        <v>0.7142857142857143</v>
      </c>
      <c r="I36" s="55">
        <f t="shared" si="0"/>
        <v>0</v>
      </c>
      <c r="J36" s="54">
        <f t="shared" si="1"/>
        <v>0</v>
      </c>
      <c r="K36" s="21">
        <f t="shared" si="2"/>
        <v>0</v>
      </c>
    </row>
    <row r="37" spans="1:11" s="23" customFormat="1" ht="23.25" customHeight="1">
      <c r="A37" s="18">
        <v>29</v>
      </c>
      <c r="B37" s="19">
        <f>'FRIT FV 090.540 - FTA'!B37</f>
        <v>46263</v>
      </c>
      <c r="C37" s="69" t="s">
        <v>19</v>
      </c>
      <c r="D37" s="74"/>
      <c r="E37" s="74"/>
      <c r="F37" s="74"/>
      <c r="G37" s="74"/>
      <c r="H37" s="41">
        <f>SUM($F$8:F37)/A37</f>
        <v>0.68965517241379315</v>
      </c>
      <c r="I37" s="55">
        <f t="shared" si="0"/>
        <v>0</v>
      </c>
      <c r="J37" s="54">
        <f t="shared" si="1"/>
        <v>0</v>
      </c>
      <c r="K37" s="21">
        <f t="shared" si="2"/>
        <v>0</v>
      </c>
    </row>
    <row r="38" spans="1:11" s="23" customFormat="1" ht="23.25" customHeight="1">
      <c r="A38" s="18">
        <v>30</v>
      </c>
      <c r="B38" s="19">
        <f>'FRIT FV 090.540 - FTA'!B38</f>
        <v>46264</v>
      </c>
      <c r="C38" s="69" t="s">
        <v>19</v>
      </c>
      <c r="D38" s="74"/>
      <c r="E38" s="74"/>
      <c r="F38" s="74"/>
      <c r="G38" s="74"/>
      <c r="H38" s="41">
        <f>SUM($F$8:F38)/A38</f>
        <v>0.66666666666666663</v>
      </c>
      <c r="I38" s="55">
        <f t="shared" si="0"/>
        <v>0</v>
      </c>
      <c r="J38" s="54">
        <f t="shared" si="1"/>
        <v>0</v>
      </c>
      <c r="K38" s="21">
        <f t="shared" si="2"/>
        <v>0</v>
      </c>
    </row>
    <row r="39" spans="1:11" s="23" customFormat="1" ht="23.25" customHeight="1">
      <c r="A39" s="18">
        <v>31</v>
      </c>
      <c r="B39" s="19">
        <f>'FRIT FV 090.540 - FTA'!B39</f>
        <v>46265</v>
      </c>
      <c r="C39" s="19" t="s">
        <v>19</v>
      </c>
      <c r="D39" s="74"/>
      <c r="E39" s="74"/>
      <c r="F39" s="74"/>
      <c r="G39" s="74"/>
      <c r="H39" s="41">
        <f>SUM($F$8:F39)/A39</f>
        <v>0.64516129032258063</v>
      </c>
      <c r="I39" s="55">
        <f t="shared" si="0"/>
        <v>0</v>
      </c>
      <c r="J39" s="54">
        <f t="shared" si="1"/>
        <v>0</v>
      </c>
      <c r="K39" s="21">
        <f t="shared" si="2"/>
        <v>0</v>
      </c>
    </row>
    <row r="40" spans="1:11" s="32" customFormat="1" ht="26.25" customHeight="1">
      <c r="A40" s="1517" t="s">
        <v>29</v>
      </c>
      <c r="B40" s="1517"/>
      <c r="C40" s="1517"/>
      <c r="D40" s="57">
        <f>SUM(D9:D39)</f>
        <v>0</v>
      </c>
      <c r="E40" s="57">
        <f>SUM(E9:E39)</f>
        <v>0</v>
      </c>
      <c r="F40" s="46">
        <f>SUM(F9:F39)</f>
        <v>20</v>
      </c>
      <c r="G40" s="46">
        <f>SUM(G9:G39)</f>
        <v>5</v>
      </c>
      <c r="H40" s="46"/>
      <c r="I40" s="56">
        <f>I39</f>
        <v>0</v>
      </c>
      <c r="J40" s="56">
        <f>J39</f>
        <v>0</v>
      </c>
      <c r="K40" s="31"/>
    </row>
    <row r="41" spans="1:11" s="32" customFormat="1" ht="26.25" customHeight="1">
      <c r="A41" s="1517" t="s">
        <v>15</v>
      </c>
      <c r="B41" s="1517"/>
      <c r="C41" s="1517"/>
      <c r="D41" s="57">
        <f>D8+D40</f>
        <v>20</v>
      </c>
      <c r="E41" s="57">
        <f>E8+E40</f>
        <v>5</v>
      </c>
      <c r="F41" s="46">
        <f>F8+F40</f>
        <v>20</v>
      </c>
      <c r="G41" s="46">
        <f>G8+G40</f>
        <v>5</v>
      </c>
      <c r="H41" s="46"/>
      <c r="I41" s="46">
        <f>D41-F41</f>
        <v>0</v>
      </c>
      <c r="J41" s="46">
        <f>E41-G41</f>
        <v>0</v>
      </c>
      <c r="K41" s="31"/>
    </row>
    <row r="42" spans="1:11" ht="23.25" customHeight="1">
      <c r="A42" s="5"/>
      <c r="B42" s="5"/>
      <c r="C42" s="5"/>
      <c r="D42" s="7"/>
      <c r="E42" s="7"/>
      <c r="F42" s="24"/>
      <c r="G42" s="24"/>
      <c r="H42" s="7"/>
      <c r="I42" s="7"/>
      <c r="J42" s="7"/>
    </row>
    <row r="43" spans="1:11">
      <c r="F43" s="24"/>
      <c r="G43" s="24"/>
    </row>
  </sheetData>
  <mergeCells count="12">
    <mergeCell ref="A41:C41"/>
    <mergeCell ref="A2:K2"/>
    <mergeCell ref="A8:C8"/>
    <mergeCell ref="A40:C40"/>
    <mergeCell ref="D6:E6"/>
    <mergeCell ref="F6:G6"/>
    <mergeCell ref="I6:J6"/>
    <mergeCell ref="A6:A7"/>
    <mergeCell ref="B6:B7"/>
    <mergeCell ref="C6:C7"/>
    <mergeCell ref="K6:K7"/>
    <mergeCell ref="H6:H7"/>
  </mergeCells>
  <hyperlinks>
    <hyperlink ref="K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42"/>
  <sheetViews>
    <sheetView zoomScale="70" zoomScaleNormal="70" workbookViewId="0">
      <pane ySplit="8" topLeftCell="A9" activePane="bottomLeft" state="frozen"/>
      <selection pane="bottomLeft" activeCell="A4" sqref="A4:I4"/>
    </sheetView>
  </sheetViews>
  <sheetFormatPr defaultColWidth="9.28515625" defaultRowHeight="16.5"/>
  <cols>
    <col min="1" max="1" width="5.42578125" style="42" customWidth="1"/>
    <col min="2" max="2" width="12.28515625" style="42" customWidth="1"/>
    <col min="3" max="3" width="18.42578125" style="42" customWidth="1"/>
    <col min="4" max="11" width="11.85546875" style="6" customWidth="1"/>
    <col min="12" max="13" width="13.28515625" style="42" customWidth="1"/>
    <col min="14" max="14" width="8.5703125" style="42" customWidth="1"/>
    <col min="15" max="16" width="11.42578125" style="42" customWidth="1"/>
    <col min="17" max="16384" width="9.28515625" style="42"/>
  </cols>
  <sheetData>
    <row r="1" spans="1:16" ht="114.75" customHeight="1"/>
    <row r="2" spans="1:16" ht="22.5" customHeight="1">
      <c r="A2" s="1500" t="s">
        <v>0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  <c r="L2" s="1500"/>
      <c r="M2" s="1500"/>
    </row>
    <row r="3" spans="1:16" ht="21.75" customHeight="1">
      <c r="B3" s="64"/>
      <c r="C3" s="64"/>
      <c r="E3" s="42"/>
      <c r="F3" s="42"/>
      <c r="G3" s="66" t="s">
        <v>33</v>
      </c>
      <c r="H3" s="67" t="s">
        <v>34</v>
      </c>
      <c r="I3" s="64"/>
      <c r="J3" s="42"/>
      <c r="K3" s="42"/>
    </row>
    <row r="4" spans="1:16" ht="21.75" customHeight="1">
      <c r="B4" s="42" t="e">
        <f>'FRIT FV 090.540 - FTA'!#REF!</f>
        <v>#REF!</v>
      </c>
      <c r="C4" s="42" t="e">
        <f>'FRIT FV 090.540 - FTA'!#REF!</f>
        <v>#REF!</v>
      </c>
      <c r="D4" s="42" t="e">
        <f>'FRIT FV 090.540 - FTA'!#REF!</f>
        <v>#REF!</v>
      </c>
      <c r="E4" s="42" t="e">
        <f>'FRIT FV 090.540 - FTA'!#REF!</f>
        <v>#REF!</v>
      </c>
      <c r="F4" s="42" t="e">
        <f>'FRIT FV 090.540 - FTA'!#REF!</f>
        <v>#REF!</v>
      </c>
      <c r="G4" s="42" t="e">
        <f>'FRIT FV 090.540 - FTA'!#REF!</f>
        <v>#REF!</v>
      </c>
      <c r="H4" s="42" t="e">
        <f>'FRIT FV 090.540 - FTA'!#REF!</f>
        <v>#REF!</v>
      </c>
      <c r="I4" s="42" t="e">
        <f>'FRIT FV 090.540 - FTA'!#REF!</f>
        <v>#REF!</v>
      </c>
      <c r="J4" s="42"/>
      <c r="K4" s="42"/>
      <c r="L4" s="75"/>
      <c r="M4" s="75"/>
    </row>
    <row r="5" spans="1:16" ht="22.5" customHeight="1">
      <c r="F5" s="7"/>
      <c r="G5" s="7"/>
      <c r="H5" s="7"/>
      <c r="I5" s="7"/>
      <c r="L5" s="80" t="s">
        <v>26</v>
      </c>
      <c r="M5" s="11" t="s">
        <v>18</v>
      </c>
    </row>
    <row r="6" spans="1:16" s="13" customFormat="1" ht="41.25" customHeight="1">
      <c r="A6" s="1535" t="s">
        <v>2</v>
      </c>
      <c r="B6" s="1536" t="s">
        <v>1</v>
      </c>
      <c r="C6" s="1536" t="s">
        <v>24</v>
      </c>
      <c r="D6" s="1537" t="s">
        <v>27</v>
      </c>
      <c r="E6" s="1537"/>
      <c r="F6" s="1537" t="s">
        <v>31</v>
      </c>
      <c r="G6" s="1537"/>
      <c r="H6" s="1537" t="s">
        <v>28</v>
      </c>
      <c r="I6" s="1537"/>
      <c r="J6" s="1537" t="s">
        <v>14</v>
      </c>
      <c r="K6" s="1537"/>
      <c r="L6" s="1513" t="s">
        <v>110</v>
      </c>
      <c r="M6" s="1513"/>
      <c r="N6" s="1540" t="s">
        <v>99</v>
      </c>
      <c r="O6" s="1538" t="s">
        <v>109</v>
      </c>
      <c r="P6" s="1539"/>
    </row>
    <row r="7" spans="1:16" s="13" customFormat="1" ht="25.5" customHeight="1">
      <c r="A7" s="1535"/>
      <c r="B7" s="1536"/>
      <c r="C7" s="1536"/>
      <c r="D7" s="115" t="s">
        <v>6</v>
      </c>
      <c r="E7" s="116" t="s">
        <v>25</v>
      </c>
      <c r="F7" s="115" t="s">
        <v>6</v>
      </c>
      <c r="G7" s="116" t="s">
        <v>12</v>
      </c>
      <c r="H7" s="115" t="s">
        <v>6</v>
      </c>
      <c r="I7" s="116" t="s">
        <v>12</v>
      </c>
      <c r="J7" s="115" t="s">
        <v>6</v>
      </c>
      <c r="K7" s="116" t="s">
        <v>12</v>
      </c>
      <c r="L7" s="38" t="s">
        <v>6</v>
      </c>
      <c r="M7" s="34" t="s">
        <v>12</v>
      </c>
      <c r="N7" s="1540"/>
      <c r="O7" s="38" t="s">
        <v>6</v>
      </c>
      <c r="P7" s="34" t="s">
        <v>12</v>
      </c>
    </row>
    <row r="8" spans="1:16" s="4" customFormat="1" ht="23.25" customHeight="1">
      <c r="A8" s="1542" t="s">
        <v>3</v>
      </c>
      <c r="B8" s="1542"/>
      <c r="C8" s="1542"/>
      <c r="D8" s="43">
        <f>J8</f>
        <v>1748</v>
      </c>
      <c r="E8" s="119">
        <f>K8</f>
        <v>1748</v>
      </c>
      <c r="F8" s="14"/>
      <c r="G8" s="119"/>
      <c r="H8" s="14"/>
      <c r="I8" s="119"/>
      <c r="J8" s="15">
        <v>1748</v>
      </c>
      <c r="K8" s="16">
        <v>1748</v>
      </c>
      <c r="L8" s="108"/>
      <c r="M8" s="17"/>
      <c r="N8" s="110">
        <v>0</v>
      </c>
      <c r="O8" s="121"/>
      <c r="P8" s="121"/>
    </row>
    <row r="9" spans="1:16" s="4" customFormat="1" ht="23.25" customHeight="1">
      <c r="A9" s="118">
        <v>1</v>
      </c>
      <c r="B9" s="117">
        <f>'FRIT FV 090.540 - FTA'!B9</f>
        <v>46235</v>
      </c>
      <c r="C9" s="117" t="str">
        <f>'FRIT FV 090.540 - FTA'!C9</f>
        <v>Không nhập - xuất</v>
      </c>
      <c r="D9" s="112"/>
      <c r="E9" s="119"/>
      <c r="F9" s="129">
        <f>G9</f>
        <v>150</v>
      </c>
      <c r="G9" s="130">
        <v>150</v>
      </c>
      <c r="H9" s="113">
        <f>SUM($F$8:F9)/A9</f>
        <v>150</v>
      </c>
      <c r="I9" s="114">
        <f>SUM($G$8:G9)/A9</f>
        <v>150</v>
      </c>
      <c r="J9" s="20">
        <f t="shared" ref="J9:J39" si="0">J8+D9-F9</f>
        <v>1598</v>
      </c>
      <c r="K9" s="22"/>
      <c r="L9" s="43">
        <f>J9/H9</f>
        <v>10.653333333333334</v>
      </c>
      <c r="M9" s="43">
        <f>K9/I9</f>
        <v>0</v>
      </c>
      <c r="N9" s="110"/>
      <c r="O9" s="111">
        <f>J9/F9</f>
        <v>10.653333333333334</v>
      </c>
      <c r="P9" s="111">
        <f>K9/G9</f>
        <v>0</v>
      </c>
    </row>
    <row r="10" spans="1:16" s="4" customFormat="1" ht="23.25" customHeight="1">
      <c r="A10" s="118">
        <v>2</v>
      </c>
      <c r="B10" s="117">
        <f>'FRIT FV 090.540 - FTA'!B10</f>
        <v>46236</v>
      </c>
      <c r="C10" s="117" t="str">
        <f>'FRIT FV 090.540 - FTA'!C10</f>
        <v>Không nhập - xuất</v>
      </c>
      <c r="D10" s="112"/>
      <c r="E10" s="119"/>
      <c r="F10" s="39">
        <f t="shared" ref="F10:F39" si="1">G10</f>
        <v>240</v>
      </c>
      <c r="G10" s="114">
        <v>240</v>
      </c>
      <c r="H10" s="113">
        <f>SUM($F$8:F10)/A10</f>
        <v>195</v>
      </c>
      <c r="I10" s="114">
        <f>SUM($G$8:G10)/A10</f>
        <v>195</v>
      </c>
      <c r="J10" s="20">
        <f t="shared" si="0"/>
        <v>1358</v>
      </c>
      <c r="K10" s="22"/>
      <c r="L10" s="43">
        <f t="shared" ref="L10:L39" si="2">J10/H10</f>
        <v>6.9641025641025642</v>
      </c>
      <c r="M10" s="43">
        <f t="shared" ref="M10:M39" si="3">K10/I10</f>
        <v>0</v>
      </c>
      <c r="N10" s="110"/>
      <c r="O10" s="111">
        <f t="shared" ref="O10:P39" si="4">J10/F10</f>
        <v>5.6583333333333332</v>
      </c>
      <c r="P10" s="111">
        <f t="shared" si="4"/>
        <v>0</v>
      </c>
    </row>
    <row r="11" spans="1:16" s="4" customFormat="1" ht="23.25" customHeight="1">
      <c r="A11" s="118">
        <v>3</v>
      </c>
      <c r="B11" s="117">
        <f>'FRIT FV 090.540 - FTA'!B11</f>
        <v>46237</v>
      </c>
      <c r="C11" s="117" t="str">
        <f>'FRIT FV 090.540 - FTA'!C11</f>
        <v>Không nhập - xuất</v>
      </c>
      <c r="D11" s="112"/>
      <c r="E11" s="119"/>
      <c r="F11" s="39">
        <f t="shared" si="1"/>
        <v>0</v>
      </c>
      <c r="G11" s="114"/>
      <c r="H11" s="113">
        <f>SUM($F$8:F11)/A11</f>
        <v>130</v>
      </c>
      <c r="I11" s="114">
        <f>SUM($G$8:G11)/A11</f>
        <v>130</v>
      </c>
      <c r="J11" s="20">
        <f t="shared" si="0"/>
        <v>1358</v>
      </c>
      <c r="K11" s="22"/>
      <c r="L11" s="43">
        <f t="shared" si="2"/>
        <v>10.446153846153846</v>
      </c>
      <c r="M11" s="43">
        <f t="shared" si="3"/>
        <v>0</v>
      </c>
      <c r="N11" s="110"/>
      <c r="O11" s="111" t="e">
        <f t="shared" si="4"/>
        <v>#DIV/0!</v>
      </c>
      <c r="P11" s="111" t="e">
        <f t="shared" si="4"/>
        <v>#DIV/0!</v>
      </c>
    </row>
    <row r="12" spans="1:16" ht="23.25" customHeight="1">
      <c r="A12" s="118">
        <v>4</v>
      </c>
      <c r="B12" s="117">
        <f>'FRIT FV 090.540 - FTA'!B12</f>
        <v>46238</v>
      </c>
      <c r="C12" s="117" t="str">
        <f>'FRIT FV 090.540 - FTA'!C12</f>
        <v>Không nhập - xuất</v>
      </c>
      <c r="D12" s="112"/>
      <c r="E12" s="119"/>
      <c r="F12" s="39">
        <f t="shared" si="1"/>
        <v>150</v>
      </c>
      <c r="G12" s="114">
        <v>150</v>
      </c>
      <c r="H12" s="113">
        <f>SUM($F$8:F12)/A12</f>
        <v>135</v>
      </c>
      <c r="I12" s="114">
        <f>SUM($G$8:G12)/A12</f>
        <v>135</v>
      </c>
      <c r="J12" s="20">
        <f t="shared" si="0"/>
        <v>1208</v>
      </c>
      <c r="K12" s="22"/>
      <c r="L12" s="43">
        <f t="shared" si="2"/>
        <v>8.9481481481481477</v>
      </c>
      <c r="M12" s="43">
        <f t="shared" si="3"/>
        <v>0</v>
      </c>
      <c r="N12" s="110"/>
      <c r="O12" s="111">
        <f t="shared" si="4"/>
        <v>8.0533333333333328</v>
      </c>
      <c r="P12" s="111">
        <f t="shared" si="4"/>
        <v>0</v>
      </c>
    </row>
    <row r="13" spans="1:16" ht="23.25" customHeight="1">
      <c r="A13" s="118">
        <v>5</v>
      </c>
      <c r="B13" s="117">
        <f>'FRIT FV 090.540 - FTA'!B13</f>
        <v>46239</v>
      </c>
      <c r="C13" s="117" t="str">
        <f>'FRIT FV 090.540 - FTA'!C13</f>
        <v>Không nhập - xuất</v>
      </c>
      <c r="D13" s="112"/>
      <c r="E13" s="119"/>
      <c r="F13" s="39">
        <f t="shared" si="1"/>
        <v>150</v>
      </c>
      <c r="G13" s="114">
        <v>150</v>
      </c>
      <c r="H13" s="113">
        <f>SUM($F$8:F13)/A13</f>
        <v>138</v>
      </c>
      <c r="I13" s="114">
        <f>SUM($G$8:G13)/A13</f>
        <v>138</v>
      </c>
      <c r="J13" s="20">
        <f t="shared" si="0"/>
        <v>1058</v>
      </c>
      <c r="K13" s="22"/>
      <c r="L13" s="43">
        <f t="shared" si="2"/>
        <v>7.666666666666667</v>
      </c>
      <c r="M13" s="43">
        <f t="shared" si="3"/>
        <v>0</v>
      </c>
      <c r="N13" s="110"/>
      <c r="O13" s="111">
        <f t="shared" si="4"/>
        <v>7.0533333333333337</v>
      </c>
      <c r="P13" s="111">
        <f t="shared" si="4"/>
        <v>0</v>
      </c>
    </row>
    <row r="14" spans="1:16" ht="23.25" customHeight="1">
      <c r="A14" s="118">
        <v>6</v>
      </c>
      <c r="B14" s="117">
        <f>'FRIT FV 090.540 - FTA'!B14</f>
        <v>46240</v>
      </c>
      <c r="C14" s="117" t="str">
        <f>'FRIT FV 090.540 - FTA'!C14</f>
        <v>xuất</v>
      </c>
      <c r="D14" s="112"/>
      <c r="E14" s="119"/>
      <c r="F14" s="39">
        <f t="shared" si="1"/>
        <v>300</v>
      </c>
      <c r="G14" s="114">
        <v>300</v>
      </c>
      <c r="H14" s="113">
        <f>SUM($F$8:F14)/A14</f>
        <v>165</v>
      </c>
      <c r="I14" s="114">
        <f>SUM($G$8:G14)/A14</f>
        <v>165</v>
      </c>
      <c r="J14" s="20">
        <f t="shared" si="0"/>
        <v>758</v>
      </c>
      <c r="K14" s="22"/>
      <c r="L14" s="43">
        <f t="shared" si="2"/>
        <v>4.5939393939393938</v>
      </c>
      <c r="M14" s="43">
        <f t="shared" si="3"/>
        <v>0</v>
      </c>
      <c r="N14" s="110"/>
      <c r="O14" s="111">
        <f t="shared" si="4"/>
        <v>2.5266666666666668</v>
      </c>
      <c r="P14" s="111">
        <f t="shared" si="4"/>
        <v>0</v>
      </c>
    </row>
    <row r="15" spans="1:16" ht="23.25" customHeight="1">
      <c r="A15" s="118">
        <v>7</v>
      </c>
      <c r="B15" s="117">
        <f>'FRIT FV 090.540 - FTA'!B15</f>
        <v>46241</v>
      </c>
      <c r="C15" s="117" t="str">
        <f>'FRIT FV 090.540 - FTA'!C15</f>
        <v>Không nhập - xuất</v>
      </c>
      <c r="D15" s="112"/>
      <c r="E15" s="119"/>
      <c r="F15" s="39">
        <f t="shared" si="1"/>
        <v>150</v>
      </c>
      <c r="G15" s="114">
        <v>150</v>
      </c>
      <c r="H15" s="113">
        <f>SUM($F$8:F15)/A15</f>
        <v>162.85714285714286</v>
      </c>
      <c r="I15" s="114">
        <f>SUM($G$8:G15)/A15</f>
        <v>162.85714285714286</v>
      </c>
      <c r="J15" s="20">
        <f t="shared" si="0"/>
        <v>608</v>
      </c>
      <c r="K15" s="22"/>
      <c r="L15" s="43">
        <f t="shared" si="2"/>
        <v>3.7333333333333334</v>
      </c>
      <c r="M15" s="43">
        <f t="shared" si="3"/>
        <v>0</v>
      </c>
      <c r="N15" s="110"/>
      <c r="O15" s="111">
        <f t="shared" si="4"/>
        <v>4.0533333333333337</v>
      </c>
      <c r="P15" s="111">
        <f t="shared" si="4"/>
        <v>0</v>
      </c>
    </row>
    <row r="16" spans="1:16" ht="23.25" customHeight="1">
      <c r="A16" s="118">
        <v>8</v>
      </c>
      <c r="B16" s="117">
        <f>'FRIT FV 090.540 - FTA'!B16</f>
        <v>46242</v>
      </c>
      <c r="C16" s="117" t="str">
        <f>'FRIT FV 090.540 - FTA'!C16</f>
        <v>Không nhập - xuất</v>
      </c>
      <c r="D16" s="112"/>
      <c r="E16" s="119"/>
      <c r="F16" s="39">
        <f t="shared" si="1"/>
        <v>150</v>
      </c>
      <c r="G16" s="114">
        <v>150</v>
      </c>
      <c r="H16" s="113">
        <f>SUM($F$8:F16)/A16</f>
        <v>161.25</v>
      </c>
      <c r="I16" s="114">
        <f>SUM($G$8:G16)/A16</f>
        <v>161.25</v>
      </c>
      <c r="J16" s="20">
        <f t="shared" si="0"/>
        <v>458</v>
      </c>
      <c r="K16" s="22"/>
      <c r="L16" s="43">
        <f t="shared" si="2"/>
        <v>2.8403100775193799</v>
      </c>
      <c r="M16" s="43">
        <f t="shared" si="3"/>
        <v>0</v>
      </c>
      <c r="N16" s="110"/>
      <c r="O16" s="111">
        <f t="shared" si="4"/>
        <v>3.0533333333333332</v>
      </c>
      <c r="P16" s="111">
        <f t="shared" si="4"/>
        <v>0</v>
      </c>
    </row>
    <row r="17" spans="1:16" ht="23.25" customHeight="1">
      <c r="A17" s="118">
        <v>9</v>
      </c>
      <c r="B17" s="117">
        <f>'FRIT FV 090.540 - FTA'!B17</f>
        <v>46243</v>
      </c>
      <c r="C17" s="117" t="str">
        <f>'FRIT FV 090.540 - FTA'!C17</f>
        <v>Không nhập - xuất</v>
      </c>
      <c r="D17" s="112"/>
      <c r="E17" s="119"/>
      <c r="F17" s="39">
        <f t="shared" si="1"/>
        <v>90</v>
      </c>
      <c r="G17" s="114">
        <v>90</v>
      </c>
      <c r="H17" s="113">
        <f>SUM($F$8:F17)/A17</f>
        <v>153.33333333333334</v>
      </c>
      <c r="I17" s="114">
        <f>SUM($G$8:G17)/A17</f>
        <v>153.33333333333334</v>
      </c>
      <c r="J17" s="20">
        <f t="shared" si="0"/>
        <v>368</v>
      </c>
      <c r="K17" s="22"/>
      <c r="L17" s="43">
        <f t="shared" si="2"/>
        <v>2.4</v>
      </c>
      <c r="M17" s="43">
        <f t="shared" si="3"/>
        <v>0</v>
      </c>
      <c r="N17" s="110"/>
      <c r="O17" s="111">
        <f t="shared" si="4"/>
        <v>4.0888888888888886</v>
      </c>
      <c r="P17" s="111">
        <f t="shared" si="4"/>
        <v>0</v>
      </c>
    </row>
    <row r="18" spans="1:16" ht="23.25" customHeight="1">
      <c r="A18" s="118">
        <v>10</v>
      </c>
      <c r="B18" s="117">
        <f>'FRIT FV 090.540 - FTA'!B18</f>
        <v>46244</v>
      </c>
      <c r="C18" s="117" t="str">
        <f>'FRIT FV 090.540 - FTA'!C18</f>
        <v>xuất</v>
      </c>
      <c r="D18" s="112"/>
      <c r="E18" s="119"/>
      <c r="F18" s="39">
        <f t="shared" si="1"/>
        <v>0</v>
      </c>
      <c r="G18" s="114"/>
      <c r="H18" s="113">
        <f>SUM($F$8:F18)/A18</f>
        <v>138</v>
      </c>
      <c r="I18" s="114">
        <f>SUM($G$8:G18)/A18</f>
        <v>138</v>
      </c>
      <c r="J18" s="20">
        <f t="shared" si="0"/>
        <v>368</v>
      </c>
      <c r="K18" s="22"/>
      <c r="L18" s="43">
        <f t="shared" si="2"/>
        <v>2.6666666666666665</v>
      </c>
      <c r="M18" s="43">
        <f t="shared" si="3"/>
        <v>0</v>
      </c>
      <c r="N18" s="110"/>
      <c r="O18" s="111" t="e">
        <f t="shared" si="4"/>
        <v>#DIV/0!</v>
      </c>
      <c r="P18" s="111" t="e">
        <f t="shared" si="4"/>
        <v>#DIV/0!</v>
      </c>
    </row>
    <row r="19" spans="1:16" ht="23.25" customHeight="1">
      <c r="A19" s="118">
        <v>11</v>
      </c>
      <c r="B19" s="117">
        <f>'FRIT FV 090.540 - FTA'!B19</f>
        <v>46245</v>
      </c>
      <c r="C19" s="117" t="str">
        <f>'FRIT FV 090.540 - FTA'!C19</f>
        <v>xuất</v>
      </c>
      <c r="D19" s="112"/>
      <c r="E19" s="119"/>
      <c r="F19" s="39">
        <f t="shared" si="1"/>
        <v>150</v>
      </c>
      <c r="G19" s="114">
        <v>150</v>
      </c>
      <c r="H19" s="113">
        <f>SUM($F$8:F19)/A19</f>
        <v>139.09090909090909</v>
      </c>
      <c r="I19" s="114">
        <f>SUM($G$8:G19)/A19</f>
        <v>139.09090909090909</v>
      </c>
      <c r="J19" s="20">
        <f t="shared" si="0"/>
        <v>218</v>
      </c>
      <c r="K19" s="22"/>
      <c r="L19" s="43">
        <f t="shared" si="2"/>
        <v>1.5673202614379085</v>
      </c>
      <c r="M19" s="43">
        <f t="shared" si="3"/>
        <v>0</v>
      </c>
      <c r="N19" s="110"/>
      <c r="O19" s="111">
        <f t="shared" si="4"/>
        <v>1.4533333333333334</v>
      </c>
      <c r="P19" s="111">
        <f t="shared" si="4"/>
        <v>0</v>
      </c>
    </row>
    <row r="20" spans="1:16" ht="23.25" customHeight="1">
      <c r="A20" s="118">
        <v>12</v>
      </c>
      <c r="B20" s="117">
        <f>'FRIT FV 090.540 - FTA'!B20</f>
        <v>46246</v>
      </c>
      <c r="C20" s="117" t="str">
        <f>'FRIT FV 090.540 - FTA'!C20</f>
        <v>xuất</v>
      </c>
      <c r="D20" s="112"/>
      <c r="E20" s="119"/>
      <c r="F20" s="39">
        <f t="shared" si="1"/>
        <v>150</v>
      </c>
      <c r="G20" s="114">
        <v>150</v>
      </c>
      <c r="H20" s="113">
        <f>SUM($F$8:F20)/A20</f>
        <v>140</v>
      </c>
      <c r="I20" s="114">
        <f>SUM($G$8:G20)/A20</f>
        <v>140</v>
      </c>
      <c r="J20" s="20">
        <f t="shared" si="0"/>
        <v>68</v>
      </c>
      <c r="K20" s="22"/>
      <c r="L20" s="43">
        <f t="shared" si="2"/>
        <v>0.48571428571428571</v>
      </c>
      <c r="M20" s="43">
        <f t="shared" si="3"/>
        <v>0</v>
      </c>
      <c r="N20" s="110">
        <v>0</v>
      </c>
      <c r="O20" s="111">
        <f t="shared" si="4"/>
        <v>0.45333333333333331</v>
      </c>
      <c r="P20" s="111">
        <f t="shared" si="4"/>
        <v>0</v>
      </c>
    </row>
    <row r="21" spans="1:16" ht="23.25" customHeight="1">
      <c r="A21" s="118">
        <v>13</v>
      </c>
      <c r="B21" s="117">
        <f>'FRIT FV 090.540 - FTA'!B21</f>
        <v>46247</v>
      </c>
      <c r="C21" s="117" t="str">
        <f>'FRIT FV 090.540 - FTA'!C21</f>
        <v>xuất</v>
      </c>
      <c r="D21" s="112"/>
      <c r="E21" s="119"/>
      <c r="F21" s="39">
        <f t="shared" si="1"/>
        <v>90</v>
      </c>
      <c r="G21" s="114">
        <v>90</v>
      </c>
      <c r="H21" s="113">
        <f>SUM($F$8:F21)/A21</f>
        <v>136.15384615384616</v>
      </c>
      <c r="I21" s="114">
        <f>SUM($G$8:G21)/A21</f>
        <v>136.15384615384616</v>
      </c>
      <c r="J21" s="20">
        <f t="shared" si="0"/>
        <v>-22</v>
      </c>
      <c r="K21" s="22"/>
      <c r="L21" s="43">
        <f t="shared" si="2"/>
        <v>-0.16158192090395479</v>
      </c>
      <c r="M21" s="43">
        <f t="shared" si="3"/>
        <v>0</v>
      </c>
      <c r="N21" s="110"/>
      <c r="O21" s="111">
        <f t="shared" si="4"/>
        <v>-0.24444444444444444</v>
      </c>
      <c r="P21" s="111">
        <f t="shared" si="4"/>
        <v>0</v>
      </c>
    </row>
    <row r="22" spans="1:16" ht="23.25" customHeight="1">
      <c r="A22" s="118">
        <v>14</v>
      </c>
      <c r="B22" s="117">
        <f>'FRIT FV 090.540 - FTA'!B22</f>
        <v>46248</v>
      </c>
      <c r="C22" s="117" t="s">
        <v>106</v>
      </c>
      <c r="D22" s="112"/>
      <c r="E22" s="119"/>
      <c r="F22" s="39">
        <f t="shared" si="1"/>
        <v>0</v>
      </c>
      <c r="G22" s="114"/>
      <c r="H22" s="113">
        <f>SUM($F$8:F22)/A22</f>
        <v>126.42857142857143</v>
      </c>
      <c r="I22" s="114">
        <f>SUM($G$8:G22)/A22</f>
        <v>126.42857142857143</v>
      </c>
      <c r="J22" s="20">
        <f t="shared" si="0"/>
        <v>-22</v>
      </c>
      <c r="K22" s="22"/>
      <c r="L22" s="43">
        <f t="shared" si="2"/>
        <v>-0.17401129943502824</v>
      </c>
      <c r="M22" s="43">
        <f t="shared" si="3"/>
        <v>0</v>
      </c>
      <c r="N22" s="110">
        <v>0</v>
      </c>
      <c r="O22" s="111" t="e">
        <f t="shared" si="4"/>
        <v>#DIV/0!</v>
      </c>
      <c r="P22" s="111" t="e">
        <f t="shared" si="4"/>
        <v>#DIV/0!</v>
      </c>
    </row>
    <row r="23" spans="1:16" ht="23.25" customHeight="1">
      <c r="A23" s="118">
        <v>15</v>
      </c>
      <c r="B23" s="117">
        <f>'FRIT FV 090.540 - FTA'!B23</f>
        <v>46249</v>
      </c>
      <c r="C23" s="117" t="s">
        <v>106</v>
      </c>
      <c r="D23" s="112"/>
      <c r="E23" s="119"/>
      <c r="F23" s="39">
        <f t="shared" si="1"/>
        <v>0</v>
      </c>
      <c r="G23" s="114"/>
      <c r="H23" s="113">
        <f>SUM($F$8:F23)/A23</f>
        <v>118</v>
      </c>
      <c r="I23" s="127">
        <f>SUM($G$8:G23)/A23</f>
        <v>118</v>
      </c>
      <c r="J23" s="20">
        <f t="shared" si="0"/>
        <v>-22</v>
      </c>
      <c r="K23" s="22"/>
      <c r="L23" s="43">
        <f t="shared" si="2"/>
        <v>-0.1864406779661017</v>
      </c>
      <c r="M23" s="43">
        <f t="shared" si="3"/>
        <v>0</v>
      </c>
      <c r="N23" s="110"/>
      <c r="O23" s="111" t="e">
        <f t="shared" si="4"/>
        <v>#DIV/0!</v>
      </c>
      <c r="P23" s="111" t="e">
        <f t="shared" si="4"/>
        <v>#DIV/0!</v>
      </c>
    </row>
    <row r="24" spans="1:16" ht="23.25" customHeight="1">
      <c r="A24" s="118">
        <v>16</v>
      </c>
      <c r="B24" s="117">
        <f>'FRIT FV 090.540 - FTA'!B24</f>
        <v>46250</v>
      </c>
      <c r="C24" s="117" t="s">
        <v>106</v>
      </c>
      <c r="D24" s="112"/>
      <c r="E24" s="119"/>
      <c r="F24" s="39">
        <f t="shared" si="1"/>
        <v>0</v>
      </c>
      <c r="G24" s="114"/>
      <c r="H24" s="113">
        <f>SUM($F$8:F24)/A24</f>
        <v>110.625</v>
      </c>
      <c r="I24" s="114">
        <f>SUM($G$8:G24)/A24</f>
        <v>110.625</v>
      </c>
      <c r="J24" s="20">
        <f t="shared" si="0"/>
        <v>-22</v>
      </c>
      <c r="K24" s="22"/>
      <c r="L24" s="43">
        <f t="shared" si="2"/>
        <v>-0.19887005649717515</v>
      </c>
      <c r="M24" s="43">
        <f t="shared" si="3"/>
        <v>0</v>
      </c>
      <c r="N24" s="110"/>
      <c r="O24" s="111" t="e">
        <f t="shared" si="4"/>
        <v>#DIV/0!</v>
      </c>
      <c r="P24" s="111" t="e">
        <f t="shared" si="4"/>
        <v>#DIV/0!</v>
      </c>
    </row>
    <row r="25" spans="1:16" ht="23.25" customHeight="1">
      <c r="A25" s="118">
        <v>17</v>
      </c>
      <c r="B25" s="117">
        <f>'FRIT FV 090.540 - FTA'!B25</f>
        <v>46251</v>
      </c>
      <c r="C25" s="117" t="s">
        <v>106</v>
      </c>
      <c r="D25" s="112"/>
      <c r="E25" s="119"/>
      <c r="F25" s="39">
        <f t="shared" si="1"/>
        <v>0</v>
      </c>
      <c r="G25" s="114"/>
      <c r="H25" s="113">
        <f>SUM($F$8:F25)/A25</f>
        <v>104.11764705882354</v>
      </c>
      <c r="I25" s="114">
        <f>SUM($G$8:G25)/A25</f>
        <v>104.11764705882354</v>
      </c>
      <c r="J25" s="20">
        <f t="shared" si="0"/>
        <v>-22</v>
      </c>
      <c r="K25" s="22"/>
      <c r="L25" s="43">
        <f t="shared" si="2"/>
        <v>-0.21129943502824858</v>
      </c>
      <c r="M25" s="43">
        <f t="shared" si="3"/>
        <v>0</v>
      </c>
      <c r="N25" s="110"/>
      <c r="O25" s="111" t="e">
        <f t="shared" si="4"/>
        <v>#DIV/0!</v>
      </c>
      <c r="P25" s="111" t="e">
        <f t="shared" si="4"/>
        <v>#DIV/0!</v>
      </c>
    </row>
    <row r="26" spans="1:16" ht="23.25" customHeight="1">
      <c r="A26" s="118">
        <v>18</v>
      </c>
      <c r="B26" s="117">
        <f>'FRIT FV 090.540 - FTA'!B26</f>
        <v>46252</v>
      </c>
      <c r="C26" s="117" t="s">
        <v>106</v>
      </c>
      <c r="D26" s="112"/>
      <c r="E26" s="119"/>
      <c r="F26" s="39">
        <f t="shared" si="1"/>
        <v>0</v>
      </c>
      <c r="G26" s="114"/>
      <c r="H26" s="113">
        <f>SUM($F$8:F26)/A26</f>
        <v>98.333333333333329</v>
      </c>
      <c r="I26" s="114">
        <f>SUM($G$8:G26)/A26</f>
        <v>98.333333333333329</v>
      </c>
      <c r="J26" s="20">
        <f t="shared" si="0"/>
        <v>-22</v>
      </c>
      <c r="K26" s="22"/>
      <c r="L26" s="43">
        <f t="shared" si="2"/>
        <v>-0.22372881355932203</v>
      </c>
      <c r="M26" s="43">
        <f t="shared" si="3"/>
        <v>0</v>
      </c>
      <c r="N26" s="110"/>
      <c r="O26" s="111" t="e">
        <f t="shared" si="4"/>
        <v>#DIV/0!</v>
      </c>
      <c r="P26" s="111" t="e">
        <f t="shared" si="4"/>
        <v>#DIV/0!</v>
      </c>
    </row>
    <row r="27" spans="1:16" ht="23.25" customHeight="1">
      <c r="A27" s="118">
        <v>19</v>
      </c>
      <c r="B27" s="117">
        <f>'FRIT FV 090.540 - FTA'!B27</f>
        <v>46253</v>
      </c>
      <c r="C27" s="117" t="s">
        <v>106</v>
      </c>
      <c r="D27" s="112"/>
      <c r="E27" s="119"/>
      <c r="F27" s="39">
        <f t="shared" si="1"/>
        <v>0</v>
      </c>
      <c r="G27" s="114"/>
      <c r="H27" s="113">
        <f>SUM($F$8:F27)/A27</f>
        <v>93.15789473684211</v>
      </c>
      <c r="I27" s="114">
        <f>SUM($G$8:G27)/A27</f>
        <v>93.15789473684211</v>
      </c>
      <c r="J27" s="20">
        <f t="shared" si="0"/>
        <v>-22</v>
      </c>
      <c r="K27" s="22"/>
      <c r="L27" s="43">
        <f t="shared" si="2"/>
        <v>-0.23615819209039546</v>
      </c>
      <c r="M27" s="43">
        <f t="shared" si="3"/>
        <v>0</v>
      </c>
      <c r="N27" s="110">
        <v>0</v>
      </c>
      <c r="O27" s="111" t="e">
        <f t="shared" si="4"/>
        <v>#DIV/0!</v>
      </c>
      <c r="P27" s="111" t="e">
        <f t="shared" si="4"/>
        <v>#DIV/0!</v>
      </c>
    </row>
    <row r="28" spans="1:16" ht="23.25" customHeight="1">
      <c r="A28" s="118">
        <v>20</v>
      </c>
      <c r="B28" s="117">
        <f>'FRIT FV 090.540 - FTA'!B28</f>
        <v>46254</v>
      </c>
      <c r="C28" s="117" t="s">
        <v>106</v>
      </c>
      <c r="D28" s="112"/>
      <c r="E28" s="119"/>
      <c r="F28" s="39">
        <f t="shared" si="1"/>
        <v>0</v>
      </c>
      <c r="G28" s="114"/>
      <c r="H28" s="113">
        <f>SUM($F$8:F28)/A28</f>
        <v>88.5</v>
      </c>
      <c r="I28" s="114">
        <f>SUM($G$8:G28)/A28</f>
        <v>88.5</v>
      </c>
      <c r="J28" s="20">
        <f t="shared" si="0"/>
        <v>-22</v>
      </c>
      <c r="K28" s="22"/>
      <c r="L28" s="43">
        <f t="shared" si="2"/>
        <v>-0.24858757062146894</v>
      </c>
      <c r="M28" s="43">
        <f t="shared" si="3"/>
        <v>0</v>
      </c>
      <c r="N28" s="110"/>
      <c r="O28" s="111" t="e">
        <f t="shared" si="4"/>
        <v>#DIV/0!</v>
      </c>
      <c r="P28" s="111" t="e">
        <f t="shared" si="4"/>
        <v>#DIV/0!</v>
      </c>
    </row>
    <row r="29" spans="1:16" ht="23.25" customHeight="1">
      <c r="A29" s="118">
        <v>21</v>
      </c>
      <c r="B29" s="117">
        <f>'FRIT FV 090.540 - FTA'!B29</f>
        <v>46255</v>
      </c>
      <c r="C29" s="117" t="s">
        <v>106</v>
      </c>
      <c r="D29" s="112"/>
      <c r="E29" s="119"/>
      <c r="F29" s="39">
        <f t="shared" si="1"/>
        <v>0</v>
      </c>
      <c r="G29" s="114"/>
      <c r="H29" s="113">
        <f>SUM($F$8:F29)/A29</f>
        <v>84.285714285714292</v>
      </c>
      <c r="I29" s="114">
        <f>SUM($G$8:G29)/A29</f>
        <v>84.285714285714292</v>
      </c>
      <c r="J29" s="20">
        <f t="shared" si="0"/>
        <v>-22</v>
      </c>
      <c r="K29" s="22"/>
      <c r="L29" s="43">
        <f t="shared" si="2"/>
        <v>-0.26101694915254237</v>
      </c>
      <c r="M29" s="43">
        <f t="shared" si="3"/>
        <v>0</v>
      </c>
      <c r="N29" s="110"/>
      <c r="O29" s="111" t="e">
        <f t="shared" si="4"/>
        <v>#DIV/0!</v>
      </c>
      <c r="P29" s="111" t="e">
        <f t="shared" si="4"/>
        <v>#DIV/0!</v>
      </c>
    </row>
    <row r="30" spans="1:16" ht="23.25" customHeight="1">
      <c r="A30" s="118">
        <v>22</v>
      </c>
      <c r="B30" s="117">
        <f>'FRIT FV 090.540 - FTA'!B30</f>
        <v>46256</v>
      </c>
      <c r="C30" s="117" t="s">
        <v>106</v>
      </c>
      <c r="D30" s="112"/>
      <c r="E30" s="119"/>
      <c r="F30" s="39">
        <f t="shared" si="1"/>
        <v>0</v>
      </c>
      <c r="G30" s="114"/>
      <c r="H30" s="113">
        <f>SUM($F$8:F30)/A30</f>
        <v>80.454545454545453</v>
      </c>
      <c r="I30" s="114">
        <f>SUM($G$8:G30)/A30</f>
        <v>80.454545454545453</v>
      </c>
      <c r="J30" s="20">
        <f t="shared" si="0"/>
        <v>-22</v>
      </c>
      <c r="K30" s="22"/>
      <c r="L30" s="43">
        <f t="shared" si="2"/>
        <v>-0.27344632768361582</v>
      </c>
      <c r="M30" s="43">
        <f t="shared" si="3"/>
        <v>0</v>
      </c>
      <c r="N30" s="110"/>
      <c r="O30" s="111" t="e">
        <f t="shared" si="4"/>
        <v>#DIV/0!</v>
      </c>
      <c r="P30" s="111" t="e">
        <f t="shared" si="4"/>
        <v>#DIV/0!</v>
      </c>
    </row>
    <row r="31" spans="1:16" ht="23.25" customHeight="1">
      <c r="A31" s="118">
        <v>23</v>
      </c>
      <c r="B31" s="117">
        <f>'FRIT FV 090.540 - FTA'!B31</f>
        <v>46257</v>
      </c>
      <c r="C31" s="117" t="s">
        <v>106</v>
      </c>
      <c r="D31" s="112"/>
      <c r="E31" s="119"/>
      <c r="F31" s="39">
        <f t="shared" si="1"/>
        <v>0</v>
      </c>
      <c r="G31" s="114"/>
      <c r="H31" s="113">
        <f>SUM($F$8:F31)/A31</f>
        <v>76.956521739130437</v>
      </c>
      <c r="I31" s="114">
        <f>SUM($G$8:G31)/A31</f>
        <v>76.956521739130437</v>
      </c>
      <c r="J31" s="20">
        <f t="shared" si="0"/>
        <v>-22</v>
      </c>
      <c r="K31" s="22"/>
      <c r="L31" s="43">
        <f t="shared" si="2"/>
        <v>-0.28587570621468927</v>
      </c>
      <c r="M31" s="43">
        <f t="shared" si="3"/>
        <v>0</v>
      </c>
      <c r="N31" s="110"/>
      <c r="O31" s="111" t="e">
        <f t="shared" si="4"/>
        <v>#DIV/0!</v>
      </c>
      <c r="P31" s="111" t="e">
        <f t="shared" si="4"/>
        <v>#DIV/0!</v>
      </c>
    </row>
    <row r="32" spans="1:16" ht="23.25" customHeight="1">
      <c r="A32" s="118">
        <v>24</v>
      </c>
      <c r="B32" s="117">
        <f>'FRIT FV 090.540 - FTA'!B32</f>
        <v>46258</v>
      </c>
      <c r="C32" s="117" t="s">
        <v>106</v>
      </c>
      <c r="D32" s="112"/>
      <c r="E32" s="119"/>
      <c r="F32" s="39">
        <f t="shared" si="1"/>
        <v>0</v>
      </c>
      <c r="G32" s="114"/>
      <c r="H32" s="113">
        <f>SUM($F$8:F32)/A32</f>
        <v>73.75</v>
      </c>
      <c r="I32" s="114">
        <f>SUM($G$8:G32)/A32</f>
        <v>73.75</v>
      </c>
      <c r="J32" s="20">
        <f t="shared" si="0"/>
        <v>-22</v>
      </c>
      <c r="K32" s="22"/>
      <c r="L32" s="43">
        <f t="shared" si="2"/>
        <v>-0.29830508474576273</v>
      </c>
      <c r="M32" s="43">
        <f t="shared" si="3"/>
        <v>0</v>
      </c>
      <c r="N32" s="110"/>
      <c r="O32" s="111" t="e">
        <f t="shared" si="4"/>
        <v>#DIV/0!</v>
      </c>
      <c r="P32" s="111" t="e">
        <f t="shared" si="4"/>
        <v>#DIV/0!</v>
      </c>
    </row>
    <row r="33" spans="1:16" ht="23.25" customHeight="1">
      <c r="A33" s="118">
        <v>25</v>
      </c>
      <c r="B33" s="117">
        <f>'FRIT FV 090.540 - FTA'!B33</f>
        <v>46259</v>
      </c>
      <c r="C33" s="117" t="s">
        <v>106</v>
      </c>
      <c r="D33" s="112"/>
      <c r="E33" s="119"/>
      <c r="F33" s="39">
        <f t="shared" si="1"/>
        <v>0</v>
      </c>
      <c r="G33" s="114"/>
      <c r="H33" s="113">
        <f>SUM($F$8:F33)/A33</f>
        <v>70.8</v>
      </c>
      <c r="I33" s="114">
        <f>SUM($G$8:G33)/A33</f>
        <v>70.8</v>
      </c>
      <c r="J33" s="20">
        <f t="shared" si="0"/>
        <v>-22</v>
      </c>
      <c r="K33" s="22"/>
      <c r="L33" s="43">
        <f t="shared" si="2"/>
        <v>-0.31073446327683618</v>
      </c>
      <c r="M33" s="43">
        <f t="shared" si="3"/>
        <v>0</v>
      </c>
      <c r="N33" s="110"/>
      <c r="O33" s="111" t="e">
        <f t="shared" si="4"/>
        <v>#DIV/0!</v>
      </c>
      <c r="P33" s="111" t="e">
        <f t="shared" si="4"/>
        <v>#DIV/0!</v>
      </c>
    </row>
    <row r="34" spans="1:16" ht="23.25" customHeight="1">
      <c r="A34" s="118">
        <v>26</v>
      </c>
      <c r="B34" s="117">
        <f>'FRIT FV 090.540 - FTA'!B34</f>
        <v>46260</v>
      </c>
      <c r="C34" s="117" t="s">
        <v>106</v>
      </c>
      <c r="D34" s="112"/>
      <c r="E34" s="119"/>
      <c r="F34" s="39">
        <f t="shared" si="1"/>
        <v>0</v>
      </c>
      <c r="G34" s="114"/>
      <c r="H34" s="113">
        <f>SUM($F$8:F34)/A34</f>
        <v>68.07692307692308</v>
      </c>
      <c r="I34" s="114">
        <f>SUM($G$8:G34)/A34</f>
        <v>68.07692307692308</v>
      </c>
      <c r="J34" s="20">
        <f t="shared" si="0"/>
        <v>-22</v>
      </c>
      <c r="K34" s="22"/>
      <c r="L34" s="43">
        <f t="shared" si="2"/>
        <v>-0.32316384180790958</v>
      </c>
      <c r="M34" s="43">
        <f t="shared" si="3"/>
        <v>0</v>
      </c>
      <c r="N34" s="110"/>
      <c r="O34" s="111" t="e">
        <f t="shared" si="4"/>
        <v>#DIV/0!</v>
      </c>
      <c r="P34" s="111" t="e">
        <f t="shared" si="4"/>
        <v>#DIV/0!</v>
      </c>
    </row>
    <row r="35" spans="1:16" ht="23.25" customHeight="1">
      <c r="A35" s="118">
        <v>27</v>
      </c>
      <c r="B35" s="117">
        <f>'FRIT FV 090.540 - FTA'!B35</f>
        <v>46261</v>
      </c>
      <c r="C35" s="117" t="s">
        <v>106</v>
      </c>
      <c r="D35" s="112"/>
      <c r="E35" s="119"/>
      <c r="F35" s="39">
        <f t="shared" si="1"/>
        <v>0</v>
      </c>
      <c r="G35" s="114"/>
      <c r="H35" s="113">
        <f>SUM($F$8:F35)/A35</f>
        <v>65.555555555555557</v>
      </c>
      <c r="I35" s="114">
        <f>SUM($G$8:G35)/A35</f>
        <v>65.555555555555557</v>
      </c>
      <c r="J35" s="20">
        <f t="shared" si="0"/>
        <v>-22</v>
      </c>
      <c r="K35" s="22"/>
      <c r="L35" s="43">
        <f t="shared" si="2"/>
        <v>-0.33559322033898303</v>
      </c>
      <c r="M35" s="43">
        <f t="shared" si="3"/>
        <v>0</v>
      </c>
      <c r="N35" s="110"/>
      <c r="O35" s="111" t="e">
        <f t="shared" si="4"/>
        <v>#DIV/0!</v>
      </c>
      <c r="P35" s="111" t="e">
        <f t="shared" si="4"/>
        <v>#DIV/0!</v>
      </c>
    </row>
    <row r="36" spans="1:16" ht="23.25" customHeight="1">
      <c r="A36" s="118">
        <v>28</v>
      </c>
      <c r="B36" s="117">
        <f>'FRIT FV 090.540 - FTA'!B36</f>
        <v>46262</v>
      </c>
      <c r="C36" s="117" t="s">
        <v>106</v>
      </c>
      <c r="D36" s="112"/>
      <c r="E36" s="119"/>
      <c r="F36" s="39">
        <f t="shared" si="1"/>
        <v>0</v>
      </c>
      <c r="G36" s="114"/>
      <c r="H36" s="113">
        <f>SUM($F$8:F36)/A36</f>
        <v>63.214285714285715</v>
      </c>
      <c r="I36" s="114">
        <f>SUM($G$8:G36)/A36</f>
        <v>63.214285714285715</v>
      </c>
      <c r="J36" s="20">
        <f t="shared" si="0"/>
        <v>-22</v>
      </c>
      <c r="K36" s="22"/>
      <c r="L36" s="43">
        <f t="shared" si="2"/>
        <v>-0.34802259887005649</v>
      </c>
      <c r="M36" s="43">
        <f t="shared" si="3"/>
        <v>0</v>
      </c>
      <c r="N36" s="110"/>
      <c r="O36" s="111" t="e">
        <f t="shared" si="4"/>
        <v>#DIV/0!</v>
      </c>
      <c r="P36" s="111" t="e">
        <f t="shared" si="4"/>
        <v>#DIV/0!</v>
      </c>
    </row>
    <row r="37" spans="1:16" ht="23.25" customHeight="1">
      <c r="A37" s="118">
        <v>29</v>
      </c>
      <c r="B37" s="117">
        <f>'FRIT FV 090.540 - FTA'!B37</f>
        <v>46263</v>
      </c>
      <c r="C37" s="117" t="s">
        <v>106</v>
      </c>
      <c r="D37" s="112"/>
      <c r="E37" s="119"/>
      <c r="F37" s="39">
        <f t="shared" si="1"/>
        <v>0</v>
      </c>
      <c r="G37" s="114"/>
      <c r="H37" s="113">
        <f>SUM($F$8:F37)/A37</f>
        <v>61.03448275862069</v>
      </c>
      <c r="I37" s="114">
        <f>SUM($G$8:G37)/A37</f>
        <v>61.03448275862069</v>
      </c>
      <c r="J37" s="20">
        <f t="shared" si="0"/>
        <v>-22</v>
      </c>
      <c r="K37" s="22"/>
      <c r="L37" s="43">
        <f t="shared" si="2"/>
        <v>-0.36045197740112994</v>
      </c>
      <c r="M37" s="43">
        <f t="shared" si="3"/>
        <v>0</v>
      </c>
      <c r="N37" s="110"/>
      <c r="O37" s="111" t="e">
        <f t="shared" si="4"/>
        <v>#DIV/0!</v>
      </c>
      <c r="P37" s="111" t="e">
        <f t="shared" si="4"/>
        <v>#DIV/0!</v>
      </c>
    </row>
    <row r="38" spans="1:16" ht="23.25" customHeight="1">
      <c r="A38" s="118">
        <v>30</v>
      </c>
      <c r="B38" s="117">
        <f>'FRIT FV 090.540 - FTA'!B38</f>
        <v>46264</v>
      </c>
      <c r="C38" s="117" t="s">
        <v>106</v>
      </c>
      <c r="D38" s="112"/>
      <c r="E38" s="119"/>
      <c r="F38" s="39">
        <f t="shared" si="1"/>
        <v>0</v>
      </c>
      <c r="G38" s="114"/>
      <c r="H38" s="113">
        <f>SUM($F$8:F38)/A38</f>
        <v>59</v>
      </c>
      <c r="I38" s="114">
        <f>SUM($G$8:G38)/A38</f>
        <v>59</v>
      </c>
      <c r="J38" s="20">
        <f t="shared" si="0"/>
        <v>-22</v>
      </c>
      <c r="K38" s="22"/>
      <c r="L38" s="43">
        <f t="shared" si="2"/>
        <v>-0.3728813559322034</v>
      </c>
      <c r="M38" s="43">
        <f t="shared" si="3"/>
        <v>0</v>
      </c>
      <c r="N38" s="110"/>
      <c r="O38" s="111" t="e">
        <f t="shared" si="4"/>
        <v>#DIV/0!</v>
      </c>
      <c r="P38" s="111" t="e">
        <f t="shared" si="4"/>
        <v>#DIV/0!</v>
      </c>
    </row>
    <row r="39" spans="1:16" ht="23.25" customHeight="1">
      <c r="A39" s="118">
        <v>31</v>
      </c>
      <c r="B39" s="117">
        <f>'FRIT FV 090.540 - FTA'!B39</f>
        <v>46265</v>
      </c>
      <c r="C39" s="117" t="s">
        <v>106</v>
      </c>
      <c r="D39" s="112"/>
      <c r="E39" s="119"/>
      <c r="F39" s="39">
        <f t="shared" si="1"/>
        <v>0</v>
      </c>
      <c r="G39" s="114"/>
      <c r="H39" s="113">
        <f>SUM($F$8:F39)/A39</f>
        <v>57.096774193548384</v>
      </c>
      <c r="I39" s="114">
        <f>SUM($G$8:G39)/A39</f>
        <v>57.096774193548384</v>
      </c>
      <c r="J39" s="20">
        <f t="shared" si="0"/>
        <v>-22</v>
      </c>
      <c r="K39" s="22"/>
      <c r="L39" s="43">
        <f t="shared" si="2"/>
        <v>-0.38531073446327685</v>
      </c>
      <c r="M39" s="43">
        <f t="shared" si="3"/>
        <v>0</v>
      </c>
      <c r="N39" s="110"/>
      <c r="O39" s="111" t="e">
        <f t="shared" si="4"/>
        <v>#DIV/0!</v>
      </c>
      <c r="P39" s="111" t="e">
        <f t="shared" si="4"/>
        <v>#DIV/0!</v>
      </c>
    </row>
    <row r="40" spans="1:16" s="8" customFormat="1" ht="30" customHeight="1">
      <c r="A40" s="1541" t="s">
        <v>29</v>
      </c>
      <c r="B40" s="1541"/>
      <c r="C40" s="1541"/>
      <c r="D40" s="122"/>
      <c r="E40" s="122">
        <f>SUM(E9:E39)</f>
        <v>0</v>
      </c>
      <c r="F40" s="123">
        <f>SUM(F9:F39)</f>
        <v>1770</v>
      </c>
      <c r="G40" s="123">
        <f>SUM(G9:G39)</f>
        <v>1770</v>
      </c>
      <c r="H40" s="123"/>
      <c r="I40" s="123"/>
      <c r="J40" s="123">
        <f>J39</f>
        <v>-22</v>
      </c>
      <c r="K40" s="124">
        <f>K39</f>
        <v>0</v>
      </c>
      <c r="L40" s="125"/>
      <c r="M40" s="125"/>
      <c r="N40" s="120"/>
      <c r="O40" s="126"/>
      <c r="P40" s="126"/>
    </row>
    <row r="41" spans="1:16" s="8" customFormat="1" ht="30" customHeight="1">
      <c r="A41" s="1541" t="s">
        <v>15</v>
      </c>
      <c r="B41" s="1541"/>
      <c r="C41" s="1541"/>
      <c r="D41" s="122">
        <f>D8+D40</f>
        <v>1748</v>
      </c>
      <c r="E41" s="122">
        <f>E8+E40</f>
        <v>1748</v>
      </c>
      <c r="F41" s="123">
        <f>F40+F8</f>
        <v>1770</v>
      </c>
      <c r="G41" s="123">
        <f>G40+G8</f>
        <v>1770</v>
      </c>
      <c r="H41" s="123"/>
      <c r="I41" s="123"/>
      <c r="J41" s="123">
        <f>D41-F41</f>
        <v>-22</v>
      </c>
      <c r="K41" s="123">
        <f>D41-G41</f>
        <v>-22</v>
      </c>
      <c r="L41" s="125"/>
      <c r="M41" s="125"/>
      <c r="N41" s="120"/>
      <c r="O41" s="126"/>
      <c r="P41" s="126"/>
    </row>
    <row r="42" spans="1:16" ht="23.25" customHeight="1">
      <c r="A42" s="5"/>
      <c r="B42" s="5"/>
      <c r="C42" s="5"/>
      <c r="D42" s="7"/>
      <c r="E42" s="7"/>
      <c r="F42" s="7"/>
      <c r="G42" s="7"/>
      <c r="H42" s="7"/>
      <c r="I42" s="7"/>
      <c r="J42" s="7"/>
      <c r="K42" s="7"/>
    </row>
  </sheetData>
  <mergeCells count="14">
    <mergeCell ref="O6:P6"/>
    <mergeCell ref="N6:N7"/>
    <mergeCell ref="A40:C40"/>
    <mergeCell ref="A41:C41"/>
    <mergeCell ref="H6:I6"/>
    <mergeCell ref="A8:C8"/>
    <mergeCell ref="A2:M2"/>
    <mergeCell ref="A6:A7"/>
    <mergeCell ref="B6:B7"/>
    <mergeCell ref="C6:C7"/>
    <mergeCell ref="D6:E6"/>
    <mergeCell ref="F6:G6"/>
    <mergeCell ref="J6:K6"/>
    <mergeCell ref="L6:M6"/>
  </mergeCells>
  <conditionalFormatting sqref="M9:M39">
    <cfRule type="cellIs" dxfId="12378" priority="10" operator="lessThan">
      <formula>15</formula>
    </cfRule>
    <cfRule type="cellIs" dxfId="12377" priority="11" operator="greaterThan">
      <formula>20</formula>
    </cfRule>
    <cfRule type="cellIs" dxfId="12376" priority="12" operator="between">
      <formula>15</formula>
      <formula>20</formula>
    </cfRule>
    <cfRule type="cellIs" dxfId="12375" priority="13" operator="between">
      <formula>15</formula>
      <formula>20</formula>
    </cfRule>
    <cfRule type="cellIs" dxfId="12374" priority="14" operator="lessThan">
      <formula>15</formula>
    </cfRule>
    <cfRule type="cellIs" dxfId="12373" priority="15" operator="greaterThan">
      <formula>20</formula>
    </cfRule>
    <cfRule type="cellIs" dxfId="12372" priority="16" operator="between">
      <formula>15</formula>
      <formula>21</formula>
    </cfRule>
    <cfRule type="cellIs" dxfId="12371" priority="17" operator="lessThan">
      <formula>15</formula>
    </cfRule>
    <cfRule type="cellIs" dxfId="12370" priority="18" operator="greaterThan">
      <formula>21</formula>
    </cfRule>
  </conditionalFormatting>
  <conditionalFormatting sqref="L9:L39">
    <cfRule type="cellIs" dxfId="12369" priority="1" operator="lessThan">
      <formula>15</formula>
    </cfRule>
    <cfRule type="cellIs" dxfId="12368" priority="2" operator="greaterThan">
      <formula>20</formula>
    </cfRule>
    <cfRule type="cellIs" dxfId="12367" priority="3" operator="between">
      <formula>15</formula>
      <formula>20</formula>
    </cfRule>
    <cfRule type="cellIs" dxfId="12366" priority="4" operator="between">
      <formula>15</formula>
      <formula>20</formula>
    </cfRule>
    <cfRule type="cellIs" dxfId="12365" priority="5" operator="lessThan">
      <formula>15</formula>
    </cfRule>
    <cfRule type="cellIs" dxfId="12364" priority="6" operator="greaterThan">
      <formula>20</formula>
    </cfRule>
    <cfRule type="cellIs" dxfId="12363" priority="7" operator="between">
      <formula>15</formula>
      <formula>21</formula>
    </cfRule>
    <cfRule type="cellIs" dxfId="12362" priority="8" operator="lessThan">
      <formula>15</formula>
    </cfRule>
    <cfRule type="cellIs" dxfId="12361" priority="9" operator="greaterThan">
      <formula>21</formula>
    </cfRule>
  </conditionalFormatting>
  <hyperlinks>
    <hyperlink ref="M5" location="'TỔNG HỢP'!A1" display="YN!A1"/>
  </hyperlinks>
  <pageMargins left="0.196850393700787" right="0" top="0.25" bottom="0.25" header="0.74803149606299202" footer="0.31496062992126"/>
  <pageSetup paperSize="8" orientation="landscape" horizontalDpi="4294967292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76"/>
  <sheetViews>
    <sheetView zoomScale="70" zoomScaleNormal="70" workbookViewId="0">
      <pane xSplit="2" ySplit="5" topLeftCell="C44" activePane="bottomRight" state="frozen"/>
      <selection pane="topRight"/>
      <selection pane="bottomLeft"/>
      <selection pane="bottomRight"/>
    </sheetView>
  </sheetViews>
  <sheetFormatPr defaultColWidth="9.28515625" defaultRowHeight="15.75"/>
  <cols>
    <col min="1" max="1" width="5.85546875" style="95" customWidth="1"/>
    <col min="2" max="2" width="42.28515625" style="95" customWidth="1"/>
    <col min="3" max="3" width="6.28515625" style="96" customWidth="1"/>
    <col min="4" max="8" width="14.140625" style="98" customWidth="1"/>
    <col min="9" max="9" width="14.140625" style="99" customWidth="1"/>
    <col min="10" max="10" width="13.7109375" style="98" customWidth="1"/>
    <col min="11" max="11" width="13.42578125" style="98" customWidth="1"/>
    <col min="12" max="12" width="14.7109375" style="100" customWidth="1"/>
    <col min="13" max="13" width="14.7109375" style="98" customWidth="1"/>
    <col min="14" max="14" width="22.140625" style="291" customWidth="1"/>
    <col min="15" max="15" width="50.28515625" style="384" customWidth="1"/>
    <col min="16" max="16" width="17" style="97" customWidth="1"/>
    <col min="17" max="17" width="18.7109375" style="97" customWidth="1"/>
    <col min="18" max="16384" width="9.28515625" style="97"/>
  </cols>
  <sheetData>
    <row r="1" spans="1:18" ht="21" customHeight="1">
      <c r="A1" s="141" t="s">
        <v>379</v>
      </c>
      <c r="B1" s="141"/>
      <c r="C1" s="131"/>
      <c r="D1" s="132"/>
      <c r="E1" s="132"/>
      <c r="F1" s="132"/>
      <c r="G1" s="132"/>
      <c r="H1" s="132"/>
      <c r="I1" s="133"/>
      <c r="J1" s="132"/>
      <c r="K1" s="132"/>
      <c r="M1" s="132"/>
    </row>
    <row r="2" spans="1:18" ht="21" customHeight="1">
      <c r="A2" s="141" t="s">
        <v>173</v>
      </c>
      <c r="B2" s="141"/>
      <c r="C2" s="131"/>
      <c r="D2" s="132"/>
      <c r="E2" s="132"/>
      <c r="F2" s="132"/>
      <c r="G2" s="132"/>
      <c r="H2" s="132"/>
      <c r="I2" s="133"/>
      <c r="J2" s="132"/>
      <c r="K2" s="132"/>
      <c r="L2" s="200" t="s">
        <v>134</v>
      </c>
      <c r="M2" s="132"/>
      <c r="N2" s="132"/>
    </row>
    <row r="3" spans="1:18" ht="43.5" customHeight="1">
      <c r="A3" s="1543" t="s">
        <v>1256</v>
      </c>
      <c r="B3" s="1543"/>
      <c r="C3" s="1543"/>
      <c r="D3" s="1543"/>
      <c r="E3" s="1543"/>
      <c r="F3" s="1543"/>
      <c r="G3" s="1543"/>
      <c r="H3" s="1543"/>
      <c r="I3" s="1543"/>
      <c r="J3" s="1543"/>
      <c r="K3" s="1543"/>
      <c r="L3" s="1543"/>
      <c r="M3" s="1543"/>
      <c r="N3" s="291" t="s">
        <v>5</v>
      </c>
    </row>
    <row r="4" spans="1:18" ht="19.5" customHeight="1">
      <c r="A4" s="1545" t="s">
        <v>2</v>
      </c>
      <c r="B4" s="1545" t="s">
        <v>223</v>
      </c>
      <c r="C4" s="1545" t="s">
        <v>9</v>
      </c>
      <c r="D4" s="1546" t="s">
        <v>259</v>
      </c>
      <c r="E4" s="1546"/>
      <c r="F4" s="1546" t="s">
        <v>260</v>
      </c>
      <c r="G4" s="1546"/>
      <c r="H4" s="1546" t="s">
        <v>275</v>
      </c>
      <c r="I4" s="1546"/>
      <c r="J4" s="359">
        <f>'FRIT HGE91-FHG'!E5</f>
        <v>17</v>
      </c>
      <c r="K4" s="359">
        <f>'FRIT HGE91-FHG'!G5</f>
        <v>8</v>
      </c>
      <c r="L4" s="1547" t="s">
        <v>436</v>
      </c>
      <c r="M4" s="1547" t="s">
        <v>94</v>
      </c>
      <c r="N4" s="1544" t="s">
        <v>16</v>
      </c>
    </row>
    <row r="5" spans="1:18" ht="19.5" customHeight="1">
      <c r="A5" s="1545"/>
      <c r="B5" s="1545"/>
      <c r="C5" s="1545"/>
      <c r="D5" s="360" t="s">
        <v>6</v>
      </c>
      <c r="E5" s="775" t="s">
        <v>172</v>
      </c>
      <c r="F5" s="360" t="s">
        <v>6</v>
      </c>
      <c r="G5" s="775" t="s">
        <v>246</v>
      </c>
      <c r="H5" s="360" t="s">
        <v>6</v>
      </c>
      <c r="I5" s="775" t="str">
        <f>G5</f>
        <v>Quy ẩm</v>
      </c>
      <c r="J5" s="361" t="s">
        <v>6</v>
      </c>
      <c r="K5" s="775" t="str">
        <f>I5</f>
        <v>Quy ẩm</v>
      </c>
      <c r="L5" s="1547"/>
      <c r="M5" s="1547"/>
      <c r="N5" s="1544"/>
    </row>
    <row r="6" spans="1:18" ht="19.5" customHeight="1">
      <c r="A6" s="356" t="s">
        <v>7</v>
      </c>
      <c r="B6" s="357" t="s">
        <v>8</v>
      </c>
      <c r="C6" s="294"/>
      <c r="D6" s="358" t="s">
        <v>49</v>
      </c>
      <c r="E6" s="358" t="s">
        <v>49</v>
      </c>
      <c r="F6" s="358" t="s">
        <v>49</v>
      </c>
      <c r="G6" s="358" t="s">
        <v>49</v>
      </c>
      <c r="H6" s="358" t="s">
        <v>49</v>
      </c>
      <c r="I6" s="358" t="s">
        <v>49</v>
      </c>
      <c r="J6" s="358" t="s">
        <v>49</v>
      </c>
      <c r="K6" s="358" t="s">
        <v>49</v>
      </c>
      <c r="L6" s="582"/>
      <c r="M6" s="585"/>
      <c r="N6" s="292"/>
      <c r="O6" s="385"/>
    </row>
    <row r="7" spans="1:18" s="95" customFormat="1" ht="19.5" customHeight="1">
      <c r="A7" s="211">
        <v>1</v>
      </c>
      <c r="B7" s="583" t="str">
        <f>'FRIT HGE91-FHG'!J4</f>
        <v>FRIT HGE91-FHG</v>
      </c>
      <c r="C7" s="109" t="s">
        <v>193</v>
      </c>
      <c r="D7" s="619">
        <f>'FRIT HGE91-FHG'!J8</f>
        <v>30268.329000000002</v>
      </c>
      <c r="E7" s="620">
        <f>'FRIT HGE91-FHG'!K8</f>
        <v>30667</v>
      </c>
      <c r="F7" s="619">
        <f>'FRIT HGE91-FHG'!D40</f>
        <v>27000</v>
      </c>
      <c r="G7" s="620">
        <f>'FRIT HGE91-FHG'!E40</f>
        <v>27000</v>
      </c>
      <c r="H7" s="619">
        <f>'FRIT HGE91-FHG'!F41</f>
        <v>14101</v>
      </c>
      <c r="I7" s="620">
        <f>'FRIT HGE91-FHG'!G41</f>
        <v>14286</v>
      </c>
      <c r="J7" s="619">
        <f>D7+F7-H7</f>
        <v>43167.328999999998</v>
      </c>
      <c r="K7" s="620">
        <f>E7+G7-I7</f>
        <v>43381</v>
      </c>
      <c r="L7" s="582">
        <f>H7/$J$4</f>
        <v>829.47058823529414</v>
      </c>
      <c r="M7" s="777">
        <f>J7/L7</f>
        <v>52.042024891851639</v>
      </c>
      <c r="N7" s="292"/>
      <c r="O7" s="386" t="s">
        <v>216</v>
      </c>
      <c r="P7" s="97"/>
      <c r="Q7" s="97"/>
      <c r="R7" s="97"/>
    </row>
    <row r="8" spans="1:18" s="95" customFormat="1" ht="19.5" customHeight="1">
      <c r="A8" s="211">
        <v>2</v>
      </c>
      <c r="B8" s="583" t="str">
        <f>'FRIT A106 -ACV'!J4</f>
        <v>FRIT A106-ACV</v>
      </c>
      <c r="C8" s="109" t="s">
        <v>193</v>
      </c>
      <c r="D8" s="619">
        <f>'FRIT A106 -ACV'!J8</f>
        <v>12449.021000000001</v>
      </c>
      <c r="E8" s="620">
        <f>'FRIT A106 -ACV'!K8</f>
        <v>12638.6</v>
      </c>
      <c r="F8" s="619">
        <f>'FRIT A106 -ACV'!D40</f>
        <v>20000</v>
      </c>
      <c r="G8" s="620">
        <f>'FRIT A106 -ACV'!E40</f>
        <v>20000</v>
      </c>
      <c r="H8" s="619">
        <f>'FRIT A106 -ACV'!F41</f>
        <v>12480</v>
      </c>
      <c r="I8" s="620">
        <f>'FRIT A106 -ACV'!G41</f>
        <v>12678</v>
      </c>
      <c r="J8" s="619">
        <f t="shared" ref="J8:K22" si="0">D8+F8-H8</f>
        <v>19969.021000000001</v>
      </c>
      <c r="K8" s="620">
        <f t="shared" si="0"/>
        <v>19960.599999999999</v>
      </c>
      <c r="L8" s="582">
        <f>H8/$J$4</f>
        <v>734.11764705882354</v>
      </c>
      <c r="M8" s="777">
        <f t="shared" ref="M8:M20" si="1">J8/L8</f>
        <v>27.201390785256411</v>
      </c>
      <c r="N8" s="292"/>
      <c r="O8" s="386" t="s">
        <v>257</v>
      </c>
      <c r="P8" s="97"/>
      <c r="Q8" s="97"/>
      <c r="R8" s="97"/>
    </row>
    <row r="9" spans="1:18" s="95" customFormat="1" ht="19.5" customHeight="1">
      <c r="A9" s="211">
        <v>3</v>
      </c>
      <c r="B9" s="583" t="str">
        <f>'FRIT A103 -ACV'!J4</f>
        <v>FRIT A103-ACV</v>
      </c>
      <c r="C9" s="109" t="s">
        <v>193</v>
      </c>
      <c r="D9" s="619">
        <f>'FRIT A103 -ACV'!J8</f>
        <v>0</v>
      </c>
      <c r="E9" s="620">
        <f>'FRIT A103 -ACV'!K8</f>
        <v>0</v>
      </c>
      <c r="F9" s="619">
        <f>'FRIT A103 -ACV'!D40</f>
        <v>0</v>
      </c>
      <c r="G9" s="620">
        <f>'FRIT A103 -ACV'!E40</f>
        <v>0</v>
      </c>
      <c r="H9" s="619">
        <f>'FRIT A103 -ACV'!F40</f>
        <v>0</v>
      </c>
      <c r="I9" s="620">
        <f>'FRIT A103 -ACV'!G40</f>
        <v>0</v>
      </c>
      <c r="J9" s="619">
        <f t="shared" ref="J9" si="2">D9+F9-H9</f>
        <v>0</v>
      </c>
      <c r="K9" s="620">
        <f t="shared" ref="K9" si="3">E9+G9-I9</f>
        <v>0</v>
      </c>
      <c r="L9" s="582">
        <f>H9/$J$4</f>
        <v>0</v>
      </c>
      <c r="M9" s="777" t="e">
        <f t="shared" ref="M9" si="4">J9/L9</f>
        <v>#DIV/0!</v>
      </c>
      <c r="N9" s="292"/>
      <c r="O9" s="784" t="s">
        <v>1124</v>
      </c>
      <c r="P9" s="97"/>
      <c r="Q9" s="97"/>
      <c r="R9" s="97"/>
    </row>
    <row r="10" spans="1:18" s="95" customFormat="1" ht="19.5" customHeight="1">
      <c r="A10" s="211">
        <v>4</v>
      </c>
      <c r="B10" s="665" t="str">
        <f>'FRIT FO113-FHU'!J4</f>
        <v>FRIT FO113-FHU</v>
      </c>
      <c r="C10" s="109" t="s">
        <v>193</v>
      </c>
      <c r="D10" s="619">
        <f>'FRIT FO113-FHU'!J8</f>
        <v>52686.112000000001</v>
      </c>
      <c r="E10" s="620">
        <f>'FRIT FO113-FHU'!K8</f>
        <v>53111</v>
      </c>
      <c r="F10" s="619">
        <f>'FRIT FO113-FHU'!D40</f>
        <v>28000</v>
      </c>
      <c r="G10" s="620">
        <f>'FRIT FO113-FHU'!E40</f>
        <v>28000</v>
      </c>
      <c r="H10" s="619">
        <f>'FRIT FO113-FHU'!F41</f>
        <v>37545</v>
      </c>
      <c r="I10" s="620">
        <f>'FRIT FO113-FHU'!G41</f>
        <v>37937</v>
      </c>
      <c r="J10" s="619">
        <f>D10+F10-H10</f>
        <v>43141.111999999994</v>
      </c>
      <c r="K10" s="620">
        <f>E10+G10-I10</f>
        <v>43174</v>
      </c>
      <c r="L10" s="582">
        <f>H10/$J$4</f>
        <v>2208.5294117647059</v>
      </c>
      <c r="M10" s="777">
        <f t="shared" si="1"/>
        <v>19.533863470502062</v>
      </c>
      <c r="N10" s="292"/>
      <c r="O10" s="386" t="s">
        <v>320</v>
      </c>
      <c r="P10" s="97"/>
      <c r="Q10" s="97"/>
      <c r="R10" s="97"/>
    </row>
    <row r="11" spans="1:18" s="95" customFormat="1" ht="19.5" customHeight="1">
      <c r="A11" s="211">
        <v>5</v>
      </c>
      <c r="B11" s="583" t="str">
        <f>'BẢ MEN'!J4</f>
        <v>BẢ MEN</v>
      </c>
      <c r="C11" s="109" t="s">
        <v>193</v>
      </c>
      <c r="D11" s="619">
        <f>'BẢ MEN'!J8</f>
        <v>0</v>
      </c>
      <c r="E11" s="620">
        <f>'BẢ MEN'!K8</f>
        <v>0</v>
      </c>
      <c r="F11" s="619">
        <f>'BẢ MEN'!D40</f>
        <v>0</v>
      </c>
      <c r="G11" s="620">
        <f>'BẢ MEN'!E40</f>
        <v>0</v>
      </c>
      <c r="H11" s="619">
        <f>'BẢ MEN'!F40</f>
        <v>0</v>
      </c>
      <c r="I11" s="620">
        <f>'BẢ MEN'!G40</f>
        <v>0</v>
      </c>
      <c r="J11" s="619">
        <f t="shared" si="0"/>
        <v>0</v>
      </c>
      <c r="K11" s="620">
        <f t="shared" si="0"/>
        <v>0</v>
      </c>
      <c r="L11" s="582">
        <f t="shared" ref="L11:L23" si="5">H11/$J$4</f>
        <v>0</v>
      </c>
      <c r="M11" s="777" t="e">
        <f t="shared" si="1"/>
        <v>#DIV/0!</v>
      </c>
      <c r="N11" s="292"/>
      <c r="O11" s="784" t="s">
        <v>1122</v>
      </c>
      <c r="P11" s="97"/>
      <c r="Q11" s="97"/>
      <c r="R11" s="97"/>
    </row>
    <row r="12" spans="1:18" s="95" customFormat="1" ht="19.5" customHeight="1">
      <c r="A12" s="211">
        <v>6</v>
      </c>
      <c r="B12" s="583" t="str">
        <f>'Cao lanh N2A'!J4</f>
        <v>E.Cao lanh N2A QĐ</v>
      </c>
      <c r="C12" s="109" t="s">
        <v>193</v>
      </c>
      <c r="D12" s="619">
        <f>'Cao lanh N2A'!J8</f>
        <v>76887.320000000007</v>
      </c>
      <c r="E12" s="620">
        <f>'Cao lanh N2A'!K8</f>
        <v>108292</v>
      </c>
      <c r="F12" s="619">
        <f>'Cao lanh N2A'!D40</f>
        <v>0</v>
      </c>
      <c r="G12" s="620">
        <f>'Cao lanh N2A'!E40</f>
        <v>0</v>
      </c>
      <c r="H12" s="619">
        <f>'Cao lanh N2A'!F40</f>
        <v>30498</v>
      </c>
      <c r="I12" s="620">
        <f>'Cao lanh N2A'!G40</f>
        <v>41750</v>
      </c>
      <c r="J12" s="619">
        <f t="shared" si="0"/>
        <v>46389.320000000007</v>
      </c>
      <c r="K12" s="620">
        <f t="shared" si="0"/>
        <v>66542</v>
      </c>
      <c r="L12" s="582">
        <f t="shared" ref="L12" si="6">H12/$J$4</f>
        <v>1794</v>
      </c>
      <c r="M12" s="777">
        <f t="shared" ref="M12" si="7">J12/L12</f>
        <v>25.858037904124863</v>
      </c>
      <c r="N12" s="292"/>
      <c r="O12" s="784" t="s">
        <v>760</v>
      </c>
      <c r="P12" s="97"/>
      <c r="Q12" s="97"/>
      <c r="R12" s="97"/>
    </row>
    <row r="13" spans="1:18" s="95" customFormat="1" ht="19.5" customHeight="1">
      <c r="A13" s="211">
        <v>7</v>
      </c>
      <c r="B13" s="583" t="str">
        <f>'Cao lanh BF046A'!J4</f>
        <v>E.Cao lanh BF046A QĐ</v>
      </c>
      <c r="C13" s="109" t="s">
        <v>193</v>
      </c>
      <c r="D13" s="619">
        <f>'Cao lanh BF046A'!J8</f>
        <v>0</v>
      </c>
      <c r="E13" s="620">
        <f>'Cao lanh BF046A'!K8</f>
        <v>0</v>
      </c>
      <c r="F13" s="619">
        <f>'Cao lanh BF046A'!D40</f>
        <v>1999.5</v>
      </c>
      <c r="G13" s="620">
        <f>'Cao lanh BF046A'!E40</f>
        <v>2666</v>
      </c>
      <c r="H13" s="619">
        <f>'Cao lanh BF046A'!F40</f>
        <v>120</v>
      </c>
      <c r="I13" s="620">
        <f>'Cao lanh BF046A'!G40</f>
        <v>161</v>
      </c>
      <c r="J13" s="619">
        <f t="shared" ref="J13" si="8">D13+F13-H13</f>
        <v>1879.5</v>
      </c>
      <c r="K13" s="620">
        <f t="shared" ref="K13" si="9">E13+G13-I13</f>
        <v>2505</v>
      </c>
      <c r="L13" s="582">
        <f t="shared" ref="L13" si="10">H13/$J$4</f>
        <v>7.0588235294117645</v>
      </c>
      <c r="M13" s="777">
        <f t="shared" ref="M13" si="11">J13/L13</f>
        <v>266.26249999999999</v>
      </c>
      <c r="N13" s="292"/>
      <c r="O13" s="784" t="s">
        <v>1261</v>
      </c>
      <c r="P13" s="97"/>
      <c r="Q13" s="97"/>
      <c r="R13" s="97"/>
    </row>
    <row r="14" spans="1:18" s="95" customFormat="1" ht="19.5" customHeight="1">
      <c r="A14" s="211">
        <v>8</v>
      </c>
      <c r="B14" s="583" t="str">
        <f>'KAOLANH AA INDO'!J4</f>
        <v>E. KAO LANH AA INDO</v>
      </c>
      <c r="C14" s="109" t="s">
        <v>193</v>
      </c>
      <c r="D14" s="619">
        <f>'KAOLANH AA INDO'!J8</f>
        <v>69608.33</v>
      </c>
      <c r="E14" s="620">
        <f>'KAOLANH AA INDO'!K8</f>
        <v>93434</v>
      </c>
      <c r="F14" s="619">
        <f>'KAOLANH AA INDO'!D40</f>
        <v>27000</v>
      </c>
      <c r="G14" s="620">
        <f>'KAOLANH AA INDO'!E40</f>
        <v>27000</v>
      </c>
      <c r="H14" s="619">
        <f>'KAOLANH AA INDO'!F40</f>
        <v>15512</v>
      </c>
      <c r="I14" s="620">
        <f>'KAOLANH AA INDO'!G40</f>
        <v>21039</v>
      </c>
      <c r="J14" s="619">
        <f t="shared" si="0"/>
        <v>81096.33</v>
      </c>
      <c r="K14" s="620">
        <f t="shared" si="0"/>
        <v>99395</v>
      </c>
      <c r="L14" s="582">
        <f t="shared" si="5"/>
        <v>912.47058823529414</v>
      </c>
      <c r="M14" s="777">
        <f t="shared" si="1"/>
        <v>88.875555054151619</v>
      </c>
      <c r="N14" s="292"/>
      <c r="O14" s="386" t="s">
        <v>335</v>
      </c>
      <c r="P14" s="97"/>
      <c r="Q14" s="97"/>
      <c r="R14" s="97"/>
    </row>
    <row r="15" spans="1:18" s="95" customFormat="1" ht="19.5" customHeight="1">
      <c r="A15" s="211">
        <v>9</v>
      </c>
      <c r="B15" s="583" t="str">
        <f>KAOLANHVCT04A!J4</f>
        <v>E. KAO LANH VCT04A</v>
      </c>
      <c r="C15" s="109" t="s">
        <v>193</v>
      </c>
      <c r="D15" s="619">
        <f>KAOLANHVCT04A!J8</f>
        <v>0</v>
      </c>
      <c r="E15" s="620">
        <f>KAOLANHVCT04A!K8</f>
        <v>0</v>
      </c>
      <c r="F15" s="619">
        <f>KAOLANHVCT04A!D40</f>
        <v>0</v>
      </c>
      <c r="G15" s="620">
        <f>KAOLANHVCT04A!E40</f>
        <v>0</v>
      </c>
      <c r="H15" s="619">
        <f>KAOLANHVCT04A!F40</f>
        <v>0</v>
      </c>
      <c r="I15" s="620">
        <f>KAOLANHVCT04A!G40</f>
        <v>0</v>
      </c>
      <c r="J15" s="619">
        <f t="shared" ref="J15" si="12">D15+F15-H15</f>
        <v>0</v>
      </c>
      <c r="K15" s="620">
        <f t="shared" ref="K15" si="13">E15+G15-I15</f>
        <v>0</v>
      </c>
      <c r="L15" s="582">
        <f t="shared" ref="L15" si="14">H15/$J$4</f>
        <v>0</v>
      </c>
      <c r="M15" s="777" t="e">
        <f t="shared" ref="M15" si="15">J15/L15</f>
        <v>#DIV/0!</v>
      </c>
      <c r="N15" s="292"/>
      <c r="O15" s="784" t="s">
        <v>1015</v>
      </c>
      <c r="P15" s="97"/>
      <c r="Q15" s="97"/>
      <c r="R15" s="97"/>
    </row>
    <row r="16" spans="1:18" s="95" customFormat="1" ht="19.5" customHeight="1">
      <c r="A16" s="211">
        <v>10</v>
      </c>
      <c r="B16" s="583" t="str">
        <f>'KAOLANH 168'!J4</f>
        <v>E. KAO LANH 168</v>
      </c>
      <c r="C16" s="109" t="s">
        <v>193</v>
      </c>
      <c r="D16" s="619">
        <f>'KAOLANH 168'!J8</f>
        <v>0</v>
      </c>
      <c r="E16" s="620">
        <f>'KAOLANH 168'!K8</f>
        <v>0</v>
      </c>
      <c r="F16" s="619">
        <f>'KAOLANH 168'!D40</f>
        <v>0</v>
      </c>
      <c r="G16" s="620">
        <f>'KAOLANH 168'!E40</f>
        <v>0</v>
      </c>
      <c r="H16" s="619">
        <f>'KAOLANH 168'!F40</f>
        <v>0</v>
      </c>
      <c r="I16" s="620">
        <f>'KAOLANH 168'!G40</f>
        <v>0</v>
      </c>
      <c r="J16" s="619">
        <f t="shared" ref="J16" si="16">D16+F16-H16</f>
        <v>0</v>
      </c>
      <c r="K16" s="620">
        <f t="shared" ref="K16" si="17">E16+G16-I16</f>
        <v>0</v>
      </c>
      <c r="L16" s="582">
        <f t="shared" ref="L16" si="18">H16/$J$4</f>
        <v>0</v>
      </c>
      <c r="M16" s="777" t="e">
        <f t="shared" ref="M16" si="19">J16/L16</f>
        <v>#DIV/0!</v>
      </c>
      <c r="N16" s="292"/>
      <c r="O16" s="784" t="s">
        <v>1033</v>
      </c>
      <c r="P16" s="97"/>
      <c r="Q16" s="97"/>
      <c r="R16" s="97"/>
    </row>
    <row r="17" spans="1:18" s="95" customFormat="1" ht="19.5" customHeight="1">
      <c r="A17" s="211">
        <v>11</v>
      </c>
      <c r="B17" s="583" t="str">
        <f>'TT KALI K200'!J4</f>
        <v>TRÀNG THẠCH KALI K200</v>
      </c>
      <c r="C17" s="109" t="s">
        <v>193</v>
      </c>
      <c r="D17" s="619">
        <f>'TT KALI K200'!D8</f>
        <v>67228</v>
      </c>
      <c r="E17" s="620">
        <f>'TT KALI K200'!E8</f>
        <v>67228</v>
      </c>
      <c r="F17" s="619">
        <f>'TT KALI K200'!D40</f>
        <v>56000</v>
      </c>
      <c r="G17" s="620">
        <f>'TT KALI K200'!E40</f>
        <v>56000</v>
      </c>
      <c r="H17" s="619">
        <f>'TT KALI K200'!F40</f>
        <v>20722</v>
      </c>
      <c r="I17" s="620">
        <f>'TT KALI K200'!G40</f>
        <v>20722</v>
      </c>
      <c r="J17" s="619">
        <f t="shared" si="0"/>
        <v>102506</v>
      </c>
      <c r="K17" s="620">
        <f t="shared" si="0"/>
        <v>102506</v>
      </c>
      <c r="L17" s="582">
        <f t="shared" si="5"/>
        <v>1218.9411764705883</v>
      </c>
      <c r="M17" s="777">
        <f t="shared" si="1"/>
        <v>84.094295917382482</v>
      </c>
      <c r="N17" s="292"/>
      <c r="O17" s="784" t="s">
        <v>1192</v>
      </c>
      <c r="P17" s="97"/>
      <c r="Q17" s="97"/>
      <c r="R17" s="97"/>
    </row>
    <row r="18" spans="1:18" s="95" customFormat="1" ht="19.5" customHeight="1">
      <c r="A18" s="211">
        <v>12</v>
      </c>
      <c r="B18" s="583" t="str">
        <f>'FRIT FT3'!J4</f>
        <v xml:space="preserve"> FT3</v>
      </c>
      <c r="C18" s="109" t="s">
        <v>193</v>
      </c>
      <c r="D18" s="619">
        <f>'FRIT FT3'!J8</f>
        <v>40803</v>
      </c>
      <c r="E18" s="620">
        <f>'FRIT FT3'!K8</f>
        <v>40803</v>
      </c>
      <c r="F18" s="619">
        <f>'FRIT FT3'!D40</f>
        <v>26000</v>
      </c>
      <c r="G18" s="620">
        <f>'FRIT FT3'!E40</f>
        <v>26000</v>
      </c>
      <c r="H18" s="619">
        <f>'FRIT FT3'!F40</f>
        <v>22356</v>
      </c>
      <c r="I18" s="620">
        <f>'FRIT FT3'!G40</f>
        <v>22356</v>
      </c>
      <c r="J18" s="619">
        <f t="shared" ref="J18" si="20">D18+F18-H18</f>
        <v>44447</v>
      </c>
      <c r="K18" s="620">
        <f t="shared" ref="K18" si="21">E18+G18-I18</f>
        <v>44447</v>
      </c>
      <c r="L18" s="582">
        <f t="shared" ref="L18" si="22">H18/$J$4</f>
        <v>1315.0588235294117</v>
      </c>
      <c r="M18" s="777">
        <f t="shared" ref="M18" si="23">J18/L18</f>
        <v>33.798488101628202</v>
      </c>
      <c r="N18" s="292"/>
      <c r="O18" s="784" t="s">
        <v>1007</v>
      </c>
      <c r="P18" s="97"/>
      <c r="Q18" s="97"/>
      <c r="R18" s="97"/>
    </row>
    <row r="19" spans="1:18" s="95" customFormat="1" ht="19.5" customHeight="1">
      <c r="A19" s="211">
        <v>13</v>
      </c>
      <c r="B19" s="583" t="str">
        <f>'P. FELDSPAR K200-AD'!J4</f>
        <v>P. FELDSPAR K200-AD</v>
      </c>
      <c r="C19" s="109" t="s">
        <v>193</v>
      </c>
      <c r="D19" s="619">
        <f>'P. FELDSPAR K200-AD'!J8</f>
        <v>0</v>
      </c>
      <c r="E19" s="620">
        <f>'P. FELDSPAR K200-AD'!K8</f>
        <v>0</v>
      </c>
      <c r="F19" s="619">
        <f>'P. FELDSPAR K200-AD'!D40</f>
        <v>0</v>
      </c>
      <c r="G19" s="620">
        <f>'P. FELDSPAR K200-AD'!E40</f>
        <v>0</v>
      </c>
      <c r="H19" s="619">
        <f>'P. FELDSPAR K200-AD'!F40</f>
        <v>0</v>
      </c>
      <c r="I19" s="620">
        <f>'P. FELDSPAR K200-AD'!G41</f>
        <v>0</v>
      </c>
      <c r="J19" s="619">
        <f t="shared" si="0"/>
        <v>0</v>
      </c>
      <c r="K19" s="620">
        <f t="shared" si="0"/>
        <v>0</v>
      </c>
      <c r="L19" s="582">
        <f t="shared" si="5"/>
        <v>0</v>
      </c>
      <c r="M19" s="777" t="e">
        <f t="shared" si="1"/>
        <v>#DIV/0!</v>
      </c>
      <c r="N19" s="292"/>
      <c r="O19" s="386" t="s">
        <v>220</v>
      </c>
      <c r="P19" s="97"/>
      <c r="Q19" s="97"/>
      <c r="R19" s="97"/>
    </row>
    <row r="20" spans="1:18" ht="19.5" customHeight="1">
      <c r="A20" s="211">
        <v>14</v>
      </c>
      <c r="B20" s="583" t="str">
        <f>'NHÔM ÔXIT AL2O3-HNP'!J4</f>
        <v>NHÔM ÔXIT Al2O3-HNP</v>
      </c>
      <c r="C20" s="109" t="str">
        <f>C11</f>
        <v>kg</v>
      </c>
      <c r="D20" s="619">
        <f>'NHÔM ÔXIT AL2O3-HNP'!J8</f>
        <v>8211</v>
      </c>
      <c r="E20" s="620">
        <f>'NHÔM ÔXIT AL2O3-HNP'!K8</f>
        <v>8211</v>
      </c>
      <c r="F20" s="619">
        <f>'NHÔM ÔXIT AL2O3-HNP'!D40</f>
        <v>5000</v>
      </c>
      <c r="G20" s="620">
        <f>'NHÔM ÔXIT AL2O3-HNP'!E40</f>
        <v>5000</v>
      </c>
      <c r="H20" s="619">
        <f>'NHÔM ÔXIT AL2O3-HNP'!F40</f>
        <v>3986</v>
      </c>
      <c r="I20" s="620">
        <f>'NHÔM ÔXIT AL2O3-HNP'!G40</f>
        <v>3986</v>
      </c>
      <c r="J20" s="619">
        <f>D20+F20-H20</f>
        <v>9225</v>
      </c>
      <c r="K20" s="620">
        <f>E20+G20-I20</f>
        <v>9225</v>
      </c>
      <c r="L20" s="582">
        <f>H20/$J$4</f>
        <v>234.47058823529412</v>
      </c>
      <c r="M20" s="777">
        <f t="shared" si="1"/>
        <v>39.343953838434523</v>
      </c>
      <c r="N20" s="292"/>
      <c r="O20" s="386" t="s">
        <v>321</v>
      </c>
    </row>
    <row r="21" spans="1:18" s="95" customFormat="1" ht="19.5" hidden="1" customHeight="1">
      <c r="A21" s="211">
        <v>15</v>
      </c>
      <c r="B21" s="583" t="str">
        <f>'BF043 '!J4</f>
        <v>E. GLAZE BF043-PV</v>
      </c>
      <c r="C21" s="109" t="s">
        <v>193</v>
      </c>
      <c r="D21" s="619">
        <f>'BF043 '!J8</f>
        <v>0</v>
      </c>
      <c r="E21" s="620">
        <f>'BF043 '!K8</f>
        <v>0</v>
      </c>
      <c r="F21" s="619">
        <f>'BF043 '!D40</f>
        <v>0</v>
      </c>
      <c r="G21" s="620">
        <f>'BF043 '!E40</f>
        <v>0</v>
      </c>
      <c r="H21" s="619">
        <f>'BF043 '!F40</f>
        <v>0</v>
      </c>
      <c r="I21" s="620">
        <f>'BF043 '!G40</f>
        <v>0</v>
      </c>
      <c r="J21" s="619">
        <f t="shared" ref="J21" si="24">D21+F21-H21</f>
        <v>0</v>
      </c>
      <c r="K21" s="620">
        <f>E21+G21-I21</f>
        <v>0</v>
      </c>
      <c r="L21" s="582">
        <f>H21/$J$4</f>
        <v>0</v>
      </c>
      <c r="M21" s="777" t="e">
        <f>J21/L21</f>
        <v>#DIV/0!</v>
      </c>
      <c r="N21" s="292"/>
      <c r="O21" s="386" t="s">
        <v>217</v>
      </c>
      <c r="P21" s="97"/>
      <c r="Q21" s="97"/>
      <c r="R21" s="97"/>
    </row>
    <row r="22" spans="1:18" s="95" customFormat="1" ht="19.5" customHeight="1">
      <c r="A22" s="211">
        <v>16</v>
      </c>
      <c r="B22" s="583" t="str">
        <f>'FRIT FV 090.540 - FTA'!J4</f>
        <v>FRIT FV090/540-FTA</v>
      </c>
      <c r="C22" s="109" t="s">
        <v>193</v>
      </c>
      <c r="D22" s="619">
        <f>'FRIT FV 090.540 - FTA'!J8</f>
        <v>521.47199999999998</v>
      </c>
      <c r="E22" s="620">
        <f>'FRIT FV 090.540 - FTA'!K8</f>
        <v>537.6</v>
      </c>
      <c r="F22" s="619">
        <f>'FRIT FV 090.540 - FTA'!D40</f>
        <v>0</v>
      </c>
      <c r="G22" s="620">
        <f>'FRIT FV 090.540 - FTA'!E40</f>
        <v>0</v>
      </c>
      <c r="H22" s="619">
        <f>'FRIT FV 090.540 - FTA'!F40</f>
        <v>0</v>
      </c>
      <c r="I22" s="620">
        <f>'FRIT FV 090.540 - FTA'!G40</f>
        <v>0</v>
      </c>
      <c r="J22" s="619">
        <f t="shared" si="0"/>
        <v>521.47199999999998</v>
      </c>
      <c r="K22" s="620">
        <f t="shared" si="0"/>
        <v>537.6</v>
      </c>
      <c r="L22" s="582">
        <f t="shared" si="5"/>
        <v>0</v>
      </c>
      <c r="M22" s="777" t="e">
        <f t="shared" ref="M22:M23" si="25">J22/L22</f>
        <v>#DIV/0!</v>
      </c>
      <c r="N22" s="292"/>
      <c r="O22" s="386" t="s">
        <v>215</v>
      </c>
      <c r="P22" s="97"/>
      <c r="Q22" s="97"/>
      <c r="R22" s="97"/>
    </row>
    <row r="23" spans="1:18" s="95" customFormat="1" ht="19.5" hidden="1" customHeight="1">
      <c r="A23" s="211">
        <v>11</v>
      </c>
      <c r="B23" s="583" t="str">
        <f>'FRIT 090.558 - FTA'!J4</f>
        <v>FRIT 090/558 - FTA</v>
      </c>
      <c r="C23" s="109" t="s">
        <v>193</v>
      </c>
      <c r="D23" s="619">
        <f>'FRIT 090.558 - FTA'!J8</f>
        <v>0</v>
      </c>
      <c r="E23" s="620">
        <f>'FRIT 090.558 - FTA'!K8</f>
        <v>0</v>
      </c>
      <c r="F23" s="619">
        <f>'FRIT 090.558 - FTA'!D40</f>
        <v>0</v>
      </c>
      <c r="G23" s="620">
        <f>'FRIT 090.558 - FTA'!E40</f>
        <v>0</v>
      </c>
      <c r="H23" s="619">
        <f>'FRIT 090.558 - FTA'!F40</f>
        <v>0</v>
      </c>
      <c r="I23" s="620">
        <f>'FRIT 090.558 - FTA'!G40</f>
        <v>0</v>
      </c>
      <c r="J23" s="619">
        <f>D23+F23-H23</f>
        <v>0</v>
      </c>
      <c r="K23" s="620">
        <f>E23+G23-I23</f>
        <v>0</v>
      </c>
      <c r="L23" s="582">
        <f t="shared" si="5"/>
        <v>0</v>
      </c>
      <c r="M23" s="777" t="e">
        <f t="shared" si="25"/>
        <v>#DIV/0!</v>
      </c>
      <c r="N23" s="292"/>
      <c r="O23" s="386" t="s">
        <v>219</v>
      </c>
      <c r="P23" s="97"/>
      <c r="Q23" s="97"/>
      <c r="R23" s="97"/>
    </row>
    <row r="24" spans="1:18" ht="19.5" customHeight="1">
      <c r="A24" s="356" t="s">
        <v>43</v>
      </c>
      <c r="B24" s="357" t="s">
        <v>44</v>
      </c>
      <c r="C24" s="294"/>
      <c r="D24" s="358" t="s">
        <v>49</v>
      </c>
      <c r="E24" s="358" t="s">
        <v>49</v>
      </c>
      <c r="F24" s="358" t="s">
        <v>49</v>
      </c>
      <c r="G24" s="358" t="s">
        <v>49</v>
      </c>
      <c r="H24" s="358" t="s">
        <v>49</v>
      </c>
      <c r="I24" s="358" t="s">
        <v>49</v>
      </c>
      <c r="J24" s="358" t="s">
        <v>49</v>
      </c>
      <c r="K24" s="358" t="s">
        <v>49</v>
      </c>
      <c r="L24" s="582"/>
      <c r="M24" s="777"/>
      <c r="N24" s="292"/>
      <c r="O24" s="386"/>
    </row>
    <row r="25" spans="1:18" ht="19.5" hidden="1" customHeight="1">
      <c r="A25" s="211">
        <v>1</v>
      </c>
      <c r="B25" s="583" t="str">
        <f>'FRIT 853-ACV'!J4</f>
        <v>FRIT 853- ACV</v>
      </c>
      <c r="C25" s="109" t="s">
        <v>193</v>
      </c>
      <c r="D25" s="619">
        <f>'FRIT 853-ACV'!J8</f>
        <v>0</v>
      </c>
      <c r="E25" s="620">
        <f>'FRIT 853-ACV'!K8</f>
        <v>0</v>
      </c>
      <c r="F25" s="619">
        <f>'FRIT 853-ACV'!D40</f>
        <v>0</v>
      </c>
      <c r="G25" s="620">
        <f>'FRIT 853-ACV'!E40</f>
        <v>0</v>
      </c>
      <c r="H25" s="619">
        <f>'FRIT 853-ACV'!F41</f>
        <v>0</v>
      </c>
      <c r="I25" s="620">
        <f>'FRIT 853-ACV'!G41</f>
        <v>0</v>
      </c>
      <c r="J25" s="619">
        <f>D25+F25-H25</f>
        <v>0</v>
      </c>
      <c r="K25" s="620">
        <f>E25+G25-I25</f>
        <v>0</v>
      </c>
      <c r="L25" s="582">
        <f>H25/$J$4</f>
        <v>0</v>
      </c>
      <c r="M25" s="777" t="e">
        <f t="shared" ref="M25:M45" si="26">J25/L25</f>
        <v>#DIV/0!</v>
      </c>
      <c r="N25" s="292"/>
      <c r="O25" s="386" t="s">
        <v>280</v>
      </c>
    </row>
    <row r="26" spans="1:18" ht="19.5" customHeight="1">
      <c r="A26" s="211">
        <v>2</v>
      </c>
      <c r="B26" s="583" t="str">
        <f>'FRIT 1089-ACV'!J4</f>
        <v>FRIT 1089-ACV</v>
      </c>
      <c r="C26" s="109" t="s">
        <v>193</v>
      </c>
      <c r="D26" s="619">
        <f>'FRIT 1089-ACV'!J8</f>
        <v>0</v>
      </c>
      <c r="E26" s="620">
        <f>'FRIT 1089-ACV'!K8</f>
        <v>0</v>
      </c>
      <c r="F26" s="619">
        <f>'FRIT 1089-ACV'!D40</f>
        <v>0</v>
      </c>
      <c r="G26" s="620">
        <f>'FRIT 1089-ACV'!E40</f>
        <v>0</v>
      </c>
      <c r="H26" s="619">
        <f>'FRIT 1089-ACV'!F40</f>
        <v>0</v>
      </c>
      <c r="I26" s="620">
        <f>'FRIT 1089-ACV'!G40</f>
        <v>0</v>
      </c>
      <c r="J26" s="619">
        <f>D26+F26-H26</f>
        <v>0</v>
      </c>
      <c r="K26" s="620">
        <f>E26+G26-I26</f>
        <v>0</v>
      </c>
      <c r="L26" s="582">
        <f>H26/$J$4</f>
        <v>0</v>
      </c>
      <c r="M26" s="777" t="e">
        <f t="shared" si="26"/>
        <v>#DIV/0!</v>
      </c>
      <c r="N26" s="292"/>
      <c r="O26" s="386" t="s">
        <v>372</v>
      </c>
    </row>
    <row r="27" spans="1:18" ht="19.5" customHeight="1">
      <c r="A27" s="211">
        <v>3</v>
      </c>
      <c r="B27" s="583" t="str">
        <f>'FRIT 502-ACV'!J4</f>
        <v>FRIT 502-ACV</v>
      </c>
      <c r="C27" s="109" t="s">
        <v>193</v>
      </c>
      <c r="D27" s="619">
        <f>'FRIT 502-ACV'!J8</f>
        <v>26577.645</v>
      </c>
      <c r="E27" s="620">
        <f>'FRIT 502-ACV'!K8</f>
        <v>26765</v>
      </c>
      <c r="F27" s="619">
        <f>'FRIT 502-ACV'!D40</f>
        <v>39165.937999999995</v>
      </c>
      <c r="G27" s="620">
        <f>'FRIT 502-ACV'!E40</f>
        <v>39732</v>
      </c>
      <c r="H27" s="619">
        <f>'FRIT 502-ACV'!F40</f>
        <v>38925</v>
      </c>
      <c r="I27" s="620">
        <f>'FRIT 502-ACV'!G40</f>
        <v>39387</v>
      </c>
      <c r="J27" s="619">
        <f>D27+F27-H27</f>
        <v>26818.582999999999</v>
      </c>
      <c r="K27" s="620">
        <f t="shared" ref="K27:K31" si="27">E27+G27-I27</f>
        <v>27110</v>
      </c>
      <c r="L27" s="582">
        <f t="shared" ref="L27:L30" si="28">H27/$J$4</f>
        <v>2289.705882352941</v>
      </c>
      <c r="M27" s="777">
        <f t="shared" si="26"/>
        <v>11.71267594091201</v>
      </c>
      <c r="N27" s="292"/>
      <c r="O27" s="784" t="s">
        <v>1132</v>
      </c>
    </row>
    <row r="28" spans="1:18" ht="19.5" customHeight="1">
      <c r="A28" s="211">
        <v>4</v>
      </c>
      <c r="B28" s="583" t="str">
        <f>'FRIT A528'!J4</f>
        <v>FRIT A528ACV</v>
      </c>
      <c r="C28" s="109" t="s">
        <v>193</v>
      </c>
      <c r="D28" s="619">
        <f>'FRIT A528'!J8</f>
        <v>0</v>
      </c>
      <c r="E28" s="620">
        <f>'FRIT A528'!K8</f>
        <v>0</v>
      </c>
      <c r="F28" s="619">
        <f>'FRIT A528'!D40</f>
        <v>0</v>
      </c>
      <c r="G28" s="620">
        <f>'FRIT A528'!E40</f>
        <v>0</v>
      </c>
      <c r="H28" s="619">
        <f>'FRIT A528'!F40</f>
        <v>0</v>
      </c>
      <c r="I28" s="620">
        <f>'FRIT A528'!G40</f>
        <v>0</v>
      </c>
      <c r="J28" s="619">
        <f>D28+F28-H28</f>
        <v>0</v>
      </c>
      <c r="K28" s="620">
        <f t="shared" si="27"/>
        <v>0</v>
      </c>
      <c r="L28" s="582">
        <f t="shared" si="28"/>
        <v>0</v>
      </c>
      <c r="M28" s="777" t="e">
        <f t="shared" si="26"/>
        <v>#DIV/0!</v>
      </c>
      <c r="N28" s="292"/>
      <c r="O28" s="784" t="s">
        <v>474</v>
      </c>
    </row>
    <row r="29" spans="1:18" ht="19.5" customHeight="1">
      <c r="A29" s="211">
        <v>5</v>
      </c>
      <c r="B29" s="583" t="str">
        <f>'FRIT 856'!J4</f>
        <v>FRIT 856</v>
      </c>
      <c r="C29" s="109" t="s">
        <v>193</v>
      </c>
      <c r="D29" s="619">
        <f>'FRIT 856'!J8</f>
        <v>26762.514999999999</v>
      </c>
      <c r="E29" s="620">
        <f>'FRIT 856'!K8</f>
        <v>26897</v>
      </c>
      <c r="F29" s="619">
        <f>'FRIT 856'!D40</f>
        <v>37070.106</v>
      </c>
      <c r="G29" s="620">
        <f>'FRIT 856'!E40</f>
        <v>37383</v>
      </c>
      <c r="H29" s="619">
        <f>'FRIT 856'!F40</f>
        <v>28080</v>
      </c>
      <c r="I29" s="620">
        <f>'FRIT 856'!G40</f>
        <v>28266</v>
      </c>
      <c r="J29" s="619">
        <f>D29+F29-H29</f>
        <v>35752.620999999999</v>
      </c>
      <c r="K29" s="620">
        <f t="shared" ref="K29" si="29">E29+G29-I29</f>
        <v>36014</v>
      </c>
      <c r="L29" s="582">
        <f t="shared" ref="L29" si="30">H29/$J$4</f>
        <v>1651.7647058823529</v>
      </c>
      <c r="M29" s="777">
        <f t="shared" ref="M29" si="31">J29/L29</f>
        <v>21.645105306267805</v>
      </c>
      <c r="N29" s="292"/>
      <c r="O29" s="784" t="s">
        <v>900</v>
      </c>
    </row>
    <row r="30" spans="1:18" ht="19.5" hidden="1" customHeight="1">
      <c r="A30" s="211">
        <v>6</v>
      </c>
      <c r="B30" s="583" t="str">
        <f>'FRIT HGT03-FHG'!J4</f>
        <v>FRIT HGT03-FHG</v>
      </c>
      <c r="C30" s="109" t="str">
        <f>C35</f>
        <v>kg</v>
      </c>
      <c r="D30" s="619">
        <f>'FRIT HGT03-FHG'!J8</f>
        <v>0</v>
      </c>
      <c r="E30" s="620">
        <f>'FRIT HGT03-FHG'!K8</f>
        <v>0</v>
      </c>
      <c r="F30" s="619">
        <f>'FRIT HGT03-FHG'!D40</f>
        <v>0</v>
      </c>
      <c r="G30" s="620">
        <f>'FRIT HGT03-FHG'!E40</f>
        <v>0</v>
      </c>
      <c r="H30" s="619">
        <f>'FRIT HGT03-FHG'!F41</f>
        <v>0</v>
      </c>
      <c r="I30" s="620">
        <f>'FRIT HGT03-FHG'!G41</f>
        <v>0</v>
      </c>
      <c r="J30" s="619">
        <f t="shared" ref="J30:J46" si="32">D30+F30-H30</f>
        <v>0</v>
      </c>
      <c r="K30" s="620">
        <f t="shared" si="27"/>
        <v>0</v>
      </c>
      <c r="L30" s="582">
        <f t="shared" si="28"/>
        <v>0</v>
      </c>
      <c r="M30" s="777" t="e">
        <f t="shared" si="26"/>
        <v>#DIV/0!</v>
      </c>
      <c r="N30" s="292"/>
      <c r="O30" s="386" t="s">
        <v>323</v>
      </c>
    </row>
    <row r="31" spans="1:18" ht="19.5" customHeight="1">
      <c r="A31" s="211">
        <v>7</v>
      </c>
      <c r="B31" s="583" t="str">
        <f>'FRIT VFT03'!J4</f>
        <v>FRIT VFT03</v>
      </c>
      <c r="C31" s="109" t="str">
        <f>C37</f>
        <v>kg</v>
      </c>
      <c r="D31" s="619">
        <f>'FRIT VFT03'!J8</f>
        <v>0</v>
      </c>
      <c r="E31" s="620">
        <f>'FRIT VFT03'!K8</f>
        <v>0</v>
      </c>
      <c r="F31" s="619">
        <f>'FRIT VFT03'!D40</f>
        <v>0</v>
      </c>
      <c r="G31" s="620">
        <f>'FRIT VFT03'!E40</f>
        <v>0</v>
      </c>
      <c r="H31" s="619">
        <f>'FRIT VFT03'!F40</f>
        <v>0</v>
      </c>
      <c r="I31" s="620">
        <f>'FRIT VFT03'!G40</f>
        <v>0</v>
      </c>
      <c r="J31" s="619">
        <f t="shared" si="32"/>
        <v>0</v>
      </c>
      <c r="K31" s="620">
        <f t="shared" si="27"/>
        <v>0</v>
      </c>
      <c r="L31" s="582">
        <f>H31/$J$4</f>
        <v>0</v>
      </c>
      <c r="M31" s="777" t="e">
        <f t="shared" si="26"/>
        <v>#DIV/0!</v>
      </c>
      <c r="N31" s="292"/>
      <c r="O31" s="784" t="s">
        <v>468</v>
      </c>
    </row>
    <row r="32" spans="1:18" ht="19.5" customHeight="1">
      <c r="A32" s="211">
        <v>8</v>
      </c>
      <c r="B32" s="583" t="str">
        <f>'FRIT A609'!J4</f>
        <v>FRIT A609</v>
      </c>
      <c r="C32" s="109" t="str">
        <f>C38</f>
        <v>kg</v>
      </c>
      <c r="D32" s="619">
        <f>'FRIT A609'!J8</f>
        <v>16875.161</v>
      </c>
      <c r="E32" s="620">
        <f>'FRIT A609'!K8</f>
        <v>17167</v>
      </c>
      <c r="F32" s="619">
        <f>'FRIT A609'!D40</f>
        <v>64907.18</v>
      </c>
      <c r="G32" s="620">
        <f>'FRIT A609'!E40</f>
        <v>64982</v>
      </c>
      <c r="H32" s="619">
        <f>'FRIT A609'!F40</f>
        <v>24120</v>
      </c>
      <c r="I32" s="620">
        <f>'FRIT A609'!G40</f>
        <v>24313</v>
      </c>
      <c r="J32" s="619">
        <f t="shared" si="32"/>
        <v>57662.341</v>
      </c>
      <c r="K32" s="620">
        <f t="shared" ref="K32:K48" si="33">E32+G32-I32</f>
        <v>57836</v>
      </c>
      <c r="L32" s="582">
        <f t="shared" ref="L32" si="34">H32/$J$4</f>
        <v>1418.8235294117646</v>
      </c>
      <c r="M32" s="777">
        <f t="shared" si="26"/>
        <v>40.640953441127699</v>
      </c>
      <c r="N32" s="292"/>
      <c r="O32" s="784" t="s">
        <v>1130</v>
      </c>
    </row>
    <row r="33" spans="1:15" ht="19.5" customHeight="1">
      <c r="A33" s="211">
        <v>9</v>
      </c>
      <c r="B33" s="584" t="str">
        <f>'FRIT VO22'!J4</f>
        <v>FRIT VO22 - VITTO</v>
      </c>
      <c r="C33" s="109" t="str">
        <f>C39</f>
        <v>kg</v>
      </c>
      <c r="D33" s="619">
        <f>'FRIT VO22'!J8</f>
        <v>257.80799999999999</v>
      </c>
      <c r="E33" s="620">
        <f>'FRIT VO22'!K8</f>
        <v>262</v>
      </c>
      <c r="F33" s="619">
        <f>'FRIT VO22'!D40</f>
        <v>0</v>
      </c>
      <c r="G33" s="620">
        <f>'FRIT VO22'!E40</f>
        <v>0</v>
      </c>
      <c r="H33" s="619">
        <f>'FRIT VO22'!F40</f>
        <v>0</v>
      </c>
      <c r="I33" s="620">
        <f>'FRIT VO22'!G40</f>
        <v>0</v>
      </c>
      <c r="J33" s="619">
        <f t="shared" ref="J33" si="35">D33+F33-H33</f>
        <v>257.80799999999999</v>
      </c>
      <c r="K33" s="620">
        <f t="shared" ref="K33" si="36">E33+G33-I33</f>
        <v>262</v>
      </c>
      <c r="L33" s="582">
        <f t="shared" ref="L33" si="37">H33/$J$4</f>
        <v>0</v>
      </c>
      <c r="M33" s="777" t="e">
        <f t="shared" ref="M33" si="38">J33/L33</f>
        <v>#DIV/0!</v>
      </c>
      <c r="N33" s="292"/>
      <c r="O33" s="784" t="s">
        <v>902</v>
      </c>
    </row>
    <row r="34" spans="1:15" ht="19.5" customHeight="1">
      <c r="A34" s="211">
        <v>10</v>
      </c>
      <c r="B34" s="583" t="str">
        <f>'KAOLIN 1C-IMR'!J4</f>
        <v>KAOLINOR 1C-VT</v>
      </c>
      <c r="C34" s="109" t="str">
        <f t="shared" ref="C34" si="39">C39</f>
        <v>kg</v>
      </c>
      <c r="D34" s="619">
        <f>'KAOLIN 1C-IMR'!J8</f>
        <v>25055.64</v>
      </c>
      <c r="E34" s="620">
        <f>'KAOLIN 1C-IMR'!K8</f>
        <v>28440</v>
      </c>
      <c r="F34" s="619">
        <f>'KAOLIN 1C-IMR'!D40</f>
        <v>0</v>
      </c>
      <c r="G34" s="620">
        <f>'KAOLIN 1C-IMR'!E40</f>
        <v>0</v>
      </c>
      <c r="H34" s="619">
        <f>'KAOLIN 1C-IMR'!F40</f>
        <v>0</v>
      </c>
      <c r="I34" s="620">
        <f>'KAOLIN 1C-IMR'!G40</f>
        <v>0</v>
      </c>
      <c r="J34" s="619">
        <f t="shared" si="32"/>
        <v>25055.64</v>
      </c>
      <c r="K34" s="620">
        <f t="shared" si="33"/>
        <v>28440</v>
      </c>
      <c r="L34" s="582">
        <f t="shared" ref="L34:L48" si="40">H34/$J$4</f>
        <v>0</v>
      </c>
      <c r="M34" s="777" t="e">
        <f t="shared" si="26"/>
        <v>#DIV/0!</v>
      </c>
      <c r="N34" s="292"/>
      <c r="O34" s="386" t="s">
        <v>63</v>
      </c>
    </row>
    <row r="35" spans="1:15" ht="19.5" customHeight="1">
      <c r="A35" s="211">
        <v>11</v>
      </c>
      <c r="B35" s="583" t="str">
        <f>'ZIRCON ZS012-LGP'!J4</f>
        <v>ZIRCON ZS012-LGP</v>
      </c>
      <c r="C35" s="109" t="s">
        <v>193</v>
      </c>
      <c r="D35" s="619">
        <f>'ZIRCON ZS012-LGP'!J8</f>
        <v>0</v>
      </c>
      <c r="E35" s="620">
        <f>'ZIRCON ZS012-LGP'!K8</f>
        <v>0</v>
      </c>
      <c r="F35" s="619">
        <f>'ZIRCON ZS012-LGP'!D40</f>
        <v>0</v>
      </c>
      <c r="G35" s="620">
        <f>'ZIRCON ZS012-LGP'!E40</f>
        <v>0</v>
      </c>
      <c r="H35" s="619">
        <f>'ZIRCON ZS012-LGP'!F40</f>
        <v>0</v>
      </c>
      <c r="I35" s="620">
        <f>'ZIRCON ZS012-LGP'!G40</f>
        <v>0</v>
      </c>
      <c r="J35" s="619">
        <f t="shared" si="32"/>
        <v>0</v>
      </c>
      <c r="K35" s="620">
        <f t="shared" si="33"/>
        <v>0</v>
      </c>
      <c r="L35" s="582">
        <f t="shared" si="40"/>
        <v>0</v>
      </c>
      <c r="M35" s="777" t="e">
        <f t="shared" si="26"/>
        <v>#DIV/0!</v>
      </c>
      <c r="N35" s="292"/>
      <c r="O35" s="386" t="s">
        <v>324</v>
      </c>
    </row>
    <row r="36" spans="1:15" ht="19.5" customHeight="1">
      <c r="A36" s="211">
        <v>12</v>
      </c>
      <c r="B36" s="583" t="str">
        <f>'ZIRCON ZS08'!J4</f>
        <v>ZIRCON ZS08 (0016)</v>
      </c>
      <c r="C36" s="109" t="s">
        <v>193</v>
      </c>
      <c r="D36" s="619">
        <f>'ZIRCON ZS08'!J8</f>
        <v>4566</v>
      </c>
      <c r="E36" s="620">
        <f>'ZIRCON ZS08'!K8</f>
        <v>4566</v>
      </c>
      <c r="F36" s="619">
        <f>'ZIRCON ZS08'!D40</f>
        <v>3564</v>
      </c>
      <c r="G36" s="620">
        <f>'ZIRCON ZS08'!E40</f>
        <v>3600</v>
      </c>
      <c r="H36" s="619">
        <f>'ZIRCON ZS08'!F40</f>
        <v>2352</v>
      </c>
      <c r="I36" s="620">
        <f>'ZIRCON ZS08'!G40</f>
        <v>2352</v>
      </c>
      <c r="J36" s="619">
        <f t="shared" ref="J36" si="41">D36+F36-H36</f>
        <v>5778</v>
      </c>
      <c r="K36" s="620">
        <f t="shared" ref="K36" si="42">E36+G36-I36</f>
        <v>5814</v>
      </c>
      <c r="L36" s="582">
        <f t="shared" ref="L36" si="43">H36/$J$4</f>
        <v>138.35294117647058</v>
      </c>
      <c r="M36" s="777">
        <f t="shared" ref="M36" si="44">J36/L36</f>
        <v>41.762755102040821</v>
      </c>
      <c r="N36" s="292"/>
      <c r="O36" s="784" t="s">
        <v>1008</v>
      </c>
    </row>
    <row r="37" spans="1:15" ht="19.5" customHeight="1">
      <c r="A37" s="211">
        <v>13</v>
      </c>
      <c r="B37" s="583" t="str">
        <f>'CMC C20'!J4</f>
        <v>CMC C20-TQ</v>
      </c>
      <c r="C37" s="109" t="s">
        <v>193</v>
      </c>
      <c r="D37" s="619">
        <f>'CMC C20'!J8</f>
        <v>0</v>
      </c>
      <c r="E37" s="620">
        <f>'CMC C20'!K8</f>
        <v>0</v>
      </c>
      <c r="F37" s="619">
        <f>'CMC C20'!D40</f>
        <v>0</v>
      </c>
      <c r="G37" s="620">
        <f>'CMC C20'!E40</f>
        <v>0</v>
      </c>
      <c r="H37" s="619">
        <f>'CMC C20'!F40</f>
        <v>0</v>
      </c>
      <c r="I37" s="620">
        <f>'CMC C20'!G40</f>
        <v>0</v>
      </c>
      <c r="J37" s="619">
        <f t="shared" ref="J37:K39" si="45">D37+F37-H37</f>
        <v>0</v>
      </c>
      <c r="K37" s="620">
        <f t="shared" si="45"/>
        <v>0</v>
      </c>
      <c r="L37" s="582">
        <f>H37/$J$4</f>
        <v>0</v>
      </c>
      <c r="M37" s="777" t="e">
        <f>J37/L37</f>
        <v>#DIV/0!</v>
      </c>
      <c r="N37" s="292"/>
      <c r="O37" s="386" t="s">
        <v>325</v>
      </c>
    </row>
    <row r="38" spans="1:15" ht="19.5" customHeight="1">
      <c r="A38" s="211">
        <v>14</v>
      </c>
      <c r="B38" s="583" t="str">
        <f>'STTP-HNP'!J4</f>
        <v>STTP-HNP</v>
      </c>
      <c r="C38" s="109" t="str">
        <f>C47</f>
        <v>kg</v>
      </c>
      <c r="D38" s="619">
        <f>'STTP-HNP'!J8</f>
        <v>6453.9</v>
      </c>
      <c r="E38" s="620">
        <f>'STTP-HNP'!K8</f>
        <v>6453.9</v>
      </c>
      <c r="F38" s="619">
        <f>'STTP-HNP'!D40</f>
        <v>1000</v>
      </c>
      <c r="G38" s="620">
        <f>'STTP-HNP'!E40</f>
        <v>1000</v>
      </c>
      <c r="H38" s="619">
        <f>'STTP-HNP'!F40</f>
        <v>2160.4999999999995</v>
      </c>
      <c r="I38" s="620">
        <f>'STTP-HNP'!G40</f>
        <v>2160.4999999999995</v>
      </c>
      <c r="J38" s="619">
        <f t="shared" si="45"/>
        <v>5293.4</v>
      </c>
      <c r="K38" s="620">
        <f t="shared" si="45"/>
        <v>5293.4</v>
      </c>
      <c r="L38" s="582">
        <f>H38/$J$4</f>
        <v>127.08823529411762</v>
      </c>
      <c r="M38" s="777">
        <f>J38/L38</f>
        <v>41.651376996065729</v>
      </c>
      <c r="N38" s="292"/>
      <c r="O38" s="386" t="s">
        <v>62</v>
      </c>
    </row>
    <row r="39" spans="1:15" ht="19.5" customHeight="1">
      <c r="A39" s="211">
        <v>15</v>
      </c>
      <c r="B39" s="583" t="str">
        <f>'ROCIMA 623-HVC'!J4</f>
        <v>ROCIMA 623-HVC</v>
      </c>
      <c r="C39" s="109" t="str">
        <f>C30</f>
        <v>kg</v>
      </c>
      <c r="D39" s="619">
        <f>'ROCIMA 623-HVC'!J8</f>
        <v>0</v>
      </c>
      <c r="E39" s="620">
        <f>'ROCIMA 623-HVC'!K8</f>
        <v>0</v>
      </c>
      <c r="F39" s="619">
        <f>'ROCIMA 623-HVC'!D40</f>
        <v>0</v>
      </c>
      <c r="G39" s="620">
        <f>'ROCIMA 623-HVC'!E40</f>
        <v>0</v>
      </c>
      <c r="H39" s="619">
        <f>'ROCIMA 623-HVC'!F40</f>
        <v>0</v>
      </c>
      <c r="I39" s="620">
        <f>'ROCIMA 623-HVC'!G40</f>
        <v>0</v>
      </c>
      <c r="J39" s="619">
        <f t="shared" si="45"/>
        <v>0</v>
      </c>
      <c r="K39" s="620">
        <f t="shared" si="45"/>
        <v>0</v>
      </c>
      <c r="L39" s="582">
        <f>H39/$J$4</f>
        <v>0</v>
      </c>
      <c r="M39" s="777" t="e">
        <f>J39/L39</f>
        <v>#DIV/0!</v>
      </c>
      <c r="N39" s="292"/>
      <c r="O39" s="386" t="s">
        <v>326</v>
      </c>
    </row>
    <row r="40" spans="1:15" ht="19.5" customHeight="1">
      <c r="A40" s="211">
        <v>16</v>
      </c>
      <c r="B40" s="583" t="str">
        <f>'PROMEX CHS4'!J4</f>
        <v>PROMEX CHS4</v>
      </c>
      <c r="C40" s="109" t="str">
        <f>C31</f>
        <v>kg</v>
      </c>
      <c r="D40" s="619">
        <f>'PROMEX CHS4'!J8</f>
        <v>1657.8</v>
      </c>
      <c r="E40" s="620">
        <f>'PROMEX CHS4'!K8</f>
        <v>1657.8</v>
      </c>
      <c r="F40" s="619">
        <f>'PROMEX CHS4'!D40</f>
        <v>0</v>
      </c>
      <c r="G40" s="620">
        <f>'PROMEX CHS4'!E40</f>
        <v>0</v>
      </c>
      <c r="H40" s="619">
        <f>'PROMEX CHS4'!F40</f>
        <v>467.2999999999999</v>
      </c>
      <c r="I40" s="620">
        <f>'PROMEX CHS4'!G40</f>
        <v>467.2999999999999</v>
      </c>
      <c r="J40" s="619">
        <f t="shared" ref="J40:J41" si="46">D40+F40-H40</f>
        <v>1190.5</v>
      </c>
      <c r="K40" s="620">
        <f t="shared" ref="K40:K41" si="47">E40+G40-I40</f>
        <v>1190.5</v>
      </c>
      <c r="L40" s="582">
        <f t="shared" ref="L40:L41" si="48">H40/$J$4</f>
        <v>27.48823529411764</v>
      </c>
      <c r="M40" s="777">
        <f t="shared" ref="M40:M41" si="49">J40/L40</f>
        <v>43.309437192381779</v>
      </c>
      <c r="N40" s="292"/>
      <c r="O40" s="784" t="s">
        <v>1220</v>
      </c>
    </row>
    <row r="41" spans="1:15" ht="19.5" customHeight="1">
      <c r="A41" s="211">
        <v>17</v>
      </c>
      <c r="B41" s="583" t="str">
        <f>'DEF 305'!J4</f>
        <v>DEF-305</v>
      </c>
      <c r="C41" s="109" t="s">
        <v>193</v>
      </c>
      <c r="D41" s="619">
        <f>'DEF 305'!J8</f>
        <v>0</v>
      </c>
      <c r="E41" s="620">
        <f>'DEF 305'!K8</f>
        <v>0</v>
      </c>
      <c r="F41" s="619">
        <f>'DEF 305'!D40</f>
        <v>1000</v>
      </c>
      <c r="G41" s="620">
        <f>'DEF 305'!E40</f>
        <v>1000</v>
      </c>
      <c r="H41" s="619">
        <f>'DEF 305'!F40</f>
        <v>0</v>
      </c>
      <c r="I41" s="620">
        <f>'DEF 305'!G40</f>
        <v>0</v>
      </c>
      <c r="J41" s="619">
        <f t="shared" si="46"/>
        <v>1000</v>
      </c>
      <c r="K41" s="620">
        <f t="shared" si="47"/>
        <v>1000</v>
      </c>
      <c r="L41" s="582">
        <f t="shared" si="48"/>
        <v>0</v>
      </c>
      <c r="M41" s="777" t="e">
        <f t="shared" si="49"/>
        <v>#DIV/0!</v>
      </c>
      <c r="N41" s="292"/>
      <c r="O41" s="386" t="s">
        <v>367</v>
      </c>
    </row>
    <row r="42" spans="1:15" ht="19.5" customHeight="1">
      <c r="A42" s="211">
        <v>18</v>
      </c>
      <c r="B42" s="583" t="str">
        <f>'CMC T26'!J4</f>
        <v>CMC T26 (VISCOLOSE 2000)</v>
      </c>
      <c r="C42" s="109" t="s">
        <v>193</v>
      </c>
      <c r="D42" s="619">
        <f>'CMC T26'!J8</f>
        <v>0</v>
      </c>
      <c r="E42" s="620">
        <f>'CMC T26'!K8</f>
        <v>0</v>
      </c>
      <c r="F42" s="619">
        <f>'CMC T26'!D40</f>
        <v>0</v>
      </c>
      <c r="G42" s="620">
        <f>'CMC T26'!E40</f>
        <v>0</v>
      </c>
      <c r="H42" s="619">
        <f>'CMC T26'!F40</f>
        <v>0</v>
      </c>
      <c r="I42" s="620">
        <f>'CMC T26'!G40</f>
        <v>0</v>
      </c>
      <c r="J42" s="619">
        <f t="shared" si="32"/>
        <v>0</v>
      </c>
      <c r="K42" s="620">
        <f t="shared" si="33"/>
        <v>0</v>
      </c>
      <c r="L42" s="582">
        <f t="shared" si="40"/>
        <v>0</v>
      </c>
      <c r="M42" s="777" t="e">
        <f t="shared" si="26"/>
        <v>#DIV/0!</v>
      </c>
      <c r="N42" s="292"/>
      <c r="O42" s="784" t="s">
        <v>463</v>
      </c>
    </row>
    <row r="43" spans="1:15" ht="19.5" customHeight="1">
      <c r="A43" s="211">
        <v>19</v>
      </c>
      <c r="B43" s="583" t="str">
        <f>'CMC USK 60 THT'!J4</f>
        <v>CMC USK 60 THT</v>
      </c>
      <c r="C43" s="109" t="s">
        <v>193</v>
      </c>
      <c r="D43" s="619">
        <f>'CMC USK 60 THT'!J8</f>
        <v>954.4</v>
      </c>
      <c r="E43" s="620">
        <f>'CMC USK 60 THT'!K8</f>
        <v>954.4</v>
      </c>
      <c r="F43" s="619">
        <f>'CMC USK 60 THT'!D40</f>
        <v>1000</v>
      </c>
      <c r="G43" s="620">
        <f>'CMC USK 60 THT'!E40</f>
        <v>1000</v>
      </c>
      <c r="H43" s="619">
        <f>'CMC USK 60 THT'!F40</f>
        <v>354.29999999999995</v>
      </c>
      <c r="I43" s="620">
        <f>'CMC USK 60 THT'!G40</f>
        <v>354.29999999999995</v>
      </c>
      <c r="J43" s="619">
        <f t="shared" ref="J43" si="50">D43+F43-H43</f>
        <v>1600.1000000000001</v>
      </c>
      <c r="K43" s="620">
        <f t="shared" ref="K43" si="51">E43+G43-I43</f>
        <v>1600.1000000000001</v>
      </c>
      <c r="L43" s="582">
        <f t="shared" ref="L43" si="52">H43/$J$4</f>
        <v>20.841176470588234</v>
      </c>
      <c r="M43" s="777">
        <f t="shared" ref="M43" si="53">J43/L43</f>
        <v>76.775896133220442</v>
      </c>
      <c r="N43" s="292"/>
      <c r="O43" s="784" t="s">
        <v>1010</v>
      </c>
    </row>
    <row r="44" spans="1:15" ht="19.5" customHeight="1">
      <c r="A44" s="211">
        <v>20</v>
      </c>
      <c r="B44" s="583" t="str">
        <f>'CMC S50'!J4</f>
        <v>CMC S50</v>
      </c>
      <c r="C44" s="109" t="s">
        <v>193</v>
      </c>
      <c r="D44" s="619">
        <f>'CMC S50'!K8</f>
        <v>810</v>
      </c>
      <c r="E44" s="620">
        <f>'CMC S50'!K8</f>
        <v>810</v>
      </c>
      <c r="F44" s="619">
        <f>'CMC S50'!D40</f>
        <v>0</v>
      </c>
      <c r="G44" s="620">
        <f>'CMC S50'!E40</f>
        <v>0</v>
      </c>
      <c r="H44" s="619">
        <f>'CMC S50'!F40</f>
        <v>0</v>
      </c>
      <c r="I44" s="620">
        <f>'CMC S50'!G40</f>
        <v>0</v>
      </c>
      <c r="J44" s="619">
        <f t="shared" si="32"/>
        <v>810</v>
      </c>
      <c r="K44" s="620">
        <f t="shared" si="33"/>
        <v>810</v>
      </c>
      <c r="L44" s="582">
        <f t="shared" si="40"/>
        <v>0</v>
      </c>
      <c r="M44" s="777" t="e">
        <f t="shared" si="26"/>
        <v>#DIV/0!</v>
      </c>
      <c r="N44" s="292"/>
      <c r="O44" s="386" t="s">
        <v>331</v>
      </c>
    </row>
    <row r="45" spans="1:15" ht="19.5" customHeight="1">
      <c r="A45" s="211">
        <v>21</v>
      </c>
      <c r="B45" s="583" t="str">
        <f>'CMC G30'!J4</f>
        <v>CMC G30</v>
      </c>
      <c r="C45" s="109" t="s">
        <v>193</v>
      </c>
      <c r="D45" s="619">
        <f>'CMC G30'!J8</f>
        <v>0</v>
      </c>
      <c r="E45" s="620">
        <f>'CMC G30'!K8</f>
        <v>0</v>
      </c>
      <c r="F45" s="619">
        <f>'CMC G30'!D40</f>
        <v>0</v>
      </c>
      <c r="G45" s="620">
        <f>'CMC G30'!E40</f>
        <v>0</v>
      </c>
      <c r="H45" s="619">
        <f>'CMC G30'!F40</f>
        <v>0</v>
      </c>
      <c r="I45" s="620">
        <f>'CMC G30'!G40</f>
        <v>0</v>
      </c>
      <c r="J45" s="619">
        <f t="shared" si="32"/>
        <v>0</v>
      </c>
      <c r="K45" s="620">
        <f t="shared" si="33"/>
        <v>0</v>
      </c>
      <c r="L45" s="582">
        <f t="shared" si="40"/>
        <v>0</v>
      </c>
      <c r="M45" s="777" t="e">
        <f t="shared" si="26"/>
        <v>#DIV/0!</v>
      </c>
      <c r="N45" s="292"/>
      <c r="O45" s="784" t="s">
        <v>452</v>
      </c>
    </row>
    <row r="46" spans="1:15" ht="19.5" hidden="1" customHeight="1">
      <c r="A46" s="211">
        <v>18</v>
      </c>
      <c r="B46" s="583" t="str">
        <f>'ZIRCON ZRD5M'!J4</f>
        <v>ZIRCON ZRD5M</v>
      </c>
      <c r="C46" s="109" t="s">
        <v>193</v>
      </c>
      <c r="D46" s="619">
        <f>'ZIRCON ZRD5M'!J8</f>
        <v>0</v>
      </c>
      <c r="E46" s="620">
        <f>'ZIRCON ZRD5M'!K8</f>
        <v>0</v>
      </c>
      <c r="F46" s="619">
        <f>'ZIRCON ZRD5M'!D40</f>
        <v>0</v>
      </c>
      <c r="G46" s="620">
        <f>'ZIRCON ZRD5M'!E40</f>
        <v>0</v>
      </c>
      <c r="H46" s="619">
        <f>'ZIRCON ZRD5M'!F40</f>
        <v>0</v>
      </c>
      <c r="I46" s="620">
        <f>'ZIRCON ZRD5M'!G40</f>
        <v>0</v>
      </c>
      <c r="J46" s="619">
        <f t="shared" si="32"/>
        <v>0</v>
      </c>
      <c r="K46" s="620">
        <f>E46+G46-I46</f>
        <v>0</v>
      </c>
      <c r="L46" s="582">
        <f>H46/$J$4</f>
        <v>0</v>
      </c>
      <c r="M46" s="777" t="e">
        <f>J46/L46</f>
        <v>#DIV/0!</v>
      </c>
      <c r="N46" s="292"/>
      <c r="O46" s="386" t="s">
        <v>338</v>
      </c>
    </row>
    <row r="47" spans="1:15" ht="19.5" hidden="1" customHeight="1">
      <c r="A47" s="211">
        <v>19</v>
      </c>
      <c r="B47" s="583" t="str">
        <f>'FRIT VF1101N.A-VNF'!J4</f>
        <v>FRIT VF1101N/A-VNF</v>
      </c>
      <c r="C47" s="109" t="str">
        <f>C11</f>
        <v>kg</v>
      </c>
      <c r="D47" s="619">
        <f>'FRIT VF1101N.A-VNF'!J8</f>
        <v>0</v>
      </c>
      <c r="E47" s="620">
        <f>'FRIT VF1101N.A-VNF'!K8</f>
        <v>0</v>
      </c>
      <c r="F47" s="619">
        <f>'FRIT VF1101N.A-VNF'!D40</f>
        <v>0</v>
      </c>
      <c r="G47" s="620">
        <f>'FRIT VF1101N.A-VNF'!E40</f>
        <v>0</v>
      </c>
      <c r="H47" s="619">
        <f>'FRIT VF1101N.A-VNF'!F40</f>
        <v>0</v>
      </c>
      <c r="I47" s="620">
        <f>'FRIT VF1101N.A-VNF'!G40</f>
        <v>0</v>
      </c>
      <c r="J47" s="619">
        <f>D47+F47-H47</f>
        <v>0</v>
      </c>
      <c r="K47" s="620">
        <f t="shared" si="33"/>
        <v>0</v>
      </c>
      <c r="L47" s="582">
        <f t="shared" si="40"/>
        <v>0</v>
      </c>
      <c r="M47" s="777" t="e">
        <f t="shared" ref="M47:M48" si="54">J47/L47</f>
        <v>#DIV/0!</v>
      </c>
      <c r="N47" s="292"/>
      <c r="O47" s="386" t="s">
        <v>61</v>
      </c>
    </row>
    <row r="48" spans="1:15" ht="19.5" hidden="1" customHeight="1">
      <c r="A48" s="211">
        <v>20</v>
      </c>
      <c r="B48" s="583" t="str">
        <f>'FRIT PT02-PĐ'!J4</f>
        <v>FRIT PT02-PD</v>
      </c>
      <c r="C48" s="109" t="str">
        <f>C19</f>
        <v>kg</v>
      </c>
      <c r="D48" s="619">
        <f>'FRIT PT02-PĐ'!J8</f>
        <v>0</v>
      </c>
      <c r="E48" s="620">
        <f>'FRIT PT02-PĐ'!K8</f>
        <v>0</v>
      </c>
      <c r="F48" s="619">
        <f>'FRIT PT02-PĐ'!D40</f>
        <v>0</v>
      </c>
      <c r="G48" s="620">
        <f>'FRIT PT02-PĐ'!E40</f>
        <v>0</v>
      </c>
      <c r="H48" s="619">
        <f>'FRIT PT02-PĐ'!F40</f>
        <v>0</v>
      </c>
      <c r="I48" s="620">
        <f>'FRIT PT02-PĐ'!G40</f>
        <v>0</v>
      </c>
      <c r="J48" s="619">
        <f>D48+F48-H48</f>
        <v>0</v>
      </c>
      <c r="K48" s="620">
        <f t="shared" si="33"/>
        <v>0</v>
      </c>
      <c r="L48" s="582">
        <f t="shared" si="40"/>
        <v>0</v>
      </c>
      <c r="M48" s="777" t="e">
        <f t="shared" si="54"/>
        <v>#DIV/0!</v>
      </c>
      <c r="N48" s="292"/>
      <c r="O48" s="386" t="s">
        <v>64</v>
      </c>
    </row>
    <row r="49" spans="1:15" ht="19.5" customHeight="1">
      <c r="A49" s="356" t="s">
        <v>45</v>
      </c>
      <c r="B49" s="362" t="s">
        <v>212</v>
      </c>
      <c r="C49" s="363"/>
      <c r="D49" s="358" t="s">
        <v>49</v>
      </c>
      <c r="E49" s="358" t="s">
        <v>49</v>
      </c>
      <c r="F49" s="358" t="s">
        <v>49</v>
      </c>
      <c r="G49" s="358" t="s">
        <v>49</v>
      </c>
      <c r="H49" s="358" t="s">
        <v>49</v>
      </c>
      <c r="I49" s="358" t="s">
        <v>49</v>
      </c>
      <c r="J49" s="358" t="s">
        <v>49</v>
      </c>
      <c r="K49" s="358" t="s">
        <v>49</v>
      </c>
      <c r="L49" s="582"/>
      <c r="M49" s="777"/>
      <c r="N49" s="292"/>
      <c r="O49" s="386"/>
    </row>
    <row r="50" spans="1:15" ht="19.5" customHeight="1">
      <c r="A50" s="211">
        <v>1</v>
      </c>
      <c r="B50" s="584" t="str">
        <f>'FRIT FS459 FHU'!J4</f>
        <v>FRIT FS459-FHU</v>
      </c>
      <c r="C50" s="109" t="s">
        <v>193</v>
      </c>
      <c r="D50" s="619">
        <f>'FRIT FS459 FHU'!J8</f>
        <v>0</v>
      </c>
      <c r="E50" s="620">
        <f>'FRIT FS459 FHU'!K8</f>
        <v>0</v>
      </c>
      <c r="F50" s="619">
        <f>'FRIT FS459 FHU'!D40</f>
        <v>0</v>
      </c>
      <c r="G50" s="620">
        <f>'FRIT FS459 FHU'!E40</f>
        <v>0</v>
      </c>
      <c r="H50" s="619">
        <f>'FRIT FS459 FHU'!F40</f>
        <v>0</v>
      </c>
      <c r="I50" s="620">
        <f>'FRIT FS459 FHU'!G40</f>
        <v>0</v>
      </c>
      <c r="J50" s="619">
        <f t="shared" ref="J50:K57" si="55">D50+F50-H50</f>
        <v>0</v>
      </c>
      <c r="K50" s="620">
        <f t="shared" si="55"/>
        <v>0</v>
      </c>
      <c r="L50" s="582">
        <f>H50/$J$4</f>
        <v>0</v>
      </c>
      <c r="M50" s="777" t="e">
        <f t="shared" ref="M50:M56" si="56">J50/L50</f>
        <v>#DIV/0!</v>
      </c>
      <c r="N50" s="292"/>
      <c r="O50" s="784" t="s">
        <v>450</v>
      </c>
    </row>
    <row r="51" spans="1:15" ht="19.5" customHeight="1">
      <c r="A51" s="211">
        <v>2</v>
      </c>
      <c r="B51" s="584" t="str">
        <f>'FRIT A608 ACV'!J4</f>
        <v>FRIT A608 -ACV</v>
      </c>
      <c r="C51" s="109" t="s">
        <v>193</v>
      </c>
      <c r="D51" s="619">
        <f>'FRIT A608 ACV'!J8</f>
        <v>0</v>
      </c>
      <c r="E51" s="620">
        <f>'FRIT A608 ACV'!K8</f>
        <v>0</v>
      </c>
      <c r="F51" s="619">
        <f>'FRIT A608 ACV'!D40</f>
        <v>0</v>
      </c>
      <c r="G51" s="620">
        <f>'FRIT A608 ACV'!E40</f>
        <v>0</v>
      </c>
      <c r="H51" s="619">
        <f>'FRIT A608 ACV'!F40</f>
        <v>0</v>
      </c>
      <c r="I51" s="620">
        <f>'FRIT A608 ACV'!G40</f>
        <v>0</v>
      </c>
      <c r="J51" s="619">
        <f t="shared" si="55"/>
        <v>0</v>
      </c>
      <c r="K51" s="620">
        <f t="shared" si="55"/>
        <v>0</v>
      </c>
      <c r="L51" s="582">
        <f t="shared" ref="L51:L56" si="57">H51/$J$4</f>
        <v>0</v>
      </c>
      <c r="M51" s="777" t="e">
        <f>J51/L51</f>
        <v>#DIV/0!</v>
      </c>
      <c r="N51" s="292"/>
      <c r="O51" s="386" t="s">
        <v>369</v>
      </c>
    </row>
    <row r="52" spans="1:15" ht="19.5" hidden="1" customHeight="1">
      <c r="A52" s="211">
        <v>3</v>
      </c>
      <c r="B52" s="584" t="str">
        <f>'FRIT A608-2 ACV'!J4</f>
        <v>FRIT A608-2 ACV</v>
      </c>
      <c r="C52" s="109" t="s">
        <v>193</v>
      </c>
      <c r="D52" s="619">
        <f>'FRIT A608-2 ACV'!J8</f>
        <v>0</v>
      </c>
      <c r="E52" s="620">
        <f>'FRIT A608-2 ACV'!K8</f>
        <v>0</v>
      </c>
      <c r="F52" s="619">
        <f>'FRIT A608-2 ACV'!D40</f>
        <v>0</v>
      </c>
      <c r="G52" s="620">
        <f>'FRIT A608-2 ACV'!E40</f>
        <v>0</v>
      </c>
      <c r="H52" s="619">
        <f>'FRIT A608-2 ACV'!F40</f>
        <v>0</v>
      </c>
      <c r="I52" s="620">
        <f>'FRIT A608-2 ACV'!G40</f>
        <v>0</v>
      </c>
      <c r="J52" s="619">
        <f t="shared" si="55"/>
        <v>0</v>
      </c>
      <c r="K52" s="620">
        <f t="shared" si="55"/>
        <v>0</v>
      </c>
      <c r="L52" s="582">
        <f t="shared" si="57"/>
        <v>0</v>
      </c>
      <c r="M52" s="777" t="e">
        <f>J52/L52</f>
        <v>#DIV/0!</v>
      </c>
      <c r="N52" s="292"/>
      <c r="O52" s="784" t="s">
        <v>689</v>
      </c>
    </row>
    <row r="53" spans="1:15" ht="19.5" customHeight="1">
      <c r="A53" s="211">
        <v>4</v>
      </c>
      <c r="B53" s="583" t="str">
        <f>'FRIT HGT05-FHG '!J4</f>
        <v>FRIT HGT05-FHG</v>
      </c>
      <c r="C53" s="109" t="s">
        <v>193</v>
      </c>
      <c r="D53" s="619">
        <f>'FRIT HGT05-FHG '!J8</f>
        <v>51930.207999999999</v>
      </c>
      <c r="E53" s="620">
        <f>'FRIT HGT05-FHG '!K8</f>
        <v>52349</v>
      </c>
      <c r="F53" s="619">
        <f>'FRIT HGT05-FHG '!D40</f>
        <v>33750</v>
      </c>
      <c r="G53" s="620">
        <f>'FRIT HGT05-FHG '!E40</f>
        <v>33750</v>
      </c>
      <c r="H53" s="619">
        <f>'FRIT HGT05-FHG '!F40</f>
        <v>39690</v>
      </c>
      <c r="I53" s="620">
        <f>'FRIT HGT05-FHG '!G40</f>
        <v>39974</v>
      </c>
      <c r="J53" s="619">
        <f t="shared" ref="J53:K55" si="58">D53+F53-H53</f>
        <v>45990.207999999999</v>
      </c>
      <c r="K53" s="620">
        <f t="shared" si="58"/>
        <v>46125</v>
      </c>
      <c r="L53" s="582">
        <f t="shared" si="57"/>
        <v>2334.705882352941</v>
      </c>
      <c r="M53" s="777">
        <f>J53/L53</f>
        <v>19.698501788863695</v>
      </c>
      <c r="N53" s="292"/>
      <c r="O53" s="386" t="s">
        <v>359</v>
      </c>
    </row>
    <row r="54" spans="1:15" ht="19.5" customHeight="1">
      <c r="A54" s="211">
        <v>5</v>
      </c>
      <c r="B54" s="583" t="str">
        <f>'FRIT HT082'!J4</f>
        <v>FRIT HT082-FHU</v>
      </c>
      <c r="C54" s="109" t="s">
        <v>193</v>
      </c>
      <c r="D54" s="619">
        <f>'FRIT HT082'!J8</f>
        <v>0</v>
      </c>
      <c r="E54" s="620">
        <f>'FRIT HT082'!K8</f>
        <v>0</v>
      </c>
      <c r="F54" s="619">
        <f>'FRIT HT082'!D40</f>
        <v>0</v>
      </c>
      <c r="G54" s="620">
        <f>'FRIT HT082'!E40</f>
        <v>0</v>
      </c>
      <c r="H54" s="619">
        <f>'FRIT HT082'!F40</f>
        <v>0</v>
      </c>
      <c r="I54" s="620">
        <f>'FRIT HT082'!G40</f>
        <v>0</v>
      </c>
      <c r="J54" s="619">
        <f t="shared" si="58"/>
        <v>0</v>
      </c>
      <c r="K54" s="620">
        <f t="shared" si="58"/>
        <v>0</v>
      </c>
      <c r="L54" s="582">
        <f t="shared" si="57"/>
        <v>0</v>
      </c>
      <c r="M54" s="777" t="e">
        <f>J54/L54</f>
        <v>#DIV/0!</v>
      </c>
      <c r="N54" s="292"/>
      <c r="O54" s="386" t="s">
        <v>355</v>
      </c>
    </row>
    <row r="55" spans="1:15" ht="19.5" customHeight="1">
      <c r="A55" s="211">
        <v>6</v>
      </c>
      <c r="B55" s="583" t="str">
        <f>'FRIT PGB 1288B'!J4</f>
        <v>FRIT PGB 1288B</v>
      </c>
      <c r="C55" s="109" t="s">
        <v>193</v>
      </c>
      <c r="D55" s="619">
        <f>'FRIT PGB 1288B'!J8</f>
        <v>0</v>
      </c>
      <c r="E55" s="620">
        <f>'FRIT PGB 1288B'!K8</f>
        <v>0</v>
      </c>
      <c r="F55" s="619">
        <f>'FRIT PGB 1288B'!D40</f>
        <v>0</v>
      </c>
      <c r="G55" s="620">
        <f>'FRIT PGB 1288B'!E40</f>
        <v>0</v>
      </c>
      <c r="H55" s="619">
        <f>'FRIT PGB 1288B'!F41</f>
        <v>0</v>
      </c>
      <c r="I55" s="620">
        <f>'FRIT PGB 1288B'!G41</f>
        <v>0</v>
      </c>
      <c r="J55" s="619">
        <f t="shared" si="58"/>
        <v>0</v>
      </c>
      <c r="K55" s="620">
        <f t="shared" si="58"/>
        <v>0</v>
      </c>
      <c r="L55" s="582">
        <f t="shared" si="57"/>
        <v>0</v>
      </c>
      <c r="M55" s="777" t="e">
        <f>J55/L55</f>
        <v>#DIV/0!</v>
      </c>
      <c r="N55" s="292"/>
      <c r="O55" s="386" t="s">
        <v>276</v>
      </c>
    </row>
    <row r="56" spans="1:15" ht="19.5" customHeight="1">
      <c r="A56" s="211">
        <v>7</v>
      </c>
      <c r="B56" s="583" t="str">
        <f>'FRIT TM2085'!J4</f>
        <v>FRIT TM2085</v>
      </c>
      <c r="C56" s="109" t="s">
        <v>193</v>
      </c>
      <c r="D56" s="619">
        <f>'FRIT TM2085'!J8</f>
        <v>4306</v>
      </c>
      <c r="E56" s="620">
        <f>'FRIT TM2085'!K8</f>
        <v>4305.8</v>
      </c>
      <c r="F56" s="619">
        <f>'FRIT TM2085'!D40</f>
        <v>0</v>
      </c>
      <c r="G56" s="620">
        <f>'FRIT TM2085'!E40</f>
        <v>0</v>
      </c>
      <c r="H56" s="619">
        <f>'FRIT TM2085'!F41</f>
        <v>0</v>
      </c>
      <c r="I56" s="620">
        <f>'FRIT TM2085'!G41</f>
        <v>0</v>
      </c>
      <c r="J56" s="619">
        <f t="shared" si="55"/>
        <v>4306</v>
      </c>
      <c r="K56" s="620">
        <f t="shared" si="55"/>
        <v>4305.8</v>
      </c>
      <c r="L56" s="582">
        <f t="shared" si="57"/>
        <v>0</v>
      </c>
      <c r="M56" s="777" t="e">
        <f t="shared" si="56"/>
        <v>#DIV/0!</v>
      </c>
      <c r="N56" s="292"/>
      <c r="O56" s="386" t="s">
        <v>277</v>
      </c>
    </row>
    <row r="57" spans="1:15" ht="19.5" customHeight="1">
      <c r="A57" s="211">
        <v>8</v>
      </c>
      <c r="B57" s="583" t="str">
        <f>'FRIT 356'!J4</f>
        <v>FRIT 356</v>
      </c>
      <c r="C57" s="109" t="s">
        <v>193</v>
      </c>
      <c r="D57" s="619">
        <f>'FRIT 356'!J8</f>
        <v>3682.5</v>
      </c>
      <c r="E57" s="620">
        <f>'FRIT 356'!K8</f>
        <v>3750</v>
      </c>
      <c r="F57" s="619">
        <f>'FRIT 356'!D40</f>
        <v>0</v>
      </c>
      <c r="G57" s="620">
        <f>'FRIT 356'!E40</f>
        <v>0</v>
      </c>
      <c r="H57" s="619">
        <f>'FRIT 356'!F40</f>
        <v>0</v>
      </c>
      <c r="I57" s="620">
        <f>'FRIT 356'!G40</f>
        <v>0</v>
      </c>
      <c r="J57" s="619">
        <f t="shared" si="55"/>
        <v>3682.5</v>
      </c>
      <c r="K57" s="620">
        <f t="shared" si="55"/>
        <v>3750</v>
      </c>
      <c r="L57" s="582">
        <f t="shared" ref="L57" si="59">H57/$J$4</f>
        <v>0</v>
      </c>
      <c r="M57" s="777" t="e">
        <f t="shared" ref="M57" si="60">J57/L57</f>
        <v>#DIV/0!</v>
      </c>
      <c r="N57" s="292"/>
      <c r="O57" s="784" t="s">
        <v>752</v>
      </c>
    </row>
    <row r="58" spans="1:15" ht="19.5" customHeight="1">
      <c r="A58" s="211">
        <v>9</v>
      </c>
      <c r="B58" s="583" t="str">
        <f>'FRIT 356 L'!J4</f>
        <v>FRIT 356 L</v>
      </c>
      <c r="C58" s="109" t="s">
        <v>193</v>
      </c>
      <c r="D58" s="619">
        <f>'FRIT 356 L'!J8</f>
        <v>59258.43</v>
      </c>
      <c r="E58" s="620">
        <f>'FRIT 356 L'!K8</f>
        <v>59857</v>
      </c>
      <c r="F58" s="619">
        <f>'FRIT 356 L'!D40</f>
        <v>0</v>
      </c>
      <c r="G58" s="620">
        <f>'FRIT 356 L'!E40</f>
        <v>0</v>
      </c>
      <c r="H58" s="619">
        <f>'FRIT 356 L'!F40</f>
        <v>18900</v>
      </c>
      <c r="I58" s="620">
        <f>'FRIT 356 L'!G40</f>
        <v>18957</v>
      </c>
      <c r="J58" s="619">
        <f t="shared" ref="J58" si="61">D58+F58-H58</f>
        <v>40358.43</v>
      </c>
      <c r="K58" s="620">
        <f t="shared" ref="K58" si="62">E58+G58-I58</f>
        <v>40900</v>
      </c>
      <c r="L58" s="582">
        <f t="shared" ref="L58" si="63">H58/$J$4</f>
        <v>1111.7647058823529</v>
      </c>
      <c r="M58" s="777">
        <f t="shared" ref="M58" si="64">J58/L58</f>
        <v>36.301233333333336</v>
      </c>
      <c r="N58" s="292"/>
      <c r="O58" s="784" t="s">
        <v>1113</v>
      </c>
    </row>
    <row r="59" spans="1:15" ht="19.5" customHeight="1">
      <c r="A59" s="211">
        <v>10</v>
      </c>
      <c r="B59" s="583" t="str">
        <f>'FRIT 320'!J4</f>
        <v>FRIT 320</v>
      </c>
      <c r="C59" s="109" t="s">
        <v>193</v>
      </c>
      <c r="D59" s="619">
        <f>'FRIT 320'!J8</f>
        <v>0</v>
      </c>
      <c r="E59" s="620">
        <f>'FRIT 320'!K8</f>
        <v>0</v>
      </c>
      <c r="F59" s="619">
        <f>'FRIT 320'!D40</f>
        <v>0</v>
      </c>
      <c r="G59" s="620">
        <f>'FRIT 320'!E40</f>
        <v>0</v>
      </c>
      <c r="H59" s="619">
        <f>'FRIT 320'!F40</f>
        <v>0</v>
      </c>
      <c r="I59" s="620">
        <f>'FRIT 320'!G40</f>
        <v>0</v>
      </c>
      <c r="J59" s="619">
        <f t="shared" ref="J59:J61" si="65">D59+F59-H59</f>
        <v>0</v>
      </c>
      <c r="K59" s="620">
        <f t="shared" ref="K59:K61" si="66">E59+G59-I59</f>
        <v>0</v>
      </c>
      <c r="L59" s="582">
        <f t="shared" ref="L59" si="67">H59/$J$4</f>
        <v>0</v>
      </c>
      <c r="M59" s="777" t="e">
        <f t="shared" ref="M59" si="68">J59/L59</f>
        <v>#DIV/0!</v>
      </c>
      <c r="N59" s="292"/>
      <c r="O59" s="784" t="s">
        <v>738</v>
      </c>
    </row>
    <row r="60" spans="1:15" ht="19.5" customHeight="1">
      <c r="A60" s="211">
        <v>11</v>
      </c>
      <c r="B60" s="583" t="str">
        <f>'FRIT 515'!J4</f>
        <v>FRIT 515</v>
      </c>
      <c r="C60" s="109" t="s">
        <v>193</v>
      </c>
      <c r="D60" s="619">
        <f>'FRIT 515'!J8</f>
        <v>50</v>
      </c>
      <c r="E60" s="620">
        <f>'FRIT 515'!K8</f>
        <v>50</v>
      </c>
      <c r="F60" s="619">
        <f>'FRIT 515'!D40</f>
        <v>0</v>
      </c>
      <c r="G60" s="620">
        <f>'FRIT 515'!E40</f>
        <v>0</v>
      </c>
      <c r="H60" s="619">
        <f>'FRIT 515'!F40</f>
        <v>0</v>
      </c>
      <c r="I60" s="620">
        <f>'FRIT 515'!G40</f>
        <v>0</v>
      </c>
      <c r="J60" s="619">
        <f t="shared" si="65"/>
        <v>50</v>
      </c>
      <c r="K60" s="620">
        <f t="shared" si="66"/>
        <v>50</v>
      </c>
      <c r="L60" s="582">
        <f t="shared" ref="L60:L61" si="69">H60/$J$4</f>
        <v>0</v>
      </c>
      <c r="M60" s="777" t="e">
        <f t="shared" ref="M60:M61" si="70">J60/L60</f>
        <v>#DIV/0!</v>
      </c>
      <c r="N60" s="292"/>
      <c r="O60" s="784" t="s">
        <v>749</v>
      </c>
    </row>
    <row r="61" spans="1:15" ht="19.5" customHeight="1">
      <c r="A61" s="211">
        <v>12</v>
      </c>
      <c r="B61" s="583" t="str">
        <f>'FRIT 089'!J4</f>
        <v>FRIT 089</v>
      </c>
      <c r="C61" s="109" t="s">
        <v>193</v>
      </c>
      <c r="D61" s="619">
        <f>'FRIT 089'!J8</f>
        <v>50</v>
      </c>
      <c r="E61" s="620">
        <f>'FRIT 089'!K8</f>
        <v>50</v>
      </c>
      <c r="F61" s="619">
        <f>'FRIT 089'!D40</f>
        <v>0</v>
      </c>
      <c r="G61" s="620">
        <f>'FRIT 089'!E40</f>
        <v>0</v>
      </c>
      <c r="H61" s="619">
        <f>'FRIT 089'!F40</f>
        <v>0</v>
      </c>
      <c r="I61" s="620">
        <f>'FRIT 089'!G40</f>
        <v>0</v>
      </c>
      <c r="J61" s="619">
        <f t="shared" si="65"/>
        <v>50</v>
      </c>
      <c r="K61" s="620">
        <f t="shared" si="66"/>
        <v>50</v>
      </c>
      <c r="L61" s="582">
        <f t="shared" si="69"/>
        <v>0</v>
      </c>
      <c r="M61" s="777" t="e">
        <f t="shared" si="70"/>
        <v>#DIV/0!</v>
      </c>
      <c r="N61" s="292"/>
      <c r="O61" s="784" t="s">
        <v>750</v>
      </c>
    </row>
    <row r="62" spans="1:15" ht="19.5" customHeight="1">
      <c r="A62" s="356" t="s">
        <v>50</v>
      </c>
      <c r="B62" s="357" t="s">
        <v>47</v>
      </c>
      <c r="C62" s="294"/>
      <c r="D62" s="358" t="s">
        <v>49</v>
      </c>
      <c r="E62" s="358" t="s">
        <v>49</v>
      </c>
      <c r="F62" s="358" t="s">
        <v>49</v>
      </c>
      <c r="G62" s="358" t="s">
        <v>49</v>
      </c>
      <c r="H62" s="358" t="s">
        <v>49</v>
      </c>
      <c r="I62" s="358" t="s">
        <v>49</v>
      </c>
      <c r="J62" s="779">
        <v>6</v>
      </c>
      <c r="K62" s="358" t="s">
        <v>49</v>
      </c>
      <c r="L62" s="582"/>
      <c r="M62" s="777"/>
      <c r="N62" s="292"/>
      <c r="O62" s="386"/>
    </row>
    <row r="63" spans="1:15" ht="19.5" customHeight="1">
      <c r="A63" s="211">
        <v>1</v>
      </c>
      <c r="B63" s="584" t="str">
        <f>'MT812-QĐ '!J4</f>
        <v>MT812VT-QĐ</v>
      </c>
      <c r="C63" s="109" t="str">
        <f>C35</f>
        <v>kg</v>
      </c>
      <c r="D63" s="619">
        <f>'MT812-QĐ '!J8</f>
        <v>3400</v>
      </c>
      <c r="E63" s="620">
        <f>'MT812-QĐ '!K8</f>
        <v>3400</v>
      </c>
      <c r="F63" s="619">
        <f>'MT812-QĐ '!D40</f>
        <v>0</v>
      </c>
      <c r="G63" s="620">
        <f>'MT812-QĐ '!E40</f>
        <v>0</v>
      </c>
      <c r="H63" s="619">
        <f>'MT812-QĐ '!F40</f>
        <v>0</v>
      </c>
      <c r="I63" s="620">
        <f>'MT812-QĐ '!G40</f>
        <v>0</v>
      </c>
      <c r="J63" s="619">
        <f t="shared" ref="J63:K70" si="71">D63+F63-H63</f>
        <v>3400</v>
      </c>
      <c r="K63" s="620">
        <f t="shared" si="71"/>
        <v>3400</v>
      </c>
      <c r="L63" s="582">
        <f>H63/$J$62</f>
        <v>0</v>
      </c>
      <c r="M63" s="777" t="e">
        <f>J63/L63</f>
        <v>#DIV/0!</v>
      </c>
      <c r="N63" s="292"/>
      <c r="O63" s="386" t="s">
        <v>278</v>
      </c>
    </row>
    <row r="64" spans="1:15" ht="19.5" hidden="1" customHeight="1">
      <c r="A64" s="211">
        <v>2</v>
      </c>
      <c r="B64" s="584" t="str">
        <f>'MT616-QĐ'!J4</f>
        <v>MT616-QĐ</v>
      </c>
      <c r="C64" s="109" t="str">
        <f>C37</f>
        <v>kg</v>
      </c>
      <c r="D64" s="619">
        <f>'MT616-QĐ'!J8</f>
        <v>0</v>
      </c>
      <c r="E64" s="620">
        <f>'MT616-QĐ'!K8</f>
        <v>0</v>
      </c>
      <c r="F64" s="619">
        <f>'MT616-QĐ'!D40</f>
        <v>0</v>
      </c>
      <c r="G64" s="620">
        <f>'MT616-QĐ'!E40</f>
        <v>0</v>
      </c>
      <c r="H64" s="619">
        <f>'MT616-QĐ'!F40</f>
        <v>0</v>
      </c>
      <c r="I64" s="620">
        <f>'MT616-QĐ'!G40</f>
        <v>0</v>
      </c>
      <c r="J64" s="619">
        <f t="shared" si="71"/>
        <v>0</v>
      </c>
      <c r="K64" s="620">
        <f t="shared" si="71"/>
        <v>0</v>
      </c>
      <c r="L64" s="582">
        <f>H64/$J$62</f>
        <v>0</v>
      </c>
      <c r="M64" s="777" t="e">
        <f>J64/L64</f>
        <v>#DIV/0!</v>
      </c>
      <c r="N64" s="292"/>
      <c r="O64" s="784" t="s">
        <v>466</v>
      </c>
    </row>
    <row r="65" spans="1:15" ht="19.5" customHeight="1">
      <c r="A65" s="211">
        <v>3</v>
      </c>
      <c r="B65" s="584" t="str">
        <f>'MT03VT-QĐ'!J4</f>
        <v>MT03VT-QĐ</v>
      </c>
      <c r="C65" s="109" t="str">
        <f>C38</f>
        <v>kg</v>
      </c>
      <c r="D65" s="619">
        <f>'MT03VT-QĐ'!J8</f>
        <v>760</v>
      </c>
      <c r="E65" s="620">
        <f>'MT03VT-QĐ'!K8</f>
        <v>760</v>
      </c>
      <c r="F65" s="619">
        <f>'MT03VT-QĐ'!D40</f>
        <v>0</v>
      </c>
      <c r="G65" s="620">
        <f>'MT03VT-QĐ'!E40</f>
        <v>0</v>
      </c>
      <c r="H65" s="619">
        <f>'MT03VT-QĐ'!F41</f>
        <v>0</v>
      </c>
      <c r="I65" s="620">
        <f>'MT03VT-QĐ'!G41</f>
        <v>0</v>
      </c>
      <c r="J65" s="619">
        <f t="shared" si="71"/>
        <v>760</v>
      </c>
      <c r="K65" s="620">
        <f t="shared" si="71"/>
        <v>760</v>
      </c>
      <c r="L65" s="582">
        <f t="shared" ref="L65:L70" si="72">H65/$J$62</f>
        <v>0</v>
      </c>
      <c r="M65" s="777" t="e">
        <f t="shared" ref="M65:M106" si="73">J65/L65</f>
        <v>#DIV/0!</v>
      </c>
      <c r="N65" s="292"/>
      <c r="O65" s="386" t="s">
        <v>279</v>
      </c>
    </row>
    <row r="66" spans="1:15" ht="19.5" customHeight="1">
      <c r="A66" s="211">
        <v>4</v>
      </c>
      <c r="B66" s="584" t="str">
        <f>'Y327-QĐ'!J4</f>
        <v>MEN Y327-QĐ</v>
      </c>
      <c r="C66" s="109" t="str">
        <f>C35</f>
        <v>kg</v>
      </c>
      <c r="D66" s="619">
        <f>'Y327-QĐ'!J8</f>
        <v>100</v>
      </c>
      <c r="E66" s="620">
        <f>'Y327-QĐ'!K8</f>
        <v>100</v>
      </c>
      <c r="F66" s="619">
        <f>'Y327-QĐ'!D40</f>
        <v>0</v>
      </c>
      <c r="G66" s="620">
        <f>'Y327-QĐ'!E40</f>
        <v>0</v>
      </c>
      <c r="H66" s="619">
        <f>'Y327-QĐ'!F40</f>
        <v>0</v>
      </c>
      <c r="I66" s="620">
        <f>'Y327-QĐ'!G40</f>
        <v>0</v>
      </c>
      <c r="J66" s="619">
        <f t="shared" si="71"/>
        <v>100</v>
      </c>
      <c r="K66" s="620">
        <f t="shared" si="71"/>
        <v>100</v>
      </c>
      <c r="L66" s="582">
        <f t="shared" si="72"/>
        <v>0</v>
      </c>
      <c r="M66" s="777" t="e">
        <f>J66/L66</f>
        <v>#DIV/0!</v>
      </c>
      <c r="N66" s="292"/>
      <c r="O66" s="386" t="s">
        <v>203</v>
      </c>
    </row>
    <row r="67" spans="1:15" ht="19.5" customHeight="1">
      <c r="A67" s="211">
        <v>5</v>
      </c>
      <c r="B67" s="584" t="str">
        <f>'BF-002A-QĐ '!J4</f>
        <v xml:space="preserve"> BF002A-QĐ</v>
      </c>
      <c r="C67" s="109" t="str">
        <f>C37</f>
        <v>kg</v>
      </c>
      <c r="D67" s="619">
        <f>'BF-002A-QĐ '!J8</f>
        <v>0</v>
      </c>
      <c r="E67" s="620">
        <f>'BF-002A-QĐ '!K8</f>
        <v>0</v>
      </c>
      <c r="F67" s="619">
        <f>'BF-002A-QĐ '!D40</f>
        <v>0</v>
      </c>
      <c r="G67" s="620">
        <f>'BF-002A-QĐ '!E40</f>
        <v>0</v>
      </c>
      <c r="H67" s="619">
        <f>'BF-002A-QĐ '!F40</f>
        <v>0</v>
      </c>
      <c r="I67" s="620">
        <f>'BF-002A-QĐ '!G40</f>
        <v>0</v>
      </c>
      <c r="J67" s="619">
        <f t="shared" si="71"/>
        <v>0</v>
      </c>
      <c r="K67" s="620">
        <f t="shared" si="71"/>
        <v>0</v>
      </c>
      <c r="L67" s="582">
        <f t="shared" si="72"/>
        <v>0</v>
      </c>
      <c r="M67" s="777" t="e">
        <f t="shared" si="73"/>
        <v>#DIV/0!</v>
      </c>
      <c r="N67" s="292"/>
      <c r="O67" s="386" t="s">
        <v>447</v>
      </c>
    </row>
    <row r="68" spans="1:15" ht="19.5" customHeight="1">
      <c r="A68" s="211">
        <v>6</v>
      </c>
      <c r="B68" s="583" t="str">
        <f>'BALL CLAY BCO3-PV'!J4</f>
        <v>BALL CLAY BC03-PV</v>
      </c>
      <c r="C68" s="109" t="str">
        <f>C38</f>
        <v>kg</v>
      </c>
      <c r="D68" s="619">
        <f>'BALL CLAY BCO3-PV'!J8</f>
        <v>12132.5</v>
      </c>
      <c r="E68" s="620">
        <f>'BALL CLAY BCO3-PV'!K8</f>
        <v>12132.5</v>
      </c>
      <c r="F68" s="619">
        <f>'BALL CLAY BCO3-PV'!D40</f>
        <v>0</v>
      </c>
      <c r="G68" s="620">
        <f>'BALL CLAY BCO3-PV'!E40</f>
        <v>0</v>
      </c>
      <c r="H68" s="619">
        <f>'BALL CLAY BCO3-PV'!F40</f>
        <v>0</v>
      </c>
      <c r="I68" s="620">
        <f>'BALL CLAY BCO3-PV'!G40</f>
        <v>0</v>
      </c>
      <c r="J68" s="619">
        <f t="shared" si="71"/>
        <v>12132.5</v>
      </c>
      <c r="K68" s="620">
        <f t="shared" si="71"/>
        <v>12132.5</v>
      </c>
      <c r="L68" s="582">
        <f t="shared" si="72"/>
        <v>0</v>
      </c>
      <c r="M68" s="777" t="e">
        <f t="shared" si="73"/>
        <v>#DIV/0!</v>
      </c>
      <c r="N68" s="292"/>
      <c r="O68" s="386" t="s">
        <v>262</v>
      </c>
    </row>
    <row r="69" spans="1:15" ht="19.5" customHeight="1">
      <c r="A69" s="211">
        <v>7</v>
      </c>
      <c r="B69" s="583" t="str">
        <f>'VM01'!J4</f>
        <v>MATT VM01</v>
      </c>
      <c r="C69" s="109" t="str">
        <f>C39</f>
        <v>kg</v>
      </c>
      <c r="D69" s="619">
        <f>'VM01'!J8</f>
        <v>32438.741999999998</v>
      </c>
      <c r="E69" s="620">
        <f>'VM01'!K8</f>
        <v>32866</v>
      </c>
      <c r="F69" s="619">
        <f>'VM01'!D40</f>
        <v>0</v>
      </c>
      <c r="G69" s="620">
        <f>'VM01'!E40</f>
        <v>0</v>
      </c>
      <c r="H69" s="619">
        <f>'VM01'!F40</f>
        <v>0</v>
      </c>
      <c r="I69" s="620">
        <f>'VM01'!G40</f>
        <v>0</v>
      </c>
      <c r="J69" s="619">
        <f t="shared" si="71"/>
        <v>32438.741999999998</v>
      </c>
      <c r="K69" s="620">
        <f t="shared" si="71"/>
        <v>32866</v>
      </c>
      <c r="L69" s="582">
        <f t="shared" si="72"/>
        <v>0</v>
      </c>
      <c r="M69" s="777" t="e">
        <f t="shared" si="73"/>
        <v>#DIV/0!</v>
      </c>
      <c r="N69" s="292"/>
      <c r="O69" s="784" t="s">
        <v>470</v>
      </c>
    </row>
    <row r="70" spans="1:15" ht="19.5" customHeight="1">
      <c r="A70" s="211">
        <v>8</v>
      </c>
      <c r="B70" s="583" t="str">
        <f>'VM06'!J4</f>
        <v>MATT VM06</v>
      </c>
      <c r="C70" s="109" t="str">
        <f t="shared" ref="C70:C72" si="74">C41</f>
        <v>kg</v>
      </c>
      <c r="D70" s="619">
        <f>'VM06'!J8</f>
        <v>23608.26</v>
      </c>
      <c r="E70" s="620">
        <f>'VM06'!K8</f>
        <v>23895</v>
      </c>
      <c r="F70" s="619">
        <f>'VM06'!D40</f>
        <v>0</v>
      </c>
      <c r="G70" s="620">
        <f>'VM06'!E40</f>
        <v>0</v>
      </c>
      <c r="H70" s="619">
        <f>'VM06'!F40</f>
        <v>0</v>
      </c>
      <c r="I70" s="620">
        <f>'VM06'!G40</f>
        <v>0</v>
      </c>
      <c r="J70" s="619">
        <f t="shared" si="71"/>
        <v>23608.26</v>
      </c>
      <c r="K70" s="620">
        <f t="shared" si="71"/>
        <v>23895</v>
      </c>
      <c r="L70" s="582">
        <f t="shared" si="72"/>
        <v>0</v>
      </c>
      <c r="M70" s="777" t="e">
        <f t="shared" si="73"/>
        <v>#DIV/0!</v>
      </c>
      <c r="N70" s="292"/>
      <c r="O70" s="784" t="s">
        <v>472</v>
      </c>
    </row>
    <row r="71" spans="1:15" ht="19.5" customHeight="1">
      <c r="A71" s="211">
        <v>9</v>
      </c>
      <c r="B71" s="583" t="str">
        <f>'VFM41'!J4</f>
        <v>MATT VFM41</v>
      </c>
      <c r="C71" s="109" t="str">
        <f t="shared" si="74"/>
        <v>kg</v>
      </c>
      <c r="D71" s="619">
        <f>'VFM41'!J8</f>
        <v>0</v>
      </c>
      <c r="E71" s="620">
        <f>'VFM41'!K8</f>
        <v>0</v>
      </c>
      <c r="F71" s="619">
        <f>'VFM41'!D40</f>
        <v>0</v>
      </c>
      <c r="G71" s="620">
        <f>'VFM41'!E40</f>
        <v>0</v>
      </c>
      <c r="H71" s="619">
        <f>'VFM41'!F40</f>
        <v>0</v>
      </c>
      <c r="I71" s="620">
        <f>'VFM41'!G40</f>
        <v>0</v>
      </c>
      <c r="J71" s="619">
        <f t="shared" ref="J71" si="75">D71+F71-H71</f>
        <v>0</v>
      </c>
      <c r="K71" s="620">
        <f t="shared" ref="K71" si="76">E71+G71-I71</f>
        <v>0</v>
      </c>
      <c r="L71" s="582">
        <f t="shared" ref="L71" si="77">H71/$J$62</f>
        <v>0</v>
      </c>
      <c r="M71" s="777" t="e">
        <f t="shared" ref="M71" si="78">J71/L71</f>
        <v>#DIV/0!</v>
      </c>
      <c r="N71" s="292"/>
      <c r="O71" s="784" t="s">
        <v>774</v>
      </c>
    </row>
    <row r="72" spans="1:15" ht="19.5" customHeight="1">
      <c r="A72" s="211">
        <v>10</v>
      </c>
      <c r="B72" s="583" t="str">
        <f>'VF150521'!J4</f>
        <v>FRIT FV150/521</v>
      </c>
      <c r="C72" s="109" t="str">
        <f t="shared" si="74"/>
        <v>kg</v>
      </c>
      <c r="D72" s="619">
        <f>'VF150521'!J8</f>
        <v>30113.919000000002</v>
      </c>
      <c r="E72" s="620">
        <f>'VF150521'!K8</f>
        <v>31467</v>
      </c>
      <c r="F72" s="619">
        <f>'VF150521'!D40</f>
        <v>0</v>
      </c>
      <c r="G72" s="620">
        <f>'VF150521'!E40</f>
        <v>0</v>
      </c>
      <c r="H72" s="619">
        <f>'VF150521'!F40</f>
        <v>0</v>
      </c>
      <c r="I72" s="620">
        <f>'VF150521'!G40</f>
        <v>0</v>
      </c>
      <c r="J72" s="619">
        <f t="shared" ref="J72" si="79">D72+F72-H72</f>
        <v>30113.919000000002</v>
      </c>
      <c r="K72" s="620">
        <f t="shared" ref="K72" si="80">E72+G72-I72</f>
        <v>31467</v>
      </c>
      <c r="L72" s="582">
        <f t="shared" ref="L72" si="81">H72/$J$62</f>
        <v>0</v>
      </c>
      <c r="M72" s="777" t="e">
        <f t="shared" ref="M72" si="82">J72/L72</f>
        <v>#DIV/0!</v>
      </c>
      <c r="N72" s="292"/>
      <c r="O72" s="784" t="s">
        <v>1042</v>
      </c>
    </row>
    <row r="73" spans="1:15" ht="19.5" customHeight="1">
      <c r="A73" s="356" t="s">
        <v>51</v>
      </c>
      <c r="B73" s="357" t="s">
        <v>46</v>
      </c>
      <c r="C73" s="294"/>
      <c r="D73" s="358" t="s">
        <v>49</v>
      </c>
      <c r="E73" s="358" t="s">
        <v>49</v>
      </c>
      <c r="F73" s="358" t="s">
        <v>49</v>
      </c>
      <c r="G73" s="358" t="s">
        <v>49</v>
      </c>
      <c r="H73" s="358" t="s">
        <v>49</v>
      </c>
      <c r="I73" s="358" t="s">
        <v>49</v>
      </c>
      <c r="J73" s="358" t="s">
        <v>49</v>
      </c>
      <c r="K73" s="358" t="s">
        <v>49</v>
      </c>
      <c r="L73" s="582"/>
      <c r="M73" s="777"/>
      <c r="N73" s="292"/>
      <c r="O73" s="386"/>
    </row>
    <row r="74" spans="1:15" ht="19.5" customHeight="1">
      <c r="A74" s="211">
        <v>1</v>
      </c>
      <c r="B74" s="583" t="str">
        <f>'MAGIÊ ÔXIT MgO-HNP'!J4</f>
        <v>MAGIE OXIT MgO</v>
      </c>
      <c r="C74" s="109" t="str">
        <f>C38</f>
        <v>kg</v>
      </c>
      <c r="D74" s="619">
        <f>'MAGIÊ ÔXIT MgO-HNP'!J8</f>
        <v>0</v>
      </c>
      <c r="E74" s="620">
        <f>'MAGIÊ ÔXIT MgO-HNP'!K8</f>
        <v>0</v>
      </c>
      <c r="F74" s="619">
        <f>'MAGIÊ ÔXIT MgO-HNP'!D40</f>
        <v>0</v>
      </c>
      <c r="G74" s="620">
        <f>'MAGIÊ ÔXIT MgO-HNP'!E40</f>
        <v>0</v>
      </c>
      <c r="H74" s="619">
        <f>'MAGIÊ ÔXIT MgO-HNP'!F40</f>
        <v>0</v>
      </c>
      <c r="I74" s="620">
        <f>'MAGIÊ ÔXIT MgO-HNP'!G40</f>
        <v>0</v>
      </c>
      <c r="J74" s="619">
        <f>D74+F74-H74</f>
        <v>0</v>
      </c>
      <c r="K74" s="620">
        <f>E74+G74-I74</f>
        <v>0</v>
      </c>
      <c r="L74" s="582">
        <f>H74/$J$4</f>
        <v>0</v>
      </c>
      <c r="M74" s="777" t="e">
        <f t="shared" si="73"/>
        <v>#DIV/0!</v>
      </c>
      <c r="N74" s="292"/>
      <c r="O74" s="386" t="s">
        <v>65</v>
      </c>
    </row>
    <row r="75" spans="1:15" ht="19.5" customHeight="1">
      <c r="A75" s="211">
        <v>2</v>
      </c>
      <c r="B75" s="583" t="str">
        <f>'MGO- Men lót chân'!J4</f>
        <v>MGO/ Men lót chân ( EG-02 )</v>
      </c>
      <c r="C75" s="109" t="str">
        <f>C39</f>
        <v>kg</v>
      </c>
      <c r="D75" s="619">
        <f>'MGO- Men lót chân'!J8</f>
        <v>584</v>
      </c>
      <c r="E75" s="620">
        <f>'MGO- Men lót chân'!K8</f>
        <v>584</v>
      </c>
      <c r="F75" s="619">
        <f>'MGO- Men lót chân'!D40</f>
        <v>0</v>
      </c>
      <c r="G75" s="620">
        <f>'MGO- Men lót chân'!E40</f>
        <v>0</v>
      </c>
      <c r="H75" s="619">
        <f>'MGO- Men lót chân'!F40</f>
        <v>0</v>
      </c>
      <c r="I75" s="620">
        <f>'MGO- Men lót chân'!G40</f>
        <v>0</v>
      </c>
      <c r="J75" s="619">
        <f>D75+F75-H75</f>
        <v>584</v>
      </c>
      <c r="K75" s="620">
        <f>E75+G75-I75</f>
        <v>584</v>
      </c>
      <c r="L75" s="582">
        <f>H75/$J$4</f>
        <v>0</v>
      </c>
      <c r="M75" s="777" t="e">
        <f t="shared" ref="M75" si="83">J75/L75</f>
        <v>#DIV/0!</v>
      </c>
      <c r="N75" s="292"/>
      <c r="O75" s="784" t="s">
        <v>1178</v>
      </c>
    </row>
    <row r="76" spans="1:15" ht="19.5" customHeight="1">
      <c r="A76" s="211">
        <v>3</v>
      </c>
      <c r="B76" s="583" t="str">
        <f>'COMPOUD TRÁNG ĐẾ'!J4</f>
        <v>COMPOUD TRÁNG ĐẾ</v>
      </c>
      <c r="C76" s="109" t="str">
        <f>C39</f>
        <v>kg</v>
      </c>
      <c r="D76" s="619">
        <f>'COMPOUD TRÁNG ĐẾ'!J8</f>
        <v>17607.04</v>
      </c>
      <c r="E76" s="620">
        <f>'COMPOUD TRÁNG ĐẾ'!K8</f>
        <v>20008</v>
      </c>
      <c r="F76" s="619">
        <f>'COMPOUD TRÁNG ĐẾ'!D40</f>
        <v>0</v>
      </c>
      <c r="G76" s="620">
        <f>'COMPOUD TRÁNG ĐẾ'!E40</f>
        <v>0</v>
      </c>
      <c r="H76" s="619">
        <f>'COMPOUD TRÁNG ĐẾ'!F40</f>
        <v>3600</v>
      </c>
      <c r="I76" s="620">
        <f>'COMPOUD TRÁNG ĐẾ'!G40</f>
        <v>4113</v>
      </c>
      <c r="J76" s="619">
        <f t="shared" ref="J76:J84" si="84">D76+F76-H76</f>
        <v>14007.04</v>
      </c>
      <c r="K76" s="620">
        <f t="shared" ref="K76:K82" si="85">E76+G76-I76</f>
        <v>15895</v>
      </c>
      <c r="L76" s="582">
        <f t="shared" ref="L76:L82" si="86">H76/$J$4</f>
        <v>211.76470588235293</v>
      </c>
      <c r="M76" s="777">
        <f t="shared" si="73"/>
        <v>66.144355555555563</v>
      </c>
      <c r="N76" s="292"/>
      <c r="O76" s="386" t="s">
        <v>361</v>
      </c>
    </row>
    <row r="77" spans="1:15" ht="19.5" customHeight="1">
      <c r="A77" s="211">
        <v>4</v>
      </c>
      <c r="B77" s="583" t="str">
        <f>'KAOLIN P08-KMD'!J4</f>
        <v>KAOLIN P08-KMD</v>
      </c>
      <c r="C77" s="109" t="str">
        <f>C47</f>
        <v>kg</v>
      </c>
      <c r="D77" s="619">
        <f>'KAOLIN P08-KMD'!J8</f>
        <v>0</v>
      </c>
      <c r="E77" s="620">
        <f>'KAOLIN P08-KMD'!K8</f>
        <v>0</v>
      </c>
      <c r="F77" s="619">
        <f>'KAOLIN P08-KMD'!D40</f>
        <v>0</v>
      </c>
      <c r="G77" s="620">
        <f>'KAOLIN P08-KMD'!E40</f>
        <v>0</v>
      </c>
      <c r="H77" s="619">
        <f>'KAOLIN P08-KMD'!F40</f>
        <v>0</v>
      </c>
      <c r="I77" s="620">
        <f>'KAOLIN P08-KMD'!G40</f>
        <v>0</v>
      </c>
      <c r="J77" s="619">
        <f t="shared" si="84"/>
        <v>0</v>
      </c>
      <c r="K77" s="620">
        <f t="shared" si="85"/>
        <v>0</v>
      </c>
      <c r="L77" s="582">
        <f t="shared" si="86"/>
        <v>0</v>
      </c>
      <c r="M77" s="777" t="e">
        <f t="shared" si="73"/>
        <v>#DIV/0!</v>
      </c>
      <c r="N77" s="292"/>
      <c r="O77" s="386" t="s">
        <v>66</v>
      </c>
    </row>
    <row r="78" spans="1:15" ht="19.5" customHeight="1">
      <c r="A78" s="356" t="s">
        <v>52</v>
      </c>
      <c r="B78" s="357" t="s">
        <v>787</v>
      </c>
      <c r="C78" s="294"/>
      <c r="D78" s="358"/>
      <c r="E78" s="358"/>
      <c r="F78" s="358"/>
      <c r="G78" s="358"/>
      <c r="H78" s="358"/>
      <c r="I78" s="358"/>
      <c r="J78" s="358"/>
      <c r="K78" s="358"/>
      <c r="L78" s="582"/>
      <c r="M78" s="777"/>
      <c r="N78" s="292"/>
      <c r="O78" s="386"/>
    </row>
    <row r="79" spans="1:15" ht="19.5" customHeight="1">
      <c r="A79" s="211">
        <v>1</v>
      </c>
      <c r="B79" s="583" t="str">
        <f>'FO118'!J4</f>
        <v>FIT FO118</v>
      </c>
      <c r="C79" s="109" t="str">
        <f>C44</f>
        <v>kg</v>
      </c>
      <c r="D79" s="619">
        <f>'FO118'!J8</f>
        <v>89964.479999999996</v>
      </c>
      <c r="E79" s="620">
        <f>'FO118'!K8</f>
        <v>90690</v>
      </c>
      <c r="F79" s="619">
        <f>'FO118'!D40</f>
        <v>28000</v>
      </c>
      <c r="G79" s="620">
        <f>'FO118'!E40</f>
        <v>28000</v>
      </c>
      <c r="H79" s="619">
        <f>'FO118'!F40</f>
        <v>53805</v>
      </c>
      <c r="I79" s="620">
        <f>'FO118'!G40</f>
        <v>54791</v>
      </c>
      <c r="J79" s="619">
        <f t="shared" si="84"/>
        <v>64159.479999999996</v>
      </c>
      <c r="K79" s="620">
        <f t="shared" si="85"/>
        <v>63899</v>
      </c>
      <c r="L79" s="582">
        <f t="shared" si="86"/>
        <v>3165</v>
      </c>
      <c r="M79" s="777">
        <f t="shared" si="73"/>
        <v>20.271557661927329</v>
      </c>
      <c r="N79" s="292"/>
      <c r="O79" s="784" t="s">
        <v>784</v>
      </c>
    </row>
    <row r="80" spans="1:15" ht="19.5" customHeight="1">
      <c r="A80" s="211">
        <v>2</v>
      </c>
      <c r="B80" s="583" t="str">
        <f>'A117'!J4</f>
        <v>FIT A117</v>
      </c>
      <c r="C80" s="109" t="str">
        <f>C45</f>
        <v>kg</v>
      </c>
      <c r="D80" s="619">
        <f>'A117'!J8</f>
        <v>0</v>
      </c>
      <c r="E80" s="620">
        <f>'A117'!K8</f>
        <v>0</v>
      </c>
      <c r="F80" s="619">
        <f>'A117'!D40</f>
        <v>0</v>
      </c>
      <c r="G80" s="620">
        <f>'A117'!E40</f>
        <v>0</v>
      </c>
      <c r="H80" s="619">
        <f>'A117'!F40</f>
        <v>0</v>
      </c>
      <c r="I80" s="620">
        <f>'A117'!G40</f>
        <v>0</v>
      </c>
      <c r="J80" s="619">
        <f t="shared" ref="J80:J81" si="87">D80+F80-H80</f>
        <v>0</v>
      </c>
      <c r="K80" s="620">
        <f t="shared" ref="K80:K81" si="88">E80+G80-I80</f>
        <v>0</v>
      </c>
      <c r="L80" s="582">
        <f t="shared" ref="L80:L81" si="89">H80/$J$4</f>
        <v>0</v>
      </c>
      <c r="M80" s="777" t="e">
        <f t="shared" ref="M80:M81" si="90">J80/L80</f>
        <v>#DIV/0!</v>
      </c>
      <c r="N80" s="292"/>
      <c r="O80" s="784" t="s">
        <v>1190</v>
      </c>
    </row>
    <row r="81" spans="1:15" ht="19.5" customHeight="1">
      <c r="A81" s="211">
        <v>3</v>
      </c>
      <c r="B81" s="583" t="str">
        <f>'FO102'!J4</f>
        <v>FIT FO102</v>
      </c>
      <c r="C81" s="109" t="str">
        <f>C50</f>
        <v>kg</v>
      </c>
      <c r="D81" s="619">
        <f>'FO102'!J8</f>
        <v>26346.527999999998</v>
      </c>
      <c r="E81" s="620">
        <f>'FO102'!K8</f>
        <v>26559</v>
      </c>
      <c r="F81" s="619">
        <f>'FO102'!D40</f>
        <v>0</v>
      </c>
      <c r="G81" s="620">
        <f>'FO102'!E40</f>
        <v>0</v>
      </c>
      <c r="H81" s="619">
        <f>'FO102'!F40</f>
        <v>5629</v>
      </c>
      <c r="I81" s="620">
        <f>'FO102'!G40</f>
        <v>5662</v>
      </c>
      <c r="J81" s="619">
        <f t="shared" si="87"/>
        <v>20717.527999999998</v>
      </c>
      <c r="K81" s="620">
        <f t="shared" si="88"/>
        <v>20897</v>
      </c>
      <c r="L81" s="582">
        <f t="shared" si="89"/>
        <v>331.11764705882354</v>
      </c>
      <c r="M81" s="777">
        <f t="shared" si="90"/>
        <v>62.568480369515008</v>
      </c>
      <c r="N81" s="292"/>
      <c r="O81" s="784" t="s">
        <v>785</v>
      </c>
    </row>
    <row r="82" spans="1:15" ht="19.5" customHeight="1">
      <c r="A82" s="211">
        <v>4</v>
      </c>
      <c r="B82" s="583" t="str">
        <f>'VF1205'!J4</f>
        <v>FIT VF1205</v>
      </c>
      <c r="C82" s="109" t="str">
        <f>C51</f>
        <v>kg</v>
      </c>
      <c r="D82" s="619">
        <f>'VF1205'!J8</f>
        <v>0</v>
      </c>
      <c r="E82" s="620">
        <f>'VF1205'!K8</f>
        <v>0</v>
      </c>
      <c r="F82" s="619">
        <f>'VF1205'!D40</f>
        <v>0</v>
      </c>
      <c r="G82" s="620">
        <f>'VF1205'!E40</f>
        <v>0</v>
      </c>
      <c r="H82" s="619">
        <f>'VF1205'!F40</f>
        <v>0</v>
      </c>
      <c r="I82" s="620">
        <f>'VF1205'!G40</f>
        <v>0</v>
      </c>
      <c r="J82" s="619">
        <f t="shared" si="84"/>
        <v>0</v>
      </c>
      <c r="K82" s="620">
        <f t="shared" si="85"/>
        <v>0</v>
      </c>
      <c r="L82" s="582">
        <f t="shared" si="86"/>
        <v>0</v>
      </c>
      <c r="M82" s="777" t="e">
        <f t="shared" si="73"/>
        <v>#DIV/0!</v>
      </c>
      <c r="N82" s="292"/>
      <c r="O82" s="784" t="s">
        <v>786</v>
      </c>
    </row>
    <row r="83" spans="1:15" ht="19.5" customHeight="1">
      <c r="A83" s="356" t="s">
        <v>53</v>
      </c>
      <c r="B83" s="357" t="s">
        <v>791</v>
      </c>
      <c r="C83" s="294"/>
      <c r="D83" s="358"/>
      <c r="E83" s="358"/>
      <c r="F83" s="358"/>
      <c r="G83" s="358"/>
      <c r="H83" s="358"/>
      <c r="I83" s="358"/>
      <c r="J83" s="358"/>
      <c r="K83" s="358"/>
      <c r="L83" s="582"/>
      <c r="M83" s="777"/>
      <c r="N83" s="292"/>
      <c r="O83" s="784"/>
    </row>
    <row r="84" spans="1:15" ht="19.5" customHeight="1">
      <c r="A84" s="211">
        <v>1</v>
      </c>
      <c r="B84" s="583" t="str">
        <f>SUGAR!J4</f>
        <v>MEN SUGAR</v>
      </c>
      <c r="C84" s="109" t="str">
        <f>C53</f>
        <v>kg</v>
      </c>
      <c r="D84" s="619">
        <f>SUGAR!J8</f>
        <v>223</v>
      </c>
      <c r="E84" s="620">
        <f>SUGAR!K8</f>
        <v>223</v>
      </c>
      <c r="F84" s="619">
        <f>SUGAR!D40</f>
        <v>0</v>
      </c>
      <c r="G84" s="620">
        <f>SUGAR!E40</f>
        <v>0</v>
      </c>
      <c r="H84" s="619">
        <f>SUGAR!F40</f>
        <v>0</v>
      </c>
      <c r="I84" s="620">
        <f>SUGAR!G40</f>
        <v>0</v>
      </c>
      <c r="J84" s="619">
        <f t="shared" si="84"/>
        <v>223</v>
      </c>
      <c r="K84" s="620">
        <f t="shared" ref="K84" si="91">E84+G84-I84</f>
        <v>223</v>
      </c>
      <c r="L84" s="582">
        <f t="shared" ref="L84" si="92">H84/$J$4</f>
        <v>0</v>
      </c>
      <c r="M84" s="777" t="e">
        <f t="shared" ref="M84" si="93">J84/L84</f>
        <v>#DIV/0!</v>
      </c>
      <c r="N84" s="292"/>
      <c r="O84" s="784" t="s">
        <v>793</v>
      </c>
    </row>
    <row r="85" spans="1:15" ht="19.5" customHeight="1">
      <c r="A85" s="211">
        <v>2</v>
      </c>
      <c r="B85" s="583" t="str">
        <f>'SUGAR PNSG02 -01'!J4</f>
        <v>MEN SUGAR PNSG-02 (01)</v>
      </c>
      <c r="C85" s="109" t="str">
        <f>C54</f>
        <v>kg</v>
      </c>
      <c r="D85" s="619">
        <f>'SUGAR PNSG02 -01'!J8</f>
        <v>36153.339999999997</v>
      </c>
      <c r="E85" s="620">
        <f>'SUGAR PNSG02 -01'!K8</f>
        <v>38461</v>
      </c>
      <c r="F85" s="619">
        <f>'SUGAR PNSG02 -01'!D40</f>
        <v>0</v>
      </c>
      <c r="G85" s="620">
        <f>'SUGAR PNSG02 -01'!E40</f>
        <v>0</v>
      </c>
      <c r="H85" s="619">
        <f>'SUGAR PNSG02 -01'!F40</f>
        <v>2760</v>
      </c>
      <c r="I85" s="620">
        <f>'SUGAR PNSG02 -01'!G40</f>
        <v>2777</v>
      </c>
      <c r="J85" s="619">
        <f t="shared" ref="J85" si="94">D85+F85-H85</f>
        <v>33393.339999999997</v>
      </c>
      <c r="K85" s="620">
        <f t="shared" ref="K85" si="95">E85+G85-I85</f>
        <v>35684</v>
      </c>
      <c r="L85" s="582">
        <f t="shared" ref="L85" si="96">H85/$J$4</f>
        <v>162.35294117647058</v>
      </c>
      <c r="M85" s="777">
        <f t="shared" ref="M85" si="97">J85/L85</f>
        <v>205.68361594202898</v>
      </c>
      <c r="N85" s="292"/>
      <c r="O85" s="784" t="s">
        <v>924</v>
      </c>
    </row>
    <row r="86" spans="1:15" ht="19.5" customHeight="1">
      <c r="A86" s="211">
        <v>3</v>
      </c>
      <c r="B86" s="583" t="str">
        <f>'SUGAR PNSG02 - 05'!J4</f>
        <v>MEN SUGAR PNSG-02 (05)</v>
      </c>
      <c r="C86" s="109" t="str">
        <f>C55</f>
        <v>kg</v>
      </c>
      <c r="D86" s="619">
        <f>'SUGAR PNSG02 - 05'!J8</f>
        <v>6028.7520000000004</v>
      </c>
      <c r="E86" s="620">
        <f>'SUGAR PNSG02 - 05'!K8</f>
        <v>8236</v>
      </c>
      <c r="F86" s="619">
        <f>'SUGAR PNSG02 - 05'!D40</f>
        <v>0</v>
      </c>
      <c r="G86" s="620">
        <f>'SUGAR PNSG02 - 05'!E40</f>
        <v>0</v>
      </c>
      <c r="H86" s="619">
        <f>'SUGAR PNSG02 - 05'!F40</f>
        <v>240</v>
      </c>
      <c r="I86" s="620">
        <f>'SUGAR PNSG02 - 05'!G40</f>
        <v>284</v>
      </c>
      <c r="J86" s="619">
        <f t="shared" ref="J86" si="98">D86+F86-H86</f>
        <v>5788.7520000000004</v>
      </c>
      <c r="K86" s="620">
        <f t="shared" ref="K86" si="99">E86+G86-I86</f>
        <v>7952</v>
      </c>
      <c r="L86" s="582">
        <f t="shared" ref="L86" si="100">H86/$J$4</f>
        <v>14.117647058823529</v>
      </c>
      <c r="M86" s="777">
        <f t="shared" ref="M86" si="101">J86/L86</f>
        <v>410.03660000000002</v>
      </c>
      <c r="N86" s="292"/>
      <c r="O86" s="784" t="s">
        <v>925</v>
      </c>
    </row>
    <row r="87" spans="1:15" ht="19.5" customHeight="1">
      <c r="A87" s="356" t="s">
        <v>100</v>
      </c>
      <c r="B87" s="357" t="s">
        <v>797</v>
      </c>
      <c r="C87" s="294"/>
      <c r="D87" s="358"/>
      <c r="E87" s="358"/>
      <c r="F87" s="358"/>
      <c r="G87" s="358"/>
      <c r="H87" s="358"/>
      <c r="I87" s="358"/>
      <c r="J87" s="358"/>
      <c r="K87" s="358"/>
      <c r="L87" s="582"/>
      <c r="M87" s="777"/>
      <c r="N87" s="292"/>
      <c r="O87" s="784"/>
    </row>
    <row r="88" spans="1:15" ht="19.5" customHeight="1">
      <c r="A88" s="211">
        <v>1</v>
      </c>
      <c r="B88" s="583" t="str">
        <f>'FRIT 288'!J4</f>
        <v>FRIT 288</v>
      </c>
      <c r="C88" s="109" t="str">
        <f>C55</f>
        <v>kg</v>
      </c>
      <c r="D88" s="619">
        <f>'FRIT 288'!J8</f>
        <v>41874</v>
      </c>
      <c r="E88" s="620">
        <f>'FRIT 288'!K8</f>
        <v>41874</v>
      </c>
      <c r="F88" s="619">
        <f>'FRIT 288'!D40</f>
        <v>0</v>
      </c>
      <c r="G88" s="620">
        <f>'FRIT 288'!E40</f>
        <v>0</v>
      </c>
      <c r="H88" s="619">
        <f>'FRIT 288'!F40</f>
        <v>225</v>
      </c>
      <c r="I88" s="620">
        <f>'FRIT 288'!G40</f>
        <v>226</v>
      </c>
      <c r="J88" s="619">
        <f t="shared" ref="J88" si="102">D88+F88-H88</f>
        <v>41649</v>
      </c>
      <c r="K88" s="620">
        <f t="shared" ref="K88" si="103">E88+G88-I88</f>
        <v>41648</v>
      </c>
      <c r="L88" s="582">
        <f t="shared" ref="L88" si="104">H88/$J$4</f>
        <v>13.235294117647058</v>
      </c>
      <c r="M88" s="777">
        <f t="shared" ref="M88" si="105">J88/L88</f>
        <v>3146.8133333333335</v>
      </c>
      <c r="N88" s="292"/>
      <c r="O88" s="784" t="s">
        <v>799</v>
      </c>
    </row>
    <row r="89" spans="1:15" ht="19.5" customHeight="1">
      <c r="A89" s="211">
        <v>2</v>
      </c>
      <c r="B89" s="583" t="str">
        <f>'FRIT VS28'!J4</f>
        <v>FRIT VS28</v>
      </c>
      <c r="C89" s="109" t="str">
        <f>C56</f>
        <v>kg</v>
      </c>
      <c r="D89" s="619">
        <f>'FRIT VS28'!J8</f>
        <v>25200.45</v>
      </c>
      <c r="E89" s="620">
        <f>'FRIT VS28'!K8</f>
        <v>25455</v>
      </c>
      <c r="F89" s="619">
        <f>'FRIT VS28'!D40</f>
        <v>0</v>
      </c>
      <c r="G89" s="620">
        <f>'FRIT VS28'!E40</f>
        <v>0</v>
      </c>
      <c r="H89" s="619">
        <f>'FRIT VS28'!F40</f>
        <v>8160</v>
      </c>
      <c r="I89" s="620">
        <f>'FRIT VS28'!G40</f>
        <v>8205</v>
      </c>
      <c r="J89" s="619">
        <f t="shared" ref="J89:J90" si="106">D89+F89-H89</f>
        <v>17040.45</v>
      </c>
      <c r="K89" s="620">
        <f t="shared" ref="K89:K90" si="107">E89+G89-I89</f>
        <v>17250</v>
      </c>
      <c r="L89" s="582">
        <f t="shared" ref="L89:L90" si="108">H89/$J$4</f>
        <v>480</v>
      </c>
      <c r="M89" s="777">
        <f t="shared" ref="M89:M90" si="109">J89/L89</f>
        <v>35.500937499999999</v>
      </c>
      <c r="N89" s="292"/>
      <c r="O89" s="784" t="s">
        <v>831</v>
      </c>
    </row>
    <row r="90" spans="1:15" ht="19.5" customHeight="1">
      <c r="A90" s="211">
        <v>3</v>
      </c>
      <c r="B90" s="583" t="str">
        <f>'FRIT VS68'!J4</f>
        <v>FRIT VS68</v>
      </c>
      <c r="C90" s="109" t="str">
        <f>C57</f>
        <v>kg</v>
      </c>
      <c r="D90" s="619">
        <f>'FRIT VS68'!J8</f>
        <v>44276.76</v>
      </c>
      <c r="E90" s="620">
        <f>'FRIT VS68'!K8</f>
        <v>44724</v>
      </c>
      <c r="F90" s="619">
        <f>'FRIT VS68'!D40</f>
        <v>0</v>
      </c>
      <c r="G90" s="620">
        <f>'FRIT VS68'!E40</f>
        <v>0</v>
      </c>
      <c r="H90" s="619">
        <f>'FRIT VS68'!F40</f>
        <v>7752</v>
      </c>
      <c r="I90" s="620">
        <f>'FRIT VS68'!G40</f>
        <v>7846</v>
      </c>
      <c r="J90" s="619">
        <f t="shared" si="106"/>
        <v>36524.76</v>
      </c>
      <c r="K90" s="620">
        <f t="shared" si="107"/>
        <v>36878</v>
      </c>
      <c r="L90" s="582">
        <f t="shared" si="108"/>
        <v>456</v>
      </c>
      <c r="M90" s="777">
        <f t="shared" si="109"/>
        <v>80.098157894736843</v>
      </c>
      <c r="N90" s="292"/>
      <c r="O90" s="784" t="s">
        <v>832</v>
      </c>
    </row>
    <row r="91" spans="1:15" ht="19.5" customHeight="1">
      <c r="A91" s="211">
        <v>4</v>
      </c>
      <c r="B91" s="583" t="str">
        <f>'FRIT VS55'!J4</f>
        <v>FRIT VS55</v>
      </c>
      <c r="C91" s="109" t="str">
        <f>C59</f>
        <v>kg</v>
      </c>
      <c r="D91" s="619">
        <f>'FRIT VS55'!J8</f>
        <v>7766.6170000000002</v>
      </c>
      <c r="E91" s="620">
        <f>'FRIT VS55'!K8</f>
        <v>7853</v>
      </c>
      <c r="F91" s="619">
        <f>'FRIT VS55'!D40</f>
        <v>0</v>
      </c>
      <c r="G91" s="620">
        <f>'FRIT VS55'!E40</f>
        <v>0</v>
      </c>
      <c r="H91" s="619">
        <f>'FRIT VS55'!F40</f>
        <v>8160</v>
      </c>
      <c r="I91" s="620">
        <f>'FRIT VS55'!G40</f>
        <v>8212</v>
      </c>
      <c r="J91" s="619">
        <f t="shared" ref="J91" si="110">D91+F91-H91</f>
        <v>-393.38299999999981</v>
      </c>
      <c r="K91" s="620">
        <f t="shared" ref="K91" si="111">E91+G91-I91</f>
        <v>-359</v>
      </c>
      <c r="L91" s="582">
        <f t="shared" ref="L91" si="112">H91/$J$4</f>
        <v>480</v>
      </c>
      <c r="M91" s="777">
        <f t="shared" ref="M91" si="113">J91/L91</f>
        <v>-0.81954791666666627</v>
      </c>
      <c r="N91" s="292"/>
      <c r="O91" s="784" t="s">
        <v>948</v>
      </c>
    </row>
    <row r="92" spans="1:15" ht="19.5" customHeight="1">
      <c r="A92" s="356" t="s">
        <v>89</v>
      </c>
      <c r="B92" s="357" t="s">
        <v>48</v>
      </c>
      <c r="C92" s="294"/>
      <c r="D92" s="358" t="s">
        <v>49</v>
      </c>
      <c r="E92" s="358" t="s">
        <v>49</v>
      </c>
      <c r="F92" s="358" t="s">
        <v>49</v>
      </c>
      <c r="G92" s="358" t="s">
        <v>49</v>
      </c>
      <c r="H92" s="358" t="s">
        <v>49</v>
      </c>
      <c r="I92" s="358" t="s">
        <v>49</v>
      </c>
      <c r="J92" s="358" t="s">
        <v>49</v>
      </c>
      <c r="K92" s="358" t="s">
        <v>49</v>
      </c>
      <c r="L92" s="582"/>
      <c r="M92" s="777"/>
      <c r="N92" s="292"/>
      <c r="O92" s="386"/>
    </row>
    <row r="93" spans="1:15" ht="19.5" customHeight="1">
      <c r="A93" s="211">
        <v>1</v>
      </c>
      <c r="B93" s="583" t="str">
        <f>'BI TRUNG NHÔM D60'!J4</f>
        <v>ALUMINA BALLS DIA 60MM 68%</v>
      </c>
      <c r="C93" s="109" t="str">
        <f>C68</f>
        <v>kg</v>
      </c>
      <c r="D93" s="619">
        <f>'BI TRUNG NHÔM D60'!J8</f>
        <v>91236</v>
      </c>
      <c r="E93" s="620">
        <f>'BI TRUNG NHÔM D60'!K8</f>
        <v>0</v>
      </c>
      <c r="F93" s="619">
        <f>'BI TRUNG NHÔM D60'!D40</f>
        <v>0</v>
      </c>
      <c r="G93" s="620">
        <f>'BI TRUNG NHÔM D60'!E40</f>
        <v>0</v>
      </c>
      <c r="H93" s="619">
        <f>'BI TRUNG NHÔM D60'!F40</f>
        <v>18200</v>
      </c>
      <c r="I93" s="620">
        <f>'BI TRUNG NHÔM D60'!G40</f>
        <v>0</v>
      </c>
      <c r="J93" s="619">
        <f>D93+F93-H93</f>
        <v>73036</v>
      </c>
      <c r="K93" s="620"/>
      <c r="L93" s="582">
        <f>H93/$J$4</f>
        <v>1070.5882352941176</v>
      </c>
      <c r="M93" s="777">
        <f t="shared" si="73"/>
        <v>68.220439560439559</v>
      </c>
      <c r="N93" s="292"/>
      <c r="O93" s="386" t="s">
        <v>67</v>
      </c>
    </row>
    <row r="94" spans="1:15" ht="19.5" customHeight="1">
      <c r="A94" s="211">
        <v>3</v>
      </c>
      <c r="B94" s="584" t="str">
        <f>'BI CAO NHÔM D60'!J4</f>
        <v>ALUMINA BALLS DIA 60MM 92%</v>
      </c>
      <c r="C94" s="109" t="str">
        <f>C11</f>
        <v>kg</v>
      </c>
      <c r="D94" s="619">
        <f>'BI CAO NHÔM D60'!J8</f>
        <v>7220</v>
      </c>
      <c r="E94" s="620"/>
      <c r="F94" s="619">
        <f>'BI CAO NHÔM D60'!D40</f>
        <v>0</v>
      </c>
      <c r="G94" s="620">
        <f>'BI CAO NHÔM D60'!E40</f>
        <v>0</v>
      </c>
      <c r="H94" s="619">
        <f>'BI CAO NHÔM D60'!F40</f>
        <v>0</v>
      </c>
      <c r="I94" s="620">
        <f>'BI CAO NHÔM D60'!G40</f>
        <v>0</v>
      </c>
      <c r="J94" s="619">
        <f>D94++F94-H94</f>
        <v>7220</v>
      </c>
      <c r="K94" s="620"/>
      <c r="L94" s="582">
        <f>H94/$J$4</f>
        <v>0</v>
      </c>
      <c r="M94" s="777" t="e">
        <f t="shared" si="73"/>
        <v>#DIV/0!</v>
      </c>
      <c r="N94" s="292"/>
      <c r="O94" s="386" t="s">
        <v>68</v>
      </c>
    </row>
    <row r="95" spans="1:15" ht="19.5" customHeight="1">
      <c r="A95" s="356" t="s">
        <v>90</v>
      </c>
      <c r="B95" s="357" t="s">
        <v>105</v>
      </c>
      <c r="C95" s="294"/>
      <c r="D95" s="358" t="s">
        <v>49</v>
      </c>
      <c r="E95" s="358" t="s">
        <v>108</v>
      </c>
      <c r="F95" s="358" t="s">
        <v>49</v>
      </c>
      <c r="G95" s="358" t="s">
        <v>108</v>
      </c>
      <c r="H95" s="358" t="s">
        <v>49</v>
      </c>
      <c r="I95" s="358" t="s">
        <v>108</v>
      </c>
      <c r="J95" s="358" t="s">
        <v>49</v>
      </c>
      <c r="K95" s="358" t="s">
        <v>108</v>
      </c>
      <c r="L95" s="582"/>
      <c r="M95" s="777"/>
      <c r="N95" s="292"/>
      <c r="O95" s="386"/>
    </row>
    <row r="96" spans="1:15" ht="19.5" customHeight="1">
      <c r="A96" s="211">
        <v>1</v>
      </c>
      <c r="B96" s="583" t="str">
        <f>'MÀU XANH AZ1476'!J4</f>
        <v>MÀU XANH CIK-AZ1476</v>
      </c>
      <c r="C96" s="109" t="str">
        <f>C11</f>
        <v>kg</v>
      </c>
      <c r="D96" s="619">
        <f>'MÀU XANH AZ1476'!I8</f>
        <v>555</v>
      </c>
      <c r="E96" s="620">
        <f>'MÀU XANH AZ1476'!J8</f>
        <v>111</v>
      </c>
      <c r="F96" s="619">
        <f>'MÀU XANH AZ1476'!D40</f>
        <v>540</v>
      </c>
      <c r="G96" s="620">
        <f>'MÀU XANH AZ1476'!E40</f>
        <v>90</v>
      </c>
      <c r="H96" s="619">
        <f>'MÀU XANH AZ1476'!F41</f>
        <v>705</v>
      </c>
      <c r="I96" s="620">
        <f>'MÀU XANH AZ1476'!G41</f>
        <v>141</v>
      </c>
      <c r="J96" s="619">
        <f>D96+F96-H96</f>
        <v>390</v>
      </c>
      <c r="K96" s="620">
        <f>E96+G96-I96</f>
        <v>60</v>
      </c>
      <c r="L96" s="582">
        <f>H96/$J$4</f>
        <v>41.470588235294116</v>
      </c>
      <c r="M96" s="777">
        <f t="shared" si="73"/>
        <v>9.4042553191489358</v>
      </c>
      <c r="N96" s="292"/>
      <c r="O96" s="784" t="s">
        <v>464</v>
      </c>
    </row>
    <row r="97" spans="1:15" ht="19.5" customHeight="1">
      <c r="A97" s="211">
        <v>2</v>
      </c>
      <c r="B97" s="583" t="str">
        <f>'MÀU NÂU MA5455'!J4</f>
        <v>MÀU NÂU CIK-MA5455</v>
      </c>
      <c r="C97" s="109" t="s">
        <v>193</v>
      </c>
      <c r="D97" s="619">
        <f>'MÀU NÂU MA5455'!I8</f>
        <v>252</v>
      </c>
      <c r="E97" s="620">
        <f>'MÀU NÂU MA5455'!J8</f>
        <v>42</v>
      </c>
      <c r="F97" s="619">
        <f>'MÀU NÂU MA5455'!D40</f>
        <v>120</v>
      </c>
      <c r="G97" s="620">
        <f>'MÀU NÂU MA5455'!E40</f>
        <v>20</v>
      </c>
      <c r="H97" s="619">
        <f>'MÀU NÂU MA5455'!F41</f>
        <v>174</v>
      </c>
      <c r="I97" s="620">
        <f>'MÀU NÂU MA5455'!G41</f>
        <v>29</v>
      </c>
      <c r="J97" s="619">
        <f t="shared" ref="J97:J106" si="114">D97+F97-H97</f>
        <v>198</v>
      </c>
      <c r="K97" s="620">
        <f t="shared" ref="K97:K106" si="115">E97+G97-I97</f>
        <v>33</v>
      </c>
      <c r="L97" s="582">
        <f t="shared" ref="L97:L106" si="116">H97/$J$4</f>
        <v>10.235294117647058</v>
      </c>
      <c r="M97" s="777">
        <f t="shared" si="73"/>
        <v>19.344827586206897</v>
      </c>
      <c r="N97" s="292"/>
      <c r="O97" s="386" t="s">
        <v>306</v>
      </c>
    </row>
    <row r="98" spans="1:15" ht="19.5" customHeight="1">
      <c r="A98" s="211">
        <v>3</v>
      </c>
      <c r="B98" s="584" t="str">
        <f>'MÀU VÀNG CIK-AM5456'!J4</f>
        <v>MÀU VÀNG CIK-AM5456</v>
      </c>
      <c r="C98" s="109" t="str">
        <f>C22</f>
        <v>kg</v>
      </c>
      <c r="D98" s="619">
        <f>'MÀU VÀNG CIK-AM5456'!I8</f>
        <v>570</v>
      </c>
      <c r="E98" s="620">
        <f>'MÀU VÀNG CIK-AM5456'!J8</f>
        <v>95</v>
      </c>
      <c r="F98" s="619">
        <f>'MÀU VÀNG CIK-AM5456'!D40</f>
        <v>720</v>
      </c>
      <c r="G98" s="620">
        <f>'MÀU VÀNG CIK-AM5456'!E40</f>
        <v>120</v>
      </c>
      <c r="H98" s="619">
        <f>'MÀU VÀNG CIK-AM5456'!F41</f>
        <v>810</v>
      </c>
      <c r="I98" s="620">
        <f>'MÀU VÀNG CIK-AM5456'!G41</f>
        <v>135</v>
      </c>
      <c r="J98" s="619">
        <f>D98+F98-H98</f>
        <v>480</v>
      </c>
      <c r="K98" s="620">
        <f>E98+G98-I98</f>
        <v>80</v>
      </c>
      <c r="L98" s="582">
        <f>H98/$J$4</f>
        <v>47.647058823529413</v>
      </c>
      <c r="M98" s="777">
        <f>J98/L98</f>
        <v>10.074074074074074</v>
      </c>
      <c r="N98" s="292"/>
      <c r="O98" s="386" t="s">
        <v>307</v>
      </c>
    </row>
    <row r="99" spans="1:15" ht="19.5" customHeight="1">
      <c r="A99" s="211">
        <v>4</v>
      </c>
      <c r="B99" s="583" t="str">
        <f>'MÀU BE BG9454'!J4</f>
        <v>MÀU BE CIK-BG9454</v>
      </c>
      <c r="C99" s="109" t="s">
        <v>193</v>
      </c>
      <c r="D99" s="619">
        <f>'MÀU BE BG9454'!I8</f>
        <v>285</v>
      </c>
      <c r="E99" s="620">
        <f>'MÀU BE BG9454'!J8</f>
        <v>57</v>
      </c>
      <c r="F99" s="619">
        <f>'MÀU BE BG9454'!D40</f>
        <v>100</v>
      </c>
      <c r="G99" s="620">
        <f>'MÀU BE BG9454'!E40</f>
        <v>20</v>
      </c>
      <c r="H99" s="619">
        <f>'MÀU BE BG9454'!F41</f>
        <v>160</v>
      </c>
      <c r="I99" s="620">
        <f>'MÀU BE BG9454'!G41</f>
        <v>32</v>
      </c>
      <c r="J99" s="619">
        <f t="shared" si="114"/>
        <v>225</v>
      </c>
      <c r="K99" s="620">
        <f t="shared" si="115"/>
        <v>45</v>
      </c>
      <c r="L99" s="582">
        <f t="shared" si="116"/>
        <v>9.4117647058823533</v>
      </c>
      <c r="M99" s="777">
        <f t="shared" si="73"/>
        <v>23.90625</v>
      </c>
      <c r="N99" s="292"/>
      <c r="O99" s="386" t="s">
        <v>131</v>
      </c>
    </row>
    <row r="100" spans="1:15" ht="19.5" customHeight="1">
      <c r="A100" s="211">
        <v>5</v>
      </c>
      <c r="B100" s="583" t="str">
        <f>'MÀU ĐEN NE6153'!J4</f>
        <v>MÀU ĐEN -CIK NE6153</v>
      </c>
      <c r="C100" s="109" t="s">
        <v>193</v>
      </c>
      <c r="D100" s="619">
        <f>'MÀU ĐEN NE6153'!I8</f>
        <v>96</v>
      </c>
      <c r="E100" s="620">
        <f>'MÀU ĐEN NE6153'!J8</f>
        <v>16</v>
      </c>
      <c r="F100" s="619">
        <f>'MÀU ĐEN NE6153'!D40</f>
        <v>0</v>
      </c>
      <c r="G100" s="620">
        <f>'MÀU ĐEN NE6153'!E40</f>
        <v>0</v>
      </c>
      <c r="H100" s="619">
        <f>'MÀU ĐEN NE6153'!F40</f>
        <v>48</v>
      </c>
      <c r="I100" s="620">
        <f>'MÀU ĐEN NE6153'!G40</f>
        <v>8</v>
      </c>
      <c r="J100" s="619">
        <f>D100+F100-H100</f>
        <v>48</v>
      </c>
      <c r="K100" s="620">
        <f>E100+G100-I100</f>
        <v>8</v>
      </c>
      <c r="L100" s="582">
        <f>H100/$J$4</f>
        <v>2.8235294117647061</v>
      </c>
      <c r="M100" s="777">
        <f>J100/L100</f>
        <v>17</v>
      </c>
      <c r="N100" s="292"/>
      <c r="O100" s="386" t="s">
        <v>308</v>
      </c>
    </row>
    <row r="101" spans="1:15" ht="19.5" customHeight="1">
      <c r="A101" s="211">
        <v>6</v>
      </c>
      <c r="B101" s="583" t="str">
        <f>'MÀUÀU HỒNG RO4118'!J4</f>
        <v>MÀU HỒNG-CIK-RO4118</v>
      </c>
      <c r="C101" s="109" t="s">
        <v>193</v>
      </c>
      <c r="D101" s="619">
        <f>'MÀUÀU HỒNG RO4118'!I8</f>
        <v>0</v>
      </c>
      <c r="E101" s="620">
        <f>'MÀUÀU HỒNG RO4118'!J8</f>
        <v>0</v>
      </c>
      <c r="F101" s="619">
        <f>'MÀUÀU HỒNG RO4118'!D40</f>
        <v>0</v>
      </c>
      <c r="G101" s="620">
        <f>'MÀUÀU HỒNG RO4118'!E40</f>
        <v>0</v>
      </c>
      <c r="H101" s="619">
        <f>'MÀUÀU HỒNG RO4118'!F40</f>
        <v>0</v>
      </c>
      <c r="I101" s="620">
        <f>'MÀUÀU HỒNG RO4118'!G40</f>
        <v>0</v>
      </c>
      <c r="J101" s="619">
        <f t="shared" si="114"/>
        <v>0</v>
      </c>
      <c r="K101" s="620">
        <f t="shared" si="115"/>
        <v>0</v>
      </c>
      <c r="L101" s="582">
        <f t="shared" si="116"/>
        <v>0</v>
      </c>
      <c r="M101" s="777" t="e">
        <f>J101/L101</f>
        <v>#DIV/0!</v>
      </c>
      <c r="N101" s="292"/>
      <c r="O101" s="784" t="s">
        <v>458</v>
      </c>
    </row>
    <row r="102" spans="1:15" ht="19.5" customHeight="1">
      <c r="A102" s="211">
        <v>7</v>
      </c>
      <c r="B102" s="584" t="str">
        <f>'HU CHÌM RC1151'!J4</f>
        <v>HIỆU ỨNG CHÌM CIK-RC116</v>
      </c>
      <c r="C102" s="109" t="str">
        <f>C8</f>
        <v>kg</v>
      </c>
      <c r="D102" s="619">
        <f>'HU CHÌM RC1151'!I8</f>
        <v>108</v>
      </c>
      <c r="E102" s="620">
        <f>'HU CHÌM RC1151'!J8</f>
        <v>18</v>
      </c>
      <c r="F102" s="619">
        <f>'HU CHÌM RC1151'!D40</f>
        <v>120</v>
      </c>
      <c r="G102" s="620">
        <f>'HU CHÌM RC1151'!E40</f>
        <v>20</v>
      </c>
      <c r="H102" s="619">
        <f>'HU CHÌM RC1151'!F41</f>
        <v>102</v>
      </c>
      <c r="I102" s="620">
        <f>'HU CHÌM RC1151'!G41</f>
        <v>17</v>
      </c>
      <c r="J102" s="619">
        <f t="shared" si="114"/>
        <v>126</v>
      </c>
      <c r="K102" s="620">
        <f t="shared" si="115"/>
        <v>21</v>
      </c>
      <c r="L102" s="582">
        <f t="shared" si="116"/>
        <v>6</v>
      </c>
      <c r="M102" s="777">
        <f t="shared" si="73"/>
        <v>21</v>
      </c>
      <c r="N102" s="292"/>
      <c r="O102" s="784" t="s">
        <v>382</v>
      </c>
    </row>
    <row r="103" spans="1:15" ht="19.5" customHeight="1">
      <c r="A103" s="211">
        <v>8</v>
      </c>
      <c r="B103" s="583" t="str">
        <f>'HU NỔI LUS 1217'!J4</f>
        <v>HIỆU ỨNG NỔI LU 1217</v>
      </c>
      <c r="C103" s="109" t="str">
        <f>C14</f>
        <v>kg</v>
      </c>
      <c r="D103" s="619">
        <f>'HU NỔI LUS 1217'!I8</f>
        <v>30</v>
      </c>
      <c r="E103" s="620">
        <f>'HU NỔI LUS 1217'!J8</f>
        <v>5</v>
      </c>
      <c r="F103" s="619">
        <f>'HU NỔI LUS 1217'!D40</f>
        <v>192</v>
      </c>
      <c r="G103" s="620">
        <f>'HU NỔI LUS 1217'!E40</f>
        <v>32</v>
      </c>
      <c r="H103" s="619">
        <f>'HU NỔI LUS 1217'!F40</f>
        <v>72</v>
      </c>
      <c r="I103" s="620">
        <f>'HU NỔI LUS 1217'!G40</f>
        <v>12</v>
      </c>
      <c r="J103" s="619">
        <f>D103+F103-H103</f>
        <v>150</v>
      </c>
      <c r="K103" s="620">
        <f>E103+G103-I103</f>
        <v>25</v>
      </c>
      <c r="L103" s="582">
        <f>H103/$J$4</f>
        <v>4.2352941176470589</v>
      </c>
      <c r="M103" s="777">
        <f>J103/L103</f>
        <v>35.416666666666664</v>
      </c>
      <c r="N103" s="292"/>
      <c r="O103" s="386" t="s">
        <v>444</v>
      </c>
    </row>
    <row r="104" spans="1:15" ht="19.5" customHeight="1">
      <c r="A104" s="211">
        <v>9</v>
      </c>
      <c r="B104" s="583" t="str">
        <f>'XANH LÁ 1236'!J4</f>
        <v>XANH LÁ 1236</v>
      </c>
      <c r="C104" s="109" t="str">
        <f>C17</f>
        <v>kg</v>
      </c>
      <c r="D104" s="619">
        <f>'XANH LÁ 1236'!I8</f>
        <v>144</v>
      </c>
      <c r="E104" s="620">
        <f>'XANH LÁ 1236'!J8</f>
        <v>24</v>
      </c>
      <c r="F104" s="619">
        <f>'XANH LÁ 1236'!D40</f>
        <v>0</v>
      </c>
      <c r="G104" s="620">
        <f>'XANH LÁ 1236'!E40</f>
        <v>0</v>
      </c>
      <c r="H104" s="619">
        <f>'XANH LÁ 1236'!F40</f>
        <v>48</v>
      </c>
      <c r="I104" s="620">
        <f>'XANH LÁ 1236'!G40</f>
        <v>8</v>
      </c>
      <c r="J104" s="619">
        <f>D104+F104-H104</f>
        <v>96</v>
      </c>
      <c r="K104" s="620">
        <f>E104+G104-I104</f>
        <v>16</v>
      </c>
      <c r="L104" s="582">
        <f>H104/$J$4</f>
        <v>2.8235294117647061</v>
      </c>
      <c r="M104" s="777">
        <f>J104/L104</f>
        <v>34</v>
      </c>
      <c r="N104" s="292"/>
      <c r="O104" s="784" t="s">
        <v>790</v>
      </c>
    </row>
    <row r="105" spans="1:15" ht="19.5" customHeight="1">
      <c r="A105" s="211">
        <v>10</v>
      </c>
      <c r="B105" s="583" t="str">
        <f>'DD RỬA MÁY IN PL0101'!J4</f>
        <v>DD RỬA MÁY IN PL 0101</v>
      </c>
      <c r="C105" s="109" t="str">
        <f>C21</f>
        <v>kg</v>
      </c>
      <c r="D105" s="619">
        <f>'DD RỬA MÁY IN PL0101'!I8</f>
        <v>32</v>
      </c>
      <c r="E105" s="620">
        <f>'DD RỬA MÁY IN PL0101'!J8</f>
        <v>8</v>
      </c>
      <c r="F105" s="619">
        <f>'DD RỬA MÁY IN PL0101'!D40</f>
        <v>0</v>
      </c>
      <c r="G105" s="620">
        <f>'DD RỬA MÁY IN PL0101'!E40</f>
        <v>0</v>
      </c>
      <c r="H105" s="619">
        <f>'DD RỬA MÁY IN PL0101'!F41</f>
        <v>0</v>
      </c>
      <c r="I105" s="620">
        <f>'DD RỬA MÁY IN PL0101'!G41</f>
        <v>0</v>
      </c>
      <c r="J105" s="619">
        <f t="shared" si="114"/>
        <v>32</v>
      </c>
      <c r="K105" s="620">
        <f t="shared" si="115"/>
        <v>8</v>
      </c>
      <c r="L105" s="582">
        <f t="shared" si="116"/>
        <v>0</v>
      </c>
      <c r="M105" s="777" t="e">
        <f t="shared" si="73"/>
        <v>#DIV/0!</v>
      </c>
      <c r="N105" s="292"/>
      <c r="O105" s="386" t="s">
        <v>445</v>
      </c>
    </row>
    <row r="106" spans="1:15" ht="19.5" customHeight="1">
      <c r="A106" s="211">
        <v>11</v>
      </c>
      <c r="B106" s="583" t="str">
        <f>'DD RỬA ĐẦU IN PL0115'!J4</f>
        <v>DD RỬA ĐẦU IN PL 0115</v>
      </c>
      <c r="C106" s="109" t="str">
        <f>C11</f>
        <v>kg</v>
      </c>
      <c r="D106" s="619">
        <f>'DD RỬA ĐẦU IN PL0115'!I8</f>
        <v>4</v>
      </c>
      <c r="E106" s="620">
        <f>'DD RỬA ĐẦU IN PL0115'!J8</f>
        <v>1</v>
      </c>
      <c r="F106" s="619">
        <f>'DD RỬA ĐẦU IN PL0115'!D40</f>
        <v>0</v>
      </c>
      <c r="G106" s="620">
        <f>'DD RỬA ĐẦU IN PL0115'!E40</f>
        <v>0</v>
      </c>
      <c r="H106" s="619">
        <f>'DD RỬA ĐẦU IN PL0115'!F41</f>
        <v>0</v>
      </c>
      <c r="I106" s="620">
        <f>'DD RỬA ĐẦU IN PL0115'!G41</f>
        <v>0</v>
      </c>
      <c r="J106" s="619">
        <f t="shared" si="114"/>
        <v>4</v>
      </c>
      <c r="K106" s="620">
        <f t="shared" si="115"/>
        <v>1</v>
      </c>
      <c r="L106" s="582">
        <f t="shared" si="116"/>
        <v>0</v>
      </c>
      <c r="M106" s="777" t="e">
        <f t="shared" si="73"/>
        <v>#DIV/0!</v>
      </c>
      <c r="N106" s="292"/>
      <c r="O106" s="386" t="s">
        <v>446</v>
      </c>
    </row>
    <row r="107" spans="1:15" ht="19.5" customHeight="1">
      <c r="A107" s="356" t="s">
        <v>160</v>
      </c>
      <c r="B107" s="357" t="s">
        <v>88</v>
      </c>
      <c r="C107" s="294"/>
      <c r="D107" s="358" t="s">
        <v>4</v>
      </c>
      <c r="E107" s="358"/>
      <c r="F107" s="358" t="s">
        <v>4</v>
      </c>
      <c r="G107" s="358"/>
      <c r="H107" s="358" t="s">
        <v>4</v>
      </c>
      <c r="I107" s="358"/>
      <c r="J107" s="358" t="s">
        <v>4</v>
      </c>
      <c r="K107" s="358" t="s">
        <v>4</v>
      </c>
      <c r="L107" s="582"/>
      <c r="M107" s="777"/>
      <c r="N107" s="292"/>
      <c r="O107" s="386"/>
    </row>
    <row r="108" spans="1:15" ht="19.5" customHeight="1">
      <c r="A108" s="211">
        <v>1</v>
      </c>
      <c r="B108" s="584" t="str">
        <f>'PALLET 1100x1100x85'!H4</f>
        <v>PALLET GỖ 1100x1100x85</v>
      </c>
      <c r="C108" s="109" t="s">
        <v>194</v>
      </c>
      <c r="D108" s="619">
        <f>'PALLET 1100x1100x85'!G8</f>
        <v>0</v>
      </c>
      <c r="E108" s="620"/>
      <c r="F108" s="743">
        <f>'PALLET 1100x1100x85'!D40</f>
        <v>0</v>
      </c>
      <c r="G108" s="620"/>
      <c r="H108" s="619">
        <f>'PALLET 1100x1100x85'!E41</f>
        <v>0</v>
      </c>
      <c r="I108" s="620"/>
      <c r="J108" s="619">
        <f>D108+F108-H108</f>
        <v>0</v>
      </c>
      <c r="K108" s="620"/>
      <c r="L108" s="582">
        <f t="shared" ref="L108:L112" si="117">15700/1.44/60</f>
        <v>181.71296296296296</v>
      </c>
      <c r="M108" s="777">
        <f>J108/L108</f>
        <v>0</v>
      </c>
      <c r="N108" s="292"/>
      <c r="O108" s="784" t="s">
        <v>1237</v>
      </c>
    </row>
    <row r="109" spans="1:15" ht="19.5" customHeight="1">
      <c r="A109" s="211">
        <v>2</v>
      </c>
      <c r="B109" s="584" t="str">
        <f>'PALLET 1100x1100x60'!H4</f>
        <v>PALLET GỖ 1100x1100x60</v>
      </c>
      <c r="C109" s="109"/>
      <c r="D109" s="619">
        <f>'PALLET 1100x1100x60'!G8</f>
        <v>960</v>
      </c>
      <c r="E109" s="620"/>
      <c r="F109" s="743">
        <f>'PALLET 1100x1100x60'!D40</f>
        <v>4868</v>
      </c>
      <c r="G109" s="620"/>
      <c r="H109" s="619">
        <f>'PALLET 1100x1100x60'!E40</f>
        <v>5660</v>
      </c>
      <c r="I109" s="620"/>
      <c r="J109" s="619">
        <f>D109+F109-H109</f>
        <v>168</v>
      </c>
      <c r="K109" s="620"/>
      <c r="L109" s="582">
        <f t="shared" si="117"/>
        <v>181.71296296296296</v>
      </c>
      <c r="M109" s="777">
        <f>J109/L109</f>
        <v>0.92453503184713381</v>
      </c>
      <c r="N109" s="292"/>
      <c r="O109" s="784" t="s">
        <v>1238</v>
      </c>
    </row>
    <row r="110" spans="1:15" ht="19.5" customHeight="1">
      <c r="A110" s="211">
        <v>3</v>
      </c>
      <c r="B110" s="584" t="str">
        <f>'PALLET 1100x1100 cũ L1'!H4</f>
        <v>PALLET GỖ 1100X1100 (Cũ loại 1)</v>
      </c>
      <c r="C110" s="109" t="s">
        <v>194</v>
      </c>
      <c r="D110" s="619">
        <f>'PALLET 1100x1100 cũ L1'!G8</f>
        <v>360</v>
      </c>
      <c r="E110" s="620"/>
      <c r="F110" s="619">
        <f>'PALLET 1100x1100 cũ L1'!D40</f>
        <v>918</v>
      </c>
      <c r="G110" s="620"/>
      <c r="H110" s="619">
        <f>'PALLET 1100x1100 cũ L1'!E40</f>
        <v>920</v>
      </c>
      <c r="I110" s="620"/>
      <c r="J110" s="619">
        <f t="shared" ref="J110:J115" si="118">D110+F110-H110</f>
        <v>358</v>
      </c>
      <c r="K110" s="620"/>
      <c r="L110" s="582">
        <f t="shared" si="117"/>
        <v>181.71296296296296</v>
      </c>
      <c r="M110" s="777">
        <f t="shared" ref="M110:M115" si="119">J110/L110</f>
        <v>1.9701401273885351</v>
      </c>
      <c r="N110" s="292"/>
      <c r="O110" s="784" t="s">
        <v>1222</v>
      </c>
    </row>
    <row r="111" spans="1:15" ht="19.5" customHeight="1">
      <c r="A111" s="211">
        <v>4</v>
      </c>
      <c r="B111" s="584" t="str">
        <f>'PALLET cũ L2'!H4</f>
        <v>PALLET 1 MẶT cũ ( loại 2 )</v>
      </c>
      <c r="C111" s="109" t="s">
        <v>194</v>
      </c>
      <c r="D111" s="619">
        <f>'PALLET cũ L2'!G8</f>
        <v>0</v>
      </c>
      <c r="E111" s="620"/>
      <c r="F111" s="619">
        <f>'PALLET cũ L2'!D40</f>
        <v>441</v>
      </c>
      <c r="G111" s="620"/>
      <c r="H111" s="619">
        <f>'PALLET cũ L2'!E40</f>
        <v>220</v>
      </c>
      <c r="I111" s="620"/>
      <c r="J111" s="619">
        <f t="shared" si="118"/>
        <v>221</v>
      </c>
      <c r="K111" s="620"/>
      <c r="L111" s="582">
        <f t="shared" si="117"/>
        <v>181.71296296296296</v>
      </c>
      <c r="M111" s="777">
        <f t="shared" si="119"/>
        <v>1.2162038216560509</v>
      </c>
      <c r="N111" s="292"/>
      <c r="O111" s="784" t="s">
        <v>1221</v>
      </c>
    </row>
    <row r="112" spans="1:15" ht="19.5" customHeight="1">
      <c r="A112" s="211">
        <v>5</v>
      </c>
      <c r="B112" s="583" t="str">
        <f>'PALLET 145'!H4</f>
        <v>PALLET GỖ 1450X1450-NM</v>
      </c>
      <c r="C112" s="109" t="s">
        <v>194</v>
      </c>
      <c r="D112" s="619">
        <f>'PALLET 145'!G8</f>
        <v>0</v>
      </c>
      <c r="E112" s="620"/>
      <c r="F112" s="619">
        <f>'PALLET 145'!D40</f>
        <v>0</v>
      </c>
      <c r="G112" s="620"/>
      <c r="H112" s="619">
        <f>'PALLET 145'!E40</f>
        <v>0</v>
      </c>
      <c r="I112" s="620"/>
      <c r="J112" s="619">
        <f>D112+F112-H112</f>
        <v>0</v>
      </c>
      <c r="K112" s="620"/>
      <c r="L112" s="582">
        <f t="shared" si="117"/>
        <v>181.71296296296296</v>
      </c>
      <c r="M112" s="777">
        <f>J112/L112</f>
        <v>0</v>
      </c>
      <c r="N112" s="292"/>
      <c r="O112" s="386" t="s">
        <v>339</v>
      </c>
    </row>
    <row r="113" spans="1:18" ht="19.5" customHeight="1">
      <c r="A113" s="211">
        <v>6</v>
      </c>
      <c r="B113" s="584" t="str">
        <f>'NEP GO 30x60 TH'!H4</f>
        <v>NẸP GỖ 30x60 TH</v>
      </c>
      <c r="C113" s="109" t="s">
        <v>194</v>
      </c>
      <c r="D113" s="619">
        <f>'NEP GO 30x60 TH'!G8</f>
        <v>6015</v>
      </c>
      <c r="E113" s="620"/>
      <c r="F113" s="619">
        <f>'NEP GO 30x60 TH'!D40</f>
        <v>17020</v>
      </c>
      <c r="G113" s="620"/>
      <c r="H113" s="619">
        <f>'NEP GO 30x60 TH'!E40</f>
        <v>19600</v>
      </c>
      <c r="I113" s="620"/>
      <c r="J113" s="619">
        <f t="shared" si="118"/>
        <v>3435</v>
      </c>
      <c r="K113" s="620"/>
      <c r="L113" s="582">
        <f>L108*4</f>
        <v>726.85185185185185</v>
      </c>
      <c r="M113" s="777">
        <f t="shared" si="119"/>
        <v>4.7258598726114647</v>
      </c>
      <c r="N113" s="292"/>
      <c r="O113" s="386" t="s">
        <v>429</v>
      </c>
    </row>
    <row r="114" spans="1:18" ht="19.5" customHeight="1">
      <c r="A114" s="211">
        <v>7</v>
      </c>
      <c r="B114" s="583" t="str">
        <f>'NEP GO 30x60-NM'!H4</f>
        <v>NẸP GỖ 30x60-NM</v>
      </c>
      <c r="C114" s="109" t="s">
        <v>194</v>
      </c>
      <c r="D114" s="619">
        <f>'NEP GO 30x60-NM'!G8</f>
        <v>0</v>
      </c>
      <c r="E114" s="620"/>
      <c r="F114" s="619">
        <f>'NEP GO 30x60-NM'!D40</f>
        <v>0</v>
      </c>
      <c r="G114" s="620"/>
      <c r="H114" s="619">
        <f>'NEP GO 30x60-NM'!E40</f>
        <v>0</v>
      </c>
      <c r="I114" s="620"/>
      <c r="J114" s="619">
        <f t="shared" si="118"/>
        <v>0</v>
      </c>
      <c r="K114" s="620"/>
      <c r="L114" s="582">
        <f>L111*4</f>
        <v>726.85185185185185</v>
      </c>
      <c r="M114" s="777">
        <f t="shared" si="119"/>
        <v>0</v>
      </c>
      <c r="N114" s="292"/>
      <c r="O114" s="386" t="s">
        <v>428</v>
      </c>
    </row>
    <row r="115" spans="1:18" ht="19.5" customHeight="1">
      <c r="A115" s="211">
        <v>8</v>
      </c>
      <c r="B115" s="583" t="str">
        <f>'NEP GO 40x80 TH'!H4</f>
        <v>NẸP GỖ 40x80 TH</v>
      </c>
      <c r="C115" s="109" t="s">
        <v>194</v>
      </c>
      <c r="D115" s="619">
        <f>'NEP GO 40x80 TH'!G8</f>
        <v>1750</v>
      </c>
      <c r="E115" s="620"/>
      <c r="F115" s="619">
        <f>'NEP GO 40x80 TH'!D40</f>
        <v>6880</v>
      </c>
      <c r="G115" s="620"/>
      <c r="H115" s="619">
        <f>'NEP GO 40x80 TH'!E40</f>
        <v>5200</v>
      </c>
      <c r="I115" s="620"/>
      <c r="J115" s="619">
        <f t="shared" si="118"/>
        <v>3430</v>
      </c>
      <c r="K115" s="620"/>
      <c r="L115" s="582">
        <f>L113*4</f>
        <v>2907.4074074074074</v>
      </c>
      <c r="M115" s="777">
        <f t="shared" si="119"/>
        <v>1.1797452229299363</v>
      </c>
      <c r="N115" s="292"/>
      <c r="O115" s="784" t="s">
        <v>449</v>
      </c>
    </row>
    <row r="116" spans="1:18" ht="19.5" customHeight="1">
      <c r="A116" s="356" t="s">
        <v>160</v>
      </c>
      <c r="B116" s="357" t="s">
        <v>86</v>
      </c>
      <c r="C116" s="294"/>
      <c r="D116" s="358" t="s">
        <v>4</v>
      </c>
      <c r="E116" s="358"/>
      <c r="F116" s="358" t="s">
        <v>4</v>
      </c>
      <c r="G116" s="358"/>
      <c r="H116" s="358" t="s">
        <v>4</v>
      </c>
      <c r="I116" s="358"/>
      <c r="J116" s="358" t="s">
        <v>4</v>
      </c>
      <c r="K116" s="358" t="s">
        <v>4</v>
      </c>
      <c r="L116" s="582"/>
      <c r="M116" s="777"/>
      <c r="N116" s="292"/>
      <c r="O116" s="386"/>
    </row>
    <row r="117" spans="1:18" ht="19.5" customHeight="1">
      <c r="A117" s="778">
        <v>1</v>
      </c>
      <c r="B117" s="357" t="s">
        <v>373</v>
      </c>
      <c r="C117" s="294"/>
      <c r="D117" s="358"/>
      <c r="E117" s="358"/>
      <c r="F117" s="358"/>
      <c r="G117" s="358"/>
      <c r="H117" s="358"/>
      <c r="I117" s="358"/>
      <c r="J117" s="358"/>
      <c r="K117" s="358"/>
      <c r="L117" s="582"/>
      <c r="M117" s="777"/>
      <c r="N117" s="292"/>
      <c r="O117" s="386"/>
    </row>
    <row r="118" spans="1:18" s="95" customFormat="1" ht="19.5" customHeight="1">
      <c r="A118" s="211">
        <v>1</v>
      </c>
      <c r="B118" s="583" t="str">
        <f>'GR TIM 30x60-HA '!H4</f>
        <v>GRANDCERA TÍM 30x60-HA</v>
      </c>
      <c r="C118" s="109" t="s">
        <v>194</v>
      </c>
      <c r="D118" s="619">
        <f>'GR TIM 30x60-HA '!G8</f>
        <v>0</v>
      </c>
      <c r="E118" s="620"/>
      <c r="F118" s="619">
        <f>'GR TIM 30x60-HA '!D40</f>
        <v>0</v>
      </c>
      <c r="G118" s="620"/>
      <c r="H118" s="619">
        <f>'GR TIM 30x60-HA '!E40</f>
        <v>0</v>
      </c>
      <c r="I118" s="620"/>
      <c r="J118" s="619">
        <f t="shared" ref="J118:J128" si="120">D118+F118-H118</f>
        <v>0</v>
      </c>
      <c r="K118" s="620"/>
      <c r="L118" s="582">
        <f t="shared" ref="L118:L216" si="121">15700/1.44</f>
        <v>10902.777777777777</v>
      </c>
      <c r="M118" s="777">
        <f t="shared" ref="M118:M128" si="122">J118/L118</f>
        <v>0</v>
      </c>
      <c r="N118" s="292"/>
      <c r="O118" s="386" t="s">
        <v>386</v>
      </c>
      <c r="P118" s="97"/>
      <c r="Q118" s="97"/>
      <c r="R118" s="97"/>
    </row>
    <row r="119" spans="1:18" s="95" customFormat="1" ht="19.5" customHeight="1">
      <c r="A119" s="211">
        <v>2</v>
      </c>
      <c r="B119" s="584" t="str">
        <f>'GR TIM 30x60-HA  NÂU'!H4</f>
        <v>GRANDCERA TÍM 30x60-HA giấy nâu</v>
      </c>
      <c r="C119" s="109" t="s">
        <v>194</v>
      </c>
      <c r="D119" s="619">
        <f>'GR TIM 30x60-HA  NÂU'!G8</f>
        <v>35801</v>
      </c>
      <c r="E119" s="620"/>
      <c r="F119" s="619">
        <f>'GR TIM 30x60-HA  NÂU'!D40</f>
        <v>54880</v>
      </c>
      <c r="G119" s="620"/>
      <c r="H119" s="619">
        <f>'GR TIM 30x60-HA  NÂU'!E40</f>
        <v>62400</v>
      </c>
      <c r="I119" s="620"/>
      <c r="J119" s="619">
        <f t="shared" ref="J119" si="123">D119+F119-H119</f>
        <v>28281</v>
      </c>
      <c r="K119" s="620"/>
      <c r="L119" s="582">
        <f t="shared" si="121"/>
        <v>10902.777777777777</v>
      </c>
      <c r="M119" s="777">
        <f t="shared" ref="M119" si="124">J119/L119</f>
        <v>2.5939261146496815</v>
      </c>
      <c r="N119" s="292"/>
      <c r="O119" s="784" t="s">
        <v>865</v>
      </c>
      <c r="P119" s="97"/>
      <c r="Q119" s="97"/>
      <c r="R119" s="97"/>
    </row>
    <row r="120" spans="1:18" s="95" customFormat="1" ht="19.5" customHeight="1">
      <c r="A120" s="211">
        <v>3</v>
      </c>
      <c r="B120" s="583" t="str">
        <f>'GR XANH 30x60-HA'!H4</f>
        <v>GRANDCERA XANH 30x60-HA</v>
      </c>
      <c r="C120" s="109" t="s">
        <v>194</v>
      </c>
      <c r="D120" s="619">
        <f>'GR XANH 30x60-HA'!G8</f>
        <v>0</v>
      </c>
      <c r="E120" s="620"/>
      <c r="F120" s="619">
        <f>'GR XANH 30x60-HA'!D40</f>
        <v>0</v>
      </c>
      <c r="G120" s="620"/>
      <c r="H120" s="619">
        <f>'GR XANH 30x60-HA'!E40</f>
        <v>0</v>
      </c>
      <c r="I120" s="620"/>
      <c r="J120" s="619">
        <f t="shared" si="120"/>
        <v>0</v>
      </c>
      <c r="K120" s="620"/>
      <c r="L120" s="582">
        <f t="shared" si="121"/>
        <v>10902.777777777777</v>
      </c>
      <c r="M120" s="777">
        <f t="shared" si="122"/>
        <v>0</v>
      </c>
      <c r="N120" s="292"/>
      <c r="O120" s="386" t="s">
        <v>409</v>
      </c>
      <c r="P120" s="97"/>
      <c r="Q120" s="97"/>
      <c r="R120" s="97"/>
    </row>
    <row r="121" spans="1:18" s="95" customFormat="1" ht="19.5" customHeight="1">
      <c r="A121" s="211">
        <v>4</v>
      </c>
      <c r="B121" s="584" t="str">
        <f>'GR XANH 30x60-HA nâu'!H4</f>
        <v>GRANDCERA XANH 30x60-HA nâu</v>
      </c>
      <c r="C121" s="109" t="s">
        <v>194</v>
      </c>
      <c r="D121" s="619">
        <f>'GR XANH 30x60-HA nâu'!G8</f>
        <v>4915</v>
      </c>
      <c r="E121" s="620"/>
      <c r="F121" s="619">
        <f>'GR XANH 30x60-HA nâu'!D40</f>
        <v>0</v>
      </c>
      <c r="G121" s="620"/>
      <c r="H121" s="619">
        <f>'GR XANH 30x60-HA nâu'!E40</f>
        <v>500</v>
      </c>
      <c r="I121" s="620"/>
      <c r="J121" s="619">
        <f t="shared" ref="J121" si="125">D121+F121-H121</f>
        <v>4415</v>
      </c>
      <c r="K121" s="620"/>
      <c r="L121" s="582">
        <f t="shared" si="121"/>
        <v>10902.777777777777</v>
      </c>
      <c r="M121" s="777">
        <f t="shared" ref="M121" si="126">J121/L121</f>
        <v>0.40494267515923571</v>
      </c>
      <c r="N121" s="292"/>
      <c r="O121" s="784" t="s">
        <v>895</v>
      </c>
      <c r="P121" s="97"/>
      <c r="Q121" s="97"/>
      <c r="R121" s="97"/>
    </row>
    <row r="122" spans="1:18" s="95" customFormat="1" ht="19.5" customHeight="1">
      <c r="A122" s="211">
        <v>5</v>
      </c>
      <c r="B122" s="584" t="str">
        <f>'GR XANH 30x60-HA nâu MỚI'!H4</f>
        <v>GRANDCERA XANH 30x60-HA nâu MỚI</v>
      </c>
      <c r="C122" s="109" t="s">
        <v>194</v>
      </c>
      <c r="D122" s="619">
        <f>'GR XANH 30x60-HA nâu MỚI'!G8</f>
        <v>0</v>
      </c>
      <c r="E122" s="620"/>
      <c r="F122" s="619">
        <f>'GR XANH 30x60-HA nâu MỚI'!D40</f>
        <v>0</v>
      </c>
      <c r="G122" s="620"/>
      <c r="H122" s="619">
        <f>'GR XANH 30x60-HA nâu MỚI'!E40</f>
        <v>0</v>
      </c>
      <c r="I122" s="620"/>
      <c r="J122" s="619">
        <f t="shared" ref="J122" si="127">D122+F122-H122</f>
        <v>0</v>
      </c>
      <c r="K122" s="620"/>
      <c r="L122" s="582">
        <f t="shared" si="121"/>
        <v>10902.777777777777</v>
      </c>
      <c r="M122" s="777">
        <f t="shared" ref="M122" si="128">J122/L122</f>
        <v>0</v>
      </c>
      <c r="N122" s="292"/>
      <c r="O122" s="784" t="s">
        <v>1140</v>
      </c>
      <c r="P122" s="97"/>
      <c r="Q122" s="97"/>
      <c r="R122" s="97"/>
    </row>
    <row r="123" spans="1:18" s="95" customFormat="1" ht="19.5" customHeight="1">
      <c r="A123" s="211">
        <v>6</v>
      </c>
      <c r="B123" s="583" t="str">
        <f>'SAHADO NEW 30x60-HA'!H4</f>
        <v>SAHADO NEW 30x60-HA</v>
      </c>
      <c r="C123" s="109" t="s">
        <v>194</v>
      </c>
      <c r="D123" s="619">
        <f>'SAHADO NEW 30x60-HA'!G8</f>
        <v>0</v>
      </c>
      <c r="E123" s="620"/>
      <c r="F123" s="619">
        <f>'SAHADO NEW 30x60-HA'!D40</f>
        <v>0</v>
      </c>
      <c r="G123" s="620"/>
      <c r="H123" s="619">
        <f>'SAHADO NEW 30x60-HA'!E40</f>
        <v>0</v>
      </c>
      <c r="I123" s="620"/>
      <c r="J123" s="619">
        <f t="shared" si="120"/>
        <v>0</v>
      </c>
      <c r="K123" s="620"/>
      <c r="L123" s="582">
        <f t="shared" si="121"/>
        <v>10902.777777777777</v>
      </c>
      <c r="M123" s="777">
        <f t="shared" si="122"/>
        <v>0</v>
      </c>
      <c r="N123" s="292"/>
      <c r="O123" s="386" t="s">
        <v>410</v>
      </c>
      <c r="P123" s="97"/>
      <c r="Q123" s="97"/>
      <c r="R123" s="97"/>
    </row>
    <row r="124" spans="1:18" s="95" customFormat="1" ht="19.5" customHeight="1">
      <c r="A124" s="211">
        <v>7</v>
      </c>
      <c r="B124" s="584" t="str">
        <f>'SAHADO NEW 30x60-HA nâu'!H4</f>
        <v>SAHADO NEW 30x60-HA giấy nâu</v>
      </c>
      <c r="C124" s="109" t="s">
        <v>194</v>
      </c>
      <c r="D124" s="619">
        <f>'SAHADO NEW 30x60-HA nâu'!G8</f>
        <v>9115</v>
      </c>
      <c r="E124" s="620"/>
      <c r="F124" s="619">
        <f>'SAHADO NEW 30x60-HA nâu'!D40</f>
        <v>0</v>
      </c>
      <c r="G124" s="620"/>
      <c r="H124" s="619">
        <f>'SAHADO NEW 30x60-HA nâu'!E40</f>
        <v>3130</v>
      </c>
      <c r="I124" s="620"/>
      <c r="J124" s="619">
        <f t="shared" ref="J124" si="129">D124+F124-H124</f>
        <v>5985</v>
      </c>
      <c r="K124" s="620"/>
      <c r="L124" s="582">
        <f t="shared" si="121"/>
        <v>10902.777777777777</v>
      </c>
      <c r="M124" s="777">
        <f t="shared" ref="M124" si="130">J124/L124</f>
        <v>0.54894267515923567</v>
      </c>
      <c r="N124" s="292"/>
      <c r="O124" s="784" t="s">
        <v>888</v>
      </c>
      <c r="P124" s="97"/>
      <c r="Q124" s="97"/>
      <c r="R124" s="97"/>
    </row>
    <row r="125" spans="1:18" s="95" customFormat="1" ht="19.5" customHeight="1">
      <c r="A125" s="211">
        <v>8</v>
      </c>
      <c r="B125" s="584" t="str">
        <f>'LUXURY 30x60-HA'!H4</f>
        <v>LUXURY 30x60-HA</v>
      </c>
      <c r="C125" s="109" t="s">
        <v>194</v>
      </c>
      <c r="D125" s="619">
        <f>'LUXURY 30x60-HA'!G8</f>
        <v>0</v>
      </c>
      <c r="E125" s="620"/>
      <c r="F125" s="619">
        <f>'LUXURY 30x60-HA'!D40</f>
        <v>0</v>
      </c>
      <c r="G125" s="620"/>
      <c r="H125" s="619">
        <f>'LUXURY 30x60-HA'!E40</f>
        <v>0</v>
      </c>
      <c r="I125" s="620"/>
      <c r="J125" s="619">
        <f t="shared" si="120"/>
        <v>0</v>
      </c>
      <c r="K125" s="620"/>
      <c r="L125" s="582">
        <f t="shared" si="121"/>
        <v>10902.777777777777</v>
      </c>
      <c r="M125" s="777">
        <f t="shared" si="122"/>
        <v>0</v>
      </c>
      <c r="N125" s="292"/>
      <c r="O125" s="386" t="s">
        <v>411</v>
      </c>
      <c r="P125" s="97"/>
      <c r="Q125" s="97"/>
      <c r="R125" s="97"/>
    </row>
    <row r="126" spans="1:18" s="95" customFormat="1" ht="19.5" customHeight="1">
      <c r="A126" s="211">
        <v>9</v>
      </c>
      <c r="B126" s="584" t="str">
        <f>'LUXURY 30x60-HA nâu'!H4</f>
        <v>LUXURY 30x60-HA giấy nâu</v>
      </c>
      <c r="C126" s="109" t="s">
        <v>194</v>
      </c>
      <c r="D126" s="619">
        <f>'LUXURY 30x60-HA nâu'!G8</f>
        <v>2160</v>
      </c>
      <c r="E126" s="620"/>
      <c r="F126" s="619">
        <f>'LUXURY 30x60-HA nâu'!D40</f>
        <v>0</v>
      </c>
      <c r="G126" s="620"/>
      <c r="H126" s="619">
        <f>'LUXURY 30x60-HA nâu'!E40</f>
        <v>0</v>
      </c>
      <c r="I126" s="620"/>
      <c r="J126" s="619">
        <f t="shared" ref="J126" si="131">D126+F126-H126</f>
        <v>2160</v>
      </c>
      <c r="K126" s="620"/>
      <c r="L126" s="582">
        <f t="shared" si="121"/>
        <v>10902.777777777777</v>
      </c>
      <c r="M126" s="777">
        <f t="shared" ref="M126" si="132">J126/L126</f>
        <v>0.19811464968152867</v>
      </c>
      <c r="N126" s="292"/>
      <c r="O126" s="784" t="s">
        <v>867</v>
      </c>
      <c r="P126" s="97"/>
      <c r="Q126" s="97"/>
      <c r="R126" s="97"/>
    </row>
    <row r="127" spans="1:18" s="95" customFormat="1" ht="19.5" customHeight="1">
      <c r="A127" s="211">
        <v>10</v>
      </c>
      <c r="B127" s="583" t="str">
        <f>'CROWN 30x60-HA '!H4</f>
        <v>CROWN 30x60-HA</v>
      </c>
      <c r="C127" s="109" t="s">
        <v>194</v>
      </c>
      <c r="D127" s="619">
        <f>'CROWN 30x60-HA '!D8</f>
        <v>0</v>
      </c>
      <c r="E127" s="620"/>
      <c r="F127" s="619">
        <f>'CROWN 30x60-HA '!D40</f>
        <v>0</v>
      </c>
      <c r="G127" s="620"/>
      <c r="H127" s="619">
        <f>'CROWN 30x60-HA '!E40</f>
        <v>0</v>
      </c>
      <c r="I127" s="620"/>
      <c r="J127" s="619">
        <f t="shared" si="120"/>
        <v>0</v>
      </c>
      <c r="K127" s="620"/>
      <c r="L127" s="582">
        <f t="shared" si="121"/>
        <v>10902.777777777777</v>
      </c>
      <c r="M127" s="777">
        <f t="shared" si="122"/>
        <v>0</v>
      </c>
      <c r="N127" s="292"/>
      <c r="O127" s="386" t="s">
        <v>413</v>
      </c>
      <c r="P127" s="97"/>
      <c r="Q127" s="97"/>
      <c r="R127" s="97"/>
    </row>
    <row r="128" spans="1:18" ht="19.5" customHeight="1">
      <c r="A128" s="211">
        <v>11</v>
      </c>
      <c r="B128" s="583" t="str">
        <f>'ESPANA 30x60-HA'!H4</f>
        <v>ESPANA 30x60-HA</v>
      </c>
      <c r="C128" s="109" t="s">
        <v>194</v>
      </c>
      <c r="D128" s="619">
        <f>'ESPANA 30x60-HA'!G8</f>
        <v>10048</v>
      </c>
      <c r="E128" s="620"/>
      <c r="F128" s="619">
        <f>'ESPANA 30x60-HA'!D40</f>
        <v>0</v>
      </c>
      <c r="G128" s="620"/>
      <c r="H128" s="619">
        <f>'ESPANA 30x60-HA'!E40</f>
        <v>2400</v>
      </c>
      <c r="I128" s="620"/>
      <c r="J128" s="619">
        <f t="shared" si="120"/>
        <v>7648</v>
      </c>
      <c r="K128" s="620"/>
      <c r="L128" s="582">
        <f t="shared" si="121"/>
        <v>10902.777777777777</v>
      </c>
      <c r="M128" s="777">
        <f t="shared" si="122"/>
        <v>0.7014726114649682</v>
      </c>
      <c r="N128" s="292"/>
      <c r="O128" s="386" t="s">
        <v>437</v>
      </c>
    </row>
    <row r="129" spans="1:15" ht="19.5" customHeight="1">
      <c r="A129" s="211">
        <v>12</v>
      </c>
      <c r="B129" s="584" t="str">
        <f>'ESPANA 30x60-HA nâu'!H4</f>
        <v>ESPANA 30x60-HA nâu</v>
      </c>
      <c r="C129" s="109" t="s">
        <v>194</v>
      </c>
      <c r="D129" s="619">
        <f>'ESPANA 30x60-HA nâu'!G8</f>
        <v>0</v>
      </c>
      <c r="E129" s="620"/>
      <c r="F129" s="619">
        <f>'ESPANA 30x60-HA nâu'!D40</f>
        <v>0</v>
      </c>
      <c r="G129" s="620"/>
      <c r="H129" s="619">
        <f>'ESPANA 30x60-HA nâu'!E40</f>
        <v>0</v>
      </c>
      <c r="I129" s="620"/>
      <c r="J129" s="619">
        <f t="shared" ref="J129" si="133">D129+F129-H129</f>
        <v>0</v>
      </c>
      <c r="K129" s="620"/>
      <c r="L129" s="582">
        <f t="shared" si="121"/>
        <v>10902.777777777777</v>
      </c>
      <c r="M129" s="777">
        <f t="shared" ref="M129" si="134">J129/L129</f>
        <v>0</v>
      </c>
      <c r="N129" s="292"/>
      <c r="O129" s="784" t="s">
        <v>898</v>
      </c>
    </row>
    <row r="130" spans="1:15" ht="19.5" customHeight="1">
      <c r="A130" s="211">
        <v>13</v>
      </c>
      <c r="B130" s="584" t="str">
        <f>'CERAMIC 30x60-HA'!H4</f>
        <v>CERAMIC 30x60-HA</v>
      </c>
      <c r="C130" s="109" t="s">
        <v>194</v>
      </c>
      <c r="D130" s="619">
        <f>'CERAMIC 30x60-HA'!G8</f>
        <v>6700</v>
      </c>
      <c r="E130" s="620"/>
      <c r="F130" s="619">
        <f>'CERAMIC 30x60-HA'!D40</f>
        <v>0</v>
      </c>
      <c r="G130" s="620"/>
      <c r="H130" s="619">
        <f>'CERAMIC 30x60-HA'!E40</f>
        <v>0</v>
      </c>
      <c r="I130" s="620"/>
      <c r="J130" s="619">
        <f t="shared" ref="J130:J135" si="135">D130+F130-H130</f>
        <v>6700</v>
      </c>
      <c r="K130" s="620"/>
      <c r="L130" s="582">
        <f t="shared" si="121"/>
        <v>10902.777777777777</v>
      </c>
      <c r="M130" s="777">
        <f t="shared" ref="M130:M134" si="136">J130/L130</f>
        <v>0.61452229299363059</v>
      </c>
      <c r="N130" s="292"/>
      <c r="O130" s="386" t="s">
        <v>364</v>
      </c>
    </row>
    <row r="131" spans="1:15" ht="19.5" customHeight="1">
      <c r="A131" s="211">
        <v>14</v>
      </c>
      <c r="B131" s="584" t="str">
        <f>HAVIRA!H4</f>
        <v>HAVIRA 30x60-HA</v>
      </c>
      <c r="C131" s="109" t="s">
        <v>194</v>
      </c>
      <c r="D131" s="619">
        <f>HAVIRA!G8</f>
        <v>5792</v>
      </c>
      <c r="E131" s="620"/>
      <c r="F131" s="619">
        <f>HAVIRA!D40</f>
        <v>4810</v>
      </c>
      <c r="G131" s="620"/>
      <c r="H131" s="619">
        <f>HAVIRA!E40</f>
        <v>1050</v>
      </c>
      <c r="I131" s="620"/>
      <c r="J131" s="619">
        <f t="shared" si="135"/>
        <v>9552</v>
      </c>
      <c r="K131" s="620"/>
      <c r="L131" s="582">
        <f t="shared" si="121"/>
        <v>10902.777777777777</v>
      </c>
      <c r="M131" s="777">
        <f t="shared" si="136"/>
        <v>0.87610700636942673</v>
      </c>
      <c r="N131" s="292"/>
      <c r="O131" s="784" t="s">
        <v>457</v>
      </c>
    </row>
    <row r="132" spans="1:15" ht="19.5" customHeight="1">
      <c r="A132" s="211">
        <v>15</v>
      </c>
      <c r="B132" s="584" t="str">
        <f>'HAVIRA nâu'!H4</f>
        <v>HAVIRA 30x60-HA giấy nâu</v>
      </c>
      <c r="C132" s="109" t="s">
        <v>194</v>
      </c>
      <c r="D132" s="619">
        <f>'HAVIRA nâu'!G8</f>
        <v>0</v>
      </c>
      <c r="E132" s="620"/>
      <c r="F132" s="619">
        <f>'HAVIRA nâu'!D40</f>
        <v>0</v>
      </c>
      <c r="G132" s="620"/>
      <c r="H132" s="619">
        <f>'HAVIRA nâu'!E40</f>
        <v>0</v>
      </c>
      <c r="I132" s="620"/>
      <c r="J132" s="619">
        <f t="shared" ref="J132" si="137">D132+F132-H132</f>
        <v>0</v>
      </c>
      <c r="K132" s="620"/>
      <c r="L132" s="582">
        <f t="shared" si="121"/>
        <v>10902.777777777777</v>
      </c>
      <c r="M132" s="777">
        <f t="shared" ref="M132" si="138">J132/L132</f>
        <v>0</v>
      </c>
      <c r="N132" s="292"/>
      <c r="O132" s="784" t="s">
        <v>892</v>
      </c>
    </row>
    <row r="133" spans="1:15" ht="19.5" customHeight="1">
      <c r="A133" s="211">
        <v>16</v>
      </c>
      <c r="B133" s="584" t="str">
        <f>ADONIS!H4</f>
        <v>ADONIS 30x60-HA</v>
      </c>
      <c r="C133" s="109" t="s">
        <v>194</v>
      </c>
      <c r="D133" s="619">
        <f>ADONIS!G8</f>
        <v>2060</v>
      </c>
      <c r="E133" s="620"/>
      <c r="F133" s="619">
        <f>ADONIS!D40</f>
        <v>0</v>
      </c>
      <c r="G133" s="620"/>
      <c r="H133" s="619">
        <f>ADONIS!E40</f>
        <v>0</v>
      </c>
      <c r="I133" s="620"/>
      <c r="J133" s="619">
        <f t="shared" si="135"/>
        <v>2060</v>
      </c>
      <c r="K133" s="620"/>
      <c r="L133" s="582">
        <f t="shared" si="121"/>
        <v>10902.777777777777</v>
      </c>
      <c r="M133" s="777">
        <f t="shared" si="136"/>
        <v>0.18894267515923568</v>
      </c>
      <c r="N133" s="292"/>
      <c r="O133" s="784" t="s">
        <v>460</v>
      </c>
    </row>
    <row r="134" spans="1:15" ht="19.5" customHeight="1">
      <c r="A134" s="211">
        <v>17</v>
      </c>
      <c r="B134" s="584" t="str">
        <f>'GREEN ERA'!H4</f>
        <v>GREEN ERA 30x60-HA</v>
      </c>
      <c r="C134" s="109" t="s">
        <v>194</v>
      </c>
      <c r="D134" s="619">
        <f>'GREEN ERA'!G8</f>
        <v>0</v>
      </c>
      <c r="E134" s="620"/>
      <c r="F134" s="619">
        <f>'GREEN ERA'!D40</f>
        <v>0</v>
      </c>
      <c r="G134" s="620"/>
      <c r="H134" s="619">
        <f>'GREEN ERA'!E40</f>
        <v>0</v>
      </c>
      <c r="I134" s="620"/>
      <c r="J134" s="619">
        <f t="shared" si="135"/>
        <v>0</v>
      </c>
      <c r="K134" s="620"/>
      <c r="L134" s="582">
        <f t="shared" si="121"/>
        <v>10902.777777777777</v>
      </c>
      <c r="M134" s="777">
        <f t="shared" si="136"/>
        <v>0</v>
      </c>
      <c r="N134" s="292"/>
      <c r="O134" s="784" t="s">
        <v>758</v>
      </c>
    </row>
    <row r="135" spans="1:15" ht="19.5" customHeight="1">
      <c r="A135" s="211">
        <v>18</v>
      </c>
      <c r="B135" s="584" t="str">
        <f>'GREEN ERA nâu'!H4</f>
        <v xml:space="preserve">GREEN ERA 30x60-HA giấy nâu </v>
      </c>
      <c r="C135" s="109" t="s">
        <v>194</v>
      </c>
      <c r="D135" s="619">
        <f>'GREEN ERA nâu'!G8</f>
        <v>3590</v>
      </c>
      <c r="E135" s="620"/>
      <c r="F135" s="619">
        <f>'GREEN ERA nâu'!D40</f>
        <v>0</v>
      </c>
      <c r="G135" s="620"/>
      <c r="H135" s="619">
        <f>'GREEN ERA nâu'!E40</f>
        <v>0</v>
      </c>
      <c r="I135" s="620"/>
      <c r="J135" s="619">
        <f t="shared" si="135"/>
        <v>3590</v>
      </c>
      <c r="K135" s="620"/>
      <c r="L135" s="582">
        <f t="shared" si="121"/>
        <v>10902.777777777777</v>
      </c>
      <c r="M135" s="777">
        <f t="shared" ref="M135" si="139">J135/L135</f>
        <v>0.32927388535031848</v>
      </c>
      <c r="N135" s="292"/>
      <c r="O135" s="784" t="s">
        <v>877</v>
      </c>
    </row>
    <row r="136" spans="1:15" ht="19.5" customHeight="1">
      <c r="A136" s="211">
        <v>19</v>
      </c>
      <c r="B136" s="584" t="str">
        <f>'GREEN HOME'!H4</f>
        <v xml:space="preserve">GREEN HOME 30x60-HA </v>
      </c>
      <c r="C136" s="109" t="s">
        <v>194</v>
      </c>
      <c r="D136" s="619">
        <f>'GREEN HOME'!G8</f>
        <v>9226</v>
      </c>
      <c r="E136" s="620"/>
      <c r="F136" s="619">
        <f>'GREEN HOME'!D40</f>
        <v>0</v>
      </c>
      <c r="G136" s="620"/>
      <c r="H136" s="619">
        <f>'GREEN HOME'!E40</f>
        <v>0</v>
      </c>
      <c r="I136" s="620"/>
      <c r="J136" s="619">
        <f t="shared" ref="J136" si="140">D136+F136-H136</f>
        <v>9226</v>
      </c>
      <c r="K136" s="620"/>
      <c r="L136" s="582">
        <f t="shared" si="121"/>
        <v>10902.777777777777</v>
      </c>
      <c r="M136" s="777">
        <f t="shared" ref="M136" si="141">J136/L136</f>
        <v>0.84620636942675165</v>
      </c>
      <c r="N136" s="292"/>
      <c r="O136" s="784" t="s">
        <v>941</v>
      </c>
    </row>
    <row r="137" spans="1:15" ht="19.5" customHeight="1">
      <c r="A137" s="211">
        <v>20</v>
      </c>
      <c r="B137" s="584" t="str">
        <f>LUSTILE!H4</f>
        <v xml:space="preserve">LUSTILE 30*60-HA </v>
      </c>
      <c r="C137" s="109" t="s">
        <v>194</v>
      </c>
      <c r="D137" s="619">
        <f>LUSTILE!G8</f>
        <v>14586</v>
      </c>
      <c r="E137" s="620"/>
      <c r="F137" s="619">
        <f>LUSTILE!D40</f>
        <v>10050</v>
      </c>
      <c r="G137" s="620"/>
      <c r="H137" s="619">
        <f>LUSTILE!E40</f>
        <v>4800</v>
      </c>
      <c r="I137" s="620"/>
      <c r="J137" s="619">
        <f t="shared" ref="J137" si="142">D137+F137-H137</f>
        <v>19836</v>
      </c>
      <c r="K137" s="620"/>
      <c r="L137" s="582">
        <f t="shared" si="121"/>
        <v>10902.777777777777</v>
      </c>
      <c r="M137" s="777">
        <f t="shared" ref="M137" si="143">J137/L137</f>
        <v>1.8193528662420382</v>
      </c>
      <c r="N137" s="292"/>
      <c r="O137" s="784" t="s">
        <v>968</v>
      </c>
    </row>
    <row r="138" spans="1:15" ht="19.5" customHeight="1">
      <c r="A138" s="211">
        <v>21</v>
      </c>
      <c r="B138" s="584" t="str">
        <f>'PANA TILES 3060 nâu '!H4</f>
        <v xml:space="preserve">PANA TILES 30*60 nâu-HA </v>
      </c>
      <c r="C138" s="109" t="s">
        <v>194</v>
      </c>
      <c r="D138" s="619">
        <f>'PANA TILES 3060 nâu '!G8</f>
        <v>0</v>
      </c>
      <c r="E138" s="620"/>
      <c r="F138" s="619">
        <f>'PANA TILES 3060 nâu '!D40</f>
        <v>0</v>
      </c>
      <c r="G138" s="620"/>
      <c r="H138" s="619">
        <f>'PANA TILES 3060 nâu '!E40</f>
        <v>0</v>
      </c>
      <c r="I138" s="620"/>
      <c r="J138" s="619">
        <f t="shared" ref="J138" si="144">D138+F138-H138</f>
        <v>0</v>
      </c>
      <c r="K138" s="620"/>
      <c r="L138" s="582">
        <f t="shared" si="121"/>
        <v>10902.777777777777</v>
      </c>
      <c r="M138" s="777">
        <f t="shared" ref="M138" si="145">J138/L138</f>
        <v>0</v>
      </c>
      <c r="N138" s="292"/>
      <c r="O138" s="784" t="s">
        <v>1000</v>
      </c>
    </row>
    <row r="139" spans="1:15" ht="19.5" customHeight="1">
      <c r="A139" s="211">
        <v>22</v>
      </c>
      <c r="B139" s="584" t="str">
        <f>'TOP ONE 3060 nâu  '!H4</f>
        <v xml:space="preserve">TOP ONE 30*60 nâu-HA </v>
      </c>
      <c r="C139" s="109" t="s">
        <v>194</v>
      </c>
      <c r="D139" s="619">
        <f>'TOP ONE 3060 nâu  '!G8</f>
        <v>13841</v>
      </c>
      <c r="E139" s="620"/>
      <c r="F139" s="619">
        <f>'TOP ONE 3060 nâu  '!D40</f>
        <v>15775</v>
      </c>
      <c r="G139" s="620"/>
      <c r="H139" s="619">
        <f>'TOP ONE 3060 nâu  '!E40</f>
        <v>23150</v>
      </c>
      <c r="I139" s="620"/>
      <c r="J139" s="619">
        <f t="shared" ref="J139:J147" si="146">D139+F139-H139</f>
        <v>6466</v>
      </c>
      <c r="K139" s="620"/>
      <c r="L139" s="582">
        <f t="shared" si="121"/>
        <v>10902.777777777777</v>
      </c>
      <c r="M139" s="777">
        <f t="shared" ref="M139:M147" si="147">J139/L139</f>
        <v>0.59305987261146498</v>
      </c>
      <c r="N139" s="292"/>
      <c r="O139" s="784" t="s">
        <v>1031</v>
      </c>
    </row>
    <row r="140" spans="1:15" ht="19.5" customHeight="1">
      <c r="A140" s="211">
        <v>23</v>
      </c>
      <c r="B140" s="584" t="str">
        <f>'CROVINA 3060'!H4</f>
        <v xml:space="preserve">CROVINA 30*60 nâu-HA </v>
      </c>
      <c r="C140" s="109" t="s">
        <v>194</v>
      </c>
      <c r="D140" s="619">
        <f>'CROVINA 3060'!G8</f>
        <v>11421</v>
      </c>
      <c r="E140" s="620"/>
      <c r="F140" s="619">
        <f>'CROVINA 3060'!D40</f>
        <v>10100</v>
      </c>
      <c r="G140" s="620"/>
      <c r="H140" s="619">
        <f>'CROVINA 3060'!E40</f>
        <v>14400</v>
      </c>
      <c r="I140" s="620"/>
      <c r="J140" s="619">
        <f t="shared" ref="J140" si="148">D140+F140-H140</f>
        <v>7121</v>
      </c>
      <c r="K140" s="620"/>
      <c r="L140" s="582">
        <f t="shared" si="121"/>
        <v>10902.777777777777</v>
      </c>
      <c r="M140" s="777">
        <f t="shared" ref="M140" si="149">J140/L140</f>
        <v>0.65313630573248405</v>
      </c>
      <c r="N140" s="292"/>
      <c r="O140" s="784" t="s">
        <v>1138</v>
      </c>
    </row>
    <row r="141" spans="1:15" ht="19.5" customHeight="1">
      <c r="A141" s="211">
        <v>24</v>
      </c>
      <c r="B141" s="584" t="str">
        <f>'T H PHƯƠNG 3060'!H4</f>
        <v xml:space="preserve">TRANG HOÀNG PHƯƠNG 30*60 nâu-HA </v>
      </c>
      <c r="C141" s="109" t="s">
        <v>194</v>
      </c>
      <c r="D141" s="619">
        <f>'T H PHƯƠNG 3060'!G8</f>
        <v>21410</v>
      </c>
      <c r="E141" s="620"/>
      <c r="F141" s="619">
        <f>'T H PHƯƠNG 3060'!D40</f>
        <v>41030</v>
      </c>
      <c r="G141" s="620"/>
      <c r="H141" s="619">
        <f>'T H PHƯƠNG 3060'!E40</f>
        <v>36000</v>
      </c>
      <c r="I141" s="620"/>
      <c r="J141" s="619">
        <f t="shared" ref="J141" si="150">D141+F141-H141</f>
        <v>26440</v>
      </c>
      <c r="K141" s="620"/>
      <c r="L141" s="582">
        <f t="shared" si="121"/>
        <v>10902.777777777777</v>
      </c>
      <c r="M141" s="777">
        <f t="shared" ref="M141" si="151">J141/L141</f>
        <v>2.4250700636942675</v>
      </c>
      <c r="N141" s="292"/>
      <c r="O141" s="784" t="s">
        <v>1157</v>
      </c>
    </row>
    <row r="142" spans="1:15" ht="19.5" customHeight="1">
      <c r="A142" s="211">
        <v>25</v>
      </c>
      <c r="B142" s="584" t="str">
        <f>'BAO BÌ '!B39</f>
        <v xml:space="preserve">KARPO 30*60 nâu-HA </v>
      </c>
      <c r="C142" s="109" t="s">
        <v>194</v>
      </c>
      <c r="D142" s="619">
        <f>'BAO BÌ '!D39</f>
        <v>10050</v>
      </c>
      <c r="E142" s="620"/>
      <c r="F142" s="619">
        <f>'BAO BÌ '!F39</f>
        <v>15250</v>
      </c>
      <c r="G142" s="620"/>
      <c r="H142" s="619">
        <f>'BAO BÌ '!H39</f>
        <v>8450</v>
      </c>
      <c r="I142" s="620"/>
      <c r="J142" s="619">
        <f t="shared" ref="J142" si="152">D142+F142-H142</f>
        <v>16850</v>
      </c>
      <c r="K142" s="620"/>
      <c r="L142" s="582">
        <f t="shared" si="121"/>
        <v>10902.777777777777</v>
      </c>
      <c r="M142" s="777">
        <f t="shared" ref="M142" si="153">J142/L142</f>
        <v>1.5454777070063694</v>
      </c>
      <c r="N142" s="292"/>
      <c r="O142" s="784" t="s">
        <v>1186</v>
      </c>
    </row>
    <row r="143" spans="1:15" ht="19.5" customHeight="1">
      <c r="A143" s="211">
        <v>26</v>
      </c>
      <c r="B143" s="584" t="str">
        <f>'BAO BÌ '!B41</f>
        <v xml:space="preserve">VINA PHACON 30*60 nâu-HA </v>
      </c>
      <c r="C143" s="109" t="s">
        <v>194</v>
      </c>
      <c r="D143" s="619">
        <f>'BAO BÌ '!D41</f>
        <v>6615</v>
      </c>
      <c r="E143" s="620"/>
      <c r="F143" s="619">
        <f>'BAO BÌ '!F41</f>
        <v>20054</v>
      </c>
      <c r="G143" s="620"/>
      <c r="H143" s="619">
        <f>'BAO BÌ '!H41</f>
        <v>12000</v>
      </c>
      <c r="I143" s="620"/>
      <c r="J143" s="619">
        <f t="shared" ref="J143" si="154">D143+F143-H143</f>
        <v>14669</v>
      </c>
      <c r="K143" s="620"/>
      <c r="L143" s="582">
        <f t="shared" si="121"/>
        <v>10902.777777777777</v>
      </c>
      <c r="M143" s="777">
        <f t="shared" ref="M143" si="155">J143/L143</f>
        <v>1.3454369426751593</v>
      </c>
      <c r="N143" s="292"/>
      <c r="O143" s="784" t="s">
        <v>1196</v>
      </c>
    </row>
    <row r="144" spans="1:15" ht="19.5" customHeight="1">
      <c r="A144" s="211">
        <v>27</v>
      </c>
      <c r="B144" s="584" t="str">
        <f>'BAO BÌ '!B40</f>
        <v xml:space="preserve">VIDONA 30*60 nâu-HA </v>
      </c>
      <c r="C144" s="109" t="s">
        <v>194</v>
      </c>
      <c r="D144" s="619">
        <f>'BAO BÌ '!D40</f>
        <v>4310</v>
      </c>
      <c r="E144" s="620"/>
      <c r="F144" s="619">
        <f>'BAO BÌ '!F40</f>
        <v>3100</v>
      </c>
      <c r="G144" s="620"/>
      <c r="H144" s="619">
        <f>'BAO BÌ '!H40</f>
        <v>3800</v>
      </c>
      <c r="I144" s="620"/>
      <c r="J144" s="619">
        <f t="shared" ref="J144" si="156">D144+F144-H144</f>
        <v>3610</v>
      </c>
      <c r="K144" s="620"/>
      <c r="L144" s="582">
        <f t="shared" si="121"/>
        <v>10902.777777777777</v>
      </c>
      <c r="M144" s="777">
        <f t="shared" ref="M144" si="157">J144/L144</f>
        <v>0.33110828025477707</v>
      </c>
      <c r="N144" s="292"/>
      <c r="O144" s="784" t="s">
        <v>1188</v>
      </c>
    </row>
    <row r="145" spans="1:18" ht="19.5" customHeight="1">
      <c r="A145" s="211">
        <v>28</v>
      </c>
      <c r="B145" s="584" t="str">
        <f>'BAO BÌ '!B41</f>
        <v xml:space="preserve">VINA PHACON 30*60 nâu-HA </v>
      </c>
      <c r="C145" s="109"/>
      <c r="D145" s="619">
        <f>'BAO BÌ '!D41</f>
        <v>6615</v>
      </c>
      <c r="E145" s="620"/>
      <c r="F145" s="619">
        <f>'BAO BÌ '!F41</f>
        <v>20054</v>
      </c>
      <c r="G145" s="620"/>
      <c r="H145" s="619">
        <f>'BAO BÌ '!H41</f>
        <v>12000</v>
      </c>
      <c r="I145" s="620"/>
      <c r="J145" s="619">
        <f t="shared" ref="J145:J146" si="158">D145+F145-H145</f>
        <v>14669</v>
      </c>
      <c r="K145" s="620"/>
      <c r="L145" s="582">
        <f t="shared" si="121"/>
        <v>10902.777777777777</v>
      </c>
      <c r="M145" s="777">
        <f t="shared" ref="M145:M146" si="159">J145/L145</f>
        <v>1.3454369426751593</v>
      </c>
      <c r="N145" s="292"/>
      <c r="O145" s="784" t="s">
        <v>1241</v>
      </c>
    </row>
    <row r="146" spans="1:18" ht="19.5" customHeight="1">
      <c r="A146" s="211">
        <v>29</v>
      </c>
      <c r="B146" s="584" t="str">
        <f>'BAO BÌ '!B42</f>
        <v xml:space="preserve">PADOVA 30*60 nâu-HA </v>
      </c>
      <c r="C146" s="109"/>
      <c r="D146" s="619">
        <f>'BAO BÌ '!D42</f>
        <v>6090</v>
      </c>
      <c r="E146" s="620"/>
      <c r="F146" s="619">
        <f>'BAO BÌ '!F42</f>
        <v>20300</v>
      </c>
      <c r="G146" s="620"/>
      <c r="H146" s="619">
        <f>'BAO BÌ '!H42</f>
        <v>21600</v>
      </c>
      <c r="I146" s="620"/>
      <c r="J146" s="619">
        <f t="shared" si="158"/>
        <v>4790</v>
      </c>
      <c r="K146" s="620"/>
      <c r="L146" s="582">
        <f t="shared" si="121"/>
        <v>10902.777777777777</v>
      </c>
      <c r="M146" s="777">
        <f t="shared" si="159"/>
        <v>0.43933757961783443</v>
      </c>
      <c r="N146" s="292"/>
      <c r="O146" s="784" t="s">
        <v>1240</v>
      </c>
    </row>
    <row r="147" spans="1:18" s="95" customFormat="1" ht="19.5" customHeight="1">
      <c r="A147" s="211">
        <v>30</v>
      </c>
      <c r="B147" s="583" t="str">
        <f>'VO PHE 30x60'!H4</f>
        <v>VỎ PHẾ 30x60-HA</v>
      </c>
      <c r="C147" s="109" t="s">
        <v>194</v>
      </c>
      <c r="D147" s="619">
        <f>'VO PHE 30x60'!G8</f>
        <v>4000</v>
      </c>
      <c r="E147" s="620"/>
      <c r="F147" s="619">
        <f>'VO PHE 30x60'!D40</f>
        <v>0</v>
      </c>
      <c r="G147" s="620"/>
      <c r="H147" s="619">
        <f>'VO PHE 30x60'!E40</f>
        <v>0</v>
      </c>
      <c r="I147" s="620"/>
      <c r="J147" s="619">
        <f t="shared" si="146"/>
        <v>4000</v>
      </c>
      <c r="K147" s="620"/>
      <c r="L147" s="582">
        <f t="shared" si="121"/>
        <v>10902.777777777777</v>
      </c>
      <c r="M147" s="777">
        <f t="shared" si="147"/>
        <v>0.36687898089171977</v>
      </c>
      <c r="N147" s="292"/>
      <c r="O147" s="386" t="s">
        <v>412</v>
      </c>
      <c r="P147" s="97"/>
      <c r="Q147" s="97"/>
      <c r="R147" s="97"/>
    </row>
    <row r="148" spans="1:18" ht="19.5" customHeight="1">
      <c r="A148" s="778">
        <v>2</v>
      </c>
      <c r="B148" s="357" t="s">
        <v>374</v>
      </c>
      <c r="C148" s="294"/>
      <c r="D148" s="358"/>
      <c r="E148" s="358"/>
      <c r="F148" s="358"/>
      <c r="G148" s="358"/>
      <c r="H148" s="358"/>
      <c r="I148" s="358"/>
      <c r="J148" s="358"/>
      <c r="K148" s="358"/>
      <c r="L148" s="582"/>
      <c r="M148" s="777"/>
      <c r="N148" s="292"/>
      <c r="O148" s="386"/>
    </row>
    <row r="149" spans="1:18" ht="19.5" customHeight="1">
      <c r="A149" s="211">
        <v>1</v>
      </c>
      <c r="B149" s="584" t="str">
        <f>'SAHADO 40x80-HA '!H4</f>
        <v>SAHADO 40x80-HA</v>
      </c>
      <c r="C149" s="109" t="s">
        <v>194</v>
      </c>
      <c r="D149" s="619">
        <f>'SAHADO 40x80-HA '!G8</f>
        <v>2105</v>
      </c>
      <c r="E149" s="620"/>
      <c r="F149" s="619">
        <f>'SAHADO 40x80-HA '!D40</f>
        <v>0</v>
      </c>
      <c r="G149" s="620"/>
      <c r="H149" s="619">
        <f>'SAHADO 40x80-HA '!E40</f>
        <v>0</v>
      </c>
      <c r="I149" s="620"/>
      <c r="J149" s="619">
        <f t="shared" ref="J149:J164" si="160">D149+F149-H149</f>
        <v>2105</v>
      </c>
      <c r="K149" s="620"/>
      <c r="L149" s="582">
        <f t="shared" si="121"/>
        <v>10902.777777777777</v>
      </c>
      <c r="M149" s="777">
        <f t="shared" ref="M149:M153" si="161">J149/L149</f>
        <v>0.19307006369426752</v>
      </c>
      <c r="N149" s="292"/>
      <c r="O149" s="386" t="s">
        <v>347</v>
      </c>
    </row>
    <row r="150" spans="1:18" ht="19.5" customHeight="1">
      <c r="A150" s="211">
        <v>2</v>
      </c>
      <c r="B150" s="584" t="str">
        <f>'LUXURY 40x80-HA'!H4</f>
        <v>LUXURY 40x8-HA</v>
      </c>
      <c r="C150" s="109" t="s">
        <v>194</v>
      </c>
      <c r="D150" s="619">
        <f>'LUXURY 40x80-HA'!G8</f>
        <v>9070</v>
      </c>
      <c r="E150" s="620"/>
      <c r="F150" s="619">
        <f>'LUXURY 40x80-HA'!D40</f>
        <v>0</v>
      </c>
      <c r="G150" s="620"/>
      <c r="H150" s="619">
        <f>'LUXURY 40x80-HA'!E40</f>
        <v>30</v>
      </c>
      <c r="I150" s="620"/>
      <c r="J150" s="619">
        <f t="shared" si="160"/>
        <v>9040</v>
      </c>
      <c r="K150" s="620"/>
      <c r="L150" s="582">
        <f t="shared" si="121"/>
        <v>10902.777777777777</v>
      </c>
      <c r="M150" s="777">
        <f t="shared" si="161"/>
        <v>0.82914649681528663</v>
      </c>
      <c r="N150" s="292"/>
      <c r="O150" s="386" t="s">
        <v>414</v>
      </c>
    </row>
    <row r="151" spans="1:18" ht="19.5" customHeight="1">
      <c r="A151" s="211">
        <v>3</v>
      </c>
      <c r="B151" s="584" t="str">
        <f>'LUXURY 40x80-HA nâu'!H4</f>
        <v>LUXURY nâu 40x8-HA</v>
      </c>
      <c r="C151" s="109" t="s">
        <v>194</v>
      </c>
      <c r="D151" s="619">
        <f>'LUXURY 40x80-HA nâu'!G8</f>
        <v>0</v>
      </c>
      <c r="E151" s="620"/>
      <c r="F151" s="619">
        <f>'LUXURY 40x80-HA nâu'!D40</f>
        <v>0</v>
      </c>
      <c r="G151" s="620"/>
      <c r="H151" s="619">
        <f>'LUXURY 40x80-HA nâu'!E40</f>
        <v>0</v>
      </c>
      <c r="I151" s="620"/>
      <c r="J151" s="619">
        <f t="shared" ref="J151" si="162">D151+F151-H151</f>
        <v>0</v>
      </c>
      <c r="K151" s="620"/>
      <c r="L151" s="582">
        <f t="shared" si="121"/>
        <v>10902.777777777777</v>
      </c>
      <c r="M151" s="777">
        <f t="shared" ref="M151" si="163">J151/L151</f>
        <v>0</v>
      </c>
      <c r="N151" s="292"/>
      <c r="O151" s="784" t="s">
        <v>970</v>
      </c>
    </row>
    <row r="152" spans="1:18" ht="19.5" customHeight="1">
      <c r="A152" s="211">
        <v>4</v>
      </c>
      <c r="B152" s="584" t="str">
        <f>'CROWN 40x80-HA'!H4</f>
        <v>CROWN 40x80-HA</v>
      </c>
      <c r="C152" s="109" t="s">
        <v>194</v>
      </c>
      <c r="D152" s="619">
        <f>'CROWN 40x80-HA'!G8</f>
        <v>4642</v>
      </c>
      <c r="E152" s="620"/>
      <c r="F152" s="619">
        <f>'CROWN 40x80-HA'!D40</f>
        <v>0</v>
      </c>
      <c r="G152" s="620"/>
      <c r="H152" s="619">
        <f>'CROWN 40x80-HA'!E40</f>
        <v>0</v>
      </c>
      <c r="I152" s="620"/>
      <c r="J152" s="619">
        <f t="shared" si="160"/>
        <v>4642</v>
      </c>
      <c r="K152" s="620"/>
      <c r="L152" s="582">
        <f t="shared" si="121"/>
        <v>10902.777777777777</v>
      </c>
      <c r="M152" s="777">
        <f t="shared" si="161"/>
        <v>0.42576305732484077</v>
      </c>
      <c r="N152" s="292"/>
      <c r="O152" s="386" t="s">
        <v>415</v>
      </c>
    </row>
    <row r="153" spans="1:18" ht="19.5" customHeight="1">
      <c r="A153" s="211">
        <v>5</v>
      </c>
      <c r="B153" s="584" t="str">
        <f>'ESPANA 40x80-HA '!H4</f>
        <v>ESPANA 40x80-HA</v>
      </c>
      <c r="C153" s="109" t="s">
        <v>194</v>
      </c>
      <c r="D153" s="619">
        <f>'ESPANA 40x80-HA '!G8</f>
        <v>14340</v>
      </c>
      <c r="E153" s="620"/>
      <c r="F153" s="619">
        <f>'ESPANA 40x80-HA '!D40</f>
        <v>0</v>
      </c>
      <c r="G153" s="620"/>
      <c r="H153" s="619">
        <f>'ESPANA 40x80-HA '!E40</f>
        <v>0</v>
      </c>
      <c r="I153" s="620"/>
      <c r="J153" s="619">
        <f t="shared" si="160"/>
        <v>14340</v>
      </c>
      <c r="K153" s="620"/>
      <c r="L153" s="582">
        <f t="shared" si="121"/>
        <v>10902.777777777777</v>
      </c>
      <c r="M153" s="777">
        <f t="shared" si="161"/>
        <v>1.3152611464968154</v>
      </c>
      <c r="N153" s="292"/>
      <c r="O153" s="784" t="s">
        <v>455</v>
      </c>
    </row>
    <row r="154" spans="1:18" ht="19.5" customHeight="1">
      <c r="A154" s="211">
        <v>6</v>
      </c>
      <c r="B154" s="584" t="str">
        <f>'BAO BÌ '!B51</f>
        <v>ESPANA 40x80-HA giấy nâu</v>
      </c>
      <c r="C154" s="109" t="s">
        <v>194</v>
      </c>
      <c r="D154" s="619">
        <f>'BAO BÌ '!D51</f>
        <v>0</v>
      </c>
      <c r="E154" s="620"/>
      <c r="F154" s="619">
        <f>'BAO BÌ '!F51</f>
        <v>0</v>
      </c>
      <c r="G154" s="620"/>
      <c r="H154" s="619">
        <f>'BAO BÌ '!H51</f>
        <v>0</v>
      </c>
      <c r="I154" s="620"/>
      <c r="J154" s="619">
        <f t="shared" ref="J154:J155" si="164">D154+F154-H154</f>
        <v>0</v>
      </c>
      <c r="K154" s="620"/>
      <c r="L154" s="582">
        <f t="shared" si="121"/>
        <v>10902.777777777777</v>
      </c>
      <c r="M154" s="777">
        <f t="shared" ref="M154:M155" si="165">J154/L154</f>
        <v>0</v>
      </c>
      <c r="N154" s="292"/>
      <c r="O154" s="784" t="s">
        <v>1044</v>
      </c>
    </row>
    <row r="155" spans="1:18" ht="19.5" customHeight="1">
      <c r="A155" s="211">
        <v>7</v>
      </c>
      <c r="B155" s="584" t="str">
        <f>'ADONIS 40x80-HA'!H4</f>
        <v>ADONIS 40x80-HA</v>
      </c>
      <c r="C155" s="109" t="s">
        <v>194</v>
      </c>
      <c r="D155" s="619">
        <f>'ADONIS 40x80-HA'!G8</f>
        <v>1200</v>
      </c>
      <c r="E155" s="620"/>
      <c r="F155" s="619">
        <f>'ADONIS 40x80-HA'!D40</f>
        <v>0</v>
      </c>
      <c r="G155" s="620"/>
      <c r="H155" s="619">
        <f>'ADONIS 40x80-HA'!E40</f>
        <v>0</v>
      </c>
      <c r="I155" s="620"/>
      <c r="J155" s="619">
        <f t="shared" si="164"/>
        <v>1200</v>
      </c>
      <c r="K155" s="620"/>
      <c r="L155" s="582">
        <f t="shared" si="121"/>
        <v>10902.777777777777</v>
      </c>
      <c r="M155" s="777">
        <f t="shared" si="165"/>
        <v>0.11006369426751593</v>
      </c>
      <c r="N155" s="292"/>
      <c r="O155" s="784" t="s">
        <v>476</v>
      </c>
    </row>
    <row r="156" spans="1:18" ht="19.5" customHeight="1">
      <c r="A156" s="211">
        <v>8</v>
      </c>
      <c r="B156" s="584" t="str">
        <f>'GREEN ERA 4080'!H4</f>
        <v>GREEN ERA 40x80-HA</v>
      </c>
      <c r="C156" s="109" t="s">
        <v>194</v>
      </c>
      <c r="D156" s="619">
        <f>'GREEN ERA 4080'!G8</f>
        <v>0</v>
      </c>
      <c r="E156" s="620"/>
      <c r="F156" s="619">
        <f>'GREEN ERA 4080'!D40</f>
        <v>0</v>
      </c>
      <c r="G156" s="620"/>
      <c r="H156" s="619">
        <f>'GREEN ERA 4080'!E40</f>
        <v>0</v>
      </c>
      <c r="I156" s="620"/>
      <c r="J156" s="619">
        <f t="shared" si="160"/>
        <v>0</v>
      </c>
      <c r="K156" s="620"/>
      <c r="L156" s="582">
        <f t="shared" si="121"/>
        <v>10902.777777777777</v>
      </c>
      <c r="M156" s="777">
        <f t="shared" ref="M156:M164" si="166">J156/L156</f>
        <v>0</v>
      </c>
      <c r="N156" s="292"/>
      <c r="O156" s="784" t="s">
        <v>762</v>
      </c>
    </row>
    <row r="157" spans="1:18" ht="19.5" customHeight="1">
      <c r="A157" s="211">
        <v>9</v>
      </c>
      <c r="B157" s="584" t="str">
        <f>'GREEN ERA 4080 nâu'!H4</f>
        <v>GREEN ERA nâu 40x80-HA</v>
      </c>
      <c r="C157" s="109" t="s">
        <v>194</v>
      </c>
      <c r="D157" s="619">
        <f>'GREEN ERA 4080 nâu'!G8</f>
        <v>0</v>
      </c>
      <c r="E157" s="620"/>
      <c r="F157" s="619">
        <f>'GREEN ERA 4080 nâu'!D40</f>
        <v>0</v>
      </c>
      <c r="G157" s="620"/>
      <c r="H157" s="619">
        <f>'GREEN ERA 4080 nâu'!E40</f>
        <v>0</v>
      </c>
      <c r="I157" s="620"/>
      <c r="J157" s="619">
        <f t="shared" ref="J157:J159" si="167">D157+F157-H157</f>
        <v>0</v>
      </c>
      <c r="K157" s="620"/>
      <c r="L157" s="582">
        <f t="shared" si="121"/>
        <v>10902.777777777777</v>
      </c>
      <c r="M157" s="777">
        <f t="shared" ref="M157:M159" si="168">J157/L157</f>
        <v>0</v>
      </c>
      <c r="N157" s="292"/>
      <c r="O157" s="784" t="s">
        <v>977</v>
      </c>
    </row>
    <row r="158" spans="1:18" ht="19.5" customHeight="1">
      <c r="A158" s="211">
        <v>10</v>
      </c>
      <c r="B158" s="584" t="str">
        <f>'LUSTILE 4080 nâu'!H4</f>
        <v xml:space="preserve">LUSTILE 40*80 nâu-HA </v>
      </c>
      <c r="C158" s="109" t="s">
        <v>194</v>
      </c>
      <c r="D158" s="619">
        <f>'LUSTILE 4080 nâu'!G8</f>
        <v>1920</v>
      </c>
      <c r="E158" s="620"/>
      <c r="F158" s="619">
        <f>'LUSTILE 4080 nâu'!D40</f>
        <v>0</v>
      </c>
      <c r="G158" s="620"/>
      <c r="H158" s="619">
        <f>'LUSTILE 4080 nâu'!E40</f>
        <v>0</v>
      </c>
      <c r="I158" s="620"/>
      <c r="J158" s="619">
        <f t="shared" si="167"/>
        <v>1920</v>
      </c>
      <c r="K158" s="620"/>
      <c r="L158" s="582">
        <f t="shared" si="121"/>
        <v>10902.777777777777</v>
      </c>
      <c r="M158" s="777">
        <f t="shared" si="168"/>
        <v>0.17610191082802548</v>
      </c>
      <c r="N158" s="292"/>
      <c r="O158" s="784" t="s">
        <v>980</v>
      </c>
    </row>
    <row r="159" spans="1:18" ht="19.5" customHeight="1">
      <c r="A159" s="211">
        <v>11</v>
      </c>
      <c r="B159" s="584" t="str">
        <f>'GREEN HOME 4080'!H4</f>
        <v xml:space="preserve">GREEN HOME nâu 40*80-HA </v>
      </c>
      <c r="C159" s="109" t="s">
        <v>194</v>
      </c>
      <c r="D159" s="619">
        <f>'GREEN HOME 4080'!G8</f>
        <v>0</v>
      </c>
      <c r="E159" s="620"/>
      <c r="F159" s="619">
        <f>'GREEN HOME 4080'!D40</f>
        <v>0</v>
      </c>
      <c r="G159" s="620"/>
      <c r="H159" s="619">
        <f>'GREEN HOME 4080'!E40</f>
        <v>0</v>
      </c>
      <c r="I159" s="620"/>
      <c r="J159" s="619">
        <f t="shared" si="167"/>
        <v>0</v>
      </c>
      <c r="K159" s="620"/>
      <c r="L159" s="582">
        <f t="shared" si="121"/>
        <v>10902.777777777777</v>
      </c>
      <c r="M159" s="777">
        <f t="shared" si="168"/>
        <v>0</v>
      </c>
      <c r="N159" s="292"/>
      <c r="O159" s="784" t="s">
        <v>981</v>
      </c>
    </row>
    <row r="160" spans="1:18" ht="19.5" customHeight="1">
      <c r="A160" s="211">
        <v>12</v>
      </c>
      <c r="B160" s="584" t="str">
        <f>'UNITILE 4080 '!H4</f>
        <v xml:space="preserve">UNITILE nâu 40*80-HA </v>
      </c>
      <c r="C160" s="109" t="s">
        <v>194</v>
      </c>
      <c r="D160" s="619">
        <f>'UNITILE 4080 '!G8</f>
        <v>0</v>
      </c>
      <c r="E160" s="620"/>
      <c r="F160" s="619">
        <f>'UNITILE 4080 '!D40</f>
        <v>0</v>
      </c>
      <c r="G160" s="620"/>
      <c r="H160" s="619">
        <f>'UNITILE 4080 '!E40</f>
        <v>0</v>
      </c>
      <c r="I160" s="620"/>
      <c r="J160" s="619">
        <f t="shared" ref="J160" si="169">D160+F160-H160</f>
        <v>0</v>
      </c>
      <c r="K160" s="620"/>
      <c r="L160" s="582">
        <f t="shared" si="121"/>
        <v>10902.777777777777</v>
      </c>
      <c r="M160" s="777">
        <f t="shared" ref="M160" si="170">J160/L160</f>
        <v>0</v>
      </c>
      <c r="N160" s="292"/>
      <c r="O160" s="784" t="s">
        <v>985</v>
      </c>
    </row>
    <row r="161" spans="1:15" ht="19.5" customHeight="1">
      <c r="A161" s="211">
        <v>13</v>
      </c>
      <c r="B161" s="584" t="str">
        <f>'HAVIRA 4080'!H4</f>
        <v>HAVIRA 40*80-HA giấy nâu</v>
      </c>
      <c r="C161" s="109" t="s">
        <v>194</v>
      </c>
      <c r="D161" s="619">
        <f>'HAVIRA 4080'!G8</f>
        <v>0</v>
      </c>
      <c r="E161" s="620"/>
      <c r="F161" s="619">
        <f>'HAVIRA 4080'!D40</f>
        <v>0</v>
      </c>
      <c r="G161" s="620"/>
      <c r="H161" s="619">
        <f>'HAVIRA 4080'!E40</f>
        <v>0</v>
      </c>
      <c r="I161" s="620"/>
      <c r="J161" s="619">
        <f t="shared" ref="J161" si="171">D161+F161-H161</f>
        <v>0</v>
      </c>
      <c r="K161" s="620"/>
      <c r="L161" s="582">
        <f t="shared" si="121"/>
        <v>10902.777777777777</v>
      </c>
      <c r="M161" s="777">
        <f t="shared" ref="M161" si="172">J161/L161</f>
        <v>0</v>
      </c>
      <c r="N161" s="292"/>
      <c r="O161" s="784" t="s">
        <v>995</v>
      </c>
    </row>
    <row r="162" spans="1:15" ht="19.5" customHeight="1">
      <c r="A162" s="211">
        <v>14</v>
      </c>
      <c r="B162" s="584" t="str">
        <f>'PANA TILES 4080 nâu '!H4</f>
        <v xml:space="preserve">PANA TILES 40*80 nâu-HA </v>
      </c>
      <c r="C162" s="109" t="s">
        <v>194</v>
      </c>
      <c r="D162" s="619">
        <f>'PANA TILES 4080 nâu '!G8</f>
        <v>0</v>
      </c>
      <c r="E162" s="620"/>
      <c r="F162" s="619">
        <f>'PANA TILES 4080 nâu '!D40</f>
        <v>0</v>
      </c>
      <c r="G162" s="620"/>
      <c r="H162" s="619">
        <f>'PANA TILES 4080 nâu '!E40</f>
        <v>0</v>
      </c>
      <c r="I162" s="620"/>
      <c r="J162" s="619">
        <f t="shared" ref="J162" si="173">D162+F162-H162</f>
        <v>0</v>
      </c>
      <c r="K162" s="620"/>
      <c r="L162" s="582">
        <f t="shared" si="121"/>
        <v>10902.777777777777</v>
      </c>
      <c r="M162" s="777">
        <f t="shared" ref="M162" si="174">J162/L162</f>
        <v>0</v>
      </c>
      <c r="N162" s="292"/>
      <c r="O162" s="784" t="s">
        <v>997</v>
      </c>
    </row>
    <row r="163" spans="1:15" ht="19.5" customHeight="1">
      <c r="A163" s="211">
        <v>15</v>
      </c>
      <c r="B163" s="584" t="str">
        <f>'TOP ONE 4080 nâu '!H4</f>
        <v xml:space="preserve">TOP ONE 40*80 nâu-HA </v>
      </c>
      <c r="C163" s="109" t="s">
        <v>194</v>
      </c>
      <c r="D163" s="619">
        <f>'TOP ONE 4080 nâu '!G8</f>
        <v>0</v>
      </c>
      <c r="E163" s="620"/>
      <c r="F163" s="619">
        <f>'TOP ONE 4080 nâu '!D40</f>
        <v>0</v>
      </c>
      <c r="G163" s="620"/>
      <c r="H163" s="619">
        <f>'TOP ONE 4080 nâu '!E40</f>
        <v>0</v>
      </c>
      <c r="I163" s="620"/>
      <c r="J163" s="619">
        <f t="shared" ref="J163" si="175">D163+F163-H163</f>
        <v>0</v>
      </c>
      <c r="K163" s="620"/>
      <c r="L163" s="582">
        <f t="shared" si="121"/>
        <v>10902.777777777777</v>
      </c>
      <c r="M163" s="777">
        <f t="shared" ref="M163" si="176">J163/L163</f>
        <v>0</v>
      </c>
      <c r="N163" s="292"/>
      <c r="O163" s="784" t="s">
        <v>1029</v>
      </c>
    </row>
    <row r="164" spans="1:15" ht="19.5" customHeight="1">
      <c r="A164" s="211">
        <v>16</v>
      </c>
      <c r="B164" s="584" t="str">
        <f>'VO PHE  40x80'!H4</f>
        <v>VỎ PHẾ 40x80-HA</v>
      </c>
      <c r="C164" s="109" t="s">
        <v>194</v>
      </c>
      <c r="D164" s="619">
        <f>'VO PHE  40x80'!G8</f>
        <v>8500</v>
      </c>
      <c r="E164" s="620"/>
      <c r="F164" s="619">
        <f>'VO PHE  40x80'!D40</f>
        <v>0</v>
      </c>
      <c r="G164" s="620"/>
      <c r="H164" s="619">
        <f>'VO PHE  40x80'!E40</f>
        <v>500</v>
      </c>
      <c r="I164" s="620"/>
      <c r="J164" s="619">
        <f t="shared" si="160"/>
        <v>8000</v>
      </c>
      <c r="K164" s="620"/>
      <c r="L164" s="582">
        <f t="shared" si="121"/>
        <v>10902.777777777777</v>
      </c>
      <c r="M164" s="777">
        <f t="shared" si="166"/>
        <v>0.73375796178343955</v>
      </c>
      <c r="N164" s="292"/>
      <c r="O164" s="386" t="s">
        <v>416</v>
      </c>
    </row>
    <row r="165" spans="1:15" ht="19.5" customHeight="1">
      <c r="A165" s="211">
        <v>17</v>
      </c>
      <c r="B165" s="584" t="str">
        <f>'LUXURY 40x80 5V-HA nâu '!H4</f>
        <v>LUXURY nâu 40x8 5V-HA</v>
      </c>
      <c r="C165" s="109" t="s">
        <v>194</v>
      </c>
      <c r="D165" s="619">
        <f>'LUXURY 40x80 5V-HA nâu '!G8</f>
        <v>0</v>
      </c>
      <c r="E165" s="620"/>
      <c r="F165" s="619">
        <f>'LUXURY 40x80 5V-HA nâu '!D40</f>
        <v>40070</v>
      </c>
      <c r="G165" s="620"/>
      <c r="H165" s="619">
        <f>'LUXURY 40x80 5V-HA nâu '!E40</f>
        <v>22950</v>
      </c>
      <c r="I165" s="620"/>
      <c r="J165" s="619">
        <f t="shared" ref="J165:J171" si="177">D165+F165-H165</f>
        <v>17120</v>
      </c>
      <c r="K165" s="620"/>
      <c r="L165" s="582">
        <f t="shared" si="121"/>
        <v>10902.777777777777</v>
      </c>
      <c r="M165" s="777">
        <f t="shared" ref="M165:M171" si="178">J165/L165</f>
        <v>1.5702420382165605</v>
      </c>
      <c r="N165" s="292"/>
      <c r="O165" s="784" t="s">
        <v>1081</v>
      </c>
    </row>
    <row r="166" spans="1:15" ht="19.5" customHeight="1">
      <c r="A166" s="211">
        <v>18</v>
      </c>
      <c r="B166" s="584" t="str">
        <f>'CROWN 40x80-5V HA '!H4</f>
        <v>CROWN 40x80 5V-HA</v>
      </c>
      <c r="C166" s="109" t="s">
        <v>194</v>
      </c>
      <c r="D166" s="619">
        <f>'CROWN 40x80-5V HA '!G8</f>
        <v>0</v>
      </c>
      <c r="E166" s="620"/>
      <c r="F166" s="619">
        <f>'CROWN 40x80-5V HA '!D40</f>
        <v>0</v>
      </c>
      <c r="G166" s="620"/>
      <c r="H166" s="619">
        <f>'CROWN 40x80-5V HA '!E40</f>
        <v>0</v>
      </c>
      <c r="I166" s="620"/>
      <c r="J166" s="619">
        <f t="shared" si="177"/>
        <v>0</v>
      </c>
      <c r="K166" s="620"/>
      <c r="L166" s="582">
        <f t="shared" si="121"/>
        <v>10902.777777777777</v>
      </c>
      <c r="M166" s="777">
        <f t="shared" si="178"/>
        <v>0</v>
      </c>
      <c r="N166" s="292"/>
      <c r="O166" s="784" t="s">
        <v>1083</v>
      </c>
    </row>
    <row r="167" spans="1:15" ht="19.5" customHeight="1">
      <c r="A167" s="211">
        <v>19</v>
      </c>
      <c r="B167" s="584" t="str">
        <f>'GREEN ERA 4080 5V nâu '!H4</f>
        <v>GREEN ERA nâu 40x80 5V-HA</v>
      </c>
      <c r="C167" s="109" t="s">
        <v>194</v>
      </c>
      <c r="D167" s="619">
        <f>'GREEN ERA 4080 5V nâu '!G8</f>
        <v>0</v>
      </c>
      <c r="E167" s="620"/>
      <c r="F167" s="619">
        <f>'GREEN ERA 4080 5V nâu '!D40</f>
        <v>0</v>
      </c>
      <c r="G167" s="620"/>
      <c r="H167" s="619">
        <f>'GREEN ERA 4080 5V nâu '!E40</f>
        <v>0</v>
      </c>
      <c r="I167" s="620"/>
      <c r="J167" s="619">
        <f t="shared" si="177"/>
        <v>0</v>
      </c>
      <c r="K167" s="620"/>
      <c r="L167" s="582">
        <f t="shared" si="121"/>
        <v>10902.777777777777</v>
      </c>
      <c r="M167" s="777">
        <f t="shared" si="178"/>
        <v>0</v>
      </c>
      <c r="N167" s="292"/>
      <c r="O167" s="784" t="s">
        <v>1085</v>
      </c>
    </row>
    <row r="168" spans="1:15" ht="19.5" customHeight="1">
      <c r="A168" s="211">
        <v>20</v>
      </c>
      <c r="B168" s="584" t="str">
        <f>'GREEN HOME 4080 5V'!H4</f>
        <v xml:space="preserve">GREEN HOME nâu 40*80 5V-HA </v>
      </c>
      <c r="C168" s="109" t="s">
        <v>194</v>
      </c>
      <c r="D168" s="619">
        <f>'GREEN HOME 4080 5V'!G8</f>
        <v>0</v>
      </c>
      <c r="E168" s="620"/>
      <c r="F168" s="619">
        <f>'GREEN HOME 4080 5V'!D40</f>
        <v>10000</v>
      </c>
      <c r="G168" s="620"/>
      <c r="H168" s="619">
        <f>'GREEN HOME 4080 5V'!E40</f>
        <v>0</v>
      </c>
      <c r="I168" s="620"/>
      <c r="J168" s="619">
        <f t="shared" si="177"/>
        <v>10000</v>
      </c>
      <c r="K168" s="620"/>
      <c r="L168" s="582">
        <f t="shared" si="121"/>
        <v>10902.777777777777</v>
      </c>
      <c r="M168" s="777">
        <f t="shared" si="178"/>
        <v>0.91719745222929938</v>
      </c>
      <c r="N168" s="292"/>
      <c r="O168" s="784" t="s">
        <v>1087</v>
      </c>
    </row>
    <row r="169" spans="1:15" ht="19.5" customHeight="1">
      <c r="A169" s="211">
        <v>21</v>
      </c>
      <c r="B169" s="584" t="str">
        <f>'ESPANA 40x80-5V HA nâu '!H4</f>
        <v>ESPANA 40x80-5V HA giấy nâu</v>
      </c>
      <c r="C169" s="109" t="s">
        <v>194</v>
      </c>
      <c r="D169" s="619">
        <f>'ESPANA 40x80-5V HA nâu '!G8</f>
        <v>0</v>
      </c>
      <c r="E169" s="620"/>
      <c r="F169" s="619">
        <f>'ESPANA 40x80-5V HA nâu '!D40</f>
        <v>0</v>
      </c>
      <c r="G169" s="620"/>
      <c r="H169" s="619">
        <f>'ESPANA 40x80-5V HA nâu '!E40</f>
        <v>0</v>
      </c>
      <c r="I169" s="620"/>
      <c r="J169" s="619">
        <f t="shared" si="177"/>
        <v>0</v>
      </c>
      <c r="K169" s="620"/>
      <c r="L169" s="582">
        <f t="shared" si="121"/>
        <v>10902.777777777777</v>
      </c>
      <c r="M169" s="777">
        <f t="shared" si="178"/>
        <v>0</v>
      </c>
      <c r="N169" s="292"/>
      <c r="O169" s="784" t="s">
        <v>1089</v>
      </c>
    </row>
    <row r="170" spans="1:15" ht="19.5" customHeight="1">
      <c r="A170" s="211">
        <v>22</v>
      </c>
      <c r="B170" s="584" t="str">
        <f>'HAVIRA 4080 5V'!H4</f>
        <v>HAVIRA 40*80 5V-HA giấy nâu</v>
      </c>
      <c r="C170" s="109" t="s">
        <v>194</v>
      </c>
      <c r="D170" s="619">
        <f>'HAVIRA 4080 5V'!G8</f>
        <v>0</v>
      </c>
      <c r="E170" s="620"/>
      <c r="F170" s="619">
        <f>'HAVIRA 4080 5V'!D40</f>
        <v>15050</v>
      </c>
      <c r="G170" s="620"/>
      <c r="H170" s="619">
        <f>'HAVIRA 4080 5V'!E40</f>
        <v>5000</v>
      </c>
      <c r="I170" s="620"/>
      <c r="J170" s="619">
        <f t="shared" si="177"/>
        <v>10050</v>
      </c>
      <c r="K170" s="620"/>
      <c r="L170" s="582">
        <f t="shared" si="121"/>
        <v>10902.777777777777</v>
      </c>
      <c r="M170" s="777">
        <f t="shared" si="178"/>
        <v>0.92178343949044594</v>
      </c>
      <c r="N170" s="292"/>
      <c r="O170" s="784" t="s">
        <v>1091</v>
      </c>
    </row>
    <row r="171" spans="1:15" ht="19.5" customHeight="1">
      <c r="A171" s="211">
        <v>23</v>
      </c>
      <c r="B171" s="584" t="str">
        <f>'TOP ONE 4080 5V nâu '!H4</f>
        <v xml:space="preserve">TOP ONE 40*80 5V nâu-HA </v>
      </c>
      <c r="C171" s="109" t="s">
        <v>194</v>
      </c>
      <c r="D171" s="619">
        <f>'TOP ONE 4080 5V nâu '!G8</f>
        <v>0</v>
      </c>
      <c r="E171" s="620"/>
      <c r="F171" s="619">
        <f>'TOP ONE 4080 5V nâu '!D40</f>
        <v>11150</v>
      </c>
      <c r="G171" s="620"/>
      <c r="H171" s="619">
        <f>'TOP ONE 4080 5V nâu '!E40</f>
        <v>5000</v>
      </c>
      <c r="I171" s="620"/>
      <c r="J171" s="619">
        <f t="shared" si="177"/>
        <v>6150</v>
      </c>
      <c r="K171" s="620"/>
      <c r="L171" s="582">
        <f t="shared" si="121"/>
        <v>10902.777777777777</v>
      </c>
      <c r="M171" s="777">
        <f t="shared" si="178"/>
        <v>0.56407643312101918</v>
      </c>
      <c r="N171" s="292"/>
      <c r="O171" s="784" t="s">
        <v>1093</v>
      </c>
    </row>
    <row r="172" spans="1:15" ht="19.5" customHeight="1">
      <c r="A172" s="211">
        <v>24</v>
      </c>
      <c r="B172" s="584" t="str">
        <f>'PANA TILES 4080 nâu  5V'!H4</f>
        <v xml:space="preserve">PANA TILES 40*80 5V nâu-HA </v>
      </c>
      <c r="C172" s="109" t="s">
        <v>194</v>
      </c>
      <c r="D172" s="619">
        <f>'PANA TILES 4080 nâu  5V'!G8</f>
        <v>0</v>
      </c>
      <c r="E172" s="620"/>
      <c r="F172" s="619">
        <f>'PANA TILES 4080 nâu  5V'!D40</f>
        <v>0</v>
      </c>
      <c r="G172" s="620"/>
      <c r="H172" s="619">
        <f>'PANA TILES 4080 nâu  5V'!E40</f>
        <v>0</v>
      </c>
      <c r="I172" s="620"/>
      <c r="J172" s="619">
        <f t="shared" ref="J172" si="179">D172+F172-H172</f>
        <v>0</v>
      </c>
      <c r="K172" s="620"/>
      <c r="L172" s="582">
        <f t="shared" si="121"/>
        <v>10902.777777777777</v>
      </c>
      <c r="M172" s="777">
        <f t="shared" ref="M172" si="180">J172/L172</f>
        <v>0</v>
      </c>
      <c r="N172" s="292"/>
      <c r="O172" s="784" t="s">
        <v>1111</v>
      </c>
    </row>
    <row r="173" spans="1:15" ht="19.5" customHeight="1">
      <c r="A173" s="211">
        <v>25</v>
      </c>
      <c r="B173" s="584" t="str">
        <f>'LUSTILE 4080 nâu 5V'!H4</f>
        <v xml:space="preserve">LUSTILE 40*80 5V nâu-HA </v>
      </c>
      <c r="C173" s="109" t="s">
        <v>194</v>
      </c>
      <c r="D173" s="619">
        <f>'LUSTILE 4080 nâu 5V'!G8</f>
        <v>0</v>
      </c>
      <c r="E173" s="620"/>
      <c r="F173" s="619">
        <f>'LUSTILE 4080 nâu 5V'!D40</f>
        <v>0</v>
      </c>
      <c r="G173" s="620"/>
      <c r="H173" s="619">
        <f>'LUSTILE 4080 nâu 5V'!E40</f>
        <v>0</v>
      </c>
      <c r="I173" s="620"/>
      <c r="J173" s="619">
        <f t="shared" ref="J173" si="181">D173+F173-H173</f>
        <v>0</v>
      </c>
      <c r="K173" s="620"/>
      <c r="L173" s="582">
        <f t="shared" si="121"/>
        <v>10902.777777777777</v>
      </c>
      <c r="M173" s="777">
        <f t="shared" ref="M173" si="182">J173/L173</f>
        <v>0</v>
      </c>
      <c r="N173" s="292"/>
      <c r="O173" s="784" t="s">
        <v>1128</v>
      </c>
    </row>
    <row r="174" spans="1:15" ht="19.5" customHeight="1">
      <c r="A174" s="211">
        <v>26</v>
      </c>
      <c r="B174" s="584" t="str">
        <f>'BAO BÌ '!B71</f>
        <v xml:space="preserve">CROVINA 40*80 5v nâu-HA </v>
      </c>
      <c r="C174" s="109" t="s">
        <v>194</v>
      </c>
      <c r="D174" s="619">
        <f>'BAO BÌ '!D71</f>
        <v>0</v>
      </c>
      <c r="E174" s="620"/>
      <c r="F174" s="619">
        <f>'BAO BÌ '!F71</f>
        <v>20035</v>
      </c>
      <c r="G174" s="620"/>
      <c r="H174" s="619">
        <f>'BAO BÌ '!H71</f>
        <v>10000</v>
      </c>
      <c r="I174" s="620"/>
      <c r="J174" s="619">
        <f t="shared" ref="J174" si="183">D174+F174-H174</f>
        <v>10035</v>
      </c>
      <c r="K174" s="620"/>
      <c r="L174" s="582">
        <f t="shared" si="121"/>
        <v>10902.777777777777</v>
      </c>
      <c r="M174" s="777">
        <f t="shared" ref="M174" si="184">J174/L174</f>
        <v>0.9204076433121019</v>
      </c>
      <c r="N174" s="292"/>
      <c r="O174" s="784" t="s">
        <v>1155</v>
      </c>
    </row>
    <row r="175" spans="1:15" ht="19.5" customHeight="1">
      <c r="A175" s="211">
        <v>27</v>
      </c>
      <c r="B175" s="584" t="str">
        <f>'BAO BÌ '!B72</f>
        <v xml:space="preserve">T H PHƯƠNG 40*80 5v nâu-HA </v>
      </c>
      <c r="C175" s="109" t="s">
        <v>194</v>
      </c>
      <c r="D175" s="619">
        <f>'BAO BÌ '!D72</f>
        <v>0</v>
      </c>
      <c r="E175" s="620"/>
      <c r="F175" s="619">
        <f>'BAO BÌ '!F72</f>
        <v>20150</v>
      </c>
      <c r="G175" s="620"/>
      <c r="H175" s="619">
        <f>'BAO BÌ '!H72</f>
        <v>5000</v>
      </c>
      <c r="I175" s="620"/>
      <c r="J175" s="619">
        <f t="shared" ref="J175:J177" si="185">D175+F175-H175</f>
        <v>15150</v>
      </c>
      <c r="K175" s="620"/>
      <c r="L175" s="582">
        <f t="shared" si="121"/>
        <v>10902.777777777777</v>
      </c>
      <c r="M175" s="777">
        <f t="shared" ref="M175:M177" si="186">J175/L175</f>
        <v>1.3895541401273885</v>
      </c>
      <c r="N175" s="292"/>
      <c r="O175" s="784" t="s">
        <v>1227</v>
      </c>
    </row>
    <row r="176" spans="1:15" ht="19.5" customHeight="1">
      <c r="A176" s="211">
        <v>28</v>
      </c>
      <c r="B176" s="584" t="str">
        <f>'BAO BÌ '!B73</f>
        <v xml:space="preserve">VINA PHACON 40*80 5v nâu-HA </v>
      </c>
      <c r="C176" s="109" t="s">
        <v>194</v>
      </c>
      <c r="D176" s="619">
        <f>'BAO BÌ '!D73</f>
        <v>0</v>
      </c>
      <c r="E176" s="620"/>
      <c r="F176" s="619">
        <f>'BAO BÌ '!F73</f>
        <v>0</v>
      </c>
      <c r="G176" s="620"/>
      <c r="H176" s="619">
        <f>'BAO BÌ '!H73</f>
        <v>0</v>
      </c>
      <c r="I176" s="620"/>
      <c r="J176" s="619">
        <f t="shared" si="185"/>
        <v>0</v>
      </c>
      <c r="K176" s="620"/>
      <c r="L176" s="582">
        <f t="shared" si="121"/>
        <v>10902.777777777777</v>
      </c>
      <c r="M176" s="777">
        <f t="shared" si="186"/>
        <v>0</v>
      </c>
      <c r="N176" s="292"/>
      <c r="O176" s="784" t="s">
        <v>1198</v>
      </c>
    </row>
    <row r="177" spans="1:18" ht="19.5" customHeight="1">
      <c r="A177" s="211">
        <v>29</v>
      </c>
      <c r="B177" s="584" t="str">
        <f>'BAO BÌ '!B74</f>
        <v xml:space="preserve">VIDONA 40*80 5v nâu-HA </v>
      </c>
      <c r="C177" s="109" t="s">
        <v>194</v>
      </c>
      <c r="D177" s="619">
        <f>'BAO BÌ '!D74</f>
        <v>0</v>
      </c>
      <c r="E177" s="620"/>
      <c r="F177" s="619">
        <f>'BAO BÌ '!F74</f>
        <v>0</v>
      </c>
      <c r="G177" s="620"/>
      <c r="H177" s="619">
        <f>'BAO BÌ '!H74</f>
        <v>0</v>
      </c>
      <c r="I177" s="620"/>
      <c r="J177" s="619">
        <f t="shared" si="185"/>
        <v>0</v>
      </c>
      <c r="K177" s="620"/>
      <c r="L177" s="582">
        <f t="shared" si="121"/>
        <v>10902.777777777777</v>
      </c>
      <c r="M177" s="777">
        <f t="shared" si="186"/>
        <v>0</v>
      </c>
      <c r="N177" s="292"/>
      <c r="O177" s="784" t="s">
        <v>1225</v>
      </c>
    </row>
    <row r="178" spans="1:18" ht="19.5" customHeight="1">
      <c r="A178" s="211">
        <v>30</v>
      </c>
      <c r="B178" s="584" t="str">
        <f>'BAO BÌ '!B75</f>
        <v xml:space="preserve">PADOVA 40*80 5v nâu-HA </v>
      </c>
      <c r="C178" s="109"/>
      <c r="D178" s="619">
        <f>'BAO BÌ '!D75</f>
        <v>0</v>
      </c>
      <c r="E178" s="620"/>
      <c r="F178" s="619">
        <f>'BAO BÌ '!F75</f>
        <v>5050</v>
      </c>
      <c r="G178" s="620"/>
      <c r="H178" s="619">
        <f>'BAO BÌ '!H75</f>
        <v>0</v>
      </c>
      <c r="I178" s="620"/>
      <c r="J178" s="619">
        <f t="shared" ref="J178" si="187">D178+F178-H178</f>
        <v>5050</v>
      </c>
      <c r="K178" s="620"/>
      <c r="L178" s="582">
        <f t="shared" si="121"/>
        <v>10902.777777777777</v>
      </c>
      <c r="M178" s="777">
        <f t="shared" ref="M178" si="188">J178/L178</f>
        <v>0.4631847133757962</v>
      </c>
      <c r="N178" s="292"/>
      <c r="O178" s="784" t="s">
        <v>1234</v>
      </c>
    </row>
    <row r="179" spans="1:18" ht="36.75" customHeight="1">
      <c r="A179" s="356">
        <v>3</v>
      </c>
      <c r="B179" s="357" t="s">
        <v>478</v>
      </c>
      <c r="C179" s="294"/>
      <c r="D179" s="358"/>
      <c r="E179" s="358"/>
      <c r="F179" s="358"/>
      <c r="G179" s="358"/>
      <c r="H179" s="358"/>
      <c r="I179" s="358"/>
      <c r="J179" s="358"/>
      <c r="K179" s="358"/>
      <c r="L179" s="582"/>
      <c r="M179" s="777"/>
      <c r="N179" s="292"/>
      <c r="O179" s="386"/>
    </row>
    <row r="180" spans="1:18" s="95" customFormat="1" ht="19.5" customHeight="1">
      <c r="A180" s="211">
        <v>1</v>
      </c>
      <c r="B180" s="583" t="str">
        <f>'GR TIM 30x60-VH'!H4</f>
        <v>GRANDCERA TÍM 30x60-VH</v>
      </c>
      <c r="C180" s="109" t="s">
        <v>194</v>
      </c>
      <c r="D180" s="619">
        <f>'GR TIM 30x60-VH'!G8</f>
        <v>0</v>
      </c>
      <c r="E180" s="620"/>
      <c r="F180" s="619">
        <f>'GR TIM 30x60-VH'!D40</f>
        <v>0</v>
      </c>
      <c r="G180" s="620"/>
      <c r="H180" s="619">
        <f>'GR TIM 30x60-VH'!E40</f>
        <v>0</v>
      </c>
      <c r="I180" s="620"/>
      <c r="J180" s="619">
        <f>D180+F180-H180</f>
        <v>0</v>
      </c>
      <c r="K180" s="620"/>
      <c r="L180" s="582">
        <f t="shared" si="121"/>
        <v>10902.777777777777</v>
      </c>
      <c r="M180" s="777">
        <f t="shared" ref="M180:M189" si="189">J180/L180</f>
        <v>0</v>
      </c>
      <c r="N180" s="292"/>
      <c r="O180" s="386" t="s">
        <v>417</v>
      </c>
      <c r="P180" s="97"/>
      <c r="Q180" s="97"/>
      <c r="R180" s="97"/>
    </row>
    <row r="181" spans="1:18" s="95" customFormat="1" ht="19.5" customHeight="1">
      <c r="A181" s="211">
        <v>2</v>
      </c>
      <c r="B181" s="583" t="str">
        <f>'GR XANH 30X60-VH'!H4</f>
        <v>GRANDCERA XANH 30x60-VH</v>
      </c>
      <c r="C181" s="109" t="s">
        <v>194</v>
      </c>
      <c r="D181" s="619">
        <f>'GR XANH 30X60-VH'!D8</f>
        <v>0</v>
      </c>
      <c r="E181" s="620"/>
      <c r="F181" s="619">
        <f>'GR XANH 30X60-VH'!D40</f>
        <v>0</v>
      </c>
      <c r="G181" s="620"/>
      <c r="H181" s="619">
        <f>'GR XANH 30X60-VH'!E40</f>
        <v>0</v>
      </c>
      <c r="I181" s="620"/>
      <c r="J181" s="619">
        <f>D181+F181-H181</f>
        <v>0</v>
      </c>
      <c r="K181" s="620"/>
      <c r="L181" s="582">
        <f t="shared" si="121"/>
        <v>10902.777777777777</v>
      </c>
      <c r="M181" s="777">
        <f t="shared" ref="M181:M186" si="190">J181/L181</f>
        <v>0</v>
      </c>
      <c r="N181" s="292"/>
      <c r="O181" s="386" t="s">
        <v>418</v>
      </c>
      <c r="P181" s="97"/>
      <c r="Q181" s="97"/>
      <c r="R181" s="97"/>
    </row>
    <row r="182" spans="1:18" s="95" customFormat="1" ht="19.5" customHeight="1">
      <c r="A182" s="211">
        <v>3</v>
      </c>
      <c r="B182" s="584" t="s">
        <v>226</v>
      </c>
      <c r="C182" s="109" t="s">
        <v>194</v>
      </c>
      <c r="D182" s="619">
        <f>'SAHADO NEW 30x60-VH'!G8</f>
        <v>0</v>
      </c>
      <c r="E182" s="620"/>
      <c r="F182" s="619">
        <f>'SAHADO NEW 30x60-VH'!D40</f>
        <v>0</v>
      </c>
      <c r="G182" s="620"/>
      <c r="H182" s="619">
        <f>'SAHADO NEW 30x60-VH'!E40</f>
        <v>0</v>
      </c>
      <c r="I182" s="620"/>
      <c r="J182" s="619">
        <f>D182+F182-H182</f>
        <v>0</v>
      </c>
      <c r="K182" s="620"/>
      <c r="L182" s="582">
        <f t="shared" si="121"/>
        <v>10902.777777777777</v>
      </c>
      <c r="M182" s="777">
        <f t="shared" si="190"/>
        <v>0</v>
      </c>
      <c r="N182" s="292"/>
      <c r="O182" s="386" t="s">
        <v>419</v>
      </c>
      <c r="P182" s="97"/>
      <c r="Q182" s="97"/>
      <c r="R182" s="97"/>
    </row>
    <row r="183" spans="1:18" s="95" customFormat="1" ht="19.5" customHeight="1">
      <c r="A183" s="211">
        <v>4</v>
      </c>
      <c r="B183" s="583" t="str">
        <f>'LUXURY 30x60-TTP'!H4</f>
        <v>LUXURY 30x60-TTP</v>
      </c>
      <c r="C183" s="109" t="s">
        <v>194</v>
      </c>
      <c r="D183" s="619">
        <f>'LUXURY 30x60-TTP'!G8</f>
        <v>0</v>
      </c>
      <c r="E183" s="620"/>
      <c r="F183" s="619">
        <f>'LUXURY 30x60-TTP'!D40</f>
        <v>0</v>
      </c>
      <c r="G183" s="620"/>
      <c r="H183" s="619">
        <f>'LUXURY 30x60-TTP'!E41</f>
        <v>0</v>
      </c>
      <c r="I183" s="620"/>
      <c r="J183" s="619">
        <f>D183+F183-H183</f>
        <v>0</v>
      </c>
      <c r="K183" s="620"/>
      <c r="L183" s="582">
        <f t="shared" si="121"/>
        <v>10902.777777777777</v>
      </c>
      <c r="M183" s="777">
        <f t="shared" si="190"/>
        <v>0</v>
      </c>
      <c r="N183" s="292"/>
      <c r="O183" s="784" t="s">
        <v>479</v>
      </c>
      <c r="P183" s="97"/>
      <c r="Q183" s="97"/>
      <c r="R183" s="97"/>
    </row>
    <row r="184" spans="1:18" ht="19.5" customHeight="1">
      <c r="A184" s="211">
        <v>5</v>
      </c>
      <c r="B184" s="583" t="str">
        <f>'ESPANA 30x60-VH'!H4</f>
        <v>ESPANA 30x60-VH</v>
      </c>
      <c r="C184" s="109" t="s">
        <v>194</v>
      </c>
      <c r="D184" s="619">
        <f>'ESPANA 30x60-VH'!G8</f>
        <v>0</v>
      </c>
      <c r="E184" s="620"/>
      <c r="F184" s="619">
        <f>'ESPANA 30x60-VH'!D40</f>
        <v>0</v>
      </c>
      <c r="G184" s="620"/>
      <c r="H184" s="619">
        <f>'ESPANA 30x60-VH'!E40</f>
        <v>0</v>
      </c>
      <c r="I184" s="620"/>
      <c r="J184" s="619">
        <f t="shared" ref="J184" si="191">D184+F184-H184</f>
        <v>0</v>
      </c>
      <c r="K184" s="620"/>
      <c r="L184" s="582">
        <f t="shared" si="121"/>
        <v>10902.777777777777</v>
      </c>
      <c r="M184" s="777">
        <f t="shared" si="190"/>
        <v>0</v>
      </c>
      <c r="N184" s="292"/>
      <c r="O184" s="386" t="s">
        <v>442</v>
      </c>
    </row>
    <row r="185" spans="1:18" s="95" customFormat="1" ht="19.5" customHeight="1">
      <c r="A185" s="211">
        <v>6</v>
      </c>
      <c r="B185" s="583" t="str">
        <f>'SAHADO 30x60-VH'!H4</f>
        <v>SAHADO 30x60-VH</v>
      </c>
      <c r="C185" s="109" t="s">
        <v>194</v>
      </c>
      <c r="D185" s="619">
        <f>'SAHADO 30x60-VH'!G8</f>
        <v>0</v>
      </c>
      <c r="E185" s="620"/>
      <c r="F185" s="619">
        <f>'SAHADO 30x60-VH'!D40</f>
        <v>0</v>
      </c>
      <c r="G185" s="620"/>
      <c r="H185" s="619">
        <f>'SAHADO 30x60-VH'!E40</f>
        <v>0</v>
      </c>
      <c r="I185" s="620"/>
      <c r="J185" s="619">
        <f>D185+F185-H185</f>
        <v>0</v>
      </c>
      <c r="K185" s="620"/>
      <c r="L185" s="582">
        <f t="shared" si="121"/>
        <v>10902.777777777777</v>
      </c>
      <c r="M185" s="777">
        <f t="shared" si="190"/>
        <v>0</v>
      </c>
      <c r="N185" s="292"/>
      <c r="O185" s="386" t="s">
        <v>443</v>
      </c>
      <c r="P185" s="97"/>
      <c r="Q185" s="97"/>
      <c r="R185" s="97"/>
    </row>
    <row r="186" spans="1:18" s="95" customFormat="1" ht="19.5" customHeight="1">
      <c r="A186" s="211">
        <v>7</v>
      </c>
      <c r="B186" s="583" t="s">
        <v>375</v>
      </c>
      <c r="C186" s="109" t="s">
        <v>194</v>
      </c>
      <c r="D186" s="619">
        <v>0</v>
      </c>
      <c r="E186" s="620"/>
      <c r="F186" s="619">
        <v>0</v>
      </c>
      <c r="G186" s="620"/>
      <c r="H186" s="619">
        <v>0</v>
      </c>
      <c r="I186" s="620"/>
      <c r="J186" s="619">
        <v>0</v>
      </c>
      <c r="K186" s="620"/>
      <c r="L186" s="582">
        <v>10902.777777777777</v>
      </c>
      <c r="M186" s="777">
        <f t="shared" si="190"/>
        <v>0</v>
      </c>
      <c r="N186" s="292"/>
      <c r="O186" s="386" t="s">
        <v>412</v>
      </c>
      <c r="P186" s="97"/>
      <c r="Q186" s="97"/>
      <c r="R186" s="97"/>
    </row>
    <row r="187" spans="1:18" ht="19.5" customHeight="1">
      <c r="A187" s="778">
        <v>4</v>
      </c>
      <c r="B187" s="357" t="s">
        <v>376</v>
      </c>
      <c r="C187" s="294"/>
      <c r="D187" s="358"/>
      <c r="E187" s="358"/>
      <c r="F187" s="358"/>
      <c r="G187" s="358"/>
      <c r="H187" s="358"/>
      <c r="I187" s="358"/>
      <c r="J187" s="358"/>
      <c r="K187" s="358"/>
      <c r="L187" s="582"/>
      <c r="M187" s="777"/>
      <c r="N187" s="292"/>
      <c r="O187" s="386"/>
    </row>
    <row r="188" spans="1:18" ht="19.5" customHeight="1">
      <c r="A188" s="211">
        <v>1</v>
      </c>
      <c r="B188" s="584" t="str">
        <f>'GR TIM 30x60-TTP'!H4</f>
        <v>GRANDCERA TÍM 30x60-TTP</v>
      </c>
      <c r="C188" s="109" t="s">
        <v>194</v>
      </c>
      <c r="D188" s="619">
        <f>'GR TIM 30x60-TTP'!G8</f>
        <v>0</v>
      </c>
      <c r="E188" s="620"/>
      <c r="F188" s="619">
        <f>'GR TIM 30x60-TTP'!D40</f>
        <v>0</v>
      </c>
      <c r="G188" s="620"/>
      <c r="H188" s="619">
        <f>'GR TIM 30x60-TTP'!E40</f>
        <v>0</v>
      </c>
      <c r="I188" s="620"/>
      <c r="J188" s="619">
        <f t="shared" ref="J188" si="192">D188+F188-H188</f>
        <v>0</v>
      </c>
      <c r="K188" s="620"/>
      <c r="L188" s="582">
        <f t="shared" si="121"/>
        <v>10902.777777777777</v>
      </c>
      <c r="M188" s="777">
        <f t="shared" ref="M188" si="193">J188/L188</f>
        <v>0</v>
      </c>
      <c r="N188" s="292"/>
      <c r="O188" s="386" t="s">
        <v>420</v>
      </c>
    </row>
    <row r="189" spans="1:18" s="95" customFormat="1" ht="19.5" customHeight="1">
      <c r="A189" s="211">
        <v>2</v>
      </c>
      <c r="B189" s="583" t="str">
        <f>'GR XANH 30x60-TTP'!H4</f>
        <v>GRANDCERA XANH 30x60-TTP</v>
      </c>
      <c r="C189" s="109" t="s">
        <v>194</v>
      </c>
      <c r="D189" s="619">
        <f>'GR XANH 30x60-TTP'!G8</f>
        <v>0</v>
      </c>
      <c r="E189" s="620"/>
      <c r="F189" s="619">
        <f>'GR XANH 30x60-TTP'!D40</f>
        <v>0</v>
      </c>
      <c r="G189" s="620"/>
      <c r="H189" s="619">
        <f>'GR XANH 30x60-TTP'!E40</f>
        <v>0</v>
      </c>
      <c r="I189" s="620"/>
      <c r="J189" s="619">
        <f t="shared" ref="J189:J197" si="194">D189+F189-H189</f>
        <v>0</v>
      </c>
      <c r="K189" s="620"/>
      <c r="L189" s="582">
        <f t="shared" si="121"/>
        <v>10902.777777777777</v>
      </c>
      <c r="M189" s="777">
        <f t="shared" si="189"/>
        <v>0</v>
      </c>
      <c r="N189" s="292"/>
      <c r="O189" s="386" t="s">
        <v>365</v>
      </c>
      <c r="P189" s="97"/>
      <c r="Q189" s="97"/>
    </row>
    <row r="190" spans="1:18" s="95" customFormat="1" ht="37.5" customHeight="1">
      <c r="A190" s="356">
        <v>5</v>
      </c>
      <c r="B190" s="357" t="s">
        <v>862</v>
      </c>
      <c r="C190" s="294"/>
      <c r="D190" s="358"/>
      <c r="E190" s="358"/>
      <c r="F190" s="358"/>
      <c r="G190" s="358"/>
      <c r="H190" s="358"/>
      <c r="I190" s="358"/>
      <c r="J190" s="358"/>
      <c r="K190" s="358"/>
      <c r="L190" s="582"/>
      <c r="M190" s="777"/>
      <c r="N190" s="292"/>
      <c r="O190" s="386"/>
      <c r="P190" s="97"/>
      <c r="Q190" s="97"/>
    </row>
    <row r="191" spans="1:18" s="95" customFormat="1" ht="18.75" customHeight="1">
      <c r="A191" s="1014">
        <v>1</v>
      </c>
      <c r="B191" s="1015" t="str">
        <f>'GR TIM 5050-HA '!H4</f>
        <v>GRANDCERA TÍM 50x50-HA</v>
      </c>
      <c r="C191" s="109" t="s">
        <v>194</v>
      </c>
      <c r="D191" s="1016">
        <f>'GR TIM 5050-HA '!G8</f>
        <v>14789</v>
      </c>
      <c r="E191" s="620"/>
      <c r="F191" s="1016">
        <f>'GR TIM 5050-HA '!D40</f>
        <v>12180</v>
      </c>
      <c r="G191" s="620"/>
      <c r="H191" s="1016">
        <f>'GR TIM 5050-HA '!E40</f>
        <v>21500</v>
      </c>
      <c r="I191" s="620"/>
      <c r="J191" s="619">
        <f t="shared" si="194"/>
        <v>5469</v>
      </c>
      <c r="K191" s="620"/>
      <c r="L191" s="582">
        <f t="shared" si="121"/>
        <v>10902.777777777777</v>
      </c>
      <c r="M191" s="777">
        <f t="shared" ref="M191" si="195">J191/L191</f>
        <v>0.50161528662420385</v>
      </c>
      <c r="N191" s="292"/>
      <c r="O191" s="1017" t="s">
        <v>823</v>
      </c>
      <c r="P191" s="97"/>
      <c r="Q191" s="97"/>
    </row>
    <row r="192" spans="1:18" s="95" customFormat="1" ht="18.75" customHeight="1">
      <c r="A192" s="1014">
        <v>2</v>
      </c>
      <c r="B192" s="1015" t="str">
        <f>'LUXURY 5050-HA '!H4</f>
        <v>LUXURY 500*500-HA</v>
      </c>
      <c r="C192" s="109" t="s">
        <v>194</v>
      </c>
      <c r="D192" s="1016">
        <f>'LUXURY 5050-HA '!G8</f>
        <v>0</v>
      </c>
      <c r="E192" s="620"/>
      <c r="F192" s="1016">
        <f>'LUXURY 5050-HA '!D40</f>
        <v>0</v>
      </c>
      <c r="G192" s="620"/>
      <c r="H192" s="1016">
        <f>'LUXURY 5050-HA '!E40</f>
        <v>0</v>
      </c>
      <c r="I192" s="620"/>
      <c r="J192" s="619">
        <f t="shared" ref="J192" si="196">D192+F192-H192</f>
        <v>0</v>
      </c>
      <c r="K192" s="620"/>
      <c r="L192" s="582">
        <f t="shared" si="121"/>
        <v>10902.777777777777</v>
      </c>
      <c r="M192" s="777">
        <f t="shared" ref="M192" si="197">J192/L192</f>
        <v>0</v>
      </c>
      <c r="N192" s="292"/>
      <c r="O192" s="1017" t="s">
        <v>826</v>
      </c>
      <c r="P192" s="97"/>
      <c r="Q192" s="97"/>
    </row>
    <row r="193" spans="1:17" s="95" customFormat="1" ht="18.75" customHeight="1">
      <c r="A193" s="1014">
        <v>3</v>
      </c>
      <c r="B193" s="1015" t="str">
        <f>'LUXURY 5050-HA giấy nâu'!H4</f>
        <v>LUXURY 500*500-HA giấy nâu</v>
      </c>
      <c r="C193" s="109" t="s">
        <v>194</v>
      </c>
      <c r="D193" s="1016">
        <f>'LUXURY 5050-HA giấy nâu'!G8</f>
        <v>38645</v>
      </c>
      <c r="E193" s="620"/>
      <c r="F193" s="1016">
        <f>'LUXURY 5050-HA giấy nâu'!D40</f>
        <v>22170</v>
      </c>
      <c r="G193" s="620"/>
      <c r="H193" s="1016">
        <f>'LUXURY 5050-HA giấy nâu'!E40</f>
        <v>56000</v>
      </c>
      <c r="I193" s="620"/>
      <c r="J193" s="619">
        <f t="shared" ref="J193:J194" si="198">D193+F193-H193</f>
        <v>4815</v>
      </c>
      <c r="K193" s="620"/>
      <c r="L193" s="582">
        <f t="shared" si="121"/>
        <v>10902.777777777777</v>
      </c>
      <c r="M193" s="777">
        <f t="shared" ref="M193:M194" si="199">J193/L193</f>
        <v>0.44163057324840765</v>
      </c>
      <c r="N193" s="292"/>
      <c r="O193" s="1017" t="s">
        <v>869</v>
      </c>
      <c r="P193" s="97"/>
      <c r="Q193" s="97"/>
    </row>
    <row r="194" spans="1:17" s="95" customFormat="1" ht="18.75" customHeight="1">
      <c r="A194" s="1014">
        <v>4</v>
      </c>
      <c r="B194" s="1015" t="str">
        <f>'CROWN 50x50-HA'!H4</f>
        <v>CROWN 500x500-HA</v>
      </c>
      <c r="C194" s="109" t="s">
        <v>194</v>
      </c>
      <c r="D194" s="1016">
        <f>'CROWN 50x50-HA'!G8</f>
        <v>0</v>
      </c>
      <c r="E194" s="620"/>
      <c r="F194" s="1016">
        <f>'CROWN 50x50-HA'!D40</f>
        <v>0</v>
      </c>
      <c r="G194" s="620"/>
      <c r="H194" s="1016">
        <f>'CROWN 50x50-HA'!E40</f>
        <v>0</v>
      </c>
      <c r="I194" s="620"/>
      <c r="J194" s="619">
        <f t="shared" si="198"/>
        <v>0</v>
      </c>
      <c r="K194" s="620"/>
      <c r="L194" s="582">
        <f t="shared" si="121"/>
        <v>10902.777777777777</v>
      </c>
      <c r="M194" s="777">
        <f t="shared" si="199"/>
        <v>0</v>
      </c>
      <c r="N194" s="292"/>
      <c r="O194" s="1017" t="s">
        <v>829</v>
      </c>
      <c r="P194" s="97"/>
      <c r="Q194" s="97"/>
    </row>
    <row r="195" spans="1:17" s="95" customFormat="1" ht="18.75" customHeight="1">
      <c r="A195" s="1014">
        <v>5</v>
      </c>
      <c r="B195" s="1015" t="str">
        <f>'HAVIRA 5050'!H4</f>
        <v>HAVIRA 50*50-HA giấy nâu</v>
      </c>
      <c r="C195" s="109" t="s">
        <v>194</v>
      </c>
      <c r="D195" s="1016">
        <f>'HAVIRA 5050'!G8</f>
        <v>4329</v>
      </c>
      <c r="E195" s="620"/>
      <c r="F195" s="1016">
        <f>'HAVIRA 5050'!D40</f>
        <v>13430</v>
      </c>
      <c r="G195" s="620"/>
      <c r="H195" s="1016">
        <f>'HAVIRA 5050'!E40</f>
        <v>16150</v>
      </c>
      <c r="I195" s="620"/>
      <c r="J195" s="619">
        <f t="shared" ref="J195" si="200">D195+F195-H195</f>
        <v>1609</v>
      </c>
      <c r="K195" s="620"/>
      <c r="L195" s="582">
        <f t="shared" si="121"/>
        <v>10902.777777777777</v>
      </c>
      <c r="M195" s="777">
        <f t="shared" ref="M195" si="201">J195/L195</f>
        <v>0.14757707006369428</v>
      </c>
      <c r="N195" s="292"/>
      <c r="O195" s="1017" t="s">
        <v>834</v>
      </c>
      <c r="P195" s="97"/>
      <c r="Q195" s="97"/>
    </row>
    <row r="196" spans="1:17" s="95" customFormat="1" ht="18.75" customHeight="1">
      <c r="A196" s="1014">
        <v>6</v>
      </c>
      <c r="B196" s="1015" t="str">
        <f>'ESPANA 50x50-HA'!H4</f>
        <v>ESPANA 50x50-HA giấy nâu</v>
      </c>
      <c r="C196" s="109" t="s">
        <v>194</v>
      </c>
      <c r="D196" s="1016">
        <f>'ESPANA 50x50-HA'!G8</f>
        <v>260</v>
      </c>
      <c r="E196" s="620"/>
      <c r="F196" s="1016">
        <f>'ESPANA 50x50-HA'!D40</f>
        <v>0</v>
      </c>
      <c r="G196" s="620"/>
      <c r="H196" s="1016">
        <f>'ESPANA 50x50-HA'!E40</f>
        <v>0</v>
      </c>
      <c r="I196" s="620"/>
      <c r="J196" s="619">
        <f t="shared" ref="J196" si="202">D196+F196-H196</f>
        <v>260</v>
      </c>
      <c r="K196" s="620"/>
      <c r="L196" s="582">
        <f t="shared" si="121"/>
        <v>10902.777777777777</v>
      </c>
      <c r="M196" s="777">
        <f t="shared" ref="M196" si="203">J196/L196</f>
        <v>2.3847133757961783E-2</v>
      </c>
      <c r="N196" s="292"/>
      <c r="O196" s="1017" t="s">
        <v>835</v>
      </c>
      <c r="P196" s="97"/>
      <c r="Q196" s="97"/>
    </row>
    <row r="197" spans="1:17" s="95" customFormat="1" ht="18.75" customHeight="1">
      <c r="A197" s="1014">
        <v>7</v>
      </c>
      <c r="B197" s="584" t="str">
        <f>'VO PHE  5050'!H4</f>
        <v>VỎ PHẾ 50x50-HA</v>
      </c>
      <c r="C197" s="109" t="s">
        <v>194</v>
      </c>
      <c r="D197" s="619">
        <f>'VO PHE  5050'!G8</f>
        <v>4200</v>
      </c>
      <c r="E197" s="620"/>
      <c r="F197" s="619">
        <f>'VO PHE  5050'!D40</f>
        <v>0</v>
      </c>
      <c r="G197" s="620"/>
      <c r="H197" s="619">
        <f>'VO PHE  5050'!E40</f>
        <v>500</v>
      </c>
      <c r="I197" s="620"/>
      <c r="J197" s="619">
        <f t="shared" si="194"/>
        <v>3700</v>
      </c>
      <c r="K197" s="620"/>
      <c r="L197" s="582">
        <f t="shared" si="121"/>
        <v>10902.777777777777</v>
      </c>
      <c r="M197" s="777">
        <f t="shared" ref="M197" si="204">J197/L197</f>
        <v>0.33936305732484079</v>
      </c>
      <c r="N197" s="292"/>
      <c r="O197" s="784" t="s">
        <v>795</v>
      </c>
      <c r="P197" s="97"/>
      <c r="Q197" s="97"/>
    </row>
    <row r="198" spans="1:17" s="95" customFormat="1" ht="18.75" customHeight="1">
      <c r="A198" s="1014">
        <v>8</v>
      </c>
      <c r="B198" s="584" t="str">
        <f>'GREEN HOME 5050'!H4</f>
        <v xml:space="preserve">GREEN HOME 50*50-HA </v>
      </c>
      <c r="C198" s="109" t="s">
        <v>194</v>
      </c>
      <c r="D198" s="619">
        <f>'GREEN HOME 5050'!G8</f>
        <v>1416</v>
      </c>
      <c r="E198" s="620"/>
      <c r="F198" s="619">
        <f>'GREEN HOME 5050'!D40</f>
        <v>12641</v>
      </c>
      <c r="G198" s="620"/>
      <c r="H198" s="619">
        <f>'GREEN HOME 5050'!E40</f>
        <v>13100</v>
      </c>
      <c r="I198" s="620"/>
      <c r="J198" s="619">
        <f t="shared" ref="J198" si="205">D198+F198-H198</f>
        <v>957</v>
      </c>
      <c r="K198" s="620"/>
      <c r="L198" s="582">
        <f t="shared" si="121"/>
        <v>10902.777777777777</v>
      </c>
      <c r="M198" s="777">
        <f t="shared" ref="M198" si="206">J198/L198</f>
        <v>8.7775796178343954E-2</v>
      </c>
      <c r="N198" s="292"/>
      <c r="O198" s="784" t="s">
        <v>950</v>
      </c>
      <c r="P198" s="97"/>
      <c r="Q198" s="97"/>
    </row>
    <row r="199" spans="1:17" s="95" customFormat="1" ht="18.75" customHeight="1">
      <c r="A199" s="1014">
        <v>9</v>
      </c>
      <c r="B199" s="584" t="str">
        <f>'BAO BÌ '!B85</f>
        <v xml:space="preserve">TOP ONE 50*50 nâu-HA </v>
      </c>
      <c r="C199" s="109" t="s">
        <v>194</v>
      </c>
      <c r="D199" s="619">
        <f>'BAO BÌ '!D85</f>
        <v>1114</v>
      </c>
      <c r="E199" s="620"/>
      <c r="F199" s="619">
        <f>'BAO BÌ '!F85</f>
        <v>0</v>
      </c>
      <c r="G199" s="620"/>
      <c r="H199" s="619">
        <f>'BAO BÌ '!H85</f>
        <v>0</v>
      </c>
      <c r="I199" s="620"/>
      <c r="J199" s="619">
        <f t="shared" ref="J199" si="207">D199+F199-H199</f>
        <v>1114</v>
      </c>
      <c r="K199" s="620"/>
      <c r="L199" s="582">
        <f t="shared" si="121"/>
        <v>10902.777777777777</v>
      </c>
      <c r="M199" s="777">
        <f t="shared" ref="M199" si="208">J199/L199</f>
        <v>0.10217579617834395</v>
      </c>
      <c r="N199" s="292"/>
      <c r="O199" s="784" t="s">
        <v>1047</v>
      </c>
      <c r="P199" s="97"/>
      <c r="Q199" s="97"/>
    </row>
    <row r="200" spans="1:17" s="95" customFormat="1" ht="18.75" customHeight="1">
      <c r="A200" s="1014">
        <v>10</v>
      </c>
      <c r="B200" s="584" t="str">
        <f>'CROVINA 50'!H4</f>
        <v xml:space="preserve">CROVINA 50*50 nâu-HA </v>
      </c>
      <c r="C200" s="109" t="s">
        <v>194</v>
      </c>
      <c r="D200" s="619">
        <f>'CROVINA 50'!G8</f>
        <v>550</v>
      </c>
      <c r="E200" s="620"/>
      <c r="F200" s="619">
        <f>'CROVINA 50'!D40</f>
        <v>5573</v>
      </c>
      <c r="G200" s="620"/>
      <c r="H200" s="619">
        <f>'CROVINA 50'!E40</f>
        <v>6123</v>
      </c>
      <c r="I200" s="620"/>
      <c r="J200" s="619">
        <f t="shared" ref="J200" si="209">D200+F200-H200</f>
        <v>0</v>
      </c>
      <c r="K200" s="620"/>
      <c r="L200" s="582">
        <f t="shared" si="121"/>
        <v>10902.777777777777</v>
      </c>
      <c r="M200" s="777">
        <f t="shared" ref="M200" si="210">J200/L200</f>
        <v>0</v>
      </c>
      <c r="N200" s="292"/>
      <c r="O200" s="784" t="s">
        <v>1142</v>
      </c>
      <c r="P200" s="97"/>
      <c r="Q200" s="97"/>
    </row>
    <row r="201" spans="1:17" s="95" customFormat="1" ht="18.75" customHeight="1">
      <c r="A201" s="1014">
        <v>11</v>
      </c>
      <c r="B201" s="584" t="str">
        <f>'BAO BÌ '!B87</f>
        <v xml:space="preserve">KARPO 50*50 nâu-HA </v>
      </c>
      <c r="C201" s="109" t="s">
        <v>194</v>
      </c>
      <c r="D201" s="619">
        <f>'BAO BÌ '!D87</f>
        <v>962</v>
      </c>
      <c r="E201" s="620"/>
      <c r="F201" s="619">
        <f>'BAO BÌ '!F87</f>
        <v>0</v>
      </c>
      <c r="G201" s="620"/>
      <c r="H201" s="619">
        <f>'BAO BÌ '!H87</f>
        <v>0</v>
      </c>
      <c r="I201" s="620"/>
      <c r="J201" s="619">
        <f t="shared" ref="J201:J202" si="211">D201+F201-H201</f>
        <v>962</v>
      </c>
      <c r="K201" s="620"/>
      <c r="L201" s="582">
        <f t="shared" si="121"/>
        <v>10902.777777777777</v>
      </c>
      <c r="M201" s="777">
        <f t="shared" ref="M201:M202" si="212">J201/L201</f>
        <v>8.8234394904458599E-2</v>
      </c>
      <c r="N201" s="292"/>
      <c r="O201" s="784" t="s">
        <v>1182</v>
      </c>
      <c r="P201" s="97"/>
      <c r="Q201" s="97"/>
    </row>
    <row r="202" spans="1:17" s="95" customFormat="1" ht="18.75" customHeight="1">
      <c r="A202" s="1014">
        <v>12</v>
      </c>
      <c r="B202" s="584" t="str">
        <f>'BAO BÌ '!B88</f>
        <v xml:space="preserve">VIDONA 50*50 nâu-HA </v>
      </c>
      <c r="C202" s="109" t="s">
        <v>194</v>
      </c>
      <c r="D202" s="619">
        <f>'BAO BÌ '!D88</f>
        <v>0</v>
      </c>
      <c r="E202" s="620"/>
      <c r="F202" s="619">
        <f>'BAO BÌ '!F88</f>
        <v>0</v>
      </c>
      <c r="G202" s="620"/>
      <c r="H202" s="619">
        <f>'BAO BÌ '!H88</f>
        <v>0</v>
      </c>
      <c r="I202" s="620"/>
      <c r="J202" s="619">
        <f t="shared" si="211"/>
        <v>0</v>
      </c>
      <c r="K202" s="620"/>
      <c r="L202" s="582">
        <f t="shared" si="121"/>
        <v>10902.777777777777</v>
      </c>
      <c r="M202" s="777">
        <f t="shared" si="212"/>
        <v>0</v>
      </c>
      <c r="N202" s="292"/>
      <c r="O202" s="784" t="s">
        <v>1184</v>
      </c>
      <c r="P202" s="97"/>
      <c r="Q202" s="97"/>
    </row>
    <row r="203" spans="1:17" s="95" customFormat="1" ht="18.75" customHeight="1">
      <c r="A203" s="1014">
        <v>13</v>
      </c>
      <c r="B203" s="584" t="str">
        <f>'BAO BÌ '!B89</f>
        <v xml:space="preserve">TRANG HOÀNG PHƯƠNG 50*50 nâu-HA </v>
      </c>
      <c r="C203" s="109" t="s">
        <v>194</v>
      </c>
      <c r="D203" s="619">
        <f>'BAO BÌ '!D89</f>
        <v>3700</v>
      </c>
      <c r="E203" s="620"/>
      <c r="F203" s="619">
        <f>'BAO BÌ '!F89</f>
        <v>0</v>
      </c>
      <c r="G203" s="620"/>
      <c r="H203" s="619">
        <f>'BAO BÌ '!H89</f>
        <v>0</v>
      </c>
      <c r="I203" s="620"/>
      <c r="J203" s="619">
        <f t="shared" ref="J203" si="213">D203+F203-H203</f>
        <v>3700</v>
      </c>
      <c r="K203" s="620"/>
      <c r="L203" s="582">
        <f t="shared" si="121"/>
        <v>10902.777777777777</v>
      </c>
      <c r="M203" s="777">
        <f t="shared" ref="M203" si="214">J203/L203</f>
        <v>0.33936305732484079</v>
      </c>
      <c r="N203" s="292"/>
      <c r="O203" s="784" t="s">
        <v>1250</v>
      </c>
      <c r="P203" s="97"/>
      <c r="Q203" s="97"/>
    </row>
    <row r="204" spans="1:17" s="95" customFormat="1" ht="18.75" customHeight="1">
      <c r="A204" s="1014">
        <v>14</v>
      </c>
      <c r="B204" s="584" t="str">
        <f>'BAO BÌ '!B90</f>
        <v xml:space="preserve">PADOVA 30*60 nâu-HA </v>
      </c>
      <c r="C204" s="109" t="s">
        <v>194</v>
      </c>
      <c r="D204" s="619">
        <f>'BAO BÌ '!D90</f>
        <v>0</v>
      </c>
      <c r="E204" s="620"/>
      <c r="F204" s="619">
        <f>'BAO BÌ '!F90</f>
        <v>0</v>
      </c>
      <c r="G204" s="620"/>
      <c r="H204" s="619">
        <f>'BAO BÌ '!H90</f>
        <v>0</v>
      </c>
      <c r="I204" s="620"/>
      <c r="J204" s="619">
        <f t="shared" ref="J204" si="215">D204+F204-H204</f>
        <v>0</v>
      </c>
      <c r="K204" s="620"/>
      <c r="L204" s="582">
        <f t="shared" si="121"/>
        <v>10902.777777777777</v>
      </c>
      <c r="M204" s="777">
        <f t="shared" ref="M204" si="216">J204/L204</f>
        <v>0</v>
      </c>
      <c r="N204" s="292"/>
      <c r="O204" s="784" t="s">
        <v>1251</v>
      </c>
      <c r="P204" s="97"/>
      <c r="Q204" s="97"/>
    </row>
    <row r="205" spans="1:17" s="95" customFormat="1" ht="24.75" customHeight="1">
      <c r="A205" s="356">
        <v>5</v>
      </c>
      <c r="B205" s="357" t="s">
        <v>861</v>
      </c>
      <c r="C205" s="294"/>
      <c r="D205" s="358"/>
      <c r="E205" s="358"/>
      <c r="F205" s="358"/>
      <c r="G205" s="358"/>
      <c r="H205" s="358"/>
      <c r="I205" s="358"/>
      <c r="J205" s="358"/>
      <c r="K205" s="358"/>
      <c r="L205" s="582"/>
      <c r="M205" s="777"/>
      <c r="N205" s="292"/>
      <c r="O205" s="784"/>
      <c r="P205" s="97"/>
      <c r="Q205" s="97"/>
    </row>
    <row r="206" spans="1:17" s="95" customFormat="1" ht="19.5" customHeight="1">
      <c r="A206" s="1014">
        <v>1</v>
      </c>
      <c r="B206" s="584" t="str">
        <f>'VO PHE  4060'!H4</f>
        <v xml:space="preserve">VỎ PHẾ 40x60-HA giấy nâu </v>
      </c>
      <c r="C206" s="109" t="s">
        <v>194</v>
      </c>
      <c r="D206" s="619">
        <f>'VO PHE  4060'!G8</f>
        <v>9080</v>
      </c>
      <c r="E206" s="620"/>
      <c r="F206" s="619">
        <f>'VO PHE  4060'!D40</f>
        <v>0</v>
      </c>
      <c r="G206" s="620"/>
      <c r="H206" s="619">
        <f>'VO PHE  4060'!E40</f>
        <v>0</v>
      </c>
      <c r="I206" s="620"/>
      <c r="J206" s="619">
        <f>D206+F206-H206</f>
        <v>9080</v>
      </c>
      <c r="K206" s="620"/>
      <c r="L206" s="582">
        <f t="shared" si="121"/>
        <v>10902.777777777777</v>
      </c>
      <c r="M206" s="777">
        <f>J206/L206</f>
        <v>0.8328152866242039</v>
      </c>
      <c r="N206" s="292"/>
      <c r="O206" s="784" t="s">
        <v>796</v>
      </c>
      <c r="P206" s="97"/>
      <c r="Q206" s="97"/>
    </row>
    <row r="207" spans="1:17" s="95" customFormat="1" ht="19.5" customHeight="1">
      <c r="A207" s="1014">
        <v>2</v>
      </c>
      <c r="B207" s="584" t="str">
        <f>'LUXURY 4060-HA '!H4</f>
        <v>LUXURY 400*600-HA giấy nâu</v>
      </c>
      <c r="C207" s="109" t="s">
        <v>194</v>
      </c>
      <c r="D207" s="619">
        <f>'LUXURY 4060-HA '!G8</f>
        <v>4200</v>
      </c>
      <c r="E207" s="620"/>
      <c r="F207" s="619">
        <f>'LUXURY 4060-HA '!D40</f>
        <v>0</v>
      </c>
      <c r="G207" s="620"/>
      <c r="H207" s="619">
        <f>'LUXURY 4060-HA '!E40</f>
        <v>0</v>
      </c>
      <c r="I207" s="620"/>
      <c r="J207" s="619">
        <f>D207+F207-H207</f>
        <v>4200</v>
      </c>
      <c r="K207" s="620"/>
      <c r="L207" s="582">
        <f t="shared" si="121"/>
        <v>10902.777777777777</v>
      </c>
      <c r="M207" s="777">
        <f>J207/L207</f>
        <v>0.38522292993630575</v>
      </c>
      <c r="N207" s="292"/>
      <c r="O207" s="784" t="s">
        <v>863</v>
      </c>
      <c r="P207" s="97"/>
      <c r="Q207" s="97"/>
    </row>
    <row r="208" spans="1:17" s="95" customFormat="1" ht="19.5" customHeight="1">
      <c r="A208" s="1014">
        <v>3</v>
      </c>
      <c r="B208" s="584" t="str">
        <f>'CROWN 40x60-HA'!H4</f>
        <v>CROWN 40*60-HA</v>
      </c>
      <c r="C208" s="109" t="s">
        <v>194</v>
      </c>
      <c r="D208" s="619">
        <f>'CROWN 40x60-HA'!G8</f>
        <v>2210</v>
      </c>
      <c r="E208" s="620"/>
      <c r="F208" s="619">
        <f>'CROWN 40x60-HA'!D40</f>
        <v>0</v>
      </c>
      <c r="G208" s="620"/>
      <c r="H208" s="619">
        <f>'CROWN 40x60-HA'!E40</f>
        <v>0</v>
      </c>
      <c r="I208" s="620"/>
      <c r="J208" s="619">
        <f>D208+F208-H208</f>
        <v>2210</v>
      </c>
      <c r="K208" s="620"/>
      <c r="L208" s="582">
        <f t="shared" si="121"/>
        <v>10902.777777777777</v>
      </c>
      <c r="M208" s="777">
        <f>J208/L208</f>
        <v>0.20270063694267518</v>
      </c>
      <c r="N208" s="292"/>
      <c r="O208" s="784" t="s">
        <v>890</v>
      </c>
      <c r="P208" s="97"/>
      <c r="Q208" s="97"/>
    </row>
    <row r="209" spans="1:17" s="95" customFormat="1" ht="19.5" customHeight="1">
      <c r="A209" s="356">
        <v>6</v>
      </c>
      <c r="B209" s="357" t="s">
        <v>926</v>
      </c>
      <c r="C209" s="294"/>
      <c r="D209" s="358"/>
      <c r="E209" s="358"/>
      <c r="F209" s="358"/>
      <c r="G209" s="358"/>
      <c r="H209" s="358"/>
      <c r="I209" s="358"/>
      <c r="J209" s="358"/>
      <c r="K209" s="358"/>
      <c r="L209" s="582"/>
      <c r="M209" s="777"/>
      <c r="N209" s="292"/>
      <c r="O209" s="784"/>
      <c r="P209" s="97"/>
      <c r="Q209" s="97"/>
    </row>
    <row r="210" spans="1:17" s="95" customFormat="1" ht="19.5" customHeight="1">
      <c r="A210" s="1014">
        <v>1</v>
      </c>
      <c r="B210" s="584" t="str">
        <f>'VO PHE  6060'!H4</f>
        <v xml:space="preserve">VỎ PHẾ 60x60-HA giấy nâu </v>
      </c>
      <c r="C210" s="109" t="s">
        <v>194</v>
      </c>
      <c r="D210" s="619">
        <f>'VO PHE  6060'!G8</f>
        <v>1530</v>
      </c>
      <c r="E210" s="620"/>
      <c r="F210" s="619">
        <f>'VO PHE  6060'!D40</f>
        <v>0</v>
      </c>
      <c r="G210" s="620"/>
      <c r="H210" s="619">
        <f>'VO PHE  6060'!E40</f>
        <v>0</v>
      </c>
      <c r="I210" s="620"/>
      <c r="J210" s="619">
        <f t="shared" ref="J210:J215" si="217">D210+F210-H210</f>
        <v>1530</v>
      </c>
      <c r="K210" s="620"/>
      <c r="L210" s="582">
        <f t="shared" si="121"/>
        <v>10902.777777777777</v>
      </c>
      <c r="M210" s="777">
        <f t="shared" ref="M210:M215" si="218">J210/L210</f>
        <v>0.1403312101910828</v>
      </c>
      <c r="N210" s="292"/>
      <c r="O210" s="784" t="s">
        <v>928</v>
      </c>
      <c r="P210" s="97"/>
      <c r="Q210" s="97"/>
    </row>
    <row r="211" spans="1:17" s="95" customFormat="1" ht="19.5" customHeight="1">
      <c r="A211" s="1014">
        <v>2</v>
      </c>
      <c r="B211" s="584" t="str">
        <f>'LUXURY 6060-HA '!H4</f>
        <v>LUXURY 600*600-HA giấy nâu</v>
      </c>
      <c r="C211" s="109" t="s">
        <v>194</v>
      </c>
      <c r="D211" s="619">
        <f>'LUXURY 6060-HA '!G8</f>
        <v>0</v>
      </c>
      <c r="E211" s="620"/>
      <c r="F211" s="619">
        <f>'LUXURY 6060-HA '!D40</f>
        <v>0</v>
      </c>
      <c r="G211" s="620"/>
      <c r="H211" s="619">
        <f>'LUXURY 6060-HA '!E40</f>
        <v>0</v>
      </c>
      <c r="I211" s="620"/>
      <c r="J211" s="619">
        <f t="shared" si="217"/>
        <v>0</v>
      </c>
      <c r="K211" s="620"/>
      <c r="L211" s="582">
        <f t="shared" si="121"/>
        <v>10902.777777777777</v>
      </c>
      <c r="M211" s="777">
        <f t="shared" si="218"/>
        <v>0</v>
      </c>
      <c r="N211" s="292"/>
      <c r="O211" s="784" t="s">
        <v>930</v>
      </c>
      <c r="P211" s="97"/>
      <c r="Q211" s="97"/>
    </row>
    <row r="212" spans="1:17" s="95" customFormat="1" ht="19.5" customHeight="1">
      <c r="A212" s="1014">
        <v>3</v>
      </c>
      <c r="B212" s="584" t="str">
        <f>'CROWN 60x60-HA '!H4</f>
        <v>CROWN 60*60-HA</v>
      </c>
      <c r="C212" s="109" t="s">
        <v>194</v>
      </c>
      <c r="D212" s="619">
        <f>'CROWN 60x60-HA '!G8</f>
        <v>920</v>
      </c>
      <c r="E212" s="620"/>
      <c r="F212" s="619">
        <f>'CROWN 60x60-HA '!D40</f>
        <v>0</v>
      </c>
      <c r="G212" s="620"/>
      <c r="H212" s="619">
        <f>'CROWN 60x60-HA '!E40</f>
        <v>0</v>
      </c>
      <c r="I212" s="620"/>
      <c r="J212" s="619">
        <f t="shared" si="217"/>
        <v>920</v>
      </c>
      <c r="K212" s="620"/>
      <c r="L212" s="582">
        <f t="shared" si="121"/>
        <v>10902.777777777777</v>
      </c>
      <c r="M212" s="777">
        <f t="shared" si="218"/>
        <v>8.4382165605095538E-2</v>
      </c>
      <c r="N212" s="292"/>
      <c r="O212" s="784" t="s">
        <v>934</v>
      </c>
      <c r="P212" s="97"/>
      <c r="Q212" s="97"/>
    </row>
    <row r="213" spans="1:17" s="95" customFormat="1" ht="19.5" customHeight="1">
      <c r="A213" s="1014">
        <v>4</v>
      </c>
      <c r="B213" s="584" t="str">
        <f>'ESPANA 60x60-HA'!H4</f>
        <v>ESPANA 60*60-HA giấy nâu</v>
      </c>
      <c r="C213" s="109" t="s">
        <v>194</v>
      </c>
      <c r="D213" s="619">
        <f>'ESPANA 60x60-HA'!G8</f>
        <v>469</v>
      </c>
      <c r="E213" s="620"/>
      <c r="F213" s="619">
        <f>'ESPANA 60x60-HA'!D40</f>
        <v>0</v>
      </c>
      <c r="G213" s="620"/>
      <c r="H213" s="619">
        <f>'ESPANA 60x60-HA'!E40</f>
        <v>0</v>
      </c>
      <c r="I213" s="620"/>
      <c r="J213" s="619">
        <f t="shared" si="217"/>
        <v>469</v>
      </c>
      <c r="K213" s="620"/>
      <c r="L213" s="582">
        <f t="shared" si="121"/>
        <v>10902.777777777777</v>
      </c>
      <c r="M213" s="777">
        <f t="shared" si="218"/>
        <v>4.3016560509554144E-2</v>
      </c>
      <c r="N213" s="292"/>
      <c r="O213" s="784" t="s">
        <v>937</v>
      </c>
      <c r="P213" s="97"/>
      <c r="Q213" s="97"/>
    </row>
    <row r="214" spans="1:17" s="95" customFormat="1" ht="19.5" customHeight="1">
      <c r="A214" s="1014">
        <v>5</v>
      </c>
      <c r="B214" s="584" t="str">
        <f>'HAVIRA 6060'!H4</f>
        <v>HAVIRA 60*60-HA giấy nâu</v>
      </c>
      <c r="C214" s="109" t="s">
        <v>194</v>
      </c>
      <c r="D214" s="619">
        <f>'HAVIRA 6060'!G8</f>
        <v>960</v>
      </c>
      <c r="E214" s="620"/>
      <c r="F214" s="619">
        <f>'HAVIRA 6060'!D40</f>
        <v>0</v>
      </c>
      <c r="G214" s="620"/>
      <c r="H214" s="619">
        <f>'HAVIRA 6060'!E40</f>
        <v>0</v>
      </c>
      <c r="I214" s="620"/>
      <c r="J214" s="619">
        <f t="shared" si="217"/>
        <v>960</v>
      </c>
      <c r="K214" s="620"/>
      <c r="L214" s="582">
        <f t="shared" si="121"/>
        <v>10902.777777777777</v>
      </c>
      <c r="M214" s="777">
        <f t="shared" si="218"/>
        <v>8.8050955414012741E-2</v>
      </c>
      <c r="N214" s="292"/>
      <c r="O214" s="784" t="s">
        <v>938</v>
      </c>
      <c r="P214" s="97"/>
      <c r="Q214" s="97"/>
    </row>
    <row r="215" spans="1:17" s="95" customFormat="1" ht="19.5" customHeight="1">
      <c r="A215" s="1014">
        <v>6</v>
      </c>
      <c r="B215" s="584" t="str">
        <f>'GREEN HOME 6060'!H4</f>
        <v xml:space="preserve">GREEN HOME 60*60-HA </v>
      </c>
      <c r="C215" s="109" t="s">
        <v>194</v>
      </c>
      <c r="D215" s="619">
        <f>'GREEN HOME 6060'!G8</f>
        <v>2980</v>
      </c>
      <c r="E215" s="620"/>
      <c r="F215" s="619">
        <f>'GREEN HOME 6060'!D40</f>
        <v>0</v>
      </c>
      <c r="G215" s="620"/>
      <c r="H215" s="619">
        <f>'GREEN HOME 6060'!E40</f>
        <v>0</v>
      </c>
      <c r="I215" s="620"/>
      <c r="J215" s="619">
        <f t="shared" si="217"/>
        <v>2980</v>
      </c>
      <c r="K215" s="620"/>
      <c r="L215" s="582">
        <f t="shared" si="121"/>
        <v>10902.777777777777</v>
      </c>
      <c r="M215" s="777">
        <f t="shared" si="218"/>
        <v>0.27332484076433122</v>
      </c>
      <c r="N215" s="292"/>
      <c r="O215" s="784" t="s">
        <v>943</v>
      </c>
      <c r="P215" s="97"/>
      <c r="Q215" s="97"/>
    </row>
    <row r="216" spans="1:17" s="95" customFormat="1" ht="19.5" customHeight="1">
      <c r="A216" s="1014">
        <v>7</v>
      </c>
      <c r="B216" s="584" t="str">
        <f>'GREEN HOME 6060 5V'!H4</f>
        <v>GREEN HOME 60*60 5V nâu</v>
      </c>
      <c r="C216" s="109" t="s">
        <v>194</v>
      </c>
      <c r="D216" s="619">
        <f>'GREEN HOME 6060 5V'!G8</f>
        <v>811</v>
      </c>
      <c r="E216" s="620"/>
      <c r="F216" s="619">
        <f>'GREEN HOME 6060 5V'!D40</f>
        <v>0</v>
      </c>
      <c r="G216" s="620"/>
      <c r="H216" s="619">
        <f>'GREEN HOME 6060 5V'!E40</f>
        <v>0</v>
      </c>
      <c r="I216" s="620"/>
      <c r="J216" s="619">
        <f t="shared" ref="J216:J220" si="219">D216+F216-H216</f>
        <v>811</v>
      </c>
      <c r="K216" s="620"/>
      <c r="L216" s="582">
        <f t="shared" si="121"/>
        <v>10902.777777777777</v>
      </c>
      <c r="M216" s="777">
        <f t="shared" ref="M216:M220" si="220">J216/L216</f>
        <v>7.4384713375796177E-2</v>
      </c>
      <c r="N216" s="292"/>
      <c r="O216" s="784" t="s">
        <v>1058</v>
      </c>
      <c r="P216" s="97"/>
      <c r="Q216" s="97"/>
    </row>
    <row r="217" spans="1:17" s="95" customFormat="1" ht="19.5" customHeight="1">
      <c r="A217" s="1014">
        <v>8</v>
      </c>
      <c r="B217" s="584" t="str">
        <f>'LUXURY 6060-HA  5V'!H4</f>
        <v>LUXURY 60x60 5V nâu</v>
      </c>
      <c r="C217" s="109" t="s">
        <v>194</v>
      </c>
      <c r="D217" s="619">
        <f>'LUXURY 6060-HA  5V'!G8</f>
        <v>1748</v>
      </c>
      <c r="E217" s="620"/>
      <c r="F217" s="619">
        <f>'LUXURY 6060-HA  5V'!D40</f>
        <v>0</v>
      </c>
      <c r="G217" s="620"/>
      <c r="H217" s="619">
        <f>'LUXURY 6060-HA  5V'!E40</f>
        <v>0</v>
      </c>
      <c r="I217" s="620"/>
      <c r="J217" s="619">
        <f t="shared" si="219"/>
        <v>1748</v>
      </c>
      <c r="K217" s="620"/>
      <c r="L217" s="582">
        <f t="shared" ref="L217:L221" si="221">15700/1.44</f>
        <v>10902.777777777777</v>
      </c>
      <c r="M217" s="777">
        <f t="shared" si="220"/>
        <v>0.16032611464968152</v>
      </c>
      <c r="N217" s="292"/>
      <c r="O217" s="784" t="s">
        <v>1060</v>
      </c>
      <c r="P217" s="97"/>
      <c r="Q217" s="97"/>
    </row>
    <row r="218" spans="1:17" s="95" customFormat="1" ht="19.5" customHeight="1">
      <c r="A218" s="1014">
        <v>9</v>
      </c>
      <c r="B218" s="584" t="str">
        <f>'ESPANA 60x60-HA 5V'!H4</f>
        <v>ESPANA 60x60 5V nâu</v>
      </c>
      <c r="C218" s="109" t="s">
        <v>194</v>
      </c>
      <c r="D218" s="619">
        <f>'ESPANA 60x60-HA 5V'!G8</f>
        <v>1579</v>
      </c>
      <c r="E218" s="620"/>
      <c r="F218" s="619">
        <f>'ESPANA 60x60-HA 5V'!D40</f>
        <v>0</v>
      </c>
      <c r="G218" s="620"/>
      <c r="H218" s="619">
        <f>'ESPANA 60x60-HA 5V'!E40</f>
        <v>0</v>
      </c>
      <c r="I218" s="620"/>
      <c r="J218" s="619">
        <f t="shared" si="219"/>
        <v>1579</v>
      </c>
      <c r="K218" s="620"/>
      <c r="L218" s="582">
        <f t="shared" si="221"/>
        <v>10902.777777777777</v>
      </c>
      <c r="M218" s="777">
        <f t="shared" si="220"/>
        <v>0.14482547770700638</v>
      </c>
      <c r="N218" s="292"/>
      <c r="O218" s="784" t="s">
        <v>1062</v>
      </c>
      <c r="P218" s="97"/>
      <c r="Q218" s="97"/>
    </row>
    <row r="219" spans="1:17" s="95" customFormat="1" ht="19.5" customHeight="1">
      <c r="A219" s="1014">
        <v>10</v>
      </c>
      <c r="B219" s="584" t="str">
        <f>'HAVIRA 6060 5V'!H4</f>
        <v>HAVIRA 60x60 5V nâu</v>
      </c>
      <c r="C219" s="109" t="s">
        <v>194</v>
      </c>
      <c r="D219" s="619">
        <f>'HAVIRA 6060 5V'!G8</f>
        <v>550</v>
      </c>
      <c r="E219" s="620"/>
      <c r="F219" s="619">
        <f>'HAVIRA 6060 5V'!D40</f>
        <v>0</v>
      </c>
      <c r="G219" s="620"/>
      <c r="H219" s="619">
        <f>'HAVIRA 6060 5V'!E40</f>
        <v>0</v>
      </c>
      <c r="I219" s="620"/>
      <c r="J219" s="619">
        <f t="shared" si="219"/>
        <v>550</v>
      </c>
      <c r="K219" s="620"/>
      <c r="L219" s="582">
        <f t="shared" si="221"/>
        <v>10902.777777777777</v>
      </c>
      <c r="M219" s="777">
        <f t="shared" si="220"/>
        <v>5.0445859872611465E-2</v>
      </c>
      <c r="N219" s="292"/>
      <c r="O219" s="784" t="s">
        <v>1064</v>
      </c>
      <c r="P219" s="97"/>
      <c r="Q219" s="97"/>
    </row>
    <row r="220" spans="1:17" s="95" customFormat="1" ht="19.5" customHeight="1">
      <c r="A220" s="1014">
        <v>11</v>
      </c>
      <c r="B220" s="584" t="str">
        <f>'CROWN 60x60-HA 5V'!H4</f>
        <v>CROWN 60x60 5V nâu</v>
      </c>
      <c r="C220" s="109" t="s">
        <v>194</v>
      </c>
      <c r="D220" s="619">
        <f>'CROWN 60x60-HA 5V'!G8</f>
        <v>0</v>
      </c>
      <c r="E220" s="620"/>
      <c r="F220" s="619">
        <f>'CROWN 60x60-HA 5V'!D40</f>
        <v>0</v>
      </c>
      <c r="G220" s="620"/>
      <c r="H220" s="619">
        <f>'CROWN 60x60-HA 5V'!E40</f>
        <v>0</v>
      </c>
      <c r="I220" s="620"/>
      <c r="J220" s="619">
        <f t="shared" si="219"/>
        <v>0</v>
      </c>
      <c r="K220" s="620"/>
      <c r="L220" s="582">
        <f t="shared" si="221"/>
        <v>10902.777777777777</v>
      </c>
      <c r="M220" s="777">
        <f t="shared" si="220"/>
        <v>0</v>
      </c>
      <c r="N220" s="292"/>
      <c r="O220" s="784" t="s">
        <v>1066</v>
      </c>
      <c r="P220" s="97"/>
      <c r="Q220" s="97"/>
    </row>
    <row r="221" spans="1:17" s="95" customFormat="1" ht="19.5" customHeight="1">
      <c r="A221" s="1014">
        <v>12</v>
      </c>
      <c r="B221" s="584" t="str">
        <f>'BAO BÌ '!B107</f>
        <v xml:space="preserve">CROVINA 60*60 nâu-HA </v>
      </c>
      <c r="C221" s="109" t="s">
        <v>194</v>
      </c>
      <c r="D221" s="619">
        <f>'BAO BÌ '!D107</f>
        <v>3038</v>
      </c>
      <c r="E221" s="620"/>
      <c r="F221" s="619">
        <f>'BAO BÌ '!F107</f>
        <v>0</v>
      </c>
      <c r="G221" s="620"/>
      <c r="H221" s="619">
        <f>'BAO BÌ '!H107</f>
        <v>0</v>
      </c>
      <c r="I221" s="620"/>
      <c r="J221" s="619">
        <f t="shared" ref="J221" si="222">D221+F221-H221</f>
        <v>3038</v>
      </c>
      <c r="K221" s="620"/>
      <c r="L221" s="582">
        <f t="shared" si="221"/>
        <v>10902.777777777777</v>
      </c>
      <c r="M221" s="777">
        <f t="shared" ref="M221" si="223">J221/L221</f>
        <v>0.27864458598726116</v>
      </c>
      <c r="N221" s="292"/>
      <c r="O221" s="784" t="s">
        <v>1144</v>
      </c>
      <c r="P221" s="97"/>
      <c r="Q221" s="97"/>
    </row>
    <row r="222" spans="1:17" ht="19.5" customHeight="1">
      <c r="A222" s="356" t="s">
        <v>90</v>
      </c>
      <c r="B222" s="357" t="s">
        <v>87</v>
      </c>
      <c r="C222" s="294"/>
      <c r="D222" s="358" t="s">
        <v>49</v>
      </c>
      <c r="E222" s="358" t="s">
        <v>143</v>
      </c>
      <c r="F222" s="358" t="s">
        <v>49</v>
      </c>
      <c r="G222" s="358" t="s">
        <v>143</v>
      </c>
      <c r="H222" s="358" t="s">
        <v>49</v>
      </c>
      <c r="I222" s="358" t="s">
        <v>143</v>
      </c>
      <c r="J222" s="358" t="s">
        <v>49</v>
      </c>
      <c r="K222" s="358" t="s">
        <v>143</v>
      </c>
      <c r="L222" s="582"/>
      <c r="M222" s="777"/>
      <c r="N222" s="292"/>
      <c r="O222" s="386"/>
    </row>
    <row r="223" spans="1:17" ht="19.5" customHeight="1">
      <c r="A223" s="211">
        <v>1</v>
      </c>
      <c r="B223" s="584" t="str">
        <f>'DAY DAI PP'!J4</f>
        <v>DÂY ĐAI PP-LHP</v>
      </c>
      <c r="C223" s="109" t="s">
        <v>193</v>
      </c>
      <c r="D223" s="619">
        <f>'DAY DAI PP'!J9</f>
        <v>230</v>
      </c>
      <c r="E223" s="620">
        <f>D223/10</f>
        <v>23</v>
      </c>
      <c r="F223" s="619">
        <f>'DAY DAI PP'!D41</f>
        <v>7000</v>
      </c>
      <c r="G223" s="620">
        <f>F223/10</f>
        <v>700</v>
      </c>
      <c r="H223" s="619">
        <f>'DAY DAI PP'!F41</f>
        <v>5730</v>
      </c>
      <c r="I223" s="620">
        <f>H223/10</f>
        <v>573</v>
      </c>
      <c r="J223" s="619">
        <f>D223+F223-H223</f>
        <v>1500</v>
      </c>
      <c r="K223" s="620">
        <f>J223/10</f>
        <v>150</v>
      </c>
      <c r="L223" s="582">
        <f>H223/$J$4</f>
        <v>337.05882352941177</v>
      </c>
      <c r="M223" s="777">
        <f>J223/L223</f>
        <v>4.4502617801047117</v>
      </c>
      <c r="N223" s="292"/>
      <c r="O223" s="386" t="s">
        <v>426</v>
      </c>
    </row>
    <row r="224" spans="1:17" ht="19.5" customHeight="1">
      <c r="A224" s="211">
        <v>2</v>
      </c>
      <c r="B224" s="584" t="str">
        <f>'DAY DAI PET'!I4</f>
        <v>DÂY ĐAI PET-LHP</v>
      </c>
      <c r="C224" s="109" t="s">
        <v>193</v>
      </c>
      <c r="D224" s="619">
        <f>'DAY DAI PET'!J9</f>
        <v>3320</v>
      </c>
      <c r="E224" s="620">
        <f>D224/20</f>
        <v>166</v>
      </c>
      <c r="F224" s="619">
        <f>'DAY DAI PET'!D41</f>
        <v>3000</v>
      </c>
      <c r="G224" s="620">
        <f>F224/20</f>
        <v>150</v>
      </c>
      <c r="H224" s="619">
        <f>'DAY DAI PET'!F41</f>
        <v>4700</v>
      </c>
      <c r="I224" s="620">
        <f>H224/20</f>
        <v>235</v>
      </c>
      <c r="J224" s="619">
        <f>D224+F224-H224</f>
        <v>1620</v>
      </c>
      <c r="K224" s="620">
        <f>J224/20</f>
        <v>81</v>
      </c>
      <c r="L224" s="582">
        <f>H224/$J$4</f>
        <v>276.47058823529414</v>
      </c>
      <c r="M224" s="777">
        <f>J224/L224</f>
        <v>5.8595744680851061</v>
      </c>
      <c r="N224" s="292"/>
      <c r="O224" s="386" t="s">
        <v>427</v>
      </c>
    </row>
    <row r="225" spans="1:15" ht="19.5" customHeight="1">
      <c r="A225" s="356" t="s">
        <v>788</v>
      </c>
      <c r="B225" s="357" t="s">
        <v>56</v>
      </c>
      <c r="C225" s="294"/>
      <c r="D225" s="358"/>
      <c r="E225" s="358"/>
      <c r="F225" s="358"/>
      <c r="G225" s="358"/>
      <c r="H225" s="358"/>
      <c r="I225" s="358"/>
      <c r="J225" s="358"/>
      <c r="K225" s="358"/>
      <c r="L225" s="582"/>
      <c r="M225" s="777"/>
      <c r="N225" s="292"/>
      <c r="O225" s="386"/>
    </row>
    <row r="226" spans="1:15" ht="19.5" customHeight="1">
      <c r="A226" s="211">
        <v>1</v>
      </c>
      <c r="B226" s="583" t="str">
        <f>'KE NHUA 8V 3060'!H4</f>
        <v>KE NHỰA 300 X 600 MM</v>
      </c>
      <c r="C226" s="109" t="s">
        <v>193</v>
      </c>
      <c r="D226" s="619">
        <f>'KE NHUA 8V 3060'!G8</f>
        <v>0</v>
      </c>
      <c r="E226" s="620"/>
      <c r="F226" s="619">
        <f>'KE NHUA 8V 3060'!D40</f>
        <v>10495</v>
      </c>
      <c r="G226" s="620"/>
      <c r="H226" s="619">
        <f>'KE NHUA 8V 3060'!E40</f>
        <v>9345</v>
      </c>
      <c r="I226" s="620"/>
      <c r="J226" s="619">
        <f t="shared" ref="J226:J237" si="224">D226+F226-H226</f>
        <v>1150</v>
      </c>
      <c r="K226" s="620"/>
      <c r="L226" s="582">
        <v>602</v>
      </c>
      <c r="M226" s="777">
        <f t="shared" ref="M226:M232" si="225">J226/L226</f>
        <v>1.9102990033222591</v>
      </c>
      <c r="N226" s="292"/>
      <c r="O226" s="386" t="s">
        <v>381</v>
      </c>
    </row>
    <row r="227" spans="1:15" ht="19.5" customHeight="1">
      <c r="A227" s="211">
        <v>2</v>
      </c>
      <c r="B227" s="583" t="str">
        <f>'KE NHUA 4V 4080'!H4</f>
        <v>KE NHỰA 4080 và 6060 MM</v>
      </c>
      <c r="C227" s="109" t="s">
        <v>193</v>
      </c>
      <c r="D227" s="619">
        <f>'KE NHUA 4V 4080'!G8</f>
        <v>215</v>
      </c>
      <c r="E227" s="620"/>
      <c r="F227" s="619">
        <f>'KE NHUA 4V 4080'!D40</f>
        <v>0</v>
      </c>
      <c r="G227" s="620"/>
      <c r="H227" s="619">
        <f>'KE NHUA 4V 4080'!E40</f>
        <v>0</v>
      </c>
      <c r="I227" s="620"/>
      <c r="J227" s="619">
        <f t="shared" si="224"/>
        <v>215</v>
      </c>
      <c r="K227" s="620"/>
      <c r="L227" s="582">
        <v>602</v>
      </c>
      <c r="M227" s="777">
        <f t="shared" si="225"/>
        <v>0.35714285714285715</v>
      </c>
      <c r="N227" s="292"/>
      <c r="O227" s="386" t="s">
        <v>340</v>
      </c>
    </row>
    <row r="228" spans="1:15" ht="19.5" customHeight="1">
      <c r="A228" s="211">
        <v>3</v>
      </c>
      <c r="B228" s="583" t="str">
        <f>'KE NHUA 5V 4080'!H4</f>
        <v>KE NHỰA 4080 và 6060 MM 5V</v>
      </c>
      <c r="C228" s="109" t="s">
        <v>193</v>
      </c>
      <c r="D228" s="619">
        <f>'KE NHUA 5V 4080'!G8</f>
        <v>0</v>
      </c>
      <c r="E228" s="620"/>
      <c r="F228" s="619">
        <f>'KE NHUA 5V 4080'!D40</f>
        <v>3520</v>
      </c>
      <c r="G228" s="620"/>
      <c r="H228" s="619">
        <f>'KE NHUA 5V 4080'!E40</f>
        <v>2925</v>
      </c>
      <c r="I228" s="620"/>
      <c r="J228" s="619">
        <f t="shared" ref="J228:J229" si="226">D228+F228-H228</f>
        <v>595</v>
      </c>
      <c r="K228" s="620"/>
      <c r="L228" s="582">
        <v>603</v>
      </c>
      <c r="M228" s="777">
        <f t="shared" ref="M228:M229" si="227">J228/L228</f>
        <v>0.98673300165837474</v>
      </c>
      <c r="N228" s="292"/>
      <c r="O228" s="784" t="s">
        <v>1056</v>
      </c>
    </row>
    <row r="229" spans="1:15" ht="19.5" customHeight="1">
      <c r="A229" s="211">
        <v>4</v>
      </c>
      <c r="B229" s="583" t="str">
        <f>'KE NHUA 6V 5050'!H4</f>
        <v>KE NHỰA 500 X 500 MM</v>
      </c>
      <c r="C229" s="109" t="s">
        <v>193</v>
      </c>
      <c r="D229" s="619">
        <f>'KE NHUA 6V 5050'!G8</f>
        <v>0</v>
      </c>
      <c r="E229" s="620"/>
      <c r="F229" s="619">
        <f>'KE NHUA 6V 5050'!D40</f>
        <v>3005</v>
      </c>
      <c r="G229" s="620"/>
      <c r="H229" s="619">
        <f>'KE NHUA 6V 5050'!E40</f>
        <v>3005</v>
      </c>
      <c r="I229" s="620"/>
      <c r="J229" s="619">
        <f t="shared" si="226"/>
        <v>0</v>
      </c>
      <c r="K229" s="620"/>
      <c r="L229" s="582">
        <v>604</v>
      </c>
      <c r="M229" s="777">
        <f t="shared" si="227"/>
        <v>0</v>
      </c>
      <c r="N229" s="292"/>
      <c r="O229" s="784" t="s">
        <v>818</v>
      </c>
    </row>
    <row r="230" spans="1:15" ht="19.5" customHeight="1">
      <c r="A230" s="211">
        <v>5</v>
      </c>
      <c r="B230" s="583" t="str">
        <f>'KE NHUA 5V 4060'!H4</f>
        <v>KE NHỰA 400 X 600 MM</v>
      </c>
      <c r="C230" s="109" t="s">
        <v>193</v>
      </c>
      <c r="D230" s="619">
        <f>'KE NHUA 5V 4060'!G8</f>
        <v>0</v>
      </c>
      <c r="E230" s="620"/>
      <c r="F230" s="619">
        <f>'KE NHUA 5V 4060'!D40</f>
        <v>0</v>
      </c>
      <c r="G230" s="620"/>
      <c r="H230" s="619">
        <f>'KE NHUA 5V 4060'!E40</f>
        <v>0</v>
      </c>
      <c r="I230" s="620"/>
      <c r="J230" s="619">
        <f t="shared" si="224"/>
        <v>0</v>
      </c>
      <c r="K230" s="620"/>
      <c r="L230" s="582">
        <v>602</v>
      </c>
      <c r="M230" s="777">
        <f t="shared" si="225"/>
        <v>0</v>
      </c>
      <c r="N230" s="292"/>
      <c r="O230" s="784" t="s">
        <v>820</v>
      </c>
    </row>
    <row r="231" spans="1:15" ht="19.5" customHeight="1">
      <c r="A231" s="211">
        <v>6</v>
      </c>
      <c r="B231" s="583" t="str">
        <f>'BO SAT'!H4</f>
        <v>BỌ SẮT-TPĐ</v>
      </c>
      <c r="C231" s="109" t="s">
        <v>193</v>
      </c>
      <c r="D231" s="619">
        <f>'BO SAT'!G8</f>
        <v>200</v>
      </c>
      <c r="E231" s="620"/>
      <c r="F231" s="619">
        <f>'BO SAT'!D40</f>
        <v>0</v>
      </c>
      <c r="G231" s="620"/>
      <c r="H231" s="619">
        <f>'BO SAT'!E40</f>
        <v>0</v>
      </c>
      <c r="I231" s="620"/>
      <c r="J231" s="619">
        <f t="shared" si="224"/>
        <v>200</v>
      </c>
      <c r="K231" s="620"/>
      <c r="L231" s="582">
        <v>6</v>
      </c>
      <c r="M231" s="777">
        <f t="shared" si="225"/>
        <v>33.333333333333336</v>
      </c>
      <c r="N231" s="292"/>
      <c r="O231" s="386" t="s">
        <v>82</v>
      </c>
    </row>
    <row r="232" spans="1:15" ht="19.5" customHeight="1">
      <c r="A232" s="211">
        <v>7</v>
      </c>
      <c r="B232" s="583" t="str">
        <f>'BANG KEO TRONG'!C4</f>
        <v>BĂNG KEO TRONG</v>
      </c>
      <c r="C232" s="109" t="s">
        <v>193</v>
      </c>
      <c r="D232" s="619">
        <f>'BANG KEO TRONG'!G8</f>
        <v>1800</v>
      </c>
      <c r="E232" s="620"/>
      <c r="F232" s="619">
        <f>'BANG KEO TRONG'!D40</f>
        <v>2400</v>
      </c>
      <c r="G232" s="620"/>
      <c r="H232" s="619">
        <f>'BANG KEO TRONG'!E40</f>
        <v>2760</v>
      </c>
      <c r="I232" s="620"/>
      <c r="J232" s="619">
        <f t="shared" si="224"/>
        <v>1440</v>
      </c>
      <c r="K232" s="620"/>
      <c r="L232" s="582">
        <f>H232/$J$4</f>
        <v>162.35294117647058</v>
      </c>
      <c r="M232" s="777">
        <f t="shared" si="225"/>
        <v>8.8695652173913047</v>
      </c>
      <c r="N232" s="292"/>
      <c r="O232" s="386" t="s">
        <v>368</v>
      </c>
    </row>
    <row r="233" spans="1:15" ht="19.5" customHeight="1">
      <c r="A233" s="211">
        <v>8</v>
      </c>
      <c r="B233" s="583" t="str">
        <f>'KIM KEP DAY DAI'!H4</f>
        <v>KÌM KẸP DÂY ĐAI-M</v>
      </c>
      <c r="C233" s="109" t="s">
        <v>194</v>
      </c>
      <c r="D233" s="619">
        <f>'KIM KEP DAY DAI'!G8</f>
        <v>4</v>
      </c>
      <c r="E233" s="620"/>
      <c r="F233" s="619">
        <f>'KIM KEP DAY DAI'!D40</f>
        <v>0</v>
      </c>
      <c r="G233" s="620"/>
      <c r="H233" s="619">
        <f>'KIM KEP DAY DAI'!E40</f>
        <v>0</v>
      </c>
      <c r="I233" s="620"/>
      <c r="J233" s="619">
        <f t="shared" si="224"/>
        <v>4</v>
      </c>
      <c r="K233" s="620"/>
      <c r="L233" s="582"/>
      <c r="M233" s="777"/>
      <c r="N233" s="292"/>
      <c r="O233" s="386" t="s">
        <v>83</v>
      </c>
    </row>
    <row r="234" spans="1:15" ht="19.5" customHeight="1">
      <c r="A234" s="211">
        <v>9</v>
      </c>
      <c r="B234" s="583" t="str">
        <f>'TANG DAY DAI'!C4</f>
        <v>TĂNG DÂY ĐAI-HHD</v>
      </c>
      <c r="C234" s="109" t="s">
        <v>194</v>
      </c>
      <c r="D234" s="619">
        <f>'TANG DAY DAI'!G8</f>
        <v>4</v>
      </c>
      <c r="E234" s="620"/>
      <c r="F234" s="619">
        <f>'TANG DAY DAI'!D40</f>
        <v>0</v>
      </c>
      <c r="G234" s="620"/>
      <c r="H234" s="619">
        <f>'TANG DAY DAI'!E40</f>
        <v>0</v>
      </c>
      <c r="I234" s="620"/>
      <c r="J234" s="619">
        <f t="shared" si="224"/>
        <v>4</v>
      </c>
      <c r="K234" s="620"/>
      <c r="L234" s="582"/>
      <c r="M234" s="777"/>
      <c r="N234" s="292"/>
      <c r="O234" s="386" t="s">
        <v>84</v>
      </c>
    </row>
    <row r="235" spans="1:15" ht="19.5" customHeight="1">
      <c r="A235" s="211">
        <v>10</v>
      </c>
      <c r="B235" s="583" t="str">
        <f>'DAO CAT DAN HOA'!C4</f>
        <v>DAO CẮT-HHD</v>
      </c>
      <c r="C235" s="109" t="s">
        <v>194</v>
      </c>
      <c r="D235" s="619">
        <f>'DAO CAT DAN HOA'!G8</f>
        <v>11</v>
      </c>
      <c r="E235" s="620"/>
      <c r="F235" s="619">
        <f>'DAO CAT DAN HOA'!D40</f>
        <v>0</v>
      </c>
      <c r="G235" s="620"/>
      <c r="H235" s="619">
        <f>'DAO CAT DAN HOA'!E40</f>
        <v>0</v>
      </c>
      <c r="I235" s="620"/>
      <c r="J235" s="619">
        <f t="shared" si="224"/>
        <v>11</v>
      </c>
      <c r="K235" s="620"/>
      <c r="L235" s="582"/>
      <c r="M235" s="777"/>
      <c r="N235" s="292"/>
      <c r="O235" s="386" t="s">
        <v>85</v>
      </c>
    </row>
    <row r="236" spans="1:15" ht="19.5" customHeight="1">
      <c r="A236" s="211">
        <v>11</v>
      </c>
      <c r="B236" s="583" t="str">
        <f>'SON CON LAN TREN'!J4</f>
        <v>SƠN CON LĂN TRÊN ( bao đỏ )</v>
      </c>
      <c r="C236" s="109" t="s">
        <v>193</v>
      </c>
      <c r="D236" s="619">
        <f>'SON CON LAN TREN'!J8</f>
        <v>0</v>
      </c>
      <c r="E236" s="620">
        <f>'SON CON LAN TREN'!K8</f>
        <v>100</v>
      </c>
      <c r="F236" s="619">
        <f>'SON CON LAN TREN'!D40</f>
        <v>0</v>
      </c>
      <c r="G236" s="620">
        <f>'SON CON LAN TREN'!E40</f>
        <v>0</v>
      </c>
      <c r="H236" s="619">
        <f>'SON CON LAN TREN'!F40</f>
        <v>0</v>
      </c>
      <c r="I236" s="620">
        <f>'SON CON LAN TREN'!G40</f>
        <v>0</v>
      </c>
      <c r="J236" s="619">
        <f t="shared" si="224"/>
        <v>0</v>
      </c>
      <c r="K236" s="620">
        <f>E236+G236-I236</f>
        <v>100</v>
      </c>
      <c r="L236" s="582"/>
      <c r="M236" s="777"/>
      <c r="N236" s="292"/>
      <c r="O236" s="386" t="s">
        <v>80</v>
      </c>
    </row>
    <row r="237" spans="1:15" ht="19.5" customHeight="1">
      <c r="A237" s="211">
        <v>12</v>
      </c>
      <c r="B237" s="583" t="str">
        <f>'SON CON LAN DUOI'!J4</f>
        <v>SƠN CON LĂN DƯỚI ( bao xanh )</v>
      </c>
      <c r="C237" s="109" t="s">
        <v>193</v>
      </c>
      <c r="D237" s="619">
        <f>'SON CON LAN DUOI'!J8</f>
        <v>0</v>
      </c>
      <c r="E237" s="620">
        <f>'SON CON LAN DUOI'!K8</f>
        <v>800</v>
      </c>
      <c r="F237" s="619">
        <f>'SON CON LAN DUOI'!D40</f>
        <v>0</v>
      </c>
      <c r="G237" s="620">
        <f>'SON CON LAN DUOI'!E40</f>
        <v>0</v>
      </c>
      <c r="H237" s="619">
        <f>'SON CON LAN DUOI'!F40</f>
        <v>0</v>
      </c>
      <c r="I237" s="620">
        <f>'SON CON LAN DUOI'!G40</f>
        <v>0</v>
      </c>
      <c r="J237" s="619">
        <f t="shared" si="224"/>
        <v>0</v>
      </c>
      <c r="K237" s="620">
        <f>E237+G237-I237</f>
        <v>800</v>
      </c>
      <c r="L237" s="582"/>
      <c r="M237" s="777"/>
      <c r="N237" s="292"/>
      <c r="O237" s="386" t="s">
        <v>81</v>
      </c>
    </row>
    <row r="238" spans="1:15" ht="19.5" customHeight="1">
      <c r="A238" s="356" t="s">
        <v>800</v>
      </c>
      <c r="B238" s="357" t="s">
        <v>57</v>
      </c>
      <c r="C238" s="294"/>
      <c r="D238" s="358" t="s">
        <v>49</v>
      </c>
      <c r="E238" s="358" t="s">
        <v>49</v>
      </c>
      <c r="F238" s="358" t="s">
        <v>49</v>
      </c>
      <c r="G238" s="358" t="s">
        <v>49</v>
      </c>
      <c r="H238" s="358" t="s">
        <v>49</v>
      </c>
      <c r="I238" s="358" t="s">
        <v>49</v>
      </c>
      <c r="J238" s="358" t="s">
        <v>49</v>
      </c>
      <c r="K238" s="358" t="s">
        <v>49</v>
      </c>
      <c r="L238" s="582"/>
      <c r="M238" s="777"/>
      <c r="N238" s="292"/>
      <c r="O238" s="386"/>
    </row>
    <row r="239" spans="1:15" ht="19.5" hidden="1" customHeight="1">
      <c r="A239" s="211">
        <v>1</v>
      </c>
      <c r="B239" s="583" t="str">
        <f>'MEN FV104-537'!J4</f>
        <v>FRIT FV104/537</v>
      </c>
      <c r="C239" s="109" t="s">
        <v>193</v>
      </c>
      <c r="D239" s="619">
        <f>'MEN FV104-537'!J8</f>
        <v>0</v>
      </c>
      <c r="E239" s="620">
        <f>'MEN FV104-537'!K8</f>
        <v>0</v>
      </c>
      <c r="F239" s="619">
        <f>'MEN FV104-537'!D40</f>
        <v>0</v>
      </c>
      <c r="G239" s="620">
        <f>'MEN FV104-537'!E40</f>
        <v>0</v>
      </c>
      <c r="H239" s="619">
        <f>'MEN FV104-537'!F40</f>
        <v>0</v>
      </c>
      <c r="I239" s="620">
        <f>'MEN FV104-537'!G40</f>
        <v>0</v>
      </c>
      <c r="J239" s="619">
        <f>D239+F239-H239</f>
        <v>0</v>
      </c>
      <c r="K239" s="620">
        <f>E239+G239-I239</f>
        <v>0</v>
      </c>
      <c r="L239" s="582"/>
      <c r="M239" s="777"/>
      <c r="N239" s="292"/>
      <c r="O239" s="386" t="s">
        <v>69</v>
      </c>
    </row>
    <row r="240" spans="1:15" ht="19.5" customHeight="1">
      <c r="A240" s="211">
        <v>2</v>
      </c>
      <c r="B240" s="583" t="str">
        <f>'TB3008'!J4</f>
        <v>FRIT TB3008</v>
      </c>
      <c r="C240" s="109" t="s">
        <v>193</v>
      </c>
      <c r="D240" s="619">
        <f>'TB3008'!J8</f>
        <v>6180</v>
      </c>
      <c r="E240" s="620">
        <f>'TB3008'!K8</f>
        <v>6180</v>
      </c>
      <c r="F240" s="619">
        <f>'TB3008'!D40</f>
        <v>0</v>
      </c>
      <c r="G240" s="620">
        <f>'TB3008'!E40</f>
        <v>0</v>
      </c>
      <c r="H240" s="619">
        <f>'TB3008'!F41</f>
        <v>0</v>
      </c>
      <c r="I240" s="620">
        <f>'TB3008'!G41</f>
        <v>0</v>
      </c>
      <c r="J240" s="619">
        <f>D240+F240-H240</f>
        <v>6180</v>
      </c>
      <c r="K240" s="620">
        <f>E240+G240-I240</f>
        <v>6180</v>
      </c>
      <c r="L240" s="582"/>
      <c r="M240" s="777"/>
      <c r="N240" s="292"/>
      <c r="O240" s="386" t="s">
        <v>311</v>
      </c>
    </row>
    <row r="241" spans="1:15" ht="19.5" customHeight="1">
      <c r="A241" s="211">
        <v>3</v>
      </c>
      <c r="B241" s="583" t="str">
        <f>'TB3001'!J4</f>
        <v>FRIT TB3001</v>
      </c>
      <c r="C241" s="109" t="s">
        <v>193</v>
      </c>
      <c r="D241" s="619">
        <f>'TB3001'!J8</f>
        <v>8263</v>
      </c>
      <c r="E241" s="620">
        <f>'TB3001'!K8</f>
        <v>8263</v>
      </c>
      <c r="F241" s="619">
        <f>'TB3001'!D40</f>
        <v>0</v>
      </c>
      <c r="G241" s="620">
        <f>'TB3001'!E40</f>
        <v>0</v>
      </c>
      <c r="H241" s="619">
        <f>'TB3001'!F41</f>
        <v>0</v>
      </c>
      <c r="I241" s="620">
        <f>'TB3001'!G41</f>
        <v>0</v>
      </c>
      <c r="J241" s="619">
        <f t="shared" ref="J241:J248" si="228">D241+F241-H241</f>
        <v>8263</v>
      </c>
      <c r="K241" s="620">
        <f t="shared" ref="K241:K248" si="229">E241+G241-I241</f>
        <v>8263</v>
      </c>
      <c r="L241" s="582"/>
      <c r="M241" s="777"/>
      <c r="N241" s="292"/>
      <c r="O241" s="386" t="s">
        <v>309</v>
      </c>
    </row>
    <row r="242" spans="1:15" ht="19.5" customHeight="1">
      <c r="A242" s="211">
        <v>4</v>
      </c>
      <c r="B242" s="583" t="str">
        <f>'S501'!J4</f>
        <v>KL S501</v>
      </c>
      <c r="C242" s="109" t="s">
        <v>193</v>
      </c>
      <c r="D242" s="619">
        <f>'S501'!J8</f>
        <v>3222</v>
      </c>
      <c r="E242" s="620">
        <f>'S501'!K8</f>
        <v>3222</v>
      </c>
      <c r="F242" s="619">
        <f>'S501'!D40</f>
        <v>0</v>
      </c>
      <c r="G242" s="620">
        <f>'S501'!E40</f>
        <v>0</v>
      </c>
      <c r="H242" s="619">
        <f>'S501'!F41</f>
        <v>0</v>
      </c>
      <c r="I242" s="620">
        <f>'S501'!G41</f>
        <v>0</v>
      </c>
      <c r="J242" s="619">
        <f t="shared" ref="J242:K245" si="230">D242+F242-H242</f>
        <v>3222</v>
      </c>
      <c r="K242" s="620">
        <f t="shared" si="230"/>
        <v>3222</v>
      </c>
      <c r="L242" s="582"/>
      <c r="M242" s="777"/>
      <c r="N242" s="292"/>
      <c r="O242" s="386" t="s">
        <v>312</v>
      </c>
    </row>
    <row r="243" spans="1:15" ht="19.5" customHeight="1">
      <c r="A243" s="211">
        <v>5</v>
      </c>
      <c r="B243" s="583" t="str">
        <f>'S250'!J4</f>
        <v>KL S250</v>
      </c>
      <c r="C243" s="109" t="s">
        <v>193</v>
      </c>
      <c r="D243" s="619">
        <f>'S250'!J8</f>
        <v>4330</v>
      </c>
      <c r="E243" s="620">
        <f>'S250'!K8</f>
        <v>4330</v>
      </c>
      <c r="F243" s="619">
        <f>'S250'!D40</f>
        <v>0</v>
      </c>
      <c r="G243" s="620">
        <f>'S250'!E40</f>
        <v>0</v>
      </c>
      <c r="H243" s="619">
        <f>'S250'!F41</f>
        <v>0</v>
      </c>
      <c r="I243" s="620">
        <f>'S250'!G41</f>
        <v>0</v>
      </c>
      <c r="J243" s="619">
        <f t="shared" si="230"/>
        <v>4330</v>
      </c>
      <c r="K243" s="620">
        <f t="shared" si="230"/>
        <v>4330</v>
      </c>
      <c r="L243" s="582"/>
      <c r="M243" s="777"/>
      <c r="N243" s="292"/>
      <c r="O243" s="386" t="s">
        <v>315</v>
      </c>
    </row>
    <row r="244" spans="1:15" ht="19.5" hidden="1" customHeight="1">
      <c r="A244" s="211">
        <v>6</v>
      </c>
      <c r="B244" s="583" t="str">
        <f>'M004'!J4</f>
        <v>M004</v>
      </c>
      <c r="C244" s="109" t="s">
        <v>193</v>
      </c>
      <c r="D244" s="619">
        <f>'M004'!J8</f>
        <v>0</v>
      </c>
      <c r="E244" s="620">
        <f>'M004'!K8</f>
        <v>0</v>
      </c>
      <c r="F244" s="619">
        <f>'M004'!D40</f>
        <v>0</v>
      </c>
      <c r="G244" s="620">
        <f>'M004'!E40</f>
        <v>0</v>
      </c>
      <c r="H244" s="619">
        <f>'M004'!F41</f>
        <v>0</v>
      </c>
      <c r="I244" s="620">
        <f>'M004'!G41</f>
        <v>0</v>
      </c>
      <c r="J244" s="619">
        <f t="shared" si="230"/>
        <v>0</v>
      </c>
      <c r="K244" s="620">
        <f t="shared" si="230"/>
        <v>0</v>
      </c>
      <c r="L244" s="582"/>
      <c r="M244" s="777"/>
      <c r="N244" s="292"/>
      <c r="O244" s="386" t="s">
        <v>316</v>
      </c>
    </row>
    <row r="245" spans="1:15" ht="19.5" customHeight="1">
      <c r="A245" s="211">
        <v>7</v>
      </c>
      <c r="B245" s="583" t="str">
        <f>'GB1660'!J4</f>
        <v>GB1660</v>
      </c>
      <c r="C245" s="109" t="s">
        <v>193</v>
      </c>
      <c r="D245" s="619">
        <f>'GB1660'!J8</f>
        <v>200</v>
      </c>
      <c r="E245" s="620">
        <f>'GB1660'!K8</f>
        <v>200</v>
      </c>
      <c r="F245" s="619">
        <f>'GB1660'!D40</f>
        <v>0</v>
      </c>
      <c r="G245" s="620">
        <f>'GB1660'!E40</f>
        <v>0</v>
      </c>
      <c r="H245" s="619">
        <f>'GB1660'!F41</f>
        <v>0</v>
      </c>
      <c r="I245" s="620">
        <f>'GB1660'!G41</f>
        <v>0</v>
      </c>
      <c r="J245" s="619">
        <f t="shared" si="230"/>
        <v>200</v>
      </c>
      <c r="K245" s="620">
        <f t="shared" si="230"/>
        <v>200</v>
      </c>
      <c r="L245" s="582"/>
      <c r="M245" s="777"/>
      <c r="N245" s="292"/>
      <c r="O245" s="386" t="s">
        <v>317</v>
      </c>
    </row>
    <row r="246" spans="1:15" ht="19.5" customHeight="1">
      <c r="A246" s="211">
        <v>8</v>
      </c>
      <c r="B246" s="583" t="str">
        <f>'TB4139'!J4</f>
        <v>TB4139</v>
      </c>
      <c r="C246" s="109" t="s">
        <v>193</v>
      </c>
      <c r="D246" s="619">
        <f>'TB4139'!J8</f>
        <v>600</v>
      </c>
      <c r="E246" s="620">
        <f>'TB4139'!K8</f>
        <v>600</v>
      </c>
      <c r="F246" s="619">
        <f>'TB4139'!D40</f>
        <v>0</v>
      </c>
      <c r="G246" s="620">
        <f>'TB4139'!E40</f>
        <v>0</v>
      </c>
      <c r="H246" s="619">
        <f>'TB4139'!F41</f>
        <v>0</v>
      </c>
      <c r="I246" s="620">
        <f>'TB4139'!G41</f>
        <v>0</v>
      </c>
      <c r="J246" s="619">
        <f t="shared" si="228"/>
        <v>600</v>
      </c>
      <c r="K246" s="620">
        <f t="shared" si="229"/>
        <v>600</v>
      </c>
      <c r="L246" s="582"/>
      <c r="M246" s="777"/>
      <c r="N246" s="292"/>
      <c r="O246" s="386" t="s">
        <v>310</v>
      </c>
    </row>
    <row r="247" spans="1:15" ht="19.5" customHeight="1">
      <c r="A247" s="211">
        <v>9</v>
      </c>
      <c r="B247" s="583" t="str">
        <f>'TB3007'!J4</f>
        <v>TB3007</v>
      </c>
      <c r="C247" s="109" t="s">
        <v>193</v>
      </c>
      <c r="D247" s="619">
        <f>'TB3007'!J8</f>
        <v>300</v>
      </c>
      <c r="E247" s="620">
        <f>'TB3007'!K8</f>
        <v>300</v>
      </c>
      <c r="F247" s="619">
        <f>'TB3007'!D40</f>
        <v>0</v>
      </c>
      <c r="G247" s="620">
        <f>'TB3007'!E40</f>
        <v>0</v>
      </c>
      <c r="H247" s="619">
        <f>'TB3007'!F41</f>
        <v>0</v>
      </c>
      <c r="I247" s="620">
        <f>'TB3007'!G41</f>
        <v>0</v>
      </c>
      <c r="J247" s="619">
        <f t="shared" si="228"/>
        <v>300</v>
      </c>
      <c r="K247" s="620">
        <f t="shared" si="229"/>
        <v>300</v>
      </c>
      <c r="L247" s="582"/>
      <c r="M247" s="777"/>
      <c r="N247" s="292"/>
      <c r="O247" s="386" t="s">
        <v>318</v>
      </c>
    </row>
    <row r="248" spans="1:15" ht="19.5" customHeight="1">
      <c r="A248" s="211">
        <v>10</v>
      </c>
      <c r="B248" s="583" t="str">
        <f>'S130'!J4</f>
        <v>S130</v>
      </c>
      <c r="C248" s="109" t="s">
        <v>193</v>
      </c>
      <c r="D248" s="619">
        <f>'S130'!J8</f>
        <v>300</v>
      </c>
      <c r="E248" s="620">
        <f>'S130'!K8</f>
        <v>300</v>
      </c>
      <c r="F248" s="619">
        <f>'S130'!D40</f>
        <v>0</v>
      </c>
      <c r="G248" s="620">
        <f>'S130'!E40</f>
        <v>0</v>
      </c>
      <c r="H248" s="619">
        <f>'S130'!F41</f>
        <v>0</v>
      </c>
      <c r="I248" s="620">
        <f>'S130'!G41</f>
        <v>0</v>
      </c>
      <c r="J248" s="619">
        <f t="shared" si="228"/>
        <v>300</v>
      </c>
      <c r="K248" s="620">
        <f t="shared" si="229"/>
        <v>300</v>
      </c>
      <c r="L248" s="582"/>
      <c r="M248" s="777"/>
      <c r="N248" s="292"/>
      <c r="O248" s="386" t="s">
        <v>319</v>
      </c>
    </row>
    <row r="249" spans="1:15" ht="19.5" customHeight="1">
      <c r="A249" s="211">
        <v>11</v>
      </c>
      <c r="B249" s="583" t="str">
        <f>'CAO LANH PT'!J4</f>
        <v>CAO LANH PT KL2</v>
      </c>
      <c r="C249" s="109" t="s">
        <v>193</v>
      </c>
      <c r="D249" s="619">
        <f>'CAO LANH PT'!J8</f>
        <v>4764</v>
      </c>
      <c r="E249" s="620">
        <f>'CAO LANH PT'!K8</f>
        <v>4764</v>
      </c>
      <c r="F249" s="619">
        <f>'CAO LANH PT'!D40</f>
        <v>0</v>
      </c>
      <c r="G249" s="620">
        <f>'CAO LANH PT'!E40</f>
        <v>0</v>
      </c>
      <c r="H249" s="619">
        <f>'CAO LANH PT'!F40</f>
        <v>0</v>
      </c>
      <c r="I249" s="620">
        <f>'CAO LANH PT'!G40</f>
        <v>0</v>
      </c>
      <c r="J249" s="619">
        <f t="shared" ref="J249:K253" si="231">D249+F249-H249</f>
        <v>4764</v>
      </c>
      <c r="K249" s="620">
        <f t="shared" si="231"/>
        <v>4764</v>
      </c>
      <c r="L249" s="582"/>
      <c r="M249" s="777"/>
      <c r="N249" s="292"/>
      <c r="O249" s="386" t="s">
        <v>74</v>
      </c>
    </row>
    <row r="250" spans="1:15" ht="19.5" customHeight="1">
      <c r="A250" s="211">
        <v>12</v>
      </c>
      <c r="B250" s="583" t="str">
        <f>'CAO LANH GF-3005'!J4</f>
        <v>CAO LANH F3005</v>
      </c>
      <c r="C250" s="109" t="s">
        <v>193</v>
      </c>
      <c r="D250" s="619">
        <f>'CAO LANH GF-3005'!J8</f>
        <v>907.25</v>
      </c>
      <c r="E250" s="620">
        <f>'CAO LANH GF-3005'!K8</f>
        <v>950</v>
      </c>
      <c r="F250" s="619">
        <f>'CAO LANH GF-3005'!D40</f>
        <v>0</v>
      </c>
      <c r="G250" s="620">
        <f>'CAO LANH GF-3005'!E40</f>
        <v>0</v>
      </c>
      <c r="H250" s="619">
        <f>'CAO LANH GF-3005'!F40</f>
        <v>0</v>
      </c>
      <c r="I250" s="620">
        <f>'CAO LANH GF-3005'!G40</f>
        <v>0</v>
      </c>
      <c r="J250" s="619">
        <f t="shared" si="231"/>
        <v>907.25</v>
      </c>
      <c r="K250" s="620">
        <f t="shared" si="231"/>
        <v>950</v>
      </c>
      <c r="L250" s="582"/>
      <c r="M250" s="777"/>
      <c r="N250" s="292"/>
      <c r="O250" s="386" t="s">
        <v>75</v>
      </c>
    </row>
    <row r="251" spans="1:15" ht="19.5" customHeight="1">
      <c r="A251" s="211">
        <v>13</v>
      </c>
      <c r="B251" s="583" t="str">
        <f>'CAO LANH YS 09'!J4</f>
        <v>CAO LANH YS09</v>
      </c>
      <c r="C251" s="109" t="s">
        <v>193</v>
      </c>
      <c r="D251" s="619">
        <f>'CAO LANH YS 09'!J8</f>
        <v>500</v>
      </c>
      <c r="E251" s="620">
        <f>'CAO LANH YS 09'!K8</f>
        <v>500</v>
      </c>
      <c r="F251" s="619">
        <f>'CAO LANH YS 09'!D40</f>
        <v>0</v>
      </c>
      <c r="G251" s="620">
        <f>'CAO LANH YS 09'!E40</f>
        <v>0</v>
      </c>
      <c r="H251" s="619">
        <f>'CAO LANH YS 09'!F40</f>
        <v>0</v>
      </c>
      <c r="I251" s="620">
        <f>'CAO LANH YS 09'!G40</f>
        <v>0</v>
      </c>
      <c r="J251" s="619">
        <f t="shared" si="231"/>
        <v>500</v>
      </c>
      <c r="K251" s="620">
        <f t="shared" si="231"/>
        <v>500</v>
      </c>
      <c r="L251" s="582"/>
      <c r="M251" s="777"/>
      <c r="N251" s="292"/>
      <c r="O251" s="386" t="s">
        <v>78</v>
      </c>
    </row>
    <row r="252" spans="1:15" ht="19.5" customHeight="1">
      <c r="A252" s="211">
        <v>14</v>
      </c>
      <c r="B252" s="583" t="str">
        <f>'TANG CUNG XUONG'!J4</f>
        <v>TCX T100</v>
      </c>
      <c r="C252" s="109" t="s">
        <v>193</v>
      </c>
      <c r="D252" s="619">
        <f>'TANG CUNG XUONG'!J8</f>
        <v>1000</v>
      </c>
      <c r="E252" s="620">
        <f>'TANG CUNG XUONG'!K8</f>
        <v>1000</v>
      </c>
      <c r="F252" s="619">
        <f>'TANG CUNG XUONG'!D40</f>
        <v>0</v>
      </c>
      <c r="G252" s="620">
        <f>'TANG CUNG XUONG'!E40</f>
        <v>0</v>
      </c>
      <c r="H252" s="619">
        <f>'TANG CUNG XUONG'!F40</f>
        <v>0</v>
      </c>
      <c r="I252" s="620">
        <f>'TANG CUNG XUONG'!G40</f>
        <v>0</v>
      </c>
      <c r="J252" s="619">
        <f t="shared" si="231"/>
        <v>1000</v>
      </c>
      <c r="K252" s="620">
        <f t="shared" si="231"/>
        <v>1000</v>
      </c>
      <c r="L252" s="582"/>
      <c r="M252" s="777"/>
      <c r="N252" s="292"/>
      <c r="O252" s="386" t="s">
        <v>79</v>
      </c>
    </row>
    <row r="253" spans="1:15" ht="19.5" customHeight="1">
      <c r="A253" s="211">
        <v>16</v>
      </c>
      <c r="B253" s="583" t="str">
        <f>'FRIT FO716'!J4</f>
        <v>FFRIT FO716-FTA</v>
      </c>
      <c r="C253" s="109" t="s">
        <v>193</v>
      </c>
      <c r="D253" s="619">
        <f>'FRIT FO716'!J8</f>
        <v>825</v>
      </c>
      <c r="E253" s="620">
        <f>'FRIT FO716'!K9</f>
        <v>825</v>
      </c>
      <c r="F253" s="619">
        <f>'FRIT FO716'!D40</f>
        <v>0</v>
      </c>
      <c r="G253" s="620">
        <f>'FRIT FO716'!E40</f>
        <v>0</v>
      </c>
      <c r="H253" s="619">
        <f>'FRIT FO716'!F40</f>
        <v>0</v>
      </c>
      <c r="I253" s="620">
        <f>'FRIT FO716'!G40</f>
        <v>0</v>
      </c>
      <c r="J253" s="619">
        <f t="shared" si="231"/>
        <v>825</v>
      </c>
      <c r="K253" s="620">
        <f t="shared" si="231"/>
        <v>825</v>
      </c>
      <c r="L253" s="582"/>
      <c r="M253" s="777"/>
      <c r="N253" s="776" t="s">
        <v>221</v>
      </c>
      <c r="O253" s="386" t="s">
        <v>142</v>
      </c>
    </row>
    <row r="254" spans="1:15" ht="19.5" customHeight="1">
      <c r="A254" s="211">
        <v>17</v>
      </c>
      <c r="B254" s="583" t="str">
        <f>'Bot TALC'!J4</f>
        <v>BỘT TALC</v>
      </c>
      <c r="C254" s="109" t="s">
        <v>193</v>
      </c>
      <c r="D254" s="619">
        <f>'Bot TALC'!J8</f>
        <v>12200</v>
      </c>
      <c r="E254" s="620">
        <f>'Bot TALC'!K8</f>
        <v>12200</v>
      </c>
      <c r="F254" s="619">
        <f>'Bot TALC'!D40</f>
        <v>0</v>
      </c>
      <c r="G254" s="620">
        <f>'Bot TALC'!E40</f>
        <v>0</v>
      </c>
      <c r="H254" s="619">
        <f>'Bot TALC'!F40</f>
        <v>0</v>
      </c>
      <c r="I254" s="620">
        <f>'Bot TALC'!G40</f>
        <v>0</v>
      </c>
      <c r="J254" s="619">
        <f t="shared" ref="J254:K256" si="232">D254+F254-H254</f>
        <v>12200</v>
      </c>
      <c r="K254" s="620">
        <f t="shared" si="232"/>
        <v>12200</v>
      </c>
      <c r="L254" s="582"/>
      <c r="M254" s="777"/>
      <c r="N254" s="776" t="s">
        <v>221</v>
      </c>
      <c r="O254" s="386" t="s">
        <v>76</v>
      </c>
    </row>
    <row r="255" spans="1:15" ht="19.5" customHeight="1">
      <c r="A255" s="211">
        <v>18</v>
      </c>
      <c r="B255" s="583" t="str">
        <f>'HIFIL-1'!J4</f>
        <v>BỘT HIFIL-1</v>
      </c>
      <c r="C255" s="109" t="s">
        <v>193</v>
      </c>
      <c r="D255" s="619">
        <f>'HIFIL-1'!J8</f>
        <v>7106.5990000000002</v>
      </c>
      <c r="E255" s="620">
        <f>'HIFIL-1'!K8</f>
        <v>7106.5990000000002</v>
      </c>
      <c r="F255" s="619">
        <f>'HIFIL-1'!D40</f>
        <v>0</v>
      </c>
      <c r="G255" s="620">
        <f>'HIFIL-1'!E40</f>
        <v>0</v>
      </c>
      <c r="H255" s="619">
        <f>'HIFIL-1'!F40</f>
        <v>0</v>
      </c>
      <c r="I255" s="620">
        <f>'HIFIL-1'!G40</f>
        <v>0</v>
      </c>
      <c r="J255" s="619">
        <f t="shared" si="232"/>
        <v>7106.5990000000002</v>
      </c>
      <c r="K255" s="620">
        <f t="shared" si="232"/>
        <v>7106.5990000000002</v>
      </c>
      <c r="L255" s="582"/>
      <c r="M255" s="777"/>
      <c r="N255" s="776" t="s">
        <v>221</v>
      </c>
      <c r="O255" s="386" t="s">
        <v>77</v>
      </c>
    </row>
    <row r="256" spans="1:15" ht="19.5" customHeight="1">
      <c r="A256" s="211">
        <v>19</v>
      </c>
      <c r="B256" s="583" t="str">
        <f>'FP940'!J4</f>
        <v>FRIT FP940</v>
      </c>
      <c r="C256" s="109" t="s">
        <v>193</v>
      </c>
      <c r="D256" s="619">
        <f>'FP940'!J8</f>
        <v>267</v>
      </c>
      <c r="E256" s="620">
        <f>'FP940'!K8</f>
        <v>267</v>
      </c>
      <c r="F256" s="619">
        <f>'FP940'!D40</f>
        <v>0</v>
      </c>
      <c r="G256" s="620">
        <f>'FP940'!E40</f>
        <v>0</v>
      </c>
      <c r="H256" s="619">
        <f>'FP940'!F41</f>
        <v>0</v>
      </c>
      <c r="I256" s="620">
        <f>'FP940'!G41</f>
        <v>0</v>
      </c>
      <c r="J256" s="619">
        <f t="shared" si="232"/>
        <v>267</v>
      </c>
      <c r="K256" s="620">
        <f t="shared" si="232"/>
        <v>267</v>
      </c>
      <c r="L256" s="582"/>
      <c r="M256" s="777"/>
      <c r="N256" s="776" t="s">
        <v>222</v>
      </c>
      <c r="O256" s="386" t="s">
        <v>112</v>
      </c>
    </row>
    <row r="257" spans="1:15" ht="19.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</row>
    <row r="258" spans="1:15" ht="18.7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782" t="s">
        <v>1257</v>
      </c>
      <c r="K258" s="289"/>
      <c r="L258" s="289"/>
      <c r="M258" s="289"/>
      <c r="N258" s="289"/>
      <c r="O258" s="289"/>
    </row>
    <row r="259" spans="1:15" ht="23.25" customHeight="1">
      <c r="A259" s="780"/>
      <c r="B259" s="780"/>
      <c r="C259" s="780"/>
      <c r="D259" s="780"/>
      <c r="E259" s="290" t="s">
        <v>213</v>
      </c>
      <c r="F259" s="780"/>
      <c r="G259" s="780"/>
      <c r="H259" s="780"/>
      <c r="I259" s="780"/>
      <c r="J259" s="781" t="s">
        <v>13</v>
      </c>
      <c r="K259" s="780"/>
      <c r="L259" s="780"/>
      <c r="M259" s="780"/>
      <c r="N259" s="780"/>
      <c r="O259" s="780"/>
    </row>
    <row r="260" spans="1:15">
      <c r="A260" s="780"/>
      <c r="B260" s="780"/>
      <c r="C260" s="780"/>
      <c r="D260" s="780"/>
      <c r="E260" s="780"/>
      <c r="F260" s="780"/>
      <c r="G260" s="780"/>
      <c r="H260" s="780"/>
      <c r="I260" s="780"/>
      <c r="J260" s="780"/>
      <c r="K260" s="780"/>
      <c r="L260" s="780"/>
      <c r="M260" s="780"/>
      <c r="N260" s="780"/>
      <c r="O260" s="780"/>
    </row>
    <row r="261" spans="1:15">
      <c r="A261" s="780"/>
      <c r="B261" s="780"/>
      <c r="C261" s="780"/>
      <c r="D261" s="780"/>
      <c r="E261" s="780"/>
      <c r="F261" s="780"/>
      <c r="G261" s="780"/>
      <c r="H261" s="780"/>
      <c r="I261" s="780"/>
      <c r="J261" s="780"/>
      <c r="K261" s="780"/>
      <c r="L261" s="780"/>
      <c r="M261" s="780"/>
      <c r="N261" s="780"/>
      <c r="O261" s="780"/>
    </row>
    <row r="262" spans="1:15">
      <c r="A262" s="780"/>
      <c r="B262" s="780"/>
      <c r="C262" s="780"/>
      <c r="D262" s="780"/>
      <c r="E262" s="780"/>
      <c r="F262" s="780"/>
      <c r="G262" s="780"/>
      <c r="H262" s="780"/>
      <c r="I262" s="780"/>
      <c r="J262" s="780"/>
      <c r="K262" s="780"/>
      <c r="L262" s="780"/>
      <c r="M262" s="780"/>
      <c r="N262" s="780"/>
      <c r="O262" s="780"/>
    </row>
    <row r="263" spans="1:15">
      <c r="A263" s="780"/>
      <c r="B263" s="780"/>
      <c r="C263" s="780"/>
      <c r="D263" s="780"/>
      <c r="E263" s="780"/>
      <c r="F263" s="780"/>
      <c r="G263" s="780"/>
      <c r="H263" s="780"/>
      <c r="I263" s="780"/>
      <c r="J263" s="780"/>
      <c r="K263" s="780"/>
      <c r="L263" s="780"/>
      <c r="M263" s="780"/>
      <c r="N263" s="780"/>
      <c r="O263" s="780"/>
    </row>
    <row r="264" spans="1:15">
      <c r="A264" s="780"/>
      <c r="B264" s="780"/>
      <c r="C264" s="780"/>
      <c r="D264" s="780"/>
      <c r="E264" s="290" t="s">
        <v>214</v>
      </c>
      <c r="F264" s="780"/>
      <c r="G264" s="780"/>
      <c r="H264" s="780"/>
      <c r="I264" s="780"/>
      <c r="J264" s="781" t="s">
        <v>333</v>
      </c>
      <c r="K264" s="780"/>
      <c r="L264" s="780"/>
      <c r="M264" s="780"/>
      <c r="N264" s="780"/>
      <c r="O264" s="780"/>
    </row>
    <row r="265" spans="1:15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</row>
    <row r="266" spans="1:15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</row>
    <row r="267" spans="1:15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</row>
    <row r="268" spans="1:15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</row>
    <row r="269" spans="1:15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</row>
    <row r="270" spans="1:15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</row>
    <row r="271" spans="1:15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</row>
    <row r="272" spans="1:15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</row>
    <row r="273" spans="1:15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</row>
    <row r="274" spans="1:15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</row>
    <row r="275" spans="1:15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</row>
    <row r="276" spans="1:15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</row>
  </sheetData>
  <mergeCells count="10">
    <mergeCell ref="A3:M3"/>
    <mergeCell ref="N4:N5"/>
    <mergeCell ref="A4:A5"/>
    <mergeCell ref="B4:B5"/>
    <mergeCell ref="D4:E4"/>
    <mergeCell ref="F4:G4"/>
    <mergeCell ref="H4:I4"/>
    <mergeCell ref="C4:C5"/>
    <mergeCell ref="L4:L5"/>
    <mergeCell ref="M4:M5"/>
  </mergeCells>
  <hyperlinks>
    <hyperlink ref="O239" location="'MEN FV104-537'!A1" display="FRIT FV 104/537'!A1"/>
    <hyperlink ref="O251" location="'CAO LANH YS 09'!A1" display="VỎ PHẾ ĐÓNG MÁY'!A1"/>
    <hyperlink ref="O254" location="'Bot TALC'!A1" display="BỘT TALC'!A1"/>
    <hyperlink ref="O255" location="'HIFIL-1'!A1" display="HIFIL-1'!A1"/>
    <hyperlink ref="O252" location="'TANG CUNG XUONG'!A1" display="VỎ PHẾ ĐÓNG MÁY'!A1"/>
    <hyperlink ref="O236" location="'SON CON LAN TREN'!A1" display="SƠN CON LĂN TRÊN'!A1"/>
    <hyperlink ref="O250" location="'CAO LANH GF-3005'!A1" display="CAO LANH GF 3005'!A1"/>
    <hyperlink ref="O249" location="'CAO LANH PT'!A1" display="CAO LANH PHÚ THỌ'!A1"/>
    <hyperlink ref="O235" location="'DAO CAT DAN HOA'!A1" display="DAO CẮT DÂN HOA'!A1"/>
    <hyperlink ref="O234" location="'TANG DAY DAI'!A1" display="TĂNG DÂY ĐAI'!A1"/>
    <hyperlink ref="O233" location="'KIM KEP DAY DAI'!A1" display="KÌM KẸP DÂY ĐAI'!A1"/>
    <hyperlink ref="O231" location="'BO SAT'!A1" display="BỌ SẮT'!A1"/>
    <hyperlink ref="O114" location="'NEP GO NM'!A1" display="'NEP GO NM'!A1"/>
    <hyperlink ref="O256" location="'FP940'!A1" display="MEN FP940'!A1"/>
    <hyperlink ref="O94" location="'Bi cao nhôm D60'!A1" display="BI CAO NHOM D60'!A1"/>
    <hyperlink ref="O93" location="'BI TRUNG NHÔM D60'!A1" display="BI TRUNG NHOM D60'!A1"/>
    <hyperlink ref="O77" location="'KAOLIN P08-KMD'!A1" display="CAO LANH P08'!A1"/>
    <hyperlink ref="O74" location="'MAGIÊ ÔXIT MgO-HNP'!A1" display="MAGIE OXIT'!A1"/>
    <hyperlink ref="O20" location="'NHÔM ÔXIT AL2O3-HNP'!A1" display="NHOM OXIT AL2O3'!A1"/>
    <hyperlink ref="O39" location="'ROCIMA 623-HVC'!A1" display="ROCIMA 623'!A1"/>
    <hyperlink ref="O38" location="'STTP-HNP'!A1" display="STTP HNP'!A1"/>
    <hyperlink ref="O37" location="'CMC C20'!A1" display="CMC C20'!A1"/>
    <hyperlink ref="O34" location="'Kaolin 1C-IMR'!A1" display="CAO LANH 1C'!A1"/>
    <hyperlink ref="O48" location="'Frit PT02-PĐ'!A1" display="FRIT PT02'!A1"/>
    <hyperlink ref="O35" location="'ZIRCON ZS012-LGP'!A1" display="ZIRCONE ZS012'!A1"/>
    <hyperlink ref="O99" location="'MÀU BE BG9454'!A1" display="Màu Be CIK-BG9454'!A1"/>
    <hyperlink ref="O253" location="'FRIT FO716'!A1" display="FRIT FO716'!Print_Titles"/>
    <hyperlink ref="O47" location="'Frit VF1101N.A-VNF'!A1" display="FRIT VF1101N/A'!A1"/>
    <hyperlink ref="O30" location="'FRIT HGT03-FHG'!A1" display="FRIT HGT03'!A1"/>
    <hyperlink ref="O55" location="'FRIT PGB 1288B'!A1" display="'FRIT PGB 1288B'!A1"/>
    <hyperlink ref="O66" location="'Y327-QĐ'!A1" display="'Y327-QĐ'!A1"/>
    <hyperlink ref="O67" location="'BF-002A-QĐ '!Print_Titles" display="'BF-002A-QĐ '!Print_Titles"/>
    <hyperlink ref="O22" location="'FRIT FV 090.540 - FTA'!A1" display="'FRIT FV 090.540 - FTA'!A1"/>
    <hyperlink ref="O7" location="'FRIT HGE91-FHG'!A1" display="'FRIT HGE91-FHG'!A1"/>
    <hyperlink ref="O21" location="'E. GLAZE BF043-PV'!A1" display="E. GLAZE BF043A-PV'!A1"/>
    <hyperlink ref="O23" location="'FRIT 090.558 - FTA'!A1" display="'FRIT 090.558 - FTA'!A1"/>
    <hyperlink ref="O19" location="'P. FELDSPAR K200-AD'!A1" display="P. FELDSPAR K200-TQ'!A1"/>
    <hyperlink ref="O237" location="'SON CON LAN DUOI'!A1" display="SƠN CON LĂN DƯỚI'!A1"/>
    <hyperlink ref="O8" location="'FRIT A106 -ACV'!A1" display="'FRIT A106 -ACV'!A1"/>
    <hyperlink ref="O68" location="'BALL CLAY BCO3-PV'!A1" display="'BALL CLAY BCO3-PV'!A1"/>
    <hyperlink ref="O118" location="'GR TIM 30x60-HA '!A1" display="GR TIM 30x60-HA'!A1"/>
    <hyperlink ref="O180" location="'GR TIM 30x60-VH'!A1" display="GR TIM 30x60-VH'!A1"/>
    <hyperlink ref="O181" location="'GR XANH 30X60-VH'!A1" display="GR XANH 30X60-VH'!A1"/>
    <hyperlink ref="O182" location="'SAHADO NEW 30x60-VH'!A1" display="SAHADO NEW 30x60-VH'!A1"/>
    <hyperlink ref="O185" location="'SAHADO 30x60-VH'!A1" display="SAHADO 30x60-VIET HA'!A1"/>
    <hyperlink ref="O127" location="'CROWN 30x60-HA '!A1" display="CROWN 30x60-HOANG ANH '!A1"/>
    <hyperlink ref="O184" location="'ESPANA 30x60-VH'!A1" display="ESPANA 30x60-VIET HA'!A1"/>
    <hyperlink ref="O147" location="'VO PHE 30x60'!A1" display="VO PHE DONG MAY 30x60'!A1"/>
    <hyperlink ref="O56" location="'FRIT TM2085'!A1" display="'FRIT TM2085'!A1"/>
    <hyperlink ref="O63" location="'MT812-QĐ '!A1" display="'MT812-QĐ '!A1"/>
    <hyperlink ref="O65" location="'MT03VT-QĐ'!A1" display="'MT03VT-QĐ'!A1"/>
    <hyperlink ref="O25" location="'FRIT 853-ACV'!A1" display="'FRIT 853-ACV'!A1"/>
    <hyperlink ref="O113" location="'NEP GO 30x60 TH'!A1" display="NEP GO 30x60 TH'!A1"/>
    <hyperlink ref="O97" location="'MÀU NÂU MA5455'!A1" display="'MÀU NÂU MA5455'!A1"/>
    <hyperlink ref="O98" location="'MÀU VÀNG CIK-AM5456'!A1" display="'MÀU VÀNG CIK-AM5456'!A1"/>
    <hyperlink ref="O100" location="'MÀU ĐEN NE6153'!A1" display="'MÀU ĐEN NE6153'!A1"/>
    <hyperlink ref="O105" location="'DD rửa máy in PL0101'!A1" display="'DD rửa máy in PL0101'!A1"/>
    <hyperlink ref="O106" location="'DD rửa đầu in PL0115'!A1" display="'DD rửa đầu in PL0115'!A1"/>
    <hyperlink ref="O241" location="'TB3001'!A1" display="'TB3001'!A1"/>
    <hyperlink ref="O246" location="'TB4139'!A1" display="TB4139'!A1"/>
    <hyperlink ref="O240" location="'TB3008'!A1" display="'TB3008'!A1"/>
    <hyperlink ref="O242" location="'S501'!A1" display="'S501'!A1"/>
    <hyperlink ref="O243" location="'S250'!A1" display="'S250'!A1"/>
    <hyperlink ref="O244" location="'M004'!A1" display="'M004'!A1"/>
    <hyperlink ref="O245" location="'GB1660'!A1" display="'GB1660'!A1"/>
    <hyperlink ref="O247" location="'TB3007'!A1" display="'TB3007'!A1"/>
    <hyperlink ref="O248" location="'S130'!A1" display="'S130'!A1"/>
    <hyperlink ref="O10" location="'FRIT FO113-FHU'!A1" display="'FRIT FO113-FHU'!A1"/>
    <hyperlink ref="O44" location="'CMC S50'!A1" display="'CMC S50'!A1"/>
    <hyperlink ref="O128" location="'ESPANA 30x60-HA'!A1" display="ESPANA -HA'!Print_Titles"/>
    <hyperlink ref="O46" location="'ZIRCON ZRD5M'!A1" display="'ZIRCON ZRD5M'!A1"/>
    <hyperlink ref="O112" location="'PALLET 145'!A1" display="'PALLET 145'!A1"/>
    <hyperlink ref="O150" location="'LUXURY 40x80-HA'!A1" display="LUXURY 40x80-HA'!A1"/>
    <hyperlink ref="O164" location="'VO PHE  40x80'!A1" display="VO PHE 40x80'!A1"/>
    <hyperlink ref="O227" location="'KE NHUA 4V 4080'!A1" display="KE NHUA 4080'!A1"/>
    <hyperlink ref="O14" location="'KAOLANH AA INDO'!A1" display="'KAOLANH AA INDO'!A1"/>
    <hyperlink ref="O149" location="'SAHADO 40x80-HA '!A1" display="SAHADO 40x80 HA '!A1"/>
    <hyperlink ref="O152" location="'CROWN 40x80-HA'!A1" display="CROWN 40x80-HA'!A1"/>
    <hyperlink ref="O54" location="'FRIT HT082'!A1" display="'FRIT HT082'!A1"/>
    <hyperlink ref="O53" location="'FRIT HGT05-FHG '!A1" display="'FRIT HGT05-FHG '!A1"/>
    <hyperlink ref="O76" location="'COMPOUD TRÁNG ĐẾ'!A1" display="'COMPOUD TRÁNG ĐẾ'!A1"/>
    <hyperlink ref="O103" location="'HU NỔI LUS 1217'!A1" display="HU NỔI LU 1217'!A1"/>
    <hyperlink ref="O130" location="'CERAMIC 30x60-HA'!A1" display="CERAMIC HA'!A1"/>
    <hyperlink ref="O189" location="'GR XANH 30x60-TTP'!A1" display="GR XANH 30x60-TTP'!A1"/>
    <hyperlink ref="O41" location="'DEF 305'!A1" display="'DEF 305'!A1"/>
    <hyperlink ref="O232" location="'BANG KEO TRONG'!A1" display="'BANG KEO TRONG'!A1"/>
    <hyperlink ref="O51" location="'FRIT A608 ACV'!A1" display="'FRIT A608 ACV'!A1"/>
    <hyperlink ref="O26" location="'FRIT 1089-ACV'!A1" display="'FRIT 1089-ACV'!A1"/>
    <hyperlink ref="O186" location="'VO PHE 30x60'!A1" display="VO PHE 30x60'!A1"/>
    <hyperlink ref="O188" location="'GR TIM 30x60-TTP'!A1" display="GR XANH 30x60-TTP'!A1"/>
    <hyperlink ref="O226" location="'KE NHUA 8V 3060'!A1" display="'KE NHUA 8V 3060'!A1"/>
    <hyperlink ref="O120" location="'GR XANH 30x60-HA'!A1" display="'GR XANH 30x60-HA'!A1"/>
    <hyperlink ref="O123" location="'SAHADO NEW 30x60-HA'!A1" display="'SAHADO NEW 30x60-HA'!A1"/>
    <hyperlink ref="O125" location="'LUXURY 30x60-HA'!A1" display="'LUXURY 30x60-HA'!A1"/>
    <hyperlink ref="O223" location="'DAY DAI PP'!A1" display="'DAY DAI PP'!A1"/>
    <hyperlink ref="O224" location="'DAY DAI PET'!A1" display="'DAY DAI PET'!A1"/>
    <hyperlink ref="O115" location="'NEP GO 40x80 TH'!A1" display="'NEP GO 40x80 TH'!A1"/>
    <hyperlink ref="O50" location="'FRIT FS459 FHU'!Print_Titles" display="'FRIT FS459 FHU'!Print_Titles"/>
    <hyperlink ref="O102" location="'HU CHÌM RC1151'!A1" display="'HU CHÌM RC1151'!A1"/>
    <hyperlink ref="O45" location="'CMC G30'!A1" display="'CMC G30'!A1"/>
    <hyperlink ref="O153" location="'ESPANA 40x80-HA '!Print_Titles" display="'ESPANA 40x80-HA '!Print_Titles"/>
    <hyperlink ref="O131" location="HAVIRA!A1" display="HAVIRA!A1"/>
    <hyperlink ref="O101" location="'MÀUÀU HỒNG RO4118'!A1" display="'MÀUÀU HỒNG RO4118'!A1"/>
    <hyperlink ref="O133" location="ADONIS!Print_Titles" display="ADONIS!Print_Titles"/>
    <hyperlink ref="O42" location="'CMC T26'!A1" display="'CMC T26'!A1"/>
    <hyperlink ref="O96" location="'MÀU XANH AZ1476'!Print_Titles" display="'MÀU XANH AZ1476'!Print_Titles"/>
    <hyperlink ref="O64" location="'MT616-QĐ'!A1" display="'MT616-QĐ'!A1"/>
    <hyperlink ref="O31" location="'FRIT VFT03'!A1" display="'FRIT VFT03'!A1"/>
    <hyperlink ref="O69" location="'VM01'!A1" display="'VM01'!A1"/>
    <hyperlink ref="O70" location="'VM06'!A1" display="'VM06'!A1"/>
    <hyperlink ref="O28" location="'FRIT A528'!A1" display="'FRIT A528'!A1"/>
    <hyperlink ref="O155" location="'ADONIS 40x80-HA'!Print_Titles" display="'ADONIS 40x80-HA'!Print_Titles"/>
    <hyperlink ref="O183" location="'LUXURY 30x60-TTP'!A1" display="'LUXURY 30x60-TTP'!A1"/>
    <hyperlink ref="O52" location="'FRIT A608-2 ACV'!A1" display="'FRIT A608-2 ACV'!A1"/>
    <hyperlink ref="O59" location="'FRIT 320'!A1" display="'FRIT 320'!A1"/>
    <hyperlink ref="O60" location="'FRIT 515'!A1" display="'FRIT 515'!A1"/>
    <hyperlink ref="O61" location="'FRIT 089'!A1" display="'FRIT 089'!A1"/>
    <hyperlink ref="O57" location="'FRIT 356'!A1" display="'FRIT 356'!A1"/>
    <hyperlink ref="O134" location="'GREEN ERA'!Print_Titles" display="'GREEN ERA'!Print_Titles"/>
    <hyperlink ref="O12" location="'Cao lanh N2A'!A1" display="'Cao lanh N2A'!A1"/>
    <hyperlink ref="O156" location="'GREEN ERA 4080'!A1" display="'GREEN ERA 4080'!A1"/>
    <hyperlink ref="O71" location="'VFM41'!A1" display="'VFM41'!A1"/>
    <hyperlink ref="O79" location="'FO118'!A1" display="'FO118'!A1"/>
    <hyperlink ref="O81" location="'FO102'!A1" display="'FO102'!A1"/>
    <hyperlink ref="O82" location="'VF1205'!A1" display="'VF1205'!A1"/>
    <hyperlink ref="O104" location="'XANH LÁ 1236'!A1" display="'XANH LÁ 1236'!A1"/>
    <hyperlink ref="O84" location="SUGAR!A1" display="SUGAR!A1"/>
    <hyperlink ref="O197" location="'VO PHE  5050'!A1" display="'VO PHE  5050'!A1"/>
    <hyperlink ref="O206" location="'VO PHE  4060'!A1" display="'VO PHE  4060'!A1"/>
    <hyperlink ref="O88" location="'FRIT 288'!A1" display="'FRIT 288'!A1"/>
    <hyperlink ref="O229" location="'KE NHUA 6V 5050'!A1" display="'KE NHUA 6V 5050'!A1"/>
    <hyperlink ref="O230" location="'KE NHUA 5V 4060'!A1" display="'KE NHUA 5V 4060'!A1"/>
    <hyperlink ref="O191" location="'GR TIM 5050-HA '!A1" display="'GR TIM 5050-HA '!A1"/>
    <hyperlink ref="O192" location="'LUXURY 5050-HA '!Print_Titles" display="'LUXURY 5050-HA '!Print_Titles"/>
    <hyperlink ref="O194" location="'CROWN 50x50-HA'!A1" display="'CROWN 50x50-HA'!A1"/>
    <hyperlink ref="O89" location="'FRIT VS28'!A1" display="'FRIT VS28'!A1"/>
    <hyperlink ref="O90" location="'FRIT VS68'!A1" display="'FRIT VS68'!A1"/>
    <hyperlink ref="O195" location="'HAVIRA 5050'!A1" display="'HAVIRA 5050'!A1"/>
    <hyperlink ref="O196" location="'ESPANA 50x50-HA'!Print_Titles" display="'ESPANA 50x50-HA'!Print_Titles"/>
    <hyperlink ref="O207" location="'LUXURY 4060-HA '!A1" display="'LUXURY 4060-HA '!A1"/>
    <hyperlink ref="O119" location="'GR TIM 30x60-HA  NÂU'!Print_Titles" display="'GR TIM 30x60-HA  NÂU'!Print_Titles"/>
    <hyperlink ref="O126" location="'LUXURY 30x60-HA nâu'!Print_Titles" display="'LUXURY 30x60-HA nâu'!Print_Titles"/>
    <hyperlink ref="O193" location="'LUXURY 5050-HA giấy nâu'!Print_Titles" display="'LUXURY 5050-HA giấy nâu'!Print_Titles"/>
    <hyperlink ref="O135" location="'GREEN ERA nâu'!Print_Titles" display="'GREEN ERA nâu'!Print_Titles"/>
    <hyperlink ref="O124" location="'SAHADO NEW 30x60-HA nâu'!A1" display="'SAHADO NEW 30x60-HA nâu'!A1"/>
    <hyperlink ref="O208" location="'CROWN 40x60-HA'!A1" display="'CROWN 40x60-HA'!A1"/>
    <hyperlink ref="O132" location="'HAVIRA nâu'!A1" display="'HAVIRA nâu'!A1"/>
    <hyperlink ref="O121" location="'GR XANH 30x60-HA nâu'!A1" display="'GR XANH 30x60-HA nâu'!A1"/>
    <hyperlink ref="O129" location="'ESPANA 30x60-HA nâu'!A1" display="'ESPANA 30x60-HA nâu'!A1"/>
    <hyperlink ref="O29" location="'FRIT 856'!A1" display="'FRIT 856'!A1"/>
    <hyperlink ref="O33" location="'FRIT VO22'!A1" display="'FRIT VO22'!A1"/>
    <hyperlink ref="O85" location="'SUGAR PNSG02 -01'!A1" display="'SUGAR PNSG02 -01'!A1"/>
    <hyperlink ref="O86" location="'SUGAR PNSG02 - 05'!A1" display="'SUGAR PNSG02 - 05'!A1"/>
    <hyperlink ref="O210" location="'VO PHE  6060'!Print_Titles" display="'VO PHE  6060'!Print_Titles"/>
    <hyperlink ref="O211" location="'LUXURY 6060-HA '!A1" display="'LUXURY 6060-HA '!A1"/>
    <hyperlink ref="O212" location="'CROWN 60x60-HA '!A1" display="'CROWN 60x60-HA '!A1"/>
    <hyperlink ref="O213" location="'ESPANA 60x60-HA'!Print_Titles" display="'ESPANA 60x60-HA'!Print_Titles"/>
    <hyperlink ref="O214" location="'HAVIRA 6060'!Print_Titles" display="'HAVIRA 6060'!Print_Titles"/>
    <hyperlink ref="O136" location="'GREEN HOME'!Print_Titles" display="'GREEN HOME'!Print_Titles"/>
    <hyperlink ref="O215" location="'GREEN HOME 6060'!A1" display="'GREEN HOME 6060'!A1"/>
    <hyperlink ref="O91" location="'FRIT VS55'!A1" display="'FRIT VS55'!A1"/>
    <hyperlink ref="O198" location="'GREEN HOME 5050'!A1" display="'GREEN HOME 5050'!A1"/>
    <hyperlink ref="O137" location="LUSTILE!Print_Titles" display="LUSTILE!Print_Titles"/>
    <hyperlink ref="O151" location="'LUXURY 40x80-HA nâu'!Print_Titles" display="'LUXURY 40x80-HA nâu'!Print_Titles"/>
    <hyperlink ref="O157" location="'GREEN ERA 4080 nâu'!A1" display="'GREEN ERA 4080 nâu'!A1"/>
    <hyperlink ref="O158" location="'LUSTILE 4080 nâu'!A1" display="'LUSTILE 4080 nâu'!A1"/>
    <hyperlink ref="O159" location="'GREEN HOME 4080'!A1" display="'GREEN HOME 4080'!A1"/>
    <hyperlink ref="O160" location="'UNITILE 4080 '!A1" display="'UNITILE 4080 '!A1"/>
    <hyperlink ref="O161" location="'HAVIRA 4080'!Print_Titles" display="'HAVIRA 4080'!Print_Titles"/>
    <hyperlink ref="O162" location="'PANA TILES 4080 nâu '!Print_Titles" display="'PANA TILES 4080 nâu '!Print_Titles"/>
    <hyperlink ref="O138" location="'PANA TILES 3060 nâu '!Print_Titles" display="'PANA TILES 3060 nâu '!Print_Titles"/>
    <hyperlink ref="O18" location="'FRIT FT3'!A1" display="'FRIT FT3'!A1"/>
    <hyperlink ref="O36" location="'ZIRCON ZS08'!A1" display="'ZIRCON ZS08'!A1"/>
    <hyperlink ref="O43" location="'CMC USK 60 THT'!A1" display="'CMC USK 60 THT'!A1"/>
    <hyperlink ref="O15" location="KAOLANHVCT04A!A1" display="KAOLANHVCT04A!A1"/>
    <hyperlink ref="O163" location="'TOP ONE 4080 nâu '!Print_Titles" display="'TOP ONE 4080 nâu '!Print_Titles"/>
    <hyperlink ref="O139" location="'TOP ONE 3060 nâu  '!Print_Titles" display="'TOP ONE 3060 nâu  '!Print_Titles"/>
    <hyperlink ref="O16" location="'KAOLANH 168'!Print_Titles" display="'KAOLANH 168'!Print_Titles"/>
    <hyperlink ref="O72" location="'VF150521'!Print_Titles" display="'VF150521'!Print_Titles"/>
    <hyperlink ref="O154" location="'ESPANA 40x80-HA nâu'!Print_Titles" display="'ESPANA 40x80-HA nâu'!Print_Titles"/>
    <hyperlink ref="O199" location="'TOP ONE 5050 nâu '!A1" display="'TOP ONE 5050 nâu '!A1"/>
    <hyperlink ref="O228" location="'KE NHUA 5V 4080'!A1" display="'KE NHUA 5V 4080'!A1"/>
    <hyperlink ref="O216" location="'GREEN HOME 6060 5V'!Print_Titles" display="'GREEN HOME 6060 5V'!Print_Titles"/>
    <hyperlink ref="O217" location="'LUXURY 6060-HA  5V'!Print_Titles" display="'LUXURY 6060-HA  5V'!Print_Titles"/>
    <hyperlink ref="O218" location="'ESPANA 60x60-HA 5V'!Print_Titles" display="'ESPANA 60x60-HA 5V'!Print_Titles"/>
    <hyperlink ref="O219" location="'HAVIRA 6060 5V'!Print_Titles" display="'HAVIRA 6060 5V'!Print_Titles"/>
    <hyperlink ref="O220" location="'CROWN 60x60-HA 5V'!Print_Titles" display="'CROWN 60x60-HA 5V'!Print_Titles"/>
    <hyperlink ref="O165" location="'LUXURY 40x80 5V-HA nâu '!A1" display="'LUXURY 40x80 5V-HA nâu '!A1"/>
    <hyperlink ref="O166" location="'CROWN 40x80-5V HA '!Print_Titles" display="'CROWN 40x80-5V HA '!Print_Titles"/>
    <hyperlink ref="O167" location="'GREEN ERA 4080 5V nâu '!Print_Titles" display="'GREEN ERA 4080 5V nâu '!Print_Titles"/>
    <hyperlink ref="O168" location="'GREEN HOME 4080 5V'!Print_Titles" display="'GREEN HOME 4080 5V'!Print_Titles"/>
    <hyperlink ref="O169" location="'ESPANA 40x80-5V HA nâu '!Print_Titles" display="'ESPANA 40x80-5V HA nâu '!Print_Titles"/>
    <hyperlink ref="O170" location="'HAVIRA 4080 5V'!Print_Titles" display="'HAVIRA 4080 5V'!Print_Titles"/>
    <hyperlink ref="O171" location="'TOP ONE 4080 5V nâu '!Print_Titles" display="'TOP ONE 4080 5V nâu '!Print_Titles"/>
    <hyperlink ref="O172" location="'PANA TILES 4080 nâu  5V'!Print_Titles" display="'PANA TILES 4080 nâu  5V'!Print_Titles"/>
    <hyperlink ref="O58" location="'FRIT 356 L'!Print_Titles" display="'FRIT 356 L'!Print_Titles"/>
    <hyperlink ref="O11" location="'BẢ MEN'!Print_Titles" display="'BẢ MEN'!Print_Titles"/>
    <hyperlink ref="O9" location="'FRIT A103 -ACV'!A1" display="'FRIT A103 -ACV'!A1"/>
    <hyperlink ref="O173" location="'LUSTILE 4080 nâu 5V'!Print_Titles" display="'LUSTILE 4080 nâu 5V'!Print_Titles"/>
    <hyperlink ref="O32" location="'FRIT A609'!A1" display="'FRIT A609'!A1"/>
    <hyperlink ref="O27" location="'FRIT 502-ACV'!Print_Titles" display="'FRIT 502-ACV'!Print_Titles"/>
    <hyperlink ref="O140" location="'CROVINA 3060'!Print_Titles" display="'CROVINA 3060'!Print_Titles"/>
    <hyperlink ref="O122" location="'GR XANH 30x60-HA nâu MỚI'!A1" display="'GR XANH 30x60-HA nâu MỚI'!A1"/>
    <hyperlink ref="O200" location="'CROVINA 50'!Print_Titles" display="'CROVINA 50'!Print_Titles"/>
    <hyperlink ref="O221" location="'CROVINA 60'!Print_Titles" display="'CROVINA 60'!Print_Titles"/>
    <hyperlink ref="O174" location="'CROVINA 4080 5v'!Print_Titles" display="'CROVINA 4080 5v'!Print_Titles"/>
    <hyperlink ref="O141" location="'T H PHƯƠNG 3060'!Print_Titles" display="'T H PHƯƠNG 3060'!Print_Titles"/>
    <hyperlink ref="O75" location="'MGO- Men lót chân'!Print_Titles" display="'MGO- Men lót chân'!Print_Titles"/>
    <hyperlink ref="O201" location="'KARPO 50'!Print_Titles" display="'KARPO 50'!Print_Titles"/>
    <hyperlink ref="O202" location="'VIDONA 50'!Print_Titles" display="'VIDONA 50'!Print_Titles"/>
    <hyperlink ref="O142" location="'KARPO 3060'!Print_Titles" display="'KARPO 3060'!Print_Titles"/>
    <hyperlink ref="O144" location="'VIDONA 3060'!Print_Titles" display="'VIDONA 3060'!Print_Titles"/>
    <hyperlink ref="O80" location="'A117'!Print_Titles" display="'A117'!Print_Titles"/>
    <hyperlink ref="O17" location="'TT KALI K200'!A1" display="'TT KALI K200'!A1"/>
    <hyperlink ref="O143" location="'VINA PHACON 36'!Print_Titles" display="'VINA PHACON 36'!Print_Titles"/>
    <hyperlink ref="O40" location="'PROMEX CHS4'!Print_Titles" display="'PROMEX CHS4'!Print_Titles"/>
    <hyperlink ref="O111" location="'PALLET cũ L2'!Print_Titles" display="'PALLET cũ L2'!Print_Titles"/>
    <hyperlink ref="O110" location="'PALLET 1100x1100 cũ L1'!Print_Titles" display="'PALLET 1100x1100 cũ L1'!Print_Titles"/>
    <hyperlink ref="O175" location="'T H PHUONG 4080 5v '!Print_Titles" display="'T H PHUONG 4080 5v '!Print_Titles"/>
    <hyperlink ref="O176" location="'VINA PHACON 48'!Print_Titles" display="'VINA PHACON 48'!Print_Titles"/>
    <hyperlink ref="O177" location="'VIDONA 48'!Print_Titles" display="'VIDONA 48'!Print_Titles"/>
    <hyperlink ref="O108" location="'PALLET 1100x1100x85'!Print_Titles" display="'PALLET 1100x1100x85'!Print_Titles"/>
    <hyperlink ref="O109" location="'PALLET 1100x1100x60'!Print_Titles" display="'PALLET 1100x1100x60'!Print_Titles"/>
    <hyperlink ref="O178" location="'PADOVA 48 '!Print_Titles" display="'PADOVA 48 '!Print_Titles"/>
    <hyperlink ref="O145" location="'VINA PHACON 36'!A1" display="'VINA PHACON 36'!A1"/>
    <hyperlink ref="O146" location="'PADOVA 36'!Print_Titles" display="'PADOVA 36'!Print_Titles"/>
    <hyperlink ref="O203" location="'T H PHƯƠNG 5050'!Print_Titles" display="'T H PHƯƠNG 5050'!Print_Titles"/>
    <hyperlink ref="O204" location="'PADOVA 50'!Print_Titles" display="'PADOVA 50'!Print_Titles"/>
    <hyperlink ref="O13" location="'Cao lanh BF046A'!A1" display="'Cao lanh BF046A'!A1"/>
  </hyperlinks>
  <pageMargins left="0.23622047244094491" right="0.23622047244094491" top="0.19685039370078741" bottom="0.15748031496062992" header="0.11811023622047245" footer="0.15748031496062992"/>
  <pageSetup paperSize="9" scale="75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N67"/>
  <sheetViews>
    <sheetView workbookViewId="0">
      <pane ySplit="7" topLeftCell="A39" activePane="bottomLeft" state="frozen"/>
      <selection pane="bottomLeft" activeCell="C42" sqref="C42"/>
    </sheetView>
  </sheetViews>
  <sheetFormatPr defaultColWidth="9.28515625" defaultRowHeight="15"/>
  <cols>
    <col min="1" max="1" width="4.5703125" style="143" customWidth="1"/>
    <col min="2" max="2" width="13" style="143" customWidth="1"/>
    <col min="3" max="3" width="27.5703125" style="143" customWidth="1"/>
    <col min="4" max="4" width="6" style="142" customWidth="1"/>
    <col min="5" max="5" width="8.7109375" style="142" customWidth="1"/>
    <col min="6" max="6" width="13.5703125" style="142" hidden="1" customWidth="1"/>
    <col min="7" max="7" width="8.140625" style="142" hidden="1" customWidth="1"/>
    <col min="8" max="8" width="13.7109375" style="142" hidden="1" customWidth="1"/>
    <col min="9" max="9" width="12.140625" style="142" customWidth="1"/>
    <col min="10" max="10" width="12.5703125" style="142" customWidth="1"/>
    <col min="11" max="11" width="9.140625" style="142" hidden="1" customWidth="1"/>
    <col min="12" max="12" width="13.5703125" style="142" hidden="1" customWidth="1"/>
    <col min="13" max="13" width="11.7109375" style="143" hidden="1" customWidth="1"/>
    <col min="14" max="14" width="10.5703125" style="143" hidden="1" customWidth="1"/>
    <col min="15" max="16384" width="9.28515625" style="143"/>
  </cols>
  <sheetData>
    <row r="1" spans="1:14">
      <c r="A1" s="831" t="s">
        <v>111</v>
      </c>
      <c r="B1" s="318"/>
      <c r="C1" s="318"/>
      <c r="D1" s="318"/>
      <c r="E1" s="318"/>
      <c r="F1" s="318"/>
      <c r="G1" s="318"/>
      <c r="H1" s="318"/>
      <c r="I1" s="829"/>
      <c r="J1" s="829"/>
      <c r="K1" s="829"/>
      <c r="L1" s="829"/>
    </row>
    <row r="2" spans="1:14">
      <c r="A2" s="323" t="s">
        <v>173</v>
      </c>
      <c r="B2" s="829"/>
      <c r="C2" s="829"/>
      <c r="D2" s="829"/>
      <c r="E2" s="829"/>
      <c r="F2" s="829"/>
      <c r="G2" s="829"/>
      <c r="H2" s="829"/>
      <c r="I2" s="829"/>
      <c r="J2" s="829"/>
      <c r="K2" s="829"/>
      <c r="L2" s="829"/>
    </row>
    <row r="3" spans="1:14">
      <c r="A3" s="323"/>
      <c r="B3" s="829"/>
      <c r="C3" s="829"/>
      <c r="D3" s="829"/>
      <c r="E3" s="829"/>
      <c r="F3" s="829"/>
      <c r="G3" s="829"/>
      <c r="H3" s="829"/>
      <c r="I3" s="829"/>
      <c r="J3" s="829"/>
      <c r="K3" s="829"/>
      <c r="L3" s="829"/>
    </row>
    <row r="4" spans="1:14" s="930" customFormat="1" ht="47.25" customHeight="1">
      <c r="A4" s="929" t="s">
        <v>763</v>
      </c>
      <c r="B4" s="929"/>
      <c r="C4" s="929"/>
      <c r="D4" s="929"/>
      <c r="E4" s="929"/>
      <c r="F4" s="929"/>
      <c r="G4" s="929"/>
      <c r="H4" s="929"/>
      <c r="I4" s="929"/>
      <c r="J4" s="929"/>
      <c r="K4" s="929"/>
      <c r="L4" s="929"/>
      <c r="M4" s="929"/>
      <c r="N4" s="929"/>
    </row>
    <row r="5" spans="1:14" ht="12.75" customHeight="1">
      <c r="A5" s="855"/>
      <c r="B5" s="855"/>
      <c r="C5" s="855"/>
      <c r="D5" s="855"/>
      <c r="E5" s="855"/>
      <c r="F5" s="855"/>
      <c r="G5" s="855"/>
      <c r="H5" s="855"/>
      <c r="I5" s="855"/>
      <c r="J5" s="855"/>
      <c r="K5" s="855"/>
      <c r="L5" s="855"/>
    </row>
    <row r="6" spans="1:14" ht="17.25" customHeight="1">
      <c r="A6" s="1548" t="s">
        <v>682</v>
      </c>
      <c r="B6" s="1548" t="s">
        <v>116</v>
      </c>
      <c r="C6" s="1548" t="s">
        <v>482</v>
      </c>
      <c r="D6" s="1548" t="s">
        <v>683</v>
      </c>
      <c r="E6" s="1549" t="s">
        <v>690</v>
      </c>
      <c r="F6" s="1550"/>
      <c r="G6" s="1549" t="s">
        <v>691</v>
      </c>
      <c r="H6" s="1550"/>
      <c r="I6" s="1548" t="s">
        <v>17</v>
      </c>
      <c r="J6" s="1548"/>
      <c r="K6" s="1549" t="s">
        <v>692</v>
      </c>
      <c r="L6" s="1550"/>
      <c r="M6" s="1559" t="s">
        <v>756</v>
      </c>
      <c r="N6" s="1559" t="s">
        <v>344</v>
      </c>
    </row>
    <row r="7" spans="1:14" ht="17.25" customHeight="1">
      <c r="A7" s="1548"/>
      <c r="B7" s="1548"/>
      <c r="C7" s="1548"/>
      <c r="D7" s="1548"/>
      <c r="E7" s="836" t="s">
        <v>6</v>
      </c>
      <c r="F7" s="837" t="s">
        <v>12</v>
      </c>
      <c r="G7" s="836" t="s">
        <v>6</v>
      </c>
      <c r="H7" s="837" t="s">
        <v>12</v>
      </c>
      <c r="I7" s="836" t="s">
        <v>6</v>
      </c>
      <c r="J7" s="837" t="s">
        <v>12</v>
      </c>
      <c r="K7" s="836" t="s">
        <v>6</v>
      </c>
      <c r="L7" s="837" t="s">
        <v>12</v>
      </c>
      <c r="M7" s="1560"/>
      <c r="N7" s="1560"/>
    </row>
    <row r="8" spans="1:14">
      <c r="A8" s="832">
        <v>1</v>
      </c>
      <c r="B8" s="833" t="s">
        <v>487</v>
      </c>
      <c r="C8" s="833" t="s">
        <v>488</v>
      </c>
      <c r="D8" s="832" t="s">
        <v>193</v>
      </c>
      <c r="E8" s="931"/>
      <c r="F8" s="851">
        <f>'TỔNG HỢP THÁNG'!E20</f>
        <v>8211</v>
      </c>
      <c r="G8" s="851"/>
      <c r="H8" s="851">
        <f>'TỔNG HỢP THÁNG'!G20</f>
        <v>5000</v>
      </c>
      <c r="I8" s="857">
        <f>'TỔNG HỢP THÁNG'!H20</f>
        <v>3986</v>
      </c>
      <c r="J8" s="834">
        <f>'TỔNG HỢP THÁNG'!I20</f>
        <v>3986</v>
      </c>
      <c r="K8" s="834"/>
      <c r="L8" s="858">
        <f t="shared" ref="L8:L34" si="0">F8+H8-J8</f>
        <v>9225</v>
      </c>
      <c r="M8" s="934"/>
      <c r="N8" s="934"/>
    </row>
    <row r="9" spans="1:14">
      <c r="A9" s="832">
        <v>2</v>
      </c>
      <c r="B9" s="833" t="s">
        <v>489</v>
      </c>
      <c r="C9" s="833" t="s">
        <v>490</v>
      </c>
      <c r="D9" s="832" t="s">
        <v>193</v>
      </c>
      <c r="E9" s="931"/>
      <c r="F9" s="851">
        <f>'TỔNG HỢP THÁNG'!E34</f>
        <v>28440</v>
      </c>
      <c r="G9" s="851"/>
      <c r="H9" s="851">
        <f>'TỔNG HỢP THÁNG'!G34</f>
        <v>0</v>
      </c>
      <c r="I9" s="857">
        <f>'TỔNG HỢP THÁNG'!H34</f>
        <v>0</v>
      </c>
      <c r="J9" s="834">
        <f>'TỔNG HỢP THÁNG'!I34</f>
        <v>0</v>
      </c>
      <c r="K9" s="834"/>
      <c r="L9" s="858">
        <f t="shared" si="0"/>
        <v>28440</v>
      </c>
      <c r="M9" s="934"/>
      <c r="N9" s="934"/>
    </row>
    <row r="10" spans="1:14">
      <c r="A10" s="832">
        <v>3</v>
      </c>
      <c r="B10" s="833" t="s">
        <v>495</v>
      </c>
      <c r="C10" s="833" t="s">
        <v>496</v>
      </c>
      <c r="D10" s="832" t="s">
        <v>193</v>
      </c>
      <c r="E10" s="931"/>
      <c r="F10" s="851">
        <f>'TỔNG HỢP THÁNG'!E11</f>
        <v>0</v>
      </c>
      <c r="G10" s="851"/>
      <c r="H10" s="851">
        <f>'TỔNG HỢP THÁNG'!G11</f>
        <v>0</v>
      </c>
      <c r="I10" s="857">
        <f>'TỔNG HỢP THÁNG'!H11</f>
        <v>0</v>
      </c>
      <c r="J10" s="834">
        <f>'TỔNG HỢP THÁNG'!I11</f>
        <v>0</v>
      </c>
      <c r="K10" s="834"/>
      <c r="L10" s="858">
        <f>F10+H10-J10</f>
        <v>0</v>
      </c>
      <c r="M10" s="934"/>
      <c r="N10" s="934"/>
    </row>
    <row r="11" spans="1:14">
      <c r="A11" s="832">
        <v>4</v>
      </c>
      <c r="B11" s="833" t="s">
        <v>497</v>
      </c>
      <c r="C11" s="833" t="s">
        <v>498</v>
      </c>
      <c r="D11" s="832" t="s">
        <v>193</v>
      </c>
      <c r="E11" s="931"/>
      <c r="F11" s="851">
        <f>'TỔNG HỢP THÁNG'!E10</f>
        <v>53111</v>
      </c>
      <c r="G11" s="851"/>
      <c r="H11" s="851">
        <f>'TỔNG HỢP THÁNG'!G10</f>
        <v>28000</v>
      </c>
      <c r="I11" s="857">
        <f>'TỔNG HỢP THÁNG'!H10</f>
        <v>37545</v>
      </c>
      <c r="J11" s="834">
        <f>'TỔNG HỢP THÁNG'!I10</f>
        <v>37937</v>
      </c>
      <c r="K11" s="834"/>
      <c r="L11" s="858">
        <f t="shared" si="0"/>
        <v>43174</v>
      </c>
      <c r="M11" s="934"/>
      <c r="N11" s="934"/>
    </row>
    <row r="12" spans="1:14">
      <c r="A12" s="832">
        <v>5</v>
      </c>
      <c r="B12" s="856" t="s">
        <v>499</v>
      </c>
      <c r="C12" s="856" t="s">
        <v>500</v>
      </c>
      <c r="D12" s="138" t="s">
        <v>193</v>
      </c>
      <c r="E12" s="268"/>
      <c r="F12" s="852">
        <f>'TỔNG HỢP THÁNG'!E19</f>
        <v>0</v>
      </c>
      <c r="G12" s="852"/>
      <c r="H12" s="852">
        <f>'TỔNG HỢP THÁNG'!G19</f>
        <v>0</v>
      </c>
      <c r="I12" s="857">
        <f>'TỔNG HỢP THÁNG'!H19</f>
        <v>0</v>
      </c>
      <c r="J12" s="857">
        <f>'TỔNG HỢP THÁNG'!I19</f>
        <v>0</v>
      </c>
      <c r="K12" s="857"/>
      <c r="L12" s="858">
        <f t="shared" si="0"/>
        <v>0</v>
      </c>
      <c r="M12" s="934"/>
      <c r="N12" s="934"/>
    </row>
    <row r="13" spans="1:14">
      <c r="A13" s="832">
        <v>6</v>
      </c>
      <c r="B13" s="833" t="s">
        <v>513</v>
      </c>
      <c r="C13" s="833" t="s">
        <v>514</v>
      </c>
      <c r="D13" s="832" t="s">
        <v>193</v>
      </c>
      <c r="E13" s="931"/>
      <c r="F13" s="851">
        <f>'TỔNG HỢP THÁNG'!E8</f>
        <v>12638.6</v>
      </c>
      <c r="G13" s="851"/>
      <c r="H13" s="851">
        <f>'TỔNG HỢP THÁNG'!G8</f>
        <v>20000</v>
      </c>
      <c r="I13" s="857">
        <f>'TỔNG HỢP THÁNG'!H8</f>
        <v>12480</v>
      </c>
      <c r="J13" s="834">
        <f>'TỔNG HỢP THÁNG'!I8</f>
        <v>12678</v>
      </c>
      <c r="K13" s="834"/>
      <c r="L13" s="858">
        <f>F13+H13-J13</f>
        <v>19960.599999999999</v>
      </c>
      <c r="M13" s="934"/>
      <c r="N13" s="934"/>
    </row>
    <row r="14" spans="1:14">
      <c r="A14" s="832">
        <v>7</v>
      </c>
      <c r="B14" s="833" t="s">
        <v>533</v>
      </c>
      <c r="C14" s="833" t="s">
        <v>534</v>
      </c>
      <c r="D14" s="832" t="s">
        <v>193</v>
      </c>
      <c r="E14" s="931"/>
      <c r="F14" s="851">
        <f>'TỔNG HỢP THÁNG'!E7</f>
        <v>30667</v>
      </c>
      <c r="G14" s="851"/>
      <c r="H14" s="851">
        <f>'TỔNG HỢP THÁNG'!G7</f>
        <v>27000</v>
      </c>
      <c r="I14" s="857">
        <f>'TỔNG HỢP THÁNG'!H7</f>
        <v>14101</v>
      </c>
      <c r="J14" s="834">
        <f>'TỔNG HỢP THÁNG'!I7</f>
        <v>14286</v>
      </c>
      <c r="K14" s="834"/>
      <c r="L14" s="858">
        <f t="shared" si="0"/>
        <v>43381</v>
      </c>
      <c r="M14" s="934"/>
      <c r="N14" s="934"/>
    </row>
    <row r="15" spans="1:14">
      <c r="A15" s="832">
        <v>8</v>
      </c>
      <c r="B15" s="833" t="s">
        <v>535</v>
      </c>
      <c r="C15" s="833" t="s">
        <v>536</v>
      </c>
      <c r="D15" s="832" t="s">
        <v>193</v>
      </c>
      <c r="E15" s="931"/>
      <c r="F15" s="851">
        <f>'TỔNG HỢP THÁNG'!E17</f>
        <v>67228</v>
      </c>
      <c r="G15" s="851"/>
      <c r="H15" s="851">
        <f>'TỔNG HỢP THÁNG'!G17</f>
        <v>56000</v>
      </c>
      <c r="I15" s="857">
        <f>'TỔNG HỢP THÁNG'!H17</f>
        <v>20722</v>
      </c>
      <c r="J15" s="834">
        <f>'TỔNG HỢP THÁNG'!I17</f>
        <v>20722</v>
      </c>
      <c r="K15" s="834"/>
      <c r="L15" s="858">
        <f t="shared" si="0"/>
        <v>102506</v>
      </c>
      <c r="M15" s="934"/>
      <c r="N15" s="934"/>
    </row>
    <row r="16" spans="1:14">
      <c r="A16" s="832">
        <v>9</v>
      </c>
      <c r="B16" s="833" t="s">
        <v>547</v>
      </c>
      <c r="C16" s="833" t="s">
        <v>548</v>
      </c>
      <c r="D16" s="832" t="s">
        <v>193</v>
      </c>
      <c r="E16" s="931"/>
      <c r="F16" s="851">
        <f>'TỔNG HỢP THÁNG'!E32</f>
        <v>17167</v>
      </c>
      <c r="G16" s="851"/>
      <c r="H16" s="851">
        <f>'TỔNG HỢP THÁNG'!G32</f>
        <v>64982</v>
      </c>
      <c r="I16" s="857">
        <f>'TỔNG HỢP THÁNG'!H32</f>
        <v>24120</v>
      </c>
      <c r="J16" s="834">
        <f>'TỔNG HỢP THÁNG'!I32</f>
        <v>24313</v>
      </c>
      <c r="K16" s="834"/>
      <c r="L16" s="858">
        <f t="shared" si="0"/>
        <v>57836</v>
      </c>
      <c r="M16" s="934"/>
      <c r="N16" s="934"/>
    </row>
    <row r="17" spans="1:14">
      <c r="A17" s="832">
        <v>10</v>
      </c>
      <c r="B17" s="833" t="s">
        <v>697</v>
      </c>
      <c r="C17" s="833" t="s">
        <v>698</v>
      </c>
      <c r="D17" s="832" t="s">
        <v>193</v>
      </c>
      <c r="E17" s="931"/>
      <c r="F17" s="851">
        <f>'TỔNG HỢP THÁNG'!E28</f>
        <v>0</v>
      </c>
      <c r="G17" s="851"/>
      <c r="H17" s="851">
        <f>'TỔNG HỢP THÁNG'!G28</f>
        <v>0</v>
      </c>
      <c r="I17" s="857">
        <f>'TỔNG HỢP THÁNG'!H28</f>
        <v>0</v>
      </c>
      <c r="J17" s="834">
        <f>'TỔNG HỢP THÁNG'!I28</f>
        <v>0</v>
      </c>
      <c r="K17" s="834"/>
      <c r="L17" s="858">
        <f t="shared" si="0"/>
        <v>0</v>
      </c>
      <c r="M17" s="934"/>
      <c r="N17" s="934"/>
    </row>
    <row r="18" spans="1:14">
      <c r="A18" s="832">
        <v>11</v>
      </c>
      <c r="B18" s="833" t="s">
        <v>561</v>
      </c>
      <c r="C18" s="833" t="s">
        <v>562</v>
      </c>
      <c r="D18" s="832" t="s">
        <v>193</v>
      </c>
      <c r="E18" s="931"/>
      <c r="F18" s="851">
        <f>'TỔNG HỢP THÁNG'!E50</f>
        <v>0</v>
      </c>
      <c r="G18" s="851"/>
      <c r="H18" s="851">
        <f>'TỔNG HỢP THÁNG'!G50</f>
        <v>0</v>
      </c>
      <c r="I18" s="857">
        <f>'TỔNG HỢP THÁNG'!H50</f>
        <v>0</v>
      </c>
      <c r="J18" s="834">
        <f>'TỔNG HỢP THÁNG'!I50</f>
        <v>0</v>
      </c>
      <c r="K18" s="834"/>
      <c r="L18" s="858">
        <f t="shared" si="0"/>
        <v>0</v>
      </c>
      <c r="M18" s="934"/>
      <c r="N18" s="934"/>
    </row>
    <row r="19" spans="1:14">
      <c r="A19" s="832">
        <v>12</v>
      </c>
      <c r="B19" s="833" t="s">
        <v>563</v>
      </c>
      <c r="C19" s="833" t="s">
        <v>564</v>
      </c>
      <c r="D19" s="832" t="s">
        <v>193</v>
      </c>
      <c r="E19" s="931"/>
      <c r="F19" s="851">
        <f>'TỔNG HỢP THÁNG'!E38</f>
        <v>6453.9</v>
      </c>
      <c r="G19" s="851"/>
      <c r="H19" s="851">
        <f>'TỔNG HỢP THÁNG'!G38</f>
        <v>1000</v>
      </c>
      <c r="I19" s="857">
        <f>'TỔNG HỢP THÁNG'!H38</f>
        <v>2160.4999999999995</v>
      </c>
      <c r="J19" s="834">
        <f>I19</f>
        <v>2160.4999999999995</v>
      </c>
      <c r="K19" s="834"/>
      <c r="L19" s="858">
        <f t="shared" si="0"/>
        <v>5293.4</v>
      </c>
      <c r="M19" s="934"/>
      <c r="N19" s="934"/>
    </row>
    <row r="20" spans="1:14">
      <c r="A20" s="832">
        <v>13</v>
      </c>
      <c r="B20" s="833" t="s">
        <v>565</v>
      </c>
      <c r="C20" s="833" t="s">
        <v>566</v>
      </c>
      <c r="D20" s="832" t="s">
        <v>193</v>
      </c>
      <c r="E20" s="931"/>
      <c r="F20" s="851">
        <f>'TỔNG HỢP THÁNG'!E39</f>
        <v>0</v>
      </c>
      <c r="G20" s="851"/>
      <c r="H20" s="851">
        <f>'TỔNG HỢP THÁNG'!G39</f>
        <v>0</v>
      </c>
      <c r="I20" s="857">
        <f>'TỔNG HỢP THÁNG'!H39</f>
        <v>0</v>
      </c>
      <c r="J20" s="834">
        <f>I20</f>
        <v>0</v>
      </c>
      <c r="K20" s="834"/>
      <c r="L20" s="858">
        <f t="shared" si="0"/>
        <v>0</v>
      </c>
      <c r="M20" s="934"/>
      <c r="N20" s="934"/>
    </row>
    <row r="21" spans="1:14">
      <c r="A21" s="832">
        <v>14</v>
      </c>
      <c r="B21" s="833" t="s">
        <v>567</v>
      </c>
      <c r="C21" s="833" t="s">
        <v>568</v>
      </c>
      <c r="D21" s="832" t="s">
        <v>193</v>
      </c>
      <c r="E21" s="931"/>
      <c r="F21" s="851">
        <f>'TỔNG HỢP THÁNG'!E35</f>
        <v>0</v>
      </c>
      <c r="G21" s="851"/>
      <c r="H21" s="851">
        <f>'TỔNG HỢP THÁNG'!G35</f>
        <v>0</v>
      </c>
      <c r="I21" s="857">
        <f>'TỔNG HỢP THÁNG'!H35</f>
        <v>0</v>
      </c>
      <c r="J21" s="834">
        <f>'TỔNG HỢP THÁNG'!I35</f>
        <v>0</v>
      </c>
      <c r="K21" s="834"/>
      <c r="L21" s="858">
        <f t="shared" si="0"/>
        <v>0</v>
      </c>
      <c r="M21" s="934"/>
      <c r="N21" s="934"/>
    </row>
    <row r="22" spans="1:14">
      <c r="A22" s="832">
        <v>15</v>
      </c>
      <c r="B22" s="833" t="s">
        <v>571</v>
      </c>
      <c r="C22" s="833" t="s">
        <v>572</v>
      </c>
      <c r="D22" s="832" t="s">
        <v>193</v>
      </c>
      <c r="E22" s="931"/>
      <c r="F22" s="851">
        <f>'TỔNG HỢP THÁNG'!E42</f>
        <v>0</v>
      </c>
      <c r="G22" s="851"/>
      <c r="H22" s="851">
        <f>'TỔNG HỢP THÁNG'!G42</f>
        <v>0</v>
      </c>
      <c r="I22" s="857">
        <f>'TỔNG HỢP THÁNG'!H42</f>
        <v>0</v>
      </c>
      <c r="J22" s="834">
        <f>I22</f>
        <v>0</v>
      </c>
      <c r="K22" s="834"/>
      <c r="L22" s="858">
        <f t="shared" si="0"/>
        <v>0</v>
      </c>
      <c r="M22" s="934"/>
      <c r="N22" s="934"/>
    </row>
    <row r="23" spans="1:14">
      <c r="A23" s="832">
        <v>16</v>
      </c>
      <c r="B23" s="833" t="s">
        <v>573</v>
      </c>
      <c r="C23" s="833" t="s">
        <v>574</v>
      </c>
      <c r="D23" s="832" t="s">
        <v>193</v>
      </c>
      <c r="E23" s="931"/>
      <c r="F23" s="851">
        <f>'TỔNG HỢP THÁNG'!E53</f>
        <v>52349</v>
      </c>
      <c r="G23" s="851"/>
      <c r="H23" s="851">
        <f>'TỔNG HỢP THÁNG'!G53</f>
        <v>33750</v>
      </c>
      <c r="I23" s="857">
        <f>'TỔNG HỢP THÁNG'!H53</f>
        <v>39690</v>
      </c>
      <c r="J23" s="834">
        <f>'TỔNG HỢP THÁNG'!I53</f>
        <v>39974</v>
      </c>
      <c r="K23" s="834"/>
      <c r="L23" s="858">
        <f t="shared" si="0"/>
        <v>46125</v>
      </c>
      <c r="M23" s="934"/>
      <c r="N23" s="934"/>
    </row>
    <row r="24" spans="1:14">
      <c r="A24" s="832">
        <v>17</v>
      </c>
      <c r="B24" s="833" t="s">
        <v>575</v>
      </c>
      <c r="C24" s="833" t="s">
        <v>576</v>
      </c>
      <c r="D24" s="832" t="s">
        <v>193</v>
      </c>
      <c r="E24" s="931"/>
      <c r="F24" s="851">
        <f>'TỔNG HỢP THÁNG'!E76</f>
        <v>20008</v>
      </c>
      <c r="G24" s="851"/>
      <c r="H24" s="851">
        <f>'TỔNG HỢP THÁNG'!G76</f>
        <v>0</v>
      </c>
      <c r="I24" s="857">
        <f>'TỔNG HỢP THÁNG'!H76</f>
        <v>3600</v>
      </c>
      <c r="J24" s="834">
        <f>I24</f>
        <v>3600</v>
      </c>
      <c r="K24" s="834"/>
      <c r="L24" s="858">
        <f t="shared" si="0"/>
        <v>16408</v>
      </c>
      <c r="M24" s="934"/>
      <c r="N24" s="934"/>
    </row>
    <row r="25" spans="1:14">
      <c r="A25" s="832">
        <v>18</v>
      </c>
      <c r="B25" s="833" t="s">
        <v>577</v>
      </c>
      <c r="C25" s="833" t="s">
        <v>578</v>
      </c>
      <c r="D25" s="832" t="s">
        <v>193</v>
      </c>
      <c r="E25" s="931"/>
      <c r="F25" s="851">
        <f>'[1]TỔNG HỢP THÁNG'!E15</f>
        <v>10300</v>
      </c>
      <c r="G25" s="851"/>
      <c r="H25" s="851">
        <v>0</v>
      </c>
      <c r="I25" s="857">
        <f>'TỔNG HỢP THÁNG'!H21</f>
        <v>0</v>
      </c>
      <c r="J25" s="834">
        <f>'TỔNG HỢP THÁNG'!J21</f>
        <v>0</v>
      </c>
      <c r="K25" s="834"/>
      <c r="L25" s="858">
        <f t="shared" si="0"/>
        <v>10300</v>
      </c>
      <c r="M25" s="934"/>
      <c r="N25" s="934"/>
    </row>
    <row r="26" spans="1:14">
      <c r="A26" s="832">
        <v>19</v>
      </c>
      <c r="B26" s="833" t="s">
        <v>585</v>
      </c>
      <c r="C26" s="833" t="s">
        <v>586</v>
      </c>
      <c r="D26" s="832" t="s">
        <v>193</v>
      </c>
      <c r="E26" s="931"/>
      <c r="F26" s="851">
        <f>'TỔNG HỢP THÁNG'!E14</f>
        <v>93434</v>
      </c>
      <c r="G26" s="851"/>
      <c r="H26" s="851">
        <f>'TỔNG HỢP THÁNG'!G14</f>
        <v>27000</v>
      </c>
      <c r="I26" s="857">
        <f>'TỔNG HỢP THÁNG'!H14</f>
        <v>15512</v>
      </c>
      <c r="J26" s="834">
        <f>'TỔNG HỢP THÁNG'!I14</f>
        <v>21039</v>
      </c>
      <c r="K26" s="834"/>
      <c r="L26" s="858">
        <f t="shared" si="0"/>
        <v>99395</v>
      </c>
      <c r="M26" s="934"/>
      <c r="N26" s="934"/>
    </row>
    <row r="27" spans="1:14">
      <c r="A27" s="832">
        <v>20</v>
      </c>
      <c r="B27" s="833" t="s">
        <v>587</v>
      </c>
      <c r="C27" s="833" t="s">
        <v>588</v>
      </c>
      <c r="D27" s="832" t="s">
        <v>193</v>
      </c>
      <c r="E27" s="931"/>
      <c r="F27" s="851">
        <f>'TỔNG HỢP THÁNG'!E31</f>
        <v>0</v>
      </c>
      <c r="G27" s="851"/>
      <c r="H27" s="851">
        <f>'TỔNG HỢP THÁNG'!G31</f>
        <v>0</v>
      </c>
      <c r="I27" s="857">
        <f>'TỔNG HỢP THÁNG'!H31</f>
        <v>0</v>
      </c>
      <c r="J27" s="834">
        <f>'TỔNG HỢP THÁNG'!I31</f>
        <v>0</v>
      </c>
      <c r="K27" s="834"/>
      <c r="L27" s="858">
        <f t="shared" si="0"/>
        <v>0</v>
      </c>
      <c r="M27" s="934"/>
      <c r="N27" s="934"/>
    </row>
    <row r="28" spans="1:14">
      <c r="A28" s="832">
        <v>21</v>
      </c>
      <c r="B28" s="833" t="s">
        <v>743</v>
      </c>
      <c r="C28" s="833" t="s">
        <v>744</v>
      </c>
      <c r="D28" s="832" t="s">
        <v>193</v>
      </c>
      <c r="E28" s="931"/>
      <c r="F28" s="851">
        <f>'TỔNG HỢP THÁNG'!E29</f>
        <v>26897</v>
      </c>
      <c r="G28" s="851"/>
      <c r="H28" s="851">
        <f>'TỔNG HỢP THÁNG'!G29</f>
        <v>37383</v>
      </c>
      <c r="I28" s="857">
        <f>'TỔNG HỢP THÁNG'!H29</f>
        <v>28080</v>
      </c>
      <c r="J28" s="834">
        <f>'TỔNG HỢP THÁNG'!I29</f>
        <v>28266</v>
      </c>
      <c r="K28" s="834"/>
      <c r="L28" s="858">
        <f t="shared" ref="L28:L29" si="1">F28+H28-J28</f>
        <v>36014</v>
      </c>
      <c r="M28" s="934"/>
      <c r="N28" s="934"/>
    </row>
    <row r="29" spans="1:14">
      <c r="A29" s="832">
        <v>22</v>
      </c>
      <c r="B29" s="833" t="s">
        <v>753</v>
      </c>
      <c r="C29" s="833" t="s">
        <v>754</v>
      </c>
      <c r="D29" s="832" t="s">
        <v>193</v>
      </c>
      <c r="E29" s="931"/>
      <c r="F29" s="851">
        <f>'TỔNG HỢP THÁNG'!E57</f>
        <v>3750</v>
      </c>
      <c r="G29" s="851"/>
      <c r="H29" s="851">
        <f>'TỔNG HỢP THÁNG'!G57</f>
        <v>0</v>
      </c>
      <c r="I29" s="857">
        <f>'TỔNG HỢP THÁNG'!H57</f>
        <v>0</v>
      </c>
      <c r="J29" s="834">
        <f>'TỔNG HỢP THÁNG'!I57</f>
        <v>0</v>
      </c>
      <c r="K29" s="834"/>
      <c r="L29" s="858">
        <f t="shared" si="1"/>
        <v>3750</v>
      </c>
      <c r="M29" s="934"/>
      <c r="N29" s="934"/>
    </row>
    <row r="30" spans="1:14">
      <c r="A30" s="832">
        <v>23</v>
      </c>
      <c r="B30" s="833" t="s">
        <v>589</v>
      </c>
      <c r="C30" s="833" t="s">
        <v>590</v>
      </c>
      <c r="D30" s="832" t="s">
        <v>193</v>
      </c>
      <c r="E30" s="931"/>
      <c r="F30" s="851">
        <f>'TỔNG HỢP THÁNG'!D99</f>
        <v>285</v>
      </c>
      <c r="G30" s="851"/>
      <c r="H30" s="851">
        <f>'TỔNG HỢP THÁNG'!F99</f>
        <v>100</v>
      </c>
      <c r="I30" s="857"/>
      <c r="J30" s="834">
        <f>'TỔNG HỢP THÁNG'!H99</f>
        <v>160</v>
      </c>
      <c r="K30" s="834"/>
      <c r="L30" s="858">
        <f t="shared" si="0"/>
        <v>225</v>
      </c>
      <c r="M30" s="934"/>
      <c r="N30" s="934"/>
    </row>
    <row r="31" spans="1:14">
      <c r="A31" s="832">
        <v>24</v>
      </c>
      <c r="B31" s="833" t="s">
        <v>595</v>
      </c>
      <c r="C31" s="833" t="s">
        <v>596</v>
      </c>
      <c r="D31" s="832" t="s">
        <v>193</v>
      </c>
      <c r="E31" s="931"/>
      <c r="F31" s="851">
        <f>'TỔNG HỢP THÁNG'!D96</f>
        <v>555</v>
      </c>
      <c r="G31" s="851"/>
      <c r="H31" s="851">
        <f>'TỔNG HỢP THÁNG'!F96</f>
        <v>540</v>
      </c>
      <c r="I31" s="857"/>
      <c r="J31" s="834">
        <f>'TỔNG HỢP THÁNG'!H96</f>
        <v>705</v>
      </c>
      <c r="K31" s="834"/>
      <c r="L31" s="858">
        <f t="shared" si="0"/>
        <v>390</v>
      </c>
      <c r="M31" s="934"/>
      <c r="N31" s="934"/>
    </row>
    <row r="32" spans="1:14">
      <c r="A32" s="832">
        <v>25</v>
      </c>
      <c r="B32" s="833" t="s">
        <v>597</v>
      </c>
      <c r="C32" s="833" t="s">
        <v>598</v>
      </c>
      <c r="D32" s="832" t="s">
        <v>193</v>
      </c>
      <c r="E32" s="931"/>
      <c r="F32" s="851">
        <f>'TỔNG HỢP THÁNG'!D98</f>
        <v>570</v>
      </c>
      <c r="G32" s="851"/>
      <c r="H32" s="851">
        <f>'TỔNG HỢP THÁNG'!F98</f>
        <v>720</v>
      </c>
      <c r="I32" s="857"/>
      <c r="J32" s="834">
        <f>'TỔNG HỢP THÁNG'!H98</f>
        <v>810</v>
      </c>
      <c r="K32" s="834"/>
      <c r="L32" s="858">
        <f t="shared" si="0"/>
        <v>480</v>
      </c>
      <c r="M32" s="934"/>
      <c r="N32" s="934"/>
    </row>
    <row r="33" spans="1:14">
      <c r="A33" s="832">
        <v>26</v>
      </c>
      <c r="B33" s="833" t="s">
        <v>599</v>
      </c>
      <c r="C33" s="833" t="s">
        <v>600</v>
      </c>
      <c r="D33" s="832" t="s">
        <v>193</v>
      </c>
      <c r="E33" s="931"/>
      <c r="F33" s="851">
        <f>'TỔNG HỢP THÁNG'!D97</f>
        <v>252</v>
      </c>
      <c r="G33" s="851"/>
      <c r="H33" s="851">
        <f>'TỔNG HỢP THÁNG'!F97</f>
        <v>120</v>
      </c>
      <c r="I33" s="857"/>
      <c r="J33" s="834">
        <f>'TỔNG HỢP THÁNG'!H97</f>
        <v>174</v>
      </c>
      <c r="K33" s="834"/>
      <c r="L33" s="858">
        <f t="shared" si="0"/>
        <v>198</v>
      </c>
      <c r="M33" s="934"/>
      <c r="N33" s="934"/>
    </row>
    <row r="34" spans="1:14">
      <c r="A34" s="832">
        <v>27</v>
      </c>
      <c r="B34" s="833" t="s">
        <v>601</v>
      </c>
      <c r="C34" s="833" t="s">
        <v>602</v>
      </c>
      <c r="D34" s="832" t="s">
        <v>193</v>
      </c>
      <c r="E34" s="931"/>
      <c r="F34" s="851">
        <f>'TỔNG HỢP THÁNG'!D102</f>
        <v>108</v>
      </c>
      <c r="G34" s="851"/>
      <c r="H34" s="851">
        <f>'TỔNG HỢP THÁNG'!F102</f>
        <v>120</v>
      </c>
      <c r="I34" s="857"/>
      <c r="J34" s="834">
        <f>'TỔNG HỢP THÁNG'!H102</f>
        <v>102</v>
      </c>
      <c r="K34" s="834"/>
      <c r="L34" s="858">
        <f t="shared" si="0"/>
        <v>126</v>
      </c>
      <c r="M34" s="934"/>
      <c r="N34" s="934"/>
    </row>
    <row r="35" spans="1:14">
      <c r="A35" s="832">
        <v>28</v>
      </c>
      <c r="B35" s="833" t="s">
        <v>603</v>
      </c>
      <c r="C35" s="833" t="s">
        <v>604</v>
      </c>
      <c r="D35" s="832" t="s">
        <v>193</v>
      </c>
      <c r="E35" s="931"/>
      <c r="F35" s="851">
        <f>'TỔNG HỢP THÁNG'!D101</f>
        <v>0</v>
      </c>
      <c r="G35" s="851"/>
      <c r="H35" s="851">
        <f>'TỔNG HỢP THÁNG'!F101</f>
        <v>0</v>
      </c>
      <c r="I35" s="857"/>
      <c r="J35" s="834">
        <f>'TỔNG HỢP THÁNG'!H101</f>
        <v>0</v>
      </c>
      <c r="K35" s="834"/>
      <c r="L35" s="858">
        <f t="shared" ref="L35:L62" si="2">F35+H35-J35</f>
        <v>0</v>
      </c>
      <c r="M35" s="934"/>
      <c r="N35" s="934"/>
    </row>
    <row r="36" spans="1:14">
      <c r="A36" s="832">
        <v>29</v>
      </c>
      <c r="B36" s="833" t="s">
        <v>605</v>
      </c>
      <c r="C36" s="833" t="s">
        <v>606</v>
      </c>
      <c r="D36" s="832" t="s">
        <v>193</v>
      </c>
      <c r="E36" s="931"/>
      <c r="F36" s="851">
        <f>'TỔNG HỢP THÁNG'!D100</f>
        <v>96</v>
      </c>
      <c r="G36" s="851"/>
      <c r="H36" s="851">
        <f>'TỔNG HỢP THÁNG'!F100</f>
        <v>0</v>
      </c>
      <c r="I36" s="857"/>
      <c r="J36" s="834">
        <f>'TỔNG HỢP THÁNG'!H100</f>
        <v>48</v>
      </c>
      <c r="K36" s="834"/>
      <c r="L36" s="858">
        <f t="shared" si="2"/>
        <v>48</v>
      </c>
      <c r="M36" s="934"/>
      <c r="N36" s="934"/>
    </row>
    <row r="37" spans="1:14">
      <c r="A37" s="832">
        <v>30</v>
      </c>
      <c r="B37" s="833" t="s">
        <v>607</v>
      </c>
      <c r="C37" s="833" t="s">
        <v>608</v>
      </c>
      <c r="D37" s="832" t="s">
        <v>193</v>
      </c>
      <c r="E37" s="931"/>
      <c r="F37" s="851">
        <f>'TỔNG HỢP THÁNG'!D103</f>
        <v>30</v>
      </c>
      <c r="G37" s="851"/>
      <c r="H37" s="851">
        <f>'TỔNG HỢP THÁNG'!F103</f>
        <v>192</v>
      </c>
      <c r="I37" s="857"/>
      <c r="J37" s="834">
        <f>'TỔNG HỢP THÁNG'!H103</f>
        <v>72</v>
      </c>
      <c r="K37" s="834"/>
      <c r="L37" s="858">
        <f t="shared" si="2"/>
        <v>150</v>
      </c>
      <c r="M37" s="934"/>
      <c r="N37" s="934"/>
    </row>
    <row r="38" spans="1:14">
      <c r="A38" s="832">
        <v>31</v>
      </c>
      <c r="B38" s="833" t="s">
        <v>609</v>
      </c>
      <c r="C38" s="833" t="s">
        <v>610</v>
      </c>
      <c r="D38" s="832" t="s">
        <v>611</v>
      </c>
      <c r="E38" s="931"/>
      <c r="F38" s="851">
        <f>'BAO BÌ '!D44</f>
        <v>4000</v>
      </c>
      <c r="G38" s="851"/>
      <c r="H38" s="851">
        <f>'BAO BÌ '!F44</f>
        <v>0</v>
      </c>
      <c r="I38" s="857"/>
      <c r="J38" s="834">
        <f>'BAO BÌ '!H44</f>
        <v>0</v>
      </c>
      <c r="K38" s="834"/>
      <c r="L38" s="858">
        <f t="shared" si="2"/>
        <v>4000</v>
      </c>
      <c r="M38" s="934"/>
      <c r="N38" s="934"/>
    </row>
    <row r="39" spans="1:14">
      <c r="A39" s="832">
        <v>32</v>
      </c>
      <c r="B39" s="833" t="s">
        <v>612</v>
      </c>
      <c r="C39" s="833" t="s">
        <v>613</v>
      </c>
      <c r="D39" s="832" t="s">
        <v>143</v>
      </c>
      <c r="E39" s="931"/>
      <c r="F39" s="851">
        <f>'TỔNG HỢP THÁNG'!D232</f>
        <v>1800</v>
      </c>
      <c r="G39" s="851"/>
      <c r="H39" s="851">
        <f>'TỔNG HỢP THÁNG'!F232</f>
        <v>2400</v>
      </c>
      <c r="I39" s="857"/>
      <c r="J39" s="834">
        <f>'TỔNG HỢP THÁNG'!H232</f>
        <v>2760</v>
      </c>
      <c r="K39" s="834"/>
      <c r="L39" s="858">
        <f t="shared" si="2"/>
        <v>1440</v>
      </c>
      <c r="M39" s="934"/>
      <c r="N39" s="934"/>
    </row>
    <row r="40" spans="1:14">
      <c r="A40" s="832">
        <v>33</v>
      </c>
      <c r="B40" s="833" t="s">
        <v>614</v>
      </c>
      <c r="C40" s="833" t="s">
        <v>615</v>
      </c>
      <c r="D40" s="832" t="s">
        <v>193</v>
      </c>
      <c r="E40" s="931"/>
      <c r="F40" s="851">
        <f>'TỔNG HỢP THÁNG'!D94</f>
        <v>7220</v>
      </c>
      <c r="G40" s="851"/>
      <c r="H40" s="851">
        <f>'[1]TỔNG HỢP THÁNG'!F60</f>
        <v>0</v>
      </c>
      <c r="I40" s="857"/>
      <c r="J40" s="834">
        <f>'TỔNG HỢP THÁNG'!H94</f>
        <v>0</v>
      </c>
      <c r="K40" s="834"/>
      <c r="L40" s="858">
        <f t="shared" si="2"/>
        <v>7220</v>
      </c>
      <c r="M40" s="934"/>
      <c r="N40" s="934"/>
    </row>
    <row r="41" spans="1:14">
      <c r="A41" s="832">
        <v>34</v>
      </c>
      <c r="B41" s="833" t="s">
        <v>616</v>
      </c>
      <c r="C41" s="833" t="s">
        <v>617</v>
      </c>
      <c r="D41" s="832" t="s">
        <v>193</v>
      </c>
      <c r="E41" s="931"/>
      <c r="F41" s="851">
        <f>'TỔNG HỢP THÁNG'!D224</f>
        <v>3320</v>
      </c>
      <c r="G41" s="851"/>
      <c r="H41" s="851">
        <f>'TỔNG HỢP THÁNG'!F224</f>
        <v>3000</v>
      </c>
      <c r="I41" s="857"/>
      <c r="J41" s="834">
        <f>'TỔNG HỢP THÁNG'!H224</f>
        <v>4700</v>
      </c>
      <c r="K41" s="834"/>
      <c r="L41" s="858">
        <f>F41+H41-J41</f>
        <v>1620</v>
      </c>
      <c r="M41" s="936"/>
      <c r="N41" s="935">
        <f>'DAY DAI PET'!P41</f>
        <v>800</v>
      </c>
    </row>
    <row r="42" spans="1:14">
      <c r="A42" s="832">
        <v>36</v>
      </c>
      <c r="B42" s="833" t="s">
        <v>628</v>
      </c>
      <c r="C42" s="833" t="s">
        <v>629</v>
      </c>
      <c r="D42" s="832" t="s">
        <v>611</v>
      </c>
      <c r="E42" s="931"/>
      <c r="F42" s="851">
        <f>'TỔNG HỢP THÁNG'!D235</f>
        <v>11</v>
      </c>
      <c r="G42" s="851"/>
      <c r="H42" s="851">
        <v>0</v>
      </c>
      <c r="I42" s="857"/>
      <c r="J42" s="834">
        <f>'TỔNG HỢP THÁNG'!H235</f>
        <v>0</v>
      </c>
      <c r="K42" s="834"/>
      <c r="L42" s="858">
        <f t="shared" si="2"/>
        <v>11</v>
      </c>
      <c r="M42" s="936"/>
      <c r="N42" s="934"/>
    </row>
    <row r="43" spans="1:14">
      <c r="A43" s="832">
        <v>37</v>
      </c>
      <c r="B43" s="833" t="s">
        <v>632</v>
      </c>
      <c r="C43" s="833" t="s">
        <v>633</v>
      </c>
      <c r="D43" s="832" t="s">
        <v>611</v>
      </c>
      <c r="E43" s="931"/>
      <c r="F43" s="851">
        <f>'TỔNG HỢP THÁNG'!D113</f>
        <v>6015</v>
      </c>
      <c r="G43" s="851"/>
      <c r="H43" s="851">
        <f>'TỔNG HỢP THÁNG'!F113</f>
        <v>17020</v>
      </c>
      <c r="I43" s="857"/>
      <c r="J43" s="834">
        <f>'TỔNG HỢP THÁNG'!H113</f>
        <v>19600</v>
      </c>
      <c r="K43" s="834"/>
      <c r="L43" s="858">
        <f t="shared" si="2"/>
        <v>3435</v>
      </c>
      <c r="M43" s="936"/>
      <c r="N43" s="934"/>
    </row>
    <row r="44" spans="1:14">
      <c r="A44" s="832">
        <v>38</v>
      </c>
      <c r="B44" s="833" t="s">
        <v>634</v>
      </c>
      <c r="C44" s="833" t="s">
        <v>635</v>
      </c>
      <c r="D44" s="832" t="s">
        <v>193</v>
      </c>
      <c r="E44" s="931"/>
      <c r="F44" s="851">
        <f>'TỔNG HỢP THÁNG'!D93</f>
        <v>91236</v>
      </c>
      <c r="G44" s="851"/>
      <c r="H44" s="851">
        <f>'TỔNG HỢP THÁNG'!F93</f>
        <v>0</v>
      </c>
      <c r="I44" s="857"/>
      <c r="J44" s="834">
        <f>'TỔNG HỢP THÁNG'!H93</f>
        <v>18200</v>
      </c>
      <c r="K44" s="834"/>
      <c r="L44" s="858">
        <f t="shared" si="2"/>
        <v>73036</v>
      </c>
      <c r="M44" s="936"/>
      <c r="N44" s="934"/>
    </row>
    <row r="45" spans="1:14">
      <c r="A45" s="832">
        <v>39</v>
      </c>
      <c r="B45" s="833" t="s">
        <v>640</v>
      </c>
      <c r="C45" s="833" t="s">
        <v>641</v>
      </c>
      <c r="D45" s="832" t="s">
        <v>193</v>
      </c>
      <c r="E45" s="931"/>
      <c r="F45" s="851">
        <f>'TỔNG HỢP THÁNG'!D226</f>
        <v>0</v>
      </c>
      <c r="G45" s="851"/>
      <c r="H45" s="851">
        <f>'TỔNG HỢP THÁNG'!F226</f>
        <v>10495</v>
      </c>
      <c r="I45" s="857"/>
      <c r="J45" s="834">
        <f>'TỔNG HỢP THÁNG'!H226</f>
        <v>9345</v>
      </c>
      <c r="K45" s="834"/>
      <c r="L45" s="858">
        <f t="shared" si="2"/>
        <v>1150</v>
      </c>
      <c r="M45" s="936"/>
      <c r="N45" s="934"/>
    </row>
    <row r="46" spans="1:14">
      <c r="A46" s="832">
        <v>40</v>
      </c>
      <c r="B46" s="833" t="s">
        <v>642</v>
      </c>
      <c r="C46" s="833" t="s">
        <v>643</v>
      </c>
      <c r="D46" s="832" t="s">
        <v>611</v>
      </c>
      <c r="E46" s="931"/>
      <c r="F46" s="851">
        <f>'TỔNG HỢP THÁNG'!D108</f>
        <v>0</v>
      </c>
      <c r="G46" s="851"/>
      <c r="H46" s="851">
        <f>'TỔNG HỢP THÁNG'!F108</f>
        <v>0</v>
      </c>
      <c r="I46" s="857"/>
      <c r="J46" s="834">
        <f>'TỔNG HỢP THÁNG'!H108</f>
        <v>0</v>
      </c>
      <c r="K46" s="834"/>
      <c r="L46" s="858">
        <f t="shared" si="2"/>
        <v>0</v>
      </c>
      <c r="M46" s="936">
        <f>J46-N46</f>
        <v>0</v>
      </c>
      <c r="N46" s="934">
        <f>'PALLET 1100x1100x85'!K40</f>
        <v>0</v>
      </c>
    </row>
    <row r="47" spans="1:14">
      <c r="A47" s="832">
        <v>41</v>
      </c>
      <c r="B47" s="833" t="s">
        <v>644</v>
      </c>
      <c r="C47" s="833" t="s">
        <v>645</v>
      </c>
      <c r="D47" s="832" t="s">
        <v>611</v>
      </c>
      <c r="E47" s="931"/>
      <c r="F47" s="851">
        <f>SUM('BAO BÌ '!D7:D10)</f>
        <v>35801</v>
      </c>
      <c r="G47" s="851"/>
      <c r="H47" s="851">
        <f>SUM('BAO BÌ '!F7:F10)</f>
        <v>54880</v>
      </c>
      <c r="I47" s="857"/>
      <c r="J47" s="851">
        <f>SUM('BAO BÌ '!H7:H10)</f>
        <v>62400</v>
      </c>
      <c r="K47" s="851"/>
      <c r="L47" s="858">
        <f t="shared" si="2"/>
        <v>28281</v>
      </c>
      <c r="M47" s="936">
        <f>J47-N47</f>
        <v>62400</v>
      </c>
      <c r="N47" s="934">
        <f>'GR TIM 30x60-HA '!K40</f>
        <v>0</v>
      </c>
    </row>
    <row r="48" spans="1:14">
      <c r="A48" s="832">
        <v>42</v>
      </c>
      <c r="B48" s="833" t="s">
        <v>646</v>
      </c>
      <c r="C48" s="833" t="s">
        <v>647</v>
      </c>
      <c r="D48" s="832" t="s">
        <v>611</v>
      </c>
      <c r="E48" s="931"/>
      <c r="F48" s="851">
        <f>SUM('BAO BÌ '!D11:D14)</f>
        <v>4915</v>
      </c>
      <c r="G48" s="851"/>
      <c r="H48" s="851">
        <f>SUM('BAO BÌ '!F11:F14)</f>
        <v>0</v>
      </c>
      <c r="I48" s="857"/>
      <c r="J48" s="834">
        <f>SUM('BAO BÌ '!H11:H14)</f>
        <v>500</v>
      </c>
      <c r="K48" s="834"/>
      <c r="L48" s="858">
        <f t="shared" si="2"/>
        <v>4415</v>
      </c>
      <c r="M48" s="936">
        <f>J48-N48</f>
        <v>500</v>
      </c>
      <c r="N48" s="934">
        <f>'GR XANH 30x60-TTP'!K40</f>
        <v>0</v>
      </c>
    </row>
    <row r="49" spans="1:14">
      <c r="A49" s="832">
        <v>43</v>
      </c>
      <c r="B49" s="833" t="s">
        <v>648</v>
      </c>
      <c r="C49" s="833" t="s">
        <v>649</v>
      </c>
      <c r="D49" s="832" t="s">
        <v>193</v>
      </c>
      <c r="E49" s="931"/>
      <c r="F49" s="851">
        <f>'TỔNG HỢP THÁNG'!D223</f>
        <v>230</v>
      </c>
      <c r="G49" s="851"/>
      <c r="H49" s="851">
        <f>'TỔNG HỢP THÁNG'!F223</f>
        <v>7000</v>
      </c>
      <c r="I49" s="857"/>
      <c r="J49" s="834">
        <f>'TỔNG HỢP THÁNG'!H223</f>
        <v>5730</v>
      </c>
      <c r="K49" s="834"/>
      <c r="L49" s="858">
        <f t="shared" si="2"/>
        <v>1500</v>
      </c>
      <c r="M49" s="936"/>
      <c r="N49" s="934"/>
    </row>
    <row r="50" spans="1:14">
      <c r="A50" s="832">
        <v>44</v>
      </c>
      <c r="B50" s="833" t="s">
        <v>650</v>
      </c>
      <c r="C50" s="833" t="s">
        <v>651</v>
      </c>
      <c r="D50" s="832" t="s">
        <v>611</v>
      </c>
      <c r="E50" s="931"/>
      <c r="F50" s="851">
        <f>SUM('BAO BÌ '!D20:D22)</f>
        <v>2160</v>
      </c>
      <c r="G50" s="851"/>
      <c r="H50" s="851">
        <f>SUM('BAO BÌ '!F20:F22)</f>
        <v>0</v>
      </c>
      <c r="I50" s="857"/>
      <c r="J50" s="834">
        <f>'BAO BÌ '!H20+'BAO BÌ '!H22</f>
        <v>0</v>
      </c>
      <c r="K50" s="834"/>
      <c r="L50" s="858">
        <f t="shared" si="2"/>
        <v>2160</v>
      </c>
      <c r="M50" s="936">
        <f>J50-N50</f>
        <v>0</v>
      </c>
      <c r="N50" s="934">
        <f>'LUXURY 30x60-HA'!K40</f>
        <v>0</v>
      </c>
    </row>
    <row r="51" spans="1:14">
      <c r="A51" s="832">
        <v>45</v>
      </c>
      <c r="B51" s="833" t="s">
        <v>652</v>
      </c>
      <c r="C51" s="833" t="s">
        <v>653</v>
      </c>
      <c r="D51" s="832" t="s">
        <v>611</v>
      </c>
      <c r="E51" s="931"/>
      <c r="F51" s="851">
        <f>'BAO BÌ '!D16</f>
        <v>0</v>
      </c>
      <c r="G51" s="851"/>
      <c r="H51" s="851">
        <f>'BAO BÌ '!F16</f>
        <v>0</v>
      </c>
      <c r="I51" s="857"/>
      <c r="J51" s="834">
        <f>'BAO BÌ '!H16</f>
        <v>0</v>
      </c>
      <c r="K51" s="834"/>
      <c r="L51" s="858">
        <f t="shared" si="2"/>
        <v>0</v>
      </c>
      <c r="M51" s="936">
        <f>J51-N51</f>
        <v>0</v>
      </c>
      <c r="N51" s="934">
        <f>'SAHADO NEW 30x60-HA'!K40</f>
        <v>0</v>
      </c>
    </row>
    <row r="52" spans="1:14">
      <c r="A52" s="832">
        <v>46</v>
      </c>
      <c r="B52" s="833" t="s">
        <v>656</v>
      </c>
      <c r="C52" s="833" t="s">
        <v>657</v>
      </c>
      <c r="D52" s="832" t="s">
        <v>611</v>
      </c>
      <c r="E52" s="931"/>
      <c r="F52" s="851">
        <f>'BAO BÌ '!D29</f>
        <v>0</v>
      </c>
      <c r="G52" s="851"/>
      <c r="H52" s="851">
        <f>'BAO BÌ '!F29</f>
        <v>0</v>
      </c>
      <c r="I52" s="857"/>
      <c r="J52" s="834">
        <f>'BAO BÌ '!H29</f>
        <v>0</v>
      </c>
      <c r="K52" s="834"/>
      <c r="L52" s="858">
        <f t="shared" si="2"/>
        <v>0</v>
      </c>
      <c r="M52" s="936"/>
      <c r="N52" s="934"/>
    </row>
    <row r="53" spans="1:14">
      <c r="A53" s="832">
        <v>47</v>
      </c>
      <c r="B53" s="856" t="s">
        <v>658</v>
      </c>
      <c r="C53" s="856" t="s">
        <v>659</v>
      </c>
      <c r="D53" s="138" t="s">
        <v>611</v>
      </c>
      <c r="E53" s="268"/>
      <c r="F53" s="852">
        <f>'BAO BÌ '!D27</f>
        <v>5792</v>
      </c>
      <c r="G53" s="852"/>
      <c r="H53" s="852">
        <f>'BAO BÌ '!F27</f>
        <v>4810</v>
      </c>
      <c r="I53" s="857"/>
      <c r="J53" s="857">
        <f>'BAO BÌ '!H27</f>
        <v>1050</v>
      </c>
      <c r="K53" s="857"/>
      <c r="L53" s="858">
        <f t="shared" si="2"/>
        <v>9552</v>
      </c>
      <c r="M53" s="936"/>
      <c r="N53" s="934"/>
    </row>
    <row r="54" spans="1:14">
      <c r="A54" s="832">
        <v>48</v>
      </c>
      <c r="B54" s="833" t="s">
        <v>660</v>
      </c>
      <c r="C54" s="833" t="s">
        <v>661</v>
      </c>
      <c r="D54" s="832" t="s">
        <v>611</v>
      </c>
      <c r="E54" s="931"/>
      <c r="F54" s="851">
        <f>'BAO BÌ '!D47</f>
        <v>9070</v>
      </c>
      <c r="G54" s="851"/>
      <c r="H54" s="851">
        <f>'BAO BÌ '!F47</f>
        <v>0</v>
      </c>
      <c r="I54" s="834"/>
      <c r="J54" s="834">
        <f>'BAO BÌ '!H47</f>
        <v>30</v>
      </c>
      <c r="K54" s="834"/>
      <c r="L54" s="858">
        <f t="shared" si="2"/>
        <v>9040</v>
      </c>
      <c r="M54" s="936"/>
      <c r="N54" s="934">
        <f>'LUXURY 40x80-HA'!K40</f>
        <v>30</v>
      </c>
    </row>
    <row r="55" spans="1:14">
      <c r="A55" s="832">
        <v>49</v>
      </c>
      <c r="B55" s="833" t="s">
        <v>662</v>
      </c>
      <c r="C55" s="833" t="s">
        <v>663</v>
      </c>
      <c r="D55" s="832" t="s">
        <v>193</v>
      </c>
      <c r="E55" s="931"/>
      <c r="F55" s="851">
        <f>'TỔNG HỢP THÁNG'!D227</f>
        <v>215</v>
      </c>
      <c r="G55" s="851"/>
      <c r="H55" s="851">
        <f>'TỔNG HỢP THÁNG'!F227</f>
        <v>0</v>
      </c>
      <c r="I55" s="834"/>
      <c r="J55" s="834">
        <f>'TỔNG HỢP THÁNG'!H227</f>
        <v>0</v>
      </c>
      <c r="K55" s="834"/>
      <c r="L55" s="858">
        <f t="shared" si="2"/>
        <v>215</v>
      </c>
      <c r="M55" s="936"/>
      <c r="N55" s="934"/>
    </row>
    <row r="56" spans="1:14">
      <c r="A56" s="832">
        <v>50</v>
      </c>
      <c r="B56" s="833" t="s">
        <v>664</v>
      </c>
      <c r="C56" s="833" t="s">
        <v>665</v>
      </c>
      <c r="D56" s="832" t="s">
        <v>611</v>
      </c>
      <c r="E56" s="931"/>
      <c r="F56" s="851">
        <f>'TỔNG HỢP THÁNG'!D115</f>
        <v>1750</v>
      </c>
      <c r="G56" s="851"/>
      <c r="H56" s="851">
        <f>'TỔNG HỢP THÁNG'!F115</f>
        <v>6880</v>
      </c>
      <c r="I56" s="834"/>
      <c r="J56" s="834">
        <f>'TỔNG HỢP THÁNG'!H115</f>
        <v>5200</v>
      </c>
      <c r="K56" s="834"/>
      <c r="L56" s="858">
        <f t="shared" si="2"/>
        <v>3430</v>
      </c>
      <c r="M56" s="936"/>
      <c r="N56" s="934"/>
    </row>
    <row r="57" spans="1:14">
      <c r="A57" s="832">
        <v>51</v>
      </c>
      <c r="B57" s="833" t="s">
        <v>666</v>
      </c>
      <c r="C57" s="833" t="s">
        <v>667</v>
      </c>
      <c r="D57" s="832" t="s">
        <v>611</v>
      </c>
      <c r="E57" s="931"/>
      <c r="F57" s="851">
        <f>'BAO BÌ '!D61</f>
        <v>8500</v>
      </c>
      <c r="G57" s="851"/>
      <c r="H57" s="851">
        <f>'[1]BAO BÌ '!F32</f>
        <v>0</v>
      </c>
      <c r="I57" s="834"/>
      <c r="J57" s="834">
        <f>'BAO BÌ '!H61</f>
        <v>500</v>
      </c>
      <c r="K57" s="834"/>
      <c r="L57" s="858">
        <f t="shared" si="2"/>
        <v>8000</v>
      </c>
      <c r="M57" s="936"/>
      <c r="N57" s="934"/>
    </row>
    <row r="58" spans="1:14">
      <c r="A58" s="832">
        <v>52</v>
      </c>
      <c r="B58" s="833" t="s">
        <v>668</v>
      </c>
      <c r="C58" s="833" t="s">
        <v>669</v>
      </c>
      <c r="D58" s="832" t="s">
        <v>611</v>
      </c>
      <c r="E58" s="931"/>
      <c r="F58" s="851">
        <f>'BAO BÌ '!D46</f>
        <v>2105</v>
      </c>
      <c r="G58" s="851"/>
      <c r="H58" s="851">
        <f>'BAO BÌ '!F46</f>
        <v>0</v>
      </c>
      <c r="I58" s="834"/>
      <c r="J58" s="834">
        <f>'BAO BÌ '!H46</f>
        <v>0</v>
      </c>
      <c r="K58" s="834"/>
      <c r="L58" s="858">
        <f t="shared" si="2"/>
        <v>2105</v>
      </c>
      <c r="M58" s="936"/>
      <c r="N58" s="934">
        <f>'SAHADO 40x80-HA '!K40</f>
        <v>0</v>
      </c>
    </row>
    <row r="59" spans="1:14">
      <c r="A59" s="832">
        <v>53</v>
      </c>
      <c r="B59" s="833" t="s">
        <v>670</v>
      </c>
      <c r="C59" s="833" t="s">
        <v>671</v>
      </c>
      <c r="D59" s="832" t="s">
        <v>611</v>
      </c>
      <c r="E59" s="931"/>
      <c r="F59" s="851">
        <f>'BAO BÌ '!D49</f>
        <v>4642</v>
      </c>
      <c r="G59" s="851"/>
      <c r="H59" s="851">
        <f>'BAO BÌ '!F49</f>
        <v>0</v>
      </c>
      <c r="I59" s="834"/>
      <c r="J59" s="834">
        <f>'BAO BÌ '!H49</f>
        <v>0</v>
      </c>
      <c r="K59" s="834"/>
      <c r="L59" s="858">
        <f t="shared" si="2"/>
        <v>4642</v>
      </c>
      <c r="M59" s="936"/>
      <c r="N59" s="934"/>
    </row>
    <row r="60" spans="1:14">
      <c r="A60" s="832">
        <v>54</v>
      </c>
      <c r="B60" s="965" t="s">
        <v>768</v>
      </c>
      <c r="C60" s="965" t="s">
        <v>767</v>
      </c>
      <c r="D60" s="832" t="s">
        <v>611</v>
      </c>
      <c r="E60" s="931"/>
      <c r="F60" s="851">
        <f>'BAO BÌ '!D31</f>
        <v>0</v>
      </c>
      <c r="G60" s="851"/>
      <c r="H60" s="851">
        <f>'BAO BÌ '!F31</f>
        <v>0</v>
      </c>
      <c r="I60" s="834"/>
      <c r="J60" s="834">
        <f>'BAO BÌ '!H31</f>
        <v>0</v>
      </c>
      <c r="K60" s="834"/>
      <c r="L60" s="858">
        <f t="shared" si="2"/>
        <v>0</v>
      </c>
      <c r="M60" s="936"/>
      <c r="N60" s="934"/>
    </row>
    <row r="61" spans="1:14">
      <c r="A61" s="832">
        <v>55</v>
      </c>
      <c r="B61" s="833" t="s">
        <v>699</v>
      </c>
      <c r="C61" s="833" t="s">
        <v>700</v>
      </c>
      <c r="D61" s="832" t="s">
        <v>611</v>
      </c>
      <c r="E61" s="931"/>
      <c r="F61" s="851">
        <f>'BAO BÌ '!D52</f>
        <v>1200</v>
      </c>
      <c r="G61" s="851"/>
      <c r="H61" s="851">
        <f>'BAO BÌ '!F52</f>
        <v>0</v>
      </c>
      <c r="I61" s="834"/>
      <c r="J61" s="834">
        <f>'BAO BÌ '!H52</f>
        <v>0</v>
      </c>
      <c r="K61" s="834"/>
      <c r="L61" s="858">
        <f t="shared" si="2"/>
        <v>1200</v>
      </c>
      <c r="M61" s="936"/>
      <c r="N61" s="934"/>
    </row>
    <row r="62" spans="1:14">
      <c r="A62" s="832">
        <v>56</v>
      </c>
      <c r="B62" s="833" t="s">
        <v>766</v>
      </c>
      <c r="C62" s="833" t="s">
        <v>765</v>
      </c>
      <c r="D62" s="832" t="s">
        <v>611</v>
      </c>
      <c r="E62" s="832"/>
      <c r="F62" s="834">
        <f>'BAO BÌ '!D53</f>
        <v>0</v>
      </c>
      <c r="G62" s="834"/>
      <c r="H62" s="834">
        <f>'BAO BÌ '!F53</f>
        <v>0</v>
      </c>
      <c r="I62" s="834"/>
      <c r="J62" s="834">
        <f>'BAO BÌ '!H53</f>
        <v>0</v>
      </c>
      <c r="K62" s="834"/>
      <c r="L62" s="858">
        <f t="shared" si="2"/>
        <v>0</v>
      </c>
      <c r="M62" s="936"/>
      <c r="N62" s="934"/>
    </row>
    <row r="63" spans="1:14" s="964" customFormat="1" ht="12.75">
      <c r="A63" s="1551" t="s">
        <v>701</v>
      </c>
      <c r="B63" s="1552"/>
      <c r="C63" s="1552"/>
      <c r="D63" s="1553"/>
      <c r="E63" s="962"/>
      <c r="F63" s="932">
        <f t="shared" ref="F63:N63" si="3">SUM(F8:F62)</f>
        <v>622532.5</v>
      </c>
      <c r="G63" s="932">
        <f t="shared" si="3"/>
        <v>0</v>
      </c>
      <c r="H63" s="932">
        <f t="shared" si="3"/>
        <v>408392</v>
      </c>
      <c r="I63" s="932">
        <f t="shared" si="3"/>
        <v>201996.5</v>
      </c>
      <c r="J63" s="932">
        <f t="shared" si="3"/>
        <v>341047.5</v>
      </c>
      <c r="K63" s="932">
        <f t="shared" si="3"/>
        <v>0</v>
      </c>
      <c r="L63" s="932">
        <f t="shared" si="3"/>
        <v>689877</v>
      </c>
      <c r="M63" s="932">
        <f t="shared" si="3"/>
        <v>62900</v>
      </c>
      <c r="N63" s="932">
        <f t="shared" si="3"/>
        <v>830</v>
      </c>
    </row>
    <row r="64" spans="1:14">
      <c r="A64" s="830"/>
      <c r="B64" s="829"/>
      <c r="C64" s="829"/>
      <c r="F64" s="841"/>
      <c r="G64" s="841"/>
      <c r="I64" s="1558" t="s">
        <v>764</v>
      </c>
      <c r="J64" s="1558"/>
      <c r="K64" s="1558"/>
      <c r="L64" s="1558"/>
    </row>
    <row r="65" spans="1:12">
      <c r="A65" s="1556" t="s">
        <v>755</v>
      </c>
      <c r="B65" s="1556"/>
      <c r="C65" s="1556"/>
      <c r="D65" s="1556"/>
      <c r="E65" s="1556" t="s">
        <v>357</v>
      </c>
      <c r="F65" s="1556"/>
      <c r="G65" s="1556"/>
      <c r="H65" s="1556"/>
      <c r="I65" s="1556" t="s">
        <v>680</v>
      </c>
      <c r="J65" s="1556"/>
      <c r="K65" s="1556"/>
      <c r="L65" s="1556"/>
    </row>
    <row r="66" spans="1:12">
      <c r="A66" s="1557" t="s">
        <v>685</v>
      </c>
      <c r="B66" s="1557"/>
      <c r="C66" s="1557"/>
      <c r="D66" s="1557"/>
      <c r="E66" s="1557" t="s">
        <v>685</v>
      </c>
      <c r="F66" s="1557"/>
      <c r="G66" s="1557"/>
      <c r="H66" s="1557"/>
      <c r="I66" s="1557" t="s">
        <v>685</v>
      </c>
      <c r="J66" s="1557"/>
      <c r="K66" s="1557"/>
      <c r="L66" s="1557"/>
    </row>
    <row r="67" spans="1:12" ht="64.5" customHeight="1">
      <c r="A67" s="853"/>
      <c r="B67" s="1554"/>
      <c r="C67" s="1554"/>
      <c r="D67" s="1554"/>
      <c r="E67" s="961"/>
      <c r="F67" s="963"/>
      <c r="G67" s="963"/>
      <c r="H67" s="963"/>
      <c r="I67" s="1555" t="s">
        <v>333</v>
      </c>
      <c r="J67" s="1555"/>
      <c r="K67" s="1555"/>
      <c r="L67" s="1555"/>
    </row>
  </sheetData>
  <mergeCells count="20">
    <mergeCell ref="G6:H6"/>
    <mergeCell ref="I6:J6"/>
    <mergeCell ref="K6:L6"/>
    <mergeCell ref="M6:M7"/>
    <mergeCell ref="N6:N7"/>
    <mergeCell ref="A63:D63"/>
    <mergeCell ref="B67:D67"/>
    <mergeCell ref="I67:L67"/>
    <mergeCell ref="A65:D65"/>
    <mergeCell ref="E65:H65"/>
    <mergeCell ref="I65:L65"/>
    <mergeCell ref="A66:D66"/>
    <mergeCell ref="E66:H66"/>
    <mergeCell ref="I66:L66"/>
    <mergeCell ref="I64:L64"/>
    <mergeCell ref="A6:A7"/>
    <mergeCell ref="B6:B7"/>
    <mergeCell ref="C6:C7"/>
    <mergeCell ref="D6:D7"/>
    <mergeCell ref="E6:F6"/>
  </mergeCells>
  <conditionalFormatting sqref="C4">
    <cfRule type="duplicateValues" dxfId="12360" priority="1"/>
  </conditionalFormatting>
  <pageMargins left="0.28999999999999998" right="0" top="0.18" bottom="0" header="0.196850393700787" footer="0.31496062992126"/>
  <pageSetup paperSize="9" orientation="landscape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F60"/>
  <sheetViews>
    <sheetView topLeftCell="A5" workbookViewId="0">
      <selection activeCell="I52" sqref="I52"/>
    </sheetView>
  </sheetViews>
  <sheetFormatPr defaultRowHeight="15"/>
  <cols>
    <col min="1" max="1" width="6.140625" style="830" customWidth="1"/>
    <col min="2" max="2" width="16" style="829" customWidth="1"/>
    <col min="3" max="3" width="35.28515625" style="829" customWidth="1"/>
    <col min="4" max="4" width="6" style="829" customWidth="1"/>
    <col min="5" max="6" width="16.42578125" style="829" customWidth="1"/>
    <col min="7" max="7" width="9.42578125" style="829" customWidth="1"/>
    <col min="8" max="16384" width="9.140625" style="829"/>
  </cols>
  <sheetData>
    <row r="1" spans="1:6">
      <c r="A1" s="831" t="s">
        <v>111</v>
      </c>
      <c r="B1" s="318"/>
      <c r="C1" s="318"/>
      <c r="D1" s="318"/>
    </row>
    <row r="2" spans="1:6">
      <c r="A2" s="323" t="s">
        <v>173</v>
      </c>
    </row>
    <row r="3" spans="1:6">
      <c r="A3" s="323"/>
    </row>
    <row r="4" spans="1:6" ht="20.25">
      <c r="A4" s="1562" t="s">
        <v>778</v>
      </c>
      <c r="B4" s="1562"/>
      <c r="C4" s="1562"/>
      <c r="D4" s="1562"/>
      <c r="E4" s="1562"/>
      <c r="F4" s="1562"/>
    </row>
    <row r="5" spans="1:6">
      <c r="A5" s="1563" t="s">
        <v>779</v>
      </c>
      <c r="B5" s="1563"/>
      <c r="C5" s="1563"/>
      <c r="D5" s="1563"/>
      <c r="E5" s="1563"/>
      <c r="F5" s="1563"/>
    </row>
    <row r="6" spans="1:6">
      <c r="A6" s="838"/>
      <c r="B6" s="838"/>
      <c r="C6" s="838"/>
      <c r="D6" s="838"/>
      <c r="E6" s="838"/>
      <c r="F6" s="838"/>
    </row>
    <row r="7" spans="1:6" s="835" customFormat="1" ht="14.25">
      <c r="A7" s="1548" t="s">
        <v>682</v>
      </c>
      <c r="B7" s="1548" t="s">
        <v>116</v>
      </c>
      <c r="C7" s="1548" t="s">
        <v>482</v>
      </c>
      <c r="D7" s="1548" t="s">
        <v>683</v>
      </c>
      <c r="E7" s="1548" t="s">
        <v>684</v>
      </c>
      <c r="F7" s="1548"/>
    </row>
    <row r="8" spans="1:6" s="835" customFormat="1" ht="14.25">
      <c r="A8" s="1548"/>
      <c r="B8" s="1548"/>
      <c r="C8" s="1548"/>
      <c r="D8" s="1548"/>
      <c r="E8" s="836" t="s">
        <v>6</v>
      </c>
      <c r="F8" s="837" t="s">
        <v>12</v>
      </c>
    </row>
    <row r="9" spans="1:6">
      <c r="A9" s="832">
        <v>1</v>
      </c>
      <c r="B9" s="833" t="s">
        <v>487</v>
      </c>
      <c r="C9" s="833" t="s">
        <v>488</v>
      </c>
      <c r="D9" s="832" t="s">
        <v>193</v>
      </c>
      <c r="E9" s="834">
        <f>'TH KẾ TOÁN'!H10</f>
        <v>3986</v>
      </c>
      <c r="F9" s="834">
        <f>'TH KẾ TOÁN'!I10</f>
        <v>3986</v>
      </c>
    </row>
    <row r="10" spans="1:6">
      <c r="A10" s="832">
        <v>2</v>
      </c>
      <c r="B10" s="833" t="s">
        <v>489</v>
      </c>
      <c r="C10" s="833" t="s">
        <v>490</v>
      </c>
      <c r="D10" s="832" t="s">
        <v>193</v>
      </c>
      <c r="E10" s="834">
        <f>'TH KẾ TOÁN'!H11</f>
        <v>0</v>
      </c>
      <c r="F10" s="834">
        <f>'TH KẾ TOÁN'!I11</f>
        <v>0</v>
      </c>
    </row>
    <row r="11" spans="1:6">
      <c r="A11" s="832">
        <v>3</v>
      </c>
      <c r="B11" s="833" t="s">
        <v>495</v>
      </c>
      <c r="C11" s="833" t="s">
        <v>496</v>
      </c>
      <c r="D11" s="832" t="s">
        <v>193</v>
      </c>
      <c r="E11" s="834">
        <f>'TH KẾ TOÁN'!H13</f>
        <v>0</v>
      </c>
      <c r="F11" s="834">
        <f>'TH KẾ TOÁN'!I13</f>
        <v>0</v>
      </c>
    </row>
    <row r="12" spans="1:6">
      <c r="A12" s="832">
        <v>4</v>
      </c>
      <c r="B12" s="833" t="s">
        <v>769</v>
      </c>
      <c r="C12" s="1000" t="s">
        <v>770</v>
      </c>
      <c r="D12" s="832" t="s">
        <v>193</v>
      </c>
      <c r="E12" s="834">
        <f>'TỔNG HỢP THÁNG'!H12</f>
        <v>30498</v>
      </c>
      <c r="F12" s="834">
        <f>'TỔNG HỢP THÁNG'!I12</f>
        <v>41750</v>
      </c>
    </row>
    <row r="13" spans="1:6">
      <c r="A13" s="832">
        <v>5</v>
      </c>
      <c r="B13" s="833" t="s">
        <v>801</v>
      </c>
      <c r="C13" s="856" t="s">
        <v>802</v>
      </c>
      <c r="D13" s="832" t="s">
        <v>193</v>
      </c>
      <c r="E13" s="834">
        <f>'TH KẾ TOÁN'!H15</f>
        <v>5629</v>
      </c>
      <c r="F13" s="834">
        <f>'TH KẾ TOÁN'!I15</f>
        <v>5662</v>
      </c>
    </row>
    <row r="14" spans="1:6">
      <c r="A14" s="832">
        <v>6</v>
      </c>
      <c r="B14" s="833" t="s">
        <v>497</v>
      </c>
      <c r="C14" s="833" t="s">
        <v>498</v>
      </c>
      <c r="D14" s="832" t="s">
        <v>193</v>
      </c>
      <c r="E14" s="834">
        <f>'TH KẾ TOÁN'!H16</f>
        <v>37545</v>
      </c>
      <c r="F14" s="834">
        <f>'TH KẾ TOÁN'!I16</f>
        <v>37937</v>
      </c>
    </row>
    <row r="15" spans="1:6">
      <c r="A15" s="832">
        <v>7</v>
      </c>
      <c r="B15" s="856" t="s">
        <v>499</v>
      </c>
      <c r="C15" s="856" t="s">
        <v>500</v>
      </c>
      <c r="D15" s="832" t="s">
        <v>193</v>
      </c>
      <c r="E15" s="834">
        <f>'TH KẾ TOÁN'!H17</f>
        <v>0</v>
      </c>
      <c r="F15" s="834">
        <f>'TH KẾ TOÁN'!I17</f>
        <v>0</v>
      </c>
    </row>
    <row r="16" spans="1:6">
      <c r="A16" s="832">
        <v>8</v>
      </c>
      <c r="B16" s="833" t="s">
        <v>513</v>
      </c>
      <c r="C16" s="833" t="s">
        <v>514</v>
      </c>
      <c r="D16" s="832" t="s">
        <v>193</v>
      </c>
      <c r="E16" s="834">
        <f>'TH KẾ TOÁN'!H25</f>
        <v>12480</v>
      </c>
      <c r="F16" s="834">
        <f>'TH KẾ TOÁN'!I25</f>
        <v>12678</v>
      </c>
    </row>
    <row r="17" spans="1:6">
      <c r="A17" s="832">
        <v>9</v>
      </c>
      <c r="B17" s="833" t="s">
        <v>533</v>
      </c>
      <c r="C17" s="833" t="s">
        <v>534</v>
      </c>
      <c r="D17" s="832" t="s">
        <v>193</v>
      </c>
      <c r="E17" s="834">
        <f>'TH KẾ TOÁN'!H37</f>
        <v>14101</v>
      </c>
      <c r="F17" s="834">
        <f>'TH KẾ TOÁN'!I37</f>
        <v>14286</v>
      </c>
    </row>
    <row r="18" spans="1:6">
      <c r="A18" s="832">
        <v>10</v>
      </c>
      <c r="B18" s="833" t="s">
        <v>535</v>
      </c>
      <c r="C18" s="833" t="s">
        <v>536</v>
      </c>
      <c r="D18" s="832" t="s">
        <v>193</v>
      </c>
      <c r="E18" s="834" t="e">
        <f>'TH KẾ TOÁN'!#REF!</f>
        <v>#REF!</v>
      </c>
      <c r="F18" s="834" t="e">
        <f>'TH KẾ TOÁN'!#REF!</f>
        <v>#REF!</v>
      </c>
    </row>
    <row r="19" spans="1:6">
      <c r="A19" s="832">
        <v>11</v>
      </c>
      <c r="B19" s="833" t="s">
        <v>547</v>
      </c>
      <c r="C19" s="833" t="s">
        <v>548</v>
      </c>
      <c r="D19" s="832" t="s">
        <v>193</v>
      </c>
      <c r="E19" s="834" t="e">
        <f>'TH KẾ TOÁN'!#REF!</f>
        <v>#REF!</v>
      </c>
      <c r="F19" s="834" t="e">
        <f>'TH KẾ TOÁN'!#REF!</f>
        <v>#REF!</v>
      </c>
    </row>
    <row r="20" spans="1:6">
      <c r="A20" s="832">
        <v>12</v>
      </c>
      <c r="B20" s="833" t="s">
        <v>695</v>
      </c>
      <c r="C20" s="856" t="s">
        <v>696</v>
      </c>
      <c r="D20" s="832" t="s">
        <v>193</v>
      </c>
      <c r="E20" s="834">
        <f>'TH KẾ TOÁN'!H48</f>
        <v>0</v>
      </c>
      <c r="F20" s="834">
        <f>'TH KẾ TOÁN'!I48</f>
        <v>0</v>
      </c>
    </row>
    <row r="21" spans="1:6">
      <c r="A21" s="832">
        <v>13</v>
      </c>
      <c r="B21" s="833" t="s">
        <v>803</v>
      </c>
      <c r="C21" s="856" t="s">
        <v>804</v>
      </c>
      <c r="D21" s="832" t="s">
        <v>193</v>
      </c>
      <c r="E21" s="834">
        <f>'TH KẾ TOÁN'!H45</f>
        <v>53805</v>
      </c>
      <c r="F21" s="834">
        <f>'TH KẾ TOÁN'!I45</f>
        <v>54791</v>
      </c>
    </row>
    <row r="22" spans="1:6">
      <c r="A22" s="832">
        <v>14</v>
      </c>
      <c r="B22" s="977" t="s">
        <v>775</v>
      </c>
      <c r="C22" s="856" t="s">
        <v>776</v>
      </c>
      <c r="D22" s="832" t="s">
        <v>193</v>
      </c>
      <c r="E22" s="834">
        <f>'TH KẾ TOÁN'!H59</f>
        <v>0</v>
      </c>
      <c r="F22" s="834">
        <f>'TH KẾ TOÁN'!I59</f>
        <v>0</v>
      </c>
    </row>
    <row r="23" spans="1:6">
      <c r="A23" s="832">
        <v>15</v>
      </c>
      <c r="B23" s="833" t="s">
        <v>805</v>
      </c>
      <c r="C23" s="856" t="s">
        <v>806</v>
      </c>
      <c r="D23" s="832" t="s">
        <v>193</v>
      </c>
      <c r="E23" s="834">
        <f>'TH KẾ TOÁN'!H60</f>
        <v>0</v>
      </c>
      <c r="F23" s="834">
        <f>'TH KẾ TOÁN'!I60</f>
        <v>0</v>
      </c>
    </row>
    <row r="24" spans="1:6">
      <c r="A24" s="832">
        <v>16</v>
      </c>
      <c r="B24" s="833" t="s">
        <v>697</v>
      </c>
      <c r="C24" s="833" t="s">
        <v>698</v>
      </c>
      <c r="D24" s="832" t="s">
        <v>193</v>
      </c>
      <c r="E24" s="834">
        <f>'TH KẾ TOÁN'!H57</f>
        <v>0</v>
      </c>
      <c r="F24" s="834">
        <f>'TH KẾ TOÁN'!I57</f>
        <v>0</v>
      </c>
    </row>
    <row r="25" spans="1:6">
      <c r="A25" s="832">
        <v>17</v>
      </c>
      <c r="B25" s="833" t="s">
        <v>561</v>
      </c>
      <c r="C25" s="833" t="s">
        <v>562</v>
      </c>
      <c r="D25" s="832" t="s">
        <v>193</v>
      </c>
      <c r="E25" s="834">
        <f>'TH KẾ TOÁN'!H58</f>
        <v>0</v>
      </c>
      <c r="F25" s="834">
        <f>'TH KẾ TOÁN'!I58</f>
        <v>0</v>
      </c>
    </row>
    <row r="26" spans="1:6">
      <c r="A26" s="832">
        <v>18</v>
      </c>
      <c r="B26" s="833" t="s">
        <v>563</v>
      </c>
      <c r="C26" s="833" t="s">
        <v>564</v>
      </c>
      <c r="D26" s="832" t="s">
        <v>193</v>
      </c>
      <c r="E26" s="834">
        <f>'TH KẾ TOÁN'!H70</f>
        <v>2160.4999999999995</v>
      </c>
      <c r="F26" s="834">
        <f>'TH KẾ TOÁN'!I70</f>
        <v>2160.4999999999995</v>
      </c>
    </row>
    <row r="27" spans="1:6">
      <c r="A27" s="832">
        <v>19</v>
      </c>
      <c r="B27" s="833" t="s">
        <v>565</v>
      </c>
      <c r="C27" s="833" t="s">
        <v>566</v>
      </c>
      <c r="D27" s="832" t="s">
        <v>193</v>
      </c>
      <c r="E27" s="834">
        <f>'TH KẾ TOÁN'!H71</f>
        <v>0</v>
      </c>
      <c r="F27" s="834">
        <f>'TH KẾ TOÁN'!I71</f>
        <v>0</v>
      </c>
    </row>
    <row r="28" spans="1:6">
      <c r="A28" s="832">
        <v>20</v>
      </c>
      <c r="B28" s="833" t="s">
        <v>567</v>
      </c>
      <c r="C28" s="833" t="s">
        <v>568</v>
      </c>
      <c r="D28" s="832" t="s">
        <v>193</v>
      </c>
      <c r="E28" s="834">
        <f>'TH KẾ TOÁN'!H72</f>
        <v>0</v>
      </c>
      <c r="F28" s="834">
        <f>'TH KẾ TOÁN'!I72</f>
        <v>0</v>
      </c>
    </row>
    <row r="29" spans="1:6">
      <c r="A29" s="832">
        <v>21</v>
      </c>
      <c r="B29" s="833" t="s">
        <v>571</v>
      </c>
      <c r="C29" s="833" t="s">
        <v>572</v>
      </c>
      <c r="D29" s="832" t="s">
        <v>193</v>
      </c>
      <c r="E29" s="834">
        <f>'TH KẾ TOÁN'!H76</f>
        <v>0</v>
      </c>
      <c r="F29" s="834">
        <f>'TH KẾ TOÁN'!I76</f>
        <v>0</v>
      </c>
    </row>
    <row r="30" spans="1:6">
      <c r="A30" s="832">
        <v>22</v>
      </c>
      <c r="B30" s="833" t="s">
        <v>573</v>
      </c>
      <c r="C30" s="833" t="s">
        <v>574</v>
      </c>
      <c r="D30" s="832" t="s">
        <v>193</v>
      </c>
      <c r="E30" s="834">
        <f>'TH KẾ TOÁN'!H77</f>
        <v>39690</v>
      </c>
      <c r="F30" s="834">
        <f>'TH KẾ TOÁN'!I77</f>
        <v>39974</v>
      </c>
    </row>
    <row r="31" spans="1:6">
      <c r="A31" s="832">
        <v>23</v>
      </c>
      <c r="B31" s="833" t="s">
        <v>575</v>
      </c>
      <c r="C31" s="833" t="s">
        <v>576</v>
      </c>
      <c r="D31" s="832" t="s">
        <v>193</v>
      </c>
      <c r="E31" s="834">
        <f>'TH KẾ TOÁN'!H78</f>
        <v>3600</v>
      </c>
      <c r="F31" s="834">
        <f>'TH KẾ TOÁN'!I78</f>
        <v>4113</v>
      </c>
    </row>
    <row r="32" spans="1:6">
      <c r="A32" s="832">
        <v>24</v>
      </c>
      <c r="B32" s="833" t="s">
        <v>585</v>
      </c>
      <c r="C32" s="833" t="s">
        <v>586</v>
      </c>
      <c r="D32" s="832" t="s">
        <v>193</v>
      </c>
      <c r="E32" s="834">
        <f>'TH KẾ TOÁN'!H85</f>
        <v>15512</v>
      </c>
      <c r="F32" s="834">
        <f>'TH KẾ TOÁN'!I85</f>
        <v>21039</v>
      </c>
    </row>
    <row r="33" spans="1:6">
      <c r="A33" s="832">
        <v>25</v>
      </c>
      <c r="B33" s="833" t="s">
        <v>587</v>
      </c>
      <c r="C33" s="833" t="s">
        <v>588</v>
      </c>
      <c r="D33" s="832" t="s">
        <v>193</v>
      </c>
      <c r="E33" s="834">
        <f>'TH KẾ TOÁN'!H87</f>
        <v>0</v>
      </c>
      <c r="F33" s="834">
        <f>'TH KẾ TOÁN'!I87</f>
        <v>0</v>
      </c>
    </row>
    <row r="34" spans="1:6">
      <c r="A34" s="832">
        <v>26</v>
      </c>
      <c r="B34" s="833" t="s">
        <v>753</v>
      </c>
      <c r="C34" s="833" t="s">
        <v>754</v>
      </c>
      <c r="D34" s="832" t="s">
        <v>193</v>
      </c>
      <c r="E34" s="834">
        <f>'TỔNG HỢP THÁNG'!H57</f>
        <v>0</v>
      </c>
      <c r="F34" s="834">
        <f>'TỔNG HỢP THÁNG'!I57</f>
        <v>0</v>
      </c>
    </row>
    <row r="35" spans="1:6">
      <c r="A35" s="832">
        <v>27</v>
      </c>
      <c r="B35" s="977" t="s">
        <v>812</v>
      </c>
      <c r="C35" s="856" t="s">
        <v>813</v>
      </c>
      <c r="D35" s="832" t="s">
        <v>193</v>
      </c>
      <c r="E35" s="834">
        <f>'TH KẾ TOÁN'!H46</f>
        <v>0</v>
      </c>
      <c r="F35" s="834">
        <f>'TH KẾ TOÁN'!I46</f>
        <v>0</v>
      </c>
    </row>
    <row r="36" spans="1:6">
      <c r="A36" s="832">
        <v>28</v>
      </c>
      <c r="B36" s="833" t="s">
        <v>589</v>
      </c>
      <c r="C36" s="833" t="s">
        <v>590</v>
      </c>
      <c r="D36" s="832" t="s">
        <v>193</v>
      </c>
      <c r="E36" s="834"/>
      <c r="F36" s="834">
        <f>'TH KẾ TOÁN'!I94</f>
        <v>160</v>
      </c>
    </row>
    <row r="37" spans="1:6">
      <c r="A37" s="832">
        <v>29</v>
      </c>
      <c r="B37" s="833" t="s">
        <v>595</v>
      </c>
      <c r="C37" s="833" t="s">
        <v>596</v>
      </c>
      <c r="D37" s="832" t="s">
        <v>193</v>
      </c>
      <c r="E37" s="834"/>
      <c r="F37" s="834">
        <f>'TH KẾ TOÁN'!I97</f>
        <v>705</v>
      </c>
    </row>
    <row r="38" spans="1:6">
      <c r="A38" s="832">
        <v>30</v>
      </c>
      <c r="B38" s="833" t="s">
        <v>597</v>
      </c>
      <c r="C38" s="833" t="s">
        <v>598</v>
      </c>
      <c r="D38" s="832" t="s">
        <v>193</v>
      </c>
      <c r="E38" s="834"/>
      <c r="F38" s="834">
        <f>'TH KẾ TOÁN'!I98</f>
        <v>810</v>
      </c>
    </row>
    <row r="39" spans="1:6">
      <c r="A39" s="832">
        <v>31</v>
      </c>
      <c r="B39" s="833" t="s">
        <v>599</v>
      </c>
      <c r="C39" s="833" t="s">
        <v>600</v>
      </c>
      <c r="D39" s="832" t="s">
        <v>193</v>
      </c>
      <c r="E39" s="834"/>
      <c r="F39" s="834">
        <f>'TH KẾ TOÁN'!I99</f>
        <v>174</v>
      </c>
    </row>
    <row r="40" spans="1:6">
      <c r="A40" s="832">
        <v>32</v>
      </c>
      <c r="B40" s="833" t="s">
        <v>601</v>
      </c>
      <c r="C40" s="833" t="s">
        <v>602</v>
      </c>
      <c r="D40" s="832" t="s">
        <v>193</v>
      </c>
      <c r="E40" s="834"/>
      <c r="F40" s="834">
        <f>'TH KẾ TOÁN'!I100</f>
        <v>102</v>
      </c>
    </row>
    <row r="41" spans="1:6">
      <c r="A41" s="832">
        <v>33</v>
      </c>
      <c r="B41" s="833" t="s">
        <v>603</v>
      </c>
      <c r="C41" s="833" t="s">
        <v>604</v>
      </c>
      <c r="D41" s="832" t="s">
        <v>193</v>
      </c>
      <c r="E41" s="834"/>
      <c r="F41" s="834">
        <f>'TH KẾ TOÁN'!I101</f>
        <v>0</v>
      </c>
    </row>
    <row r="42" spans="1:6">
      <c r="A42" s="832">
        <v>34</v>
      </c>
      <c r="B42" s="833" t="s">
        <v>605</v>
      </c>
      <c r="C42" s="833" t="s">
        <v>606</v>
      </c>
      <c r="D42" s="832" t="s">
        <v>193</v>
      </c>
      <c r="E42" s="834"/>
      <c r="F42" s="834">
        <f>'TH KẾ TOÁN'!I102</f>
        <v>48</v>
      </c>
    </row>
    <row r="43" spans="1:6">
      <c r="A43" s="832">
        <v>35</v>
      </c>
      <c r="B43" s="833" t="s">
        <v>609</v>
      </c>
      <c r="C43" s="833" t="s">
        <v>610</v>
      </c>
      <c r="D43" s="832" t="s">
        <v>611</v>
      </c>
      <c r="E43" s="834"/>
      <c r="F43" s="834">
        <f>'TH KẾ TOÁN'!I105</f>
        <v>0</v>
      </c>
    </row>
    <row r="44" spans="1:6">
      <c r="A44" s="832">
        <v>36</v>
      </c>
      <c r="B44" s="833" t="s">
        <v>612</v>
      </c>
      <c r="C44" s="833" t="s">
        <v>613</v>
      </c>
      <c r="D44" s="832" t="s">
        <v>143</v>
      </c>
      <c r="E44" s="834"/>
      <c r="F44" s="834">
        <f>'TH KẾ TOÁN'!I106</f>
        <v>2760</v>
      </c>
    </row>
    <row r="45" spans="1:6">
      <c r="A45" s="832">
        <v>37</v>
      </c>
      <c r="B45" s="833" t="s">
        <v>616</v>
      </c>
      <c r="C45" s="833" t="s">
        <v>617</v>
      </c>
      <c r="D45" s="832" t="s">
        <v>193</v>
      </c>
      <c r="E45" s="834"/>
      <c r="F45" s="834">
        <f>'DAY DAI PET'!N41+'DAY DAI PET'!O41</f>
        <v>3900</v>
      </c>
    </row>
    <row r="46" spans="1:6">
      <c r="A46" s="832">
        <v>38</v>
      </c>
      <c r="B46" s="833" t="s">
        <v>632</v>
      </c>
      <c r="C46" s="833" t="s">
        <v>633</v>
      </c>
      <c r="D46" s="832" t="s">
        <v>611</v>
      </c>
      <c r="E46" s="834"/>
      <c r="F46" s="834">
        <f>'TH KẾ TOÁN'!I116</f>
        <v>19600</v>
      </c>
    </row>
    <row r="47" spans="1:6">
      <c r="A47" s="832">
        <v>39</v>
      </c>
      <c r="B47" s="833" t="s">
        <v>634</v>
      </c>
      <c r="C47" s="833" t="s">
        <v>635</v>
      </c>
      <c r="D47" s="832" t="s">
        <v>193</v>
      </c>
      <c r="E47" s="834"/>
      <c r="F47" s="834">
        <f>'TH KẾ TOÁN'!I117</f>
        <v>18200</v>
      </c>
    </row>
    <row r="48" spans="1:6">
      <c r="A48" s="832">
        <v>40</v>
      </c>
      <c r="B48" s="833" t="s">
        <v>640</v>
      </c>
      <c r="C48" s="833" t="s">
        <v>641</v>
      </c>
      <c r="D48" s="832" t="s">
        <v>193</v>
      </c>
      <c r="E48" s="834"/>
      <c r="F48" s="834">
        <f>'TH KẾ TOÁN'!I120</f>
        <v>9345</v>
      </c>
    </row>
    <row r="49" spans="1:6">
      <c r="A49" s="832">
        <v>41</v>
      </c>
      <c r="B49" s="833" t="s">
        <v>642</v>
      </c>
      <c r="C49" s="833" t="s">
        <v>643</v>
      </c>
      <c r="D49" s="832" t="s">
        <v>611</v>
      </c>
      <c r="E49" s="834"/>
      <c r="F49" s="834">
        <f>'PALLET 1100x1100x85'!I40+'PALLET 1100x1100x85'!J40</f>
        <v>0</v>
      </c>
    </row>
    <row r="50" spans="1:6">
      <c r="A50" s="832">
        <v>42</v>
      </c>
      <c r="B50" s="833" t="s">
        <v>644</v>
      </c>
      <c r="C50" s="833" t="s">
        <v>645</v>
      </c>
      <c r="D50" s="832" t="s">
        <v>611</v>
      </c>
      <c r="E50" s="834"/>
      <c r="F50" s="834">
        <f>'GR TIM 30x60-HA '!I40+'GR TIM 30x60-HA '!J40+'GR TIM 30x60-TTP'!I40+'GR TIM 30x60-TTP'!J40</f>
        <v>0</v>
      </c>
    </row>
    <row r="51" spans="1:6">
      <c r="A51" s="832">
        <v>43</v>
      </c>
      <c r="B51" s="833" t="s">
        <v>646</v>
      </c>
      <c r="C51" s="833" t="s">
        <v>647</v>
      </c>
      <c r="D51" s="832" t="s">
        <v>611</v>
      </c>
      <c r="E51" s="834"/>
      <c r="F51" s="834">
        <f>'GR XANH 30x60-HA'!I40+'GR XANH 30x60-HA'!J40+'GR XANH 30x60-TTP'!I40+'GR XANH 30x60-TTP'!J40</f>
        <v>0</v>
      </c>
    </row>
    <row r="52" spans="1:6" s="859" customFormat="1">
      <c r="A52" s="832">
        <v>44</v>
      </c>
      <c r="B52" s="856" t="s">
        <v>648</v>
      </c>
      <c r="C52" s="856" t="s">
        <v>649</v>
      </c>
      <c r="D52" s="138" t="s">
        <v>193</v>
      </c>
      <c r="E52" s="857"/>
      <c r="F52" s="857">
        <f>'DAY DAI PP'!N41+'DAY DAI PP'!O41</f>
        <v>5730</v>
      </c>
    </row>
    <row r="53" spans="1:6">
      <c r="A53" s="832">
        <v>45</v>
      </c>
      <c r="B53" s="833" t="s">
        <v>650</v>
      </c>
      <c r="C53" s="833" t="s">
        <v>651</v>
      </c>
      <c r="D53" s="832" t="s">
        <v>611</v>
      </c>
      <c r="E53" s="834"/>
      <c r="F53" s="834">
        <f>'LUXURY 30x60-TTP'!I40+'LUXURY 30x60-TTP'!J40+'LUXURY 30x60-HA'!I40+'LUXURY 30x60-HA'!J40</f>
        <v>0</v>
      </c>
    </row>
    <row r="54" spans="1:6">
      <c r="A54" s="832">
        <v>46</v>
      </c>
      <c r="B54" s="833" t="s">
        <v>652</v>
      </c>
      <c r="C54" s="833" t="s">
        <v>653</v>
      </c>
      <c r="D54" s="832" t="s">
        <v>611</v>
      </c>
      <c r="E54" s="834"/>
      <c r="F54" s="834">
        <f>'SAHADO NEW 30x60-HA'!I40+'SAHADO NEW 30x60-HA'!J40</f>
        <v>0</v>
      </c>
    </row>
    <row r="55" spans="1:6">
      <c r="A55" s="832">
        <v>47</v>
      </c>
      <c r="B55" s="833" t="s">
        <v>654</v>
      </c>
      <c r="C55" s="833" t="s">
        <v>655</v>
      </c>
      <c r="D55" s="832" t="s">
        <v>611</v>
      </c>
      <c r="E55" s="834"/>
      <c r="F55" s="834">
        <f>'ESPANA 30x60-HA'!J40</f>
        <v>0</v>
      </c>
    </row>
    <row r="56" spans="1:6">
      <c r="A56" s="832">
        <v>48</v>
      </c>
      <c r="B56" s="856" t="s">
        <v>658</v>
      </c>
      <c r="C56" s="856" t="s">
        <v>659</v>
      </c>
      <c r="D56" s="138" t="s">
        <v>611</v>
      </c>
      <c r="E56" s="834"/>
      <c r="F56" s="834">
        <f>HAVIRA!J40</f>
        <v>0</v>
      </c>
    </row>
    <row r="57" spans="1:6">
      <c r="A57" s="832">
        <v>49</v>
      </c>
      <c r="B57" s="833" t="s">
        <v>768</v>
      </c>
      <c r="C57" s="833" t="s">
        <v>767</v>
      </c>
      <c r="D57" s="832" t="s">
        <v>611</v>
      </c>
      <c r="E57" s="834"/>
      <c r="F57" s="834">
        <f>'GREEN ERA'!J40</f>
        <v>0</v>
      </c>
    </row>
    <row r="58" spans="1:6">
      <c r="D58" s="841" t="s">
        <v>777</v>
      </c>
      <c r="E58" s="842"/>
      <c r="F58" s="842"/>
    </row>
    <row r="59" spans="1:6" s="835" customFormat="1" ht="15" customHeight="1">
      <c r="A59" s="1556" t="s">
        <v>681</v>
      </c>
      <c r="B59" s="1556"/>
      <c r="C59" s="1564" t="s">
        <v>703</v>
      </c>
      <c r="D59" s="1564"/>
      <c r="E59" s="1556" t="s">
        <v>702</v>
      </c>
      <c r="F59" s="1556"/>
    </row>
    <row r="60" spans="1:6" s="843" customFormat="1">
      <c r="A60" s="1557" t="s">
        <v>685</v>
      </c>
      <c r="B60" s="1557"/>
      <c r="C60" s="1561" t="s">
        <v>685</v>
      </c>
      <c r="D60" s="1561"/>
      <c r="E60" s="1557" t="s">
        <v>685</v>
      </c>
      <c r="F60" s="1557"/>
    </row>
  </sheetData>
  <mergeCells count="13">
    <mergeCell ref="E60:F60"/>
    <mergeCell ref="C60:D60"/>
    <mergeCell ref="A60:B60"/>
    <mergeCell ref="A4:F4"/>
    <mergeCell ref="A5:F5"/>
    <mergeCell ref="E59:F59"/>
    <mergeCell ref="C59:D59"/>
    <mergeCell ref="A7:A8"/>
    <mergeCell ref="B7:B8"/>
    <mergeCell ref="C7:C8"/>
    <mergeCell ref="D7:D8"/>
    <mergeCell ref="E7:F7"/>
    <mergeCell ref="A59:B59"/>
  </mergeCells>
  <conditionalFormatting sqref="B13">
    <cfRule type="duplicateValues" dxfId="12359" priority="3"/>
  </conditionalFormatting>
  <conditionalFormatting sqref="C22:C23">
    <cfRule type="duplicateValues" dxfId="12358" priority="2"/>
  </conditionalFormatting>
  <conditionalFormatting sqref="C35">
    <cfRule type="duplicateValues" dxfId="12357" priority="1"/>
  </conditionalFormatting>
  <pageMargins left="0.51" right="0.37" top="0.65" bottom="0.75" header="0.32" footer="0.3"/>
  <pageSetup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P126"/>
  <sheetViews>
    <sheetView zoomScale="70" zoomScaleNormal="70" workbookViewId="0">
      <pane ySplit="5" topLeftCell="A51" activePane="bottomLeft" state="frozen"/>
      <selection pane="bottomLeft" activeCell="O67" sqref="O67"/>
    </sheetView>
  </sheetViews>
  <sheetFormatPr defaultColWidth="9.28515625" defaultRowHeight="15.75"/>
  <cols>
    <col min="1" max="1" width="5.85546875" style="95" customWidth="1"/>
    <col min="2" max="2" width="41.140625" style="95" customWidth="1"/>
    <col min="3" max="3" width="6.28515625" style="96" customWidth="1"/>
    <col min="4" max="8" width="14.140625" style="98" customWidth="1"/>
    <col min="9" max="9" width="14.140625" style="99" customWidth="1"/>
    <col min="10" max="10" width="13.7109375" style="98" customWidth="1"/>
    <col min="11" max="11" width="13.42578125" style="98" customWidth="1"/>
    <col min="12" max="12" width="14.7109375" style="100" customWidth="1"/>
    <col min="13" max="13" width="14.7109375" style="98" customWidth="1"/>
    <col min="14" max="14" width="30.7109375" style="291" customWidth="1"/>
    <col min="15" max="15" width="50.28515625" style="384" customWidth="1"/>
    <col min="16" max="17" width="26" style="97" customWidth="1"/>
    <col min="18" max="18" width="10.85546875" style="97" hidden="1" customWidth="1"/>
    <col min="19" max="19" width="24.5703125" style="97" customWidth="1"/>
    <col min="20" max="16384" width="9.28515625" style="97"/>
  </cols>
  <sheetData>
    <row r="1" spans="1:42" ht="21" customHeight="1">
      <c r="A1" s="141" t="s">
        <v>379</v>
      </c>
      <c r="B1" s="141"/>
      <c r="C1" s="131"/>
      <c r="D1" s="132"/>
      <c r="E1" s="132"/>
      <c r="F1" s="132"/>
      <c r="G1" s="132"/>
      <c r="H1" s="132"/>
      <c r="I1" s="133"/>
      <c r="J1" s="132"/>
      <c r="K1" s="132"/>
      <c r="M1" s="132"/>
    </row>
    <row r="2" spans="1:42" ht="21" customHeight="1">
      <c r="A2" s="141" t="s">
        <v>173</v>
      </c>
      <c r="B2" s="141"/>
      <c r="C2" s="131"/>
      <c r="D2" s="132"/>
      <c r="E2" s="132"/>
      <c r="F2" s="132"/>
      <c r="G2" s="132"/>
      <c r="H2" s="132"/>
      <c r="I2" s="133"/>
      <c r="J2" s="132"/>
      <c r="K2" s="132"/>
      <c r="L2" s="200" t="s">
        <v>134</v>
      </c>
      <c r="M2" s="132"/>
      <c r="N2" s="132"/>
    </row>
    <row r="3" spans="1:42" ht="43.5" customHeight="1">
      <c r="A3" s="1543" t="str">
        <f>'TỔNG HỢP THÁNG'!A3:M3</f>
        <v>BÁO CÁO TỔNG HỢP NHẬP XUẤT TỒN NGUYÊN LIỆU MEN - PHỤ KIỆN
 Tháng 08 NĂM 2026 (Trích xuất vào ngày 25 hàng tháng)</v>
      </c>
      <c r="B3" s="1543"/>
      <c r="C3" s="1543"/>
      <c r="D3" s="1543"/>
      <c r="E3" s="1543"/>
      <c r="F3" s="1543"/>
      <c r="G3" s="1543"/>
      <c r="H3" s="1543"/>
      <c r="I3" s="1543"/>
      <c r="J3" s="1543"/>
      <c r="K3" s="1543"/>
      <c r="L3" s="1543"/>
      <c r="M3" s="1543"/>
      <c r="N3" s="291" t="s">
        <v>5</v>
      </c>
    </row>
    <row r="4" spans="1:42" ht="19.5" customHeight="1">
      <c r="A4" s="1545" t="s">
        <v>2</v>
      </c>
      <c r="B4" s="1545" t="s">
        <v>223</v>
      </c>
      <c r="C4" s="1545" t="s">
        <v>9</v>
      </c>
      <c r="D4" s="1546" t="s">
        <v>259</v>
      </c>
      <c r="E4" s="1546"/>
      <c r="F4" s="1546" t="s">
        <v>260</v>
      </c>
      <c r="G4" s="1546"/>
      <c r="H4" s="1546" t="s">
        <v>275</v>
      </c>
      <c r="I4" s="1546"/>
      <c r="J4" s="783">
        <f>'FRIT HGE91-FHG'!E5</f>
        <v>17</v>
      </c>
      <c r="K4" s="783">
        <f>'FRIT HGE91-FHG'!G5</f>
        <v>8</v>
      </c>
      <c r="L4" s="1547" t="s">
        <v>436</v>
      </c>
      <c r="M4" s="1547" t="s">
        <v>94</v>
      </c>
      <c r="N4" s="1544" t="s">
        <v>16</v>
      </c>
    </row>
    <row r="5" spans="1:42" ht="19.5" customHeight="1">
      <c r="A5" s="1545"/>
      <c r="B5" s="1545"/>
      <c r="C5" s="1545"/>
      <c r="D5" s="360" t="s">
        <v>6</v>
      </c>
      <c r="E5" s="775" t="s">
        <v>172</v>
      </c>
      <c r="F5" s="360" t="s">
        <v>6</v>
      </c>
      <c r="G5" s="775" t="s">
        <v>246</v>
      </c>
      <c r="H5" s="360" t="s">
        <v>6</v>
      </c>
      <c r="I5" s="775" t="str">
        <f>G5</f>
        <v>Quy ẩm</v>
      </c>
      <c r="J5" s="361" t="s">
        <v>6</v>
      </c>
      <c r="K5" s="775" t="str">
        <f>I5</f>
        <v>Quy ẩm</v>
      </c>
      <c r="L5" s="1547"/>
      <c r="M5" s="1547"/>
      <c r="N5" s="1544"/>
      <c r="AD5" s="289"/>
      <c r="AE5" s="289"/>
      <c r="AF5" s="289"/>
      <c r="AG5" s="289"/>
      <c r="AH5" s="289"/>
      <c r="AI5" s="289"/>
      <c r="AJ5" s="289"/>
      <c r="AK5" s="289"/>
      <c r="AL5" s="289"/>
      <c r="AM5" s="289"/>
      <c r="AN5" s="289"/>
      <c r="AO5" s="289"/>
      <c r="AP5" s="289"/>
    </row>
    <row r="6" spans="1:42" ht="19.5" customHeight="1">
      <c r="A6" s="356" t="s">
        <v>55</v>
      </c>
      <c r="B6" s="357" t="s">
        <v>448</v>
      </c>
      <c r="C6" s="294"/>
      <c r="D6" s="358" t="s">
        <v>4</v>
      </c>
      <c r="E6" s="358"/>
      <c r="F6" s="358" t="s">
        <v>4</v>
      </c>
      <c r="G6" s="358"/>
      <c r="H6" s="358" t="s">
        <v>4</v>
      </c>
      <c r="I6" s="358"/>
      <c r="J6" s="358" t="s">
        <v>4</v>
      </c>
      <c r="K6" s="358" t="s">
        <v>4</v>
      </c>
      <c r="L6" s="582"/>
      <c r="M6" s="777"/>
      <c r="N6" s="292"/>
      <c r="O6" s="386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  <c r="AD6" s="289"/>
      <c r="AE6" s="289"/>
      <c r="AF6" s="289"/>
      <c r="AG6" s="289"/>
      <c r="AH6" s="289"/>
      <c r="AI6" s="289"/>
      <c r="AJ6" s="289"/>
      <c r="AK6" s="289"/>
      <c r="AL6" s="289"/>
      <c r="AM6" s="289"/>
      <c r="AN6" s="289"/>
      <c r="AO6" s="289"/>
      <c r="AP6" s="289"/>
    </row>
    <row r="7" spans="1:42" s="95" customFormat="1" ht="19.5" customHeight="1">
      <c r="A7" s="211">
        <v>1</v>
      </c>
      <c r="B7" s="583" t="str">
        <f>'GR TIM 30x60-HA '!H4</f>
        <v>GRANDCERA TÍM 30x60-HA</v>
      </c>
      <c r="C7" s="109" t="s">
        <v>194</v>
      </c>
      <c r="D7" s="619">
        <f>'GR TIM 30x60-HA '!G8</f>
        <v>0</v>
      </c>
      <c r="E7" s="620"/>
      <c r="F7" s="619">
        <f>'GR TIM 30x60-HA '!D40</f>
        <v>0</v>
      </c>
      <c r="G7" s="620"/>
      <c r="H7" s="619">
        <f>'GR TIM 30x60-HA '!E40</f>
        <v>0</v>
      </c>
      <c r="I7" s="620"/>
      <c r="J7" s="619">
        <f t="shared" ref="J7:J31" si="0">D7+F7-H7</f>
        <v>0</v>
      </c>
      <c r="K7" s="620"/>
      <c r="L7" s="582">
        <f t="shared" ref="L7:L75" si="1">15700/1.44</f>
        <v>10902.777777777777</v>
      </c>
      <c r="M7" s="777">
        <f t="shared" ref="M7:M29" si="2">J7/L7</f>
        <v>0</v>
      </c>
      <c r="N7" s="292"/>
      <c r="O7" s="386" t="s">
        <v>386</v>
      </c>
      <c r="P7" s="97"/>
      <c r="Q7" s="289"/>
      <c r="R7" s="289"/>
      <c r="S7" s="289"/>
      <c r="T7" s="289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</row>
    <row r="8" spans="1:42" s="95" customFormat="1" ht="19.5" customHeight="1">
      <c r="A8" s="211">
        <v>2</v>
      </c>
      <c r="B8" s="584" t="str">
        <f>'TỔNG HỢP THÁNG'!B119</f>
        <v>GRANDCERA TÍM 30x60-HA giấy nâu</v>
      </c>
      <c r="C8" s="109" t="s">
        <v>194</v>
      </c>
      <c r="D8" s="619">
        <f>'TỔNG HỢP THÁNG'!D119</f>
        <v>35801</v>
      </c>
      <c r="E8" s="620"/>
      <c r="F8" s="619">
        <f>'TỔNG HỢP THÁNG'!F119</f>
        <v>54880</v>
      </c>
      <c r="G8" s="620"/>
      <c r="H8" s="619">
        <f>'TỔNG HỢP THÁNG'!H119</f>
        <v>62400</v>
      </c>
      <c r="I8" s="620"/>
      <c r="J8" s="619">
        <f t="shared" ref="J8" si="3">D8+F8-H8</f>
        <v>28281</v>
      </c>
      <c r="K8" s="620"/>
      <c r="L8" s="582">
        <f t="shared" si="1"/>
        <v>10902.777777777777</v>
      </c>
      <c r="M8" s="777">
        <f t="shared" ref="M8" si="4">J8/L8</f>
        <v>2.5939261146496815</v>
      </c>
      <c r="N8" s="292"/>
      <c r="O8" s="784" t="s">
        <v>872</v>
      </c>
      <c r="P8" s="97"/>
      <c r="Q8" s="289"/>
      <c r="R8" s="289"/>
      <c r="S8" s="289"/>
      <c r="T8" s="289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</row>
    <row r="9" spans="1:42" s="95" customFormat="1" ht="19.5" customHeight="1">
      <c r="A9" s="211">
        <v>3</v>
      </c>
      <c r="B9" s="583" t="str">
        <f>'GR TIM 30x60-VH'!H4</f>
        <v>GRANDCERA TÍM 30x60-VH</v>
      </c>
      <c r="C9" s="109" t="s">
        <v>194</v>
      </c>
      <c r="D9" s="619">
        <f>'GR TIM 30x60-VH'!G8</f>
        <v>0</v>
      </c>
      <c r="E9" s="620"/>
      <c r="F9" s="619">
        <f>'GR TIM 30x60-VH'!D40</f>
        <v>0</v>
      </c>
      <c r="G9" s="620"/>
      <c r="H9" s="619">
        <f>'GR TIM 30x60-VH'!E40</f>
        <v>0</v>
      </c>
      <c r="I9" s="620"/>
      <c r="J9" s="619">
        <f>D9+F9-H9</f>
        <v>0</v>
      </c>
      <c r="K9" s="620"/>
      <c r="L9" s="582">
        <f t="shared" si="1"/>
        <v>10902.777777777777</v>
      </c>
      <c r="M9" s="777">
        <f>J9/L9</f>
        <v>0</v>
      </c>
      <c r="N9" s="292"/>
      <c r="O9" s="386" t="s">
        <v>417</v>
      </c>
      <c r="P9" s="97"/>
      <c r="Q9" s="289"/>
      <c r="R9" s="289"/>
      <c r="S9" s="289"/>
      <c r="T9" s="289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</row>
    <row r="10" spans="1:42" ht="19.5" customHeight="1">
      <c r="A10" s="211">
        <v>4</v>
      </c>
      <c r="B10" s="584" t="str">
        <f>'GR TIM 30x60-TTP'!H4</f>
        <v>GRANDCERA TÍM 30x60-TTP</v>
      </c>
      <c r="C10" s="109" t="s">
        <v>194</v>
      </c>
      <c r="D10" s="619">
        <f>'GR TIM 30x60-TTP'!G8</f>
        <v>0</v>
      </c>
      <c r="E10" s="620"/>
      <c r="F10" s="619">
        <f>'GR TIM 30x60-TTP'!D40</f>
        <v>0</v>
      </c>
      <c r="G10" s="620"/>
      <c r="H10" s="619">
        <f>'GR TIM 30x60-TTP'!E40</f>
        <v>0</v>
      </c>
      <c r="I10" s="620"/>
      <c r="J10" s="619">
        <f>D10+F10-H10</f>
        <v>0</v>
      </c>
      <c r="K10" s="620"/>
      <c r="L10" s="582">
        <f t="shared" si="1"/>
        <v>10902.777777777777</v>
      </c>
      <c r="M10" s="777">
        <f t="shared" ref="M10" si="5">J10/L10</f>
        <v>0</v>
      </c>
      <c r="N10" s="292"/>
      <c r="O10" s="386" t="s">
        <v>420</v>
      </c>
      <c r="Q10" s="289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  <c r="AC10" s="289"/>
      <c r="AD10" s="289"/>
      <c r="AE10" s="289"/>
      <c r="AF10" s="289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</row>
    <row r="11" spans="1:42" s="95" customFormat="1" ht="19.5" customHeight="1">
      <c r="A11" s="211">
        <v>5</v>
      </c>
      <c r="B11" s="583" t="str">
        <f>'GR XANH 30x60-HA'!H4</f>
        <v>GRANDCERA XANH 30x60-HA</v>
      </c>
      <c r="C11" s="109" t="s">
        <v>194</v>
      </c>
      <c r="D11" s="619">
        <f>'GR XANH 30x60-HA'!G8</f>
        <v>0</v>
      </c>
      <c r="E11" s="620"/>
      <c r="F11" s="619">
        <f>'GR XANH 30x60-HA'!D40</f>
        <v>0</v>
      </c>
      <c r="G11" s="620"/>
      <c r="H11" s="619">
        <f>'GR XANH 30x60-HA'!E40</f>
        <v>0</v>
      </c>
      <c r="I11" s="620"/>
      <c r="J11" s="619">
        <f t="shared" si="0"/>
        <v>0</v>
      </c>
      <c r="K11" s="620"/>
      <c r="L11" s="582">
        <f t="shared" si="1"/>
        <v>10902.777777777777</v>
      </c>
      <c r="M11" s="777">
        <f t="shared" si="2"/>
        <v>0</v>
      </c>
      <c r="N11" s="292"/>
      <c r="O11" s="386" t="s">
        <v>409</v>
      </c>
      <c r="P11" s="97"/>
      <c r="Q11" s="289"/>
      <c r="R11" s="289"/>
      <c r="S11" s="289"/>
      <c r="T11" s="289"/>
      <c r="U11" s="454"/>
      <c r="V11" s="454"/>
      <c r="W11" s="454"/>
      <c r="X11" s="454"/>
      <c r="Y11" s="454"/>
      <c r="Z11" s="454"/>
      <c r="AA11" s="454"/>
      <c r="AB11" s="454"/>
      <c r="AC11" s="454"/>
      <c r="AD11" s="454"/>
      <c r="AE11" s="454"/>
      <c r="AF11" s="454"/>
      <c r="AG11" s="454"/>
      <c r="AH11" s="454"/>
      <c r="AI11" s="454"/>
      <c r="AJ11" s="454"/>
      <c r="AK11" s="454"/>
      <c r="AL11" s="454"/>
      <c r="AM11" s="454"/>
      <c r="AN11" s="454"/>
      <c r="AO11" s="454"/>
      <c r="AP11" s="454"/>
    </row>
    <row r="12" spans="1:42" s="95" customFormat="1" ht="19.5" customHeight="1">
      <c r="A12" s="211">
        <v>6</v>
      </c>
      <c r="B12" s="584" t="str">
        <f>'TỔNG HỢP THÁNG'!B121</f>
        <v>GRANDCERA XANH 30x60-HA nâu</v>
      </c>
      <c r="C12" s="109" t="s">
        <v>194</v>
      </c>
      <c r="D12" s="619">
        <f>'TỔNG HỢP THÁNG'!D121</f>
        <v>4915</v>
      </c>
      <c r="E12" s="620"/>
      <c r="F12" s="619">
        <f>'TỔNG HỢP THÁNG'!F121</f>
        <v>0</v>
      </c>
      <c r="G12" s="620"/>
      <c r="H12" s="619">
        <f>'TỔNG HỢP THÁNG'!H121</f>
        <v>500</v>
      </c>
      <c r="I12" s="620"/>
      <c r="J12" s="619">
        <f t="shared" ref="J12" si="6">D12+F12-H12</f>
        <v>4415</v>
      </c>
      <c r="K12" s="620"/>
      <c r="L12" s="582">
        <f t="shared" si="1"/>
        <v>10902.777777777777</v>
      </c>
      <c r="M12" s="777">
        <f t="shared" ref="M12" si="7">J12/L12</f>
        <v>0.40494267515923571</v>
      </c>
      <c r="N12" s="292"/>
      <c r="O12" s="784" t="s">
        <v>895</v>
      </c>
      <c r="P12" s="97"/>
      <c r="Q12" s="289"/>
      <c r="R12" s="289"/>
      <c r="S12" s="289"/>
      <c r="T12" s="289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</row>
    <row r="13" spans="1:42" s="95" customFormat="1" ht="19.5" customHeight="1">
      <c r="A13" s="211">
        <v>7</v>
      </c>
      <c r="B13" s="583" t="str">
        <f>'GR XANH 30X60-VH'!H4</f>
        <v>GRANDCERA XANH 30x60-VH</v>
      </c>
      <c r="C13" s="109" t="s">
        <v>194</v>
      </c>
      <c r="D13" s="619">
        <f>'GR XANH 30X60-VH'!D8</f>
        <v>0</v>
      </c>
      <c r="E13" s="620"/>
      <c r="F13" s="619">
        <f>'GR XANH 30X60-VH'!D40</f>
        <v>0</v>
      </c>
      <c r="G13" s="620"/>
      <c r="H13" s="619">
        <f>'GR XANH 30X60-VH'!E40</f>
        <v>0</v>
      </c>
      <c r="I13" s="620"/>
      <c r="J13" s="619">
        <f>D13+F13-H13</f>
        <v>0</v>
      </c>
      <c r="K13" s="620"/>
      <c r="L13" s="582">
        <f t="shared" si="1"/>
        <v>10902.777777777777</v>
      </c>
      <c r="M13" s="777">
        <f>J13/L13</f>
        <v>0</v>
      </c>
      <c r="N13" s="292"/>
      <c r="O13" s="386" t="s">
        <v>418</v>
      </c>
      <c r="P13" s="97"/>
      <c r="Q13" s="289"/>
      <c r="R13" s="289"/>
      <c r="S13" s="289"/>
      <c r="T13" s="289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</row>
    <row r="14" spans="1:42" s="95" customFormat="1" ht="19.5" customHeight="1">
      <c r="A14" s="211">
        <v>8</v>
      </c>
      <c r="B14" s="583" t="str">
        <f>'GR XANH 30x60-TTP'!H4</f>
        <v>GRANDCERA XANH 30x60-TTP</v>
      </c>
      <c r="C14" s="109" t="s">
        <v>194</v>
      </c>
      <c r="D14" s="619">
        <f>'GR XANH 30x60-TTP'!G8</f>
        <v>0</v>
      </c>
      <c r="E14" s="620"/>
      <c r="F14" s="619">
        <f>'GR XANH 30x60-TTP'!D40</f>
        <v>0</v>
      </c>
      <c r="G14" s="620"/>
      <c r="H14" s="619">
        <f>'GR XANH 30x60-TTP'!E40</f>
        <v>0</v>
      </c>
      <c r="I14" s="620"/>
      <c r="J14" s="619">
        <f t="shared" ref="J14" si="8">D14+F14-H14</f>
        <v>0</v>
      </c>
      <c r="K14" s="620"/>
      <c r="L14" s="582">
        <f t="shared" si="1"/>
        <v>10902.777777777777</v>
      </c>
      <c r="M14" s="777">
        <f>J14/L14</f>
        <v>0</v>
      </c>
      <c r="N14" s="292"/>
      <c r="O14" s="386" t="s">
        <v>365</v>
      </c>
      <c r="P14" s="97"/>
      <c r="Q14" s="289"/>
      <c r="R14" s="289"/>
      <c r="S14" s="289"/>
      <c r="T14" s="289"/>
      <c r="U14" s="454"/>
      <c r="V14" s="454"/>
      <c r="W14" s="454"/>
      <c r="X14" s="454"/>
      <c r="Y14" s="454"/>
      <c r="Z14" s="454"/>
      <c r="AA14" s="454"/>
      <c r="AB14" s="454"/>
      <c r="AC14" s="454"/>
      <c r="AD14" s="454"/>
      <c r="AE14" s="454"/>
      <c r="AF14" s="454"/>
      <c r="AG14" s="454"/>
      <c r="AH14" s="454"/>
      <c r="AI14" s="454"/>
      <c r="AJ14" s="454"/>
      <c r="AK14" s="454"/>
      <c r="AL14" s="454"/>
      <c r="AM14" s="454"/>
      <c r="AN14" s="454"/>
      <c r="AO14" s="454"/>
      <c r="AP14" s="454"/>
    </row>
    <row r="15" spans="1:42" s="95" customFormat="1" ht="19.5" customHeight="1">
      <c r="A15" s="211">
        <v>9</v>
      </c>
      <c r="B15" s="584" t="str">
        <f>'TỔNG HỢP THÁNG'!B122:B122</f>
        <v>GRANDCERA XANH 30x60-HA nâu MỚI</v>
      </c>
      <c r="C15" s="109" t="s">
        <v>194</v>
      </c>
      <c r="D15" s="619">
        <f>'TỔNG HỢP THÁNG'!D122</f>
        <v>0</v>
      </c>
      <c r="E15" s="620"/>
      <c r="F15" s="619">
        <f>'TỔNG HỢP THÁNG'!F122</f>
        <v>0</v>
      </c>
      <c r="G15" s="620"/>
      <c r="H15" s="619">
        <f>'TỔNG HỢP THÁNG'!H122</f>
        <v>0</v>
      </c>
      <c r="I15" s="620"/>
      <c r="J15" s="619">
        <f t="shared" ref="J15" si="9">D15+F15-H15</f>
        <v>0</v>
      </c>
      <c r="K15" s="620"/>
      <c r="L15" s="582">
        <f t="shared" si="1"/>
        <v>10902.777777777777</v>
      </c>
      <c r="M15" s="777">
        <f>J15/L15</f>
        <v>0</v>
      </c>
      <c r="N15" s="292"/>
      <c r="O15" s="784" t="s">
        <v>1140</v>
      </c>
      <c r="P15" s="97"/>
      <c r="Q15" s="289"/>
      <c r="R15" s="289"/>
      <c r="S15" s="289"/>
      <c r="T15" s="289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</row>
    <row r="16" spans="1:42" s="95" customFormat="1" ht="19.5" customHeight="1">
      <c r="A16" s="211">
        <v>10</v>
      </c>
      <c r="B16" s="583" t="str">
        <f>'SAHADO NEW 30x60-HA'!H4</f>
        <v>SAHADO NEW 30x60-HA</v>
      </c>
      <c r="C16" s="109" t="s">
        <v>194</v>
      </c>
      <c r="D16" s="619">
        <f>'SAHADO NEW 30x60-HA'!G8</f>
        <v>0</v>
      </c>
      <c r="E16" s="620"/>
      <c r="F16" s="619">
        <f>'SAHADO NEW 30x60-HA'!D40</f>
        <v>0</v>
      </c>
      <c r="G16" s="620"/>
      <c r="H16" s="619">
        <f>'SAHADO NEW 30x60-HA'!E40</f>
        <v>0</v>
      </c>
      <c r="I16" s="620"/>
      <c r="J16" s="619">
        <f t="shared" si="0"/>
        <v>0</v>
      </c>
      <c r="K16" s="620"/>
      <c r="L16" s="582">
        <f t="shared" si="1"/>
        <v>10902.777777777777</v>
      </c>
      <c r="M16" s="777">
        <f t="shared" si="2"/>
        <v>0</v>
      </c>
      <c r="N16" s="292"/>
      <c r="O16" s="386" t="s">
        <v>410</v>
      </c>
      <c r="P16" s="97"/>
      <c r="Q16" s="289"/>
      <c r="R16" s="289"/>
      <c r="S16" s="289"/>
      <c r="T16" s="289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</row>
    <row r="17" spans="1:42" s="95" customFormat="1" ht="19.5" customHeight="1">
      <c r="A17" s="211">
        <v>11</v>
      </c>
      <c r="B17" s="584" t="str">
        <f>'TỔNG HỢP THÁNG'!B124</f>
        <v>SAHADO NEW 30x60-HA giấy nâu</v>
      </c>
      <c r="C17" s="109" t="s">
        <v>194</v>
      </c>
      <c r="D17" s="619">
        <f>'TỔNG HỢP THÁNG'!D124</f>
        <v>9115</v>
      </c>
      <c r="E17" s="620"/>
      <c r="F17" s="619">
        <f>'TỔNG HỢP THÁNG'!F124</f>
        <v>0</v>
      </c>
      <c r="G17" s="620"/>
      <c r="H17" s="619">
        <f>'TỔNG HỢP THÁNG'!H124</f>
        <v>3130</v>
      </c>
      <c r="I17" s="620"/>
      <c r="J17" s="619">
        <f t="shared" ref="J17" si="10">D17+F17-H17</f>
        <v>5985</v>
      </c>
      <c r="K17" s="620"/>
      <c r="L17" s="582">
        <f t="shared" si="1"/>
        <v>10902.777777777777</v>
      </c>
      <c r="M17" s="777">
        <f t="shared" ref="M17" si="11">J17/L17</f>
        <v>0.54894267515923567</v>
      </c>
      <c r="N17" s="292"/>
      <c r="O17" s="784" t="s">
        <v>888</v>
      </c>
      <c r="P17" s="97"/>
      <c r="Q17" s="289"/>
      <c r="R17" s="289"/>
      <c r="S17" s="289"/>
      <c r="T17" s="289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</row>
    <row r="18" spans="1:42" s="95" customFormat="1" ht="19.5" customHeight="1">
      <c r="A18" s="211">
        <v>12</v>
      </c>
      <c r="B18" s="584" t="s">
        <v>226</v>
      </c>
      <c r="C18" s="109" t="s">
        <v>194</v>
      </c>
      <c r="D18" s="619">
        <f>'SAHADO NEW 30x60-VH'!G8</f>
        <v>0</v>
      </c>
      <c r="E18" s="620"/>
      <c r="F18" s="619">
        <f>'SAHADO NEW 30x60-VH'!D40</f>
        <v>0</v>
      </c>
      <c r="G18" s="620"/>
      <c r="H18" s="619">
        <f>'SAHADO NEW 30x60-VH'!E40</f>
        <v>0</v>
      </c>
      <c r="I18" s="620"/>
      <c r="J18" s="619">
        <f>D18+F18-H18</f>
        <v>0</v>
      </c>
      <c r="K18" s="620"/>
      <c r="L18" s="582">
        <f t="shared" si="1"/>
        <v>10902.777777777777</v>
      </c>
      <c r="M18" s="777">
        <f>J18/L18</f>
        <v>0</v>
      </c>
      <c r="N18" s="292"/>
      <c r="O18" s="386" t="s">
        <v>419</v>
      </c>
      <c r="P18" s="97"/>
      <c r="Q18" s="289"/>
      <c r="R18" s="289"/>
      <c r="S18" s="289"/>
      <c r="T18" s="289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</row>
    <row r="19" spans="1:42" s="95" customFormat="1" ht="19.5" customHeight="1">
      <c r="A19" s="211">
        <v>13</v>
      </c>
      <c r="B19" s="583" t="str">
        <f>'SAHADO 30x60-VH'!H4</f>
        <v>SAHADO 30x60-VH</v>
      </c>
      <c r="C19" s="109" t="s">
        <v>194</v>
      </c>
      <c r="D19" s="619">
        <f>'SAHADO 30x60-VH'!G8</f>
        <v>0</v>
      </c>
      <c r="E19" s="620"/>
      <c r="F19" s="619">
        <f>'SAHADO 30x60-VH'!D40</f>
        <v>0</v>
      </c>
      <c r="G19" s="620"/>
      <c r="H19" s="619">
        <f>'SAHADO 30x60-VH'!E40</f>
        <v>0</v>
      </c>
      <c r="I19" s="620"/>
      <c r="J19" s="619">
        <f>D19+F19-H19</f>
        <v>0</v>
      </c>
      <c r="K19" s="620"/>
      <c r="L19" s="582">
        <f t="shared" si="1"/>
        <v>10902.777777777777</v>
      </c>
      <c r="M19" s="777">
        <f>J19/L19</f>
        <v>0</v>
      </c>
      <c r="N19" s="292"/>
      <c r="O19" s="386" t="s">
        <v>443</v>
      </c>
      <c r="P19" s="97"/>
      <c r="Q19" s="289"/>
      <c r="R19" s="289"/>
      <c r="S19" s="289"/>
      <c r="T19" s="289"/>
      <c r="U19" s="454"/>
      <c r="V19" s="454"/>
      <c r="W19" s="454"/>
      <c r="X19" s="454"/>
      <c r="Y19" s="454"/>
      <c r="Z19" s="454"/>
      <c r="AA19" s="454"/>
      <c r="AB19" s="454"/>
      <c r="AC19" s="454"/>
      <c r="AD19" s="454"/>
      <c r="AE19" s="454"/>
      <c r="AF19" s="454"/>
      <c r="AG19" s="454"/>
      <c r="AH19" s="454"/>
      <c r="AI19" s="454"/>
      <c r="AJ19" s="454"/>
      <c r="AK19" s="454"/>
      <c r="AL19" s="454"/>
      <c r="AM19" s="454"/>
      <c r="AN19" s="454"/>
      <c r="AO19" s="454"/>
      <c r="AP19" s="454"/>
    </row>
    <row r="20" spans="1:42" s="95" customFormat="1" ht="19.5" customHeight="1">
      <c r="A20" s="211">
        <v>14</v>
      </c>
      <c r="B20" s="584" t="str">
        <f>'LUXURY 30x60-HA'!H4</f>
        <v>LUXURY 30x60-HA</v>
      </c>
      <c r="C20" s="109" t="s">
        <v>194</v>
      </c>
      <c r="D20" s="619">
        <f>'LUXURY 30x60-HA'!G8</f>
        <v>0</v>
      </c>
      <c r="E20" s="620"/>
      <c r="F20" s="619">
        <f>'LUXURY 30x60-HA'!D40</f>
        <v>0</v>
      </c>
      <c r="G20" s="620"/>
      <c r="H20" s="619">
        <f>'LUXURY 30x60-HA'!E40</f>
        <v>0</v>
      </c>
      <c r="I20" s="620"/>
      <c r="J20" s="619">
        <f t="shared" si="0"/>
        <v>0</v>
      </c>
      <c r="K20" s="620"/>
      <c r="L20" s="582">
        <f t="shared" si="1"/>
        <v>10902.777777777777</v>
      </c>
      <c r="M20" s="777">
        <f t="shared" si="2"/>
        <v>0</v>
      </c>
      <c r="N20" s="292"/>
      <c r="O20" s="386" t="s">
        <v>411</v>
      </c>
      <c r="P20" s="97"/>
      <c r="Q20" s="289"/>
      <c r="R20" s="289"/>
      <c r="S20" s="289"/>
      <c r="T20" s="289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</row>
    <row r="21" spans="1:42" s="95" customFormat="1" ht="19.5" customHeight="1">
      <c r="A21" s="211">
        <v>15</v>
      </c>
      <c r="B21" s="584" t="str">
        <f>'TỔNG HỢP THÁNG'!B126</f>
        <v>LUXURY 30x60-HA giấy nâu</v>
      </c>
      <c r="C21" s="109" t="s">
        <v>194</v>
      </c>
      <c r="D21" s="619">
        <f>'TỔNG HỢP THÁNG'!D126</f>
        <v>2160</v>
      </c>
      <c r="E21" s="620"/>
      <c r="F21" s="619">
        <f>'TỔNG HỢP THÁNG'!F126</f>
        <v>0</v>
      </c>
      <c r="G21" s="620"/>
      <c r="H21" s="619">
        <f>'TỔNG HỢP THÁNG'!H126</f>
        <v>0</v>
      </c>
      <c r="I21" s="620"/>
      <c r="J21" s="619">
        <f t="shared" si="0"/>
        <v>2160</v>
      </c>
      <c r="K21" s="620"/>
      <c r="L21" s="582">
        <f t="shared" si="1"/>
        <v>10902.777777777777</v>
      </c>
      <c r="M21" s="777">
        <f t="shared" ref="M21" si="12">J21/L21</f>
        <v>0.19811464968152867</v>
      </c>
      <c r="N21" s="292"/>
      <c r="O21" s="784" t="s">
        <v>873</v>
      </c>
      <c r="P21" s="97"/>
      <c r="Q21" s="289"/>
      <c r="R21" s="289"/>
      <c r="S21" s="289"/>
      <c r="T21" s="289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</row>
    <row r="22" spans="1:42" s="95" customFormat="1" ht="18.75" customHeight="1">
      <c r="A22" s="211">
        <v>16</v>
      </c>
      <c r="B22" s="583" t="str">
        <f>'LUXURY 30x60-TTP'!H4</f>
        <v>LUXURY 30x60-TTP</v>
      </c>
      <c r="C22" s="109" t="s">
        <v>194</v>
      </c>
      <c r="D22" s="619">
        <f>'LUXURY 30x60-TTP'!G8</f>
        <v>0</v>
      </c>
      <c r="E22" s="620"/>
      <c r="F22" s="619">
        <f>'LUXURY 30x60-TTP'!D40</f>
        <v>0</v>
      </c>
      <c r="G22" s="620"/>
      <c r="H22" s="619">
        <f>'LUXURY 30x60-TTP'!E41</f>
        <v>0</v>
      </c>
      <c r="I22" s="620"/>
      <c r="J22" s="619">
        <f>D22+F22-H22</f>
        <v>0</v>
      </c>
      <c r="K22" s="620"/>
      <c r="L22" s="582">
        <f t="shared" si="1"/>
        <v>10902.777777777777</v>
      </c>
      <c r="M22" s="777">
        <f>J22/L22</f>
        <v>0</v>
      </c>
      <c r="N22" s="292"/>
      <c r="O22" s="784" t="s">
        <v>479</v>
      </c>
      <c r="P22" s="97"/>
      <c r="Q22" s="289"/>
      <c r="R22" s="289"/>
      <c r="S22" s="289"/>
      <c r="T22" s="289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</row>
    <row r="23" spans="1:42" ht="19.5" customHeight="1">
      <c r="A23" s="211">
        <v>17</v>
      </c>
      <c r="B23" s="583" t="str">
        <f>'ESPANA 30x60-HA'!H4</f>
        <v>ESPANA 30x60-HA</v>
      </c>
      <c r="C23" s="109" t="s">
        <v>194</v>
      </c>
      <c r="D23" s="619">
        <f>'ESPANA 30x60-HA'!G8</f>
        <v>10048</v>
      </c>
      <c r="E23" s="620"/>
      <c r="F23" s="619">
        <f>'ESPANA 30x60-HA'!D40</f>
        <v>0</v>
      </c>
      <c r="G23" s="620"/>
      <c r="H23" s="619">
        <f>'ESPANA 30x60-HA'!E40</f>
        <v>2400</v>
      </c>
      <c r="I23" s="620"/>
      <c r="J23" s="619">
        <f>D23+F23-H23</f>
        <v>7648</v>
      </c>
      <c r="K23" s="620"/>
      <c r="L23" s="582">
        <f t="shared" si="1"/>
        <v>10902.777777777777</v>
      </c>
      <c r="M23" s="777">
        <f>J23/L23</f>
        <v>0.7014726114649682</v>
      </c>
      <c r="N23" s="292"/>
      <c r="O23" s="386" t="s">
        <v>437</v>
      </c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  <c r="AI23" s="289"/>
      <c r="AJ23" s="289"/>
      <c r="AK23" s="289"/>
      <c r="AL23" s="289"/>
      <c r="AM23" s="289"/>
      <c r="AN23" s="289"/>
      <c r="AO23" s="289"/>
      <c r="AP23" s="289"/>
    </row>
    <row r="24" spans="1:42" ht="19.5" customHeight="1">
      <c r="A24" s="211">
        <v>18</v>
      </c>
      <c r="B24" s="584" t="str">
        <f>'TỔNG HỢP THÁNG'!B129</f>
        <v>ESPANA 30x60-HA nâu</v>
      </c>
      <c r="C24" s="109" t="s">
        <v>194</v>
      </c>
      <c r="D24" s="619">
        <f>'TỔNG HỢP THÁNG'!D129</f>
        <v>0</v>
      </c>
      <c r="E24" s="620"/>
      <c r="F24" s="619">
        <f>'TỔNG HỢP THÁNG'!F129</f>
        <v>0</v>
      </c>
      <c r="G24" s="620"/>
      <c r="H24" s="619">
        <f>'TỔNG HỢP THÁNG'!H129</f>
        <v>0</v>
      </c>
      <c r="I24" s="620"/>
      <c r="J24" s="619">
        <f>D24+F24-H24</f>
        <v>0</v>
      </c>
      <c r="K24" s="620"/>
      <c r="L24" s="582">
        <f t="shared" si="1"/>
        <v>10902.777777777777</v>
      </c>
      <c r="M24" s="777">
        <f>J24/L24</f>
        <v>0</v>
      </c>
      <c r="N24" s="292"/>
      <c r="O24" s="784" t="s">
        <v>898</v>
      </c>
      <c r="Q24" s="289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  <c r="AK24" s="289"/>
      <c r="AL24" s="289"/>
      <c r="AM24" s="289"/>
      <c r="AN24" s="289"/>
      <c r="AO24" s="289"/>
      <c r="AP24" s="289"/>
    </row>
    <row r="25" spans="1:42" ht="19.5" customHeight="1">
      <c r="A25" s="211">
        <v>19</v>
      </c>
      <c r="B25" s="583" t="str">
        <f>'ESPANA 30x60-VH'!H4</f>
        <v>ESPANA 30x60-VH</v>
      </c>
      <c r="C25" s="109" t="s">
        <v>194</v>
      </c>
      <c r="D25" s="619">
        <f>'ESPANA 30x60-VH'!G8</f>
        <v>0</v>
      </c>
      <c r="E25" s="620"/>
      <c r="F25" s="619">
        <f>'ESPANA 30x60-VH'!D40</f>
        <v>0</v>
      </c>
      <c r="G25" s="620"/>
      <c r="H25" s="619">
        <f>'ESPANA 30x60-VH'!E40</f>
        <v>0</v>
      </c>
      <c r="I25" s="620"/>
      <c r="J25" s="619">
        <f t="shared" ref="J25" si="13">D25+F25-H25</f>
        <v>0</v>
      </c>
      <c r="K25" s="620"/>
      <c r="L25" s="582">
        <f t="shared" si="1"/>
        <v>10902.777777777777</v>
      </c>
      <c r="M25" s="777">
        <f>J25/L25</f>
        <v>0</v>
      </c>
      <c r="N25" s="292"/>
      <c r="O25" s="386" t="s">
        <v>442</v>
      </c>
      <c r="Q25" s="289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  <c r="AK25" s="289"/>
      <c r="AL25" s="289"/>
      <c r="AM25" s="289"/>
      <c r="AN25" s="289"/>
      <c r="AO25" s="289"/>
      <c r="AP25" s="289"/>
    </row>
    <row r="26" spans="1:42" ht="19.5" customHeight="1">
      <c r="A26" s="211">
        <v>20</v>
      </c>
      <c r="B26" s="584" t="str">
        <f>'CERAMIC 30x60-HA'!H4</f>
        <v>CERAMIC 30x60-HA</v>
      </c>
      <c r="C26" s="109" t="s">
        <v>194</v>
      </c>
      <c r="D26" s="619">
        <f>'CERAMIC 30x60-HA'!G8</f>
        <v>6700</v>
      </c>
      <c r="E26" s="620"/>
      <c r="F26" s="619">
        <f>'CERAMIC 30x60-HA'!D40</f>
        <v>0</v>
      </c>
      <c r="G26" s="620"/>
      <c r="H26" s="619">
        <f>'CERAMIC 30x60-HA'!E40</f>
        <v>0</v>
      </c>
      <c r="I26" s="620"/>
      <c r="J26" s="619">
        <f>D26+F26-H26</f>
        <v>6700</v>
      </c>
      <c r="K26" s="620"/>
      <c r="L26" s="582">
        <f t="shared" si="1"/>
        <v>10902.777777777777</v>
      </c>
      <c r="M26" s="777">
        <f>J26/L26</f>
        <v>0.61452229299363059</v>
      </c>
      <c r="N26" s="292"/>
      <c r="O26" s="386" t="s">
        <v>364</v>
      </c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  <c r="AK26" s="289"/>
      <c r="AL26" s="289"/>
      <c r="AM26" s="289"/>
      <c r="AN26" s="289"/>
      <c r="AO26" s="289"/>
      <c r="AP26" s="289"/>
    </row>
    <row r="27" spans="1:42" ht="18.75" customHeight="1">
      <c r="A27" s="211">
        <v>21</v>
      </c>
      <c r="B27" s="584" t="str">
        <f>HAVIRA!H4</f>
        <v>HAVIRA 30x60-HA</v>
      </c>
      <c r="C27" s="109" t="s">
        <v>194</v>
      </c>
      <c r="D27" s="619">
        <f>'TỔNG HỢP THÁNG'!D131</f>
        <v>5792</v>
      </c>
      <c r="E27" s="620"/>
      <c r="F27" s="619">
        <f>'TỔNG HỢP THÁNG'!F131</f>
        <v>4810</v>
      </c>
      <c r="G27" s="620"/>
      <c r="H27" s="619">
        <f>'TỔNG HỢP THÁNG'!H131</f>
        <v>1050</v>
      </c>
      <c r="I27" s="620"/>
      <c r="J27" s="619">
        <f t="shared" ref="J27" si="14">D27+F27-H27</f>
        <v>9552</v>
      </c>
      <c r="K27" s="620"/>
      <c r="L27" s="582">
        <f t="shared" si="1"/>
        <v>10902.777777777777</v>
      </c>
      <c r="M27" s="777">
        <f t="shared" ref="M27" si="15">J27/L27</f>
        <v>0.87610700636942673</v>
      </c>
      <c r="N27" s="292"/>
      <c r="O27" s="784" t="s">
        <v>457</v>
      </c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  <c r="AK27" s="289"/>
      <c r="AL27" s="289"/>
      <c r="AM27" s="289"/>
      <c r="AN27" s="289"/>
      <c r="AO27" s="289"/>
      <c r="AP27" s="289"/>
    </row>
    <row r="28" spans="1:42" ht="19.5" customHeight="1">
      <c r="A28" s="211">
        <v>22</v>
      </c>
      <c r="B28" s="584" t="str">
        <f>'TỔNG HỢP THÁNG'!B132</f>
        <v>HAVIRA 30x60-HA giấy nâu</v>
      </c>
      <c r="C28" s="109" t="s">
        <v>194</v>
      </c>
      <c r="D28" s="619">
        <f>'TỔNG HỢP THÁNG'!D132</f>
        <v>0</v>
      </c>
      <c r="E28" s="620"/>
      <c r="F28" s="619">
        <f>'TỔNG HỢP THÁNG'!F132</f>
        <v>0</v>
      </c>
      <c r="G28" s="620"/>
      <c r="H28" s="619">
        <f>'TỔNG HỢP THÁNG'!H132</f>
        <v>0</v>
      </c>
      <c r="I28" s="620"/>
      <c r="J28" s="619">
        <f t="shared" ref="J28" si="16">D28+F28-H28</f>
        <v>0</v>
      </c>
      <c r="K28" s="620"/>
      <c r="L28" s="582">
        <f t="shared" si="1"/>
        <v>10902.777777777777</v>
      </c>
      <c r="M28" s="777">
        <f t="shared" ref="M28" si="17">J28/L28</f>
        <v>0</v>
      </c>
      <c r="N28" s="292"/>
      <c r="O28" s="784" t="s">
        <v>892</v>
      </c>
      <c r="Q28" s="289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  <c r="AK28" s="289"/>
      <c r="AL28" s="289"/>
      <c r="AM28" s="289"/>
      <c r="AN28" s="289"/>
      <c r="AO28" s="289"/>
      <c r="AP28" s="289"/>
    </row>
    <row r="29" spans="1:42" s="95" customFormat="1" ht="19.5" customHeight="1">
      <c r="A29" s="211">
        <v>23</v>
      </c>
      <c r="B29" s="583" t="str">
        <f>'CROWN 30x60-HA '!H4</f>
        <v>CROWN 30x60-HA</v>
      </c>
      <c r="C29" s="109" t="s">
        <v>194</v>
      </c>
      <c r="D29" s="619">
        <f>'CROWN 30x60-HA '!D8</f>
        <v>0</v>
      </c>
      <c r="E29" s="620"/>
      <c r="F29" s="619">
        <f>'CROWN 30x60-HA '!D40</f>
        <v>0</v>
      </c>
      <c r="G29" s="620"/>
      <c r="H29" s="619">
        <f>'CROWN 30x60-HA '!E40</f>
        <v>0</v>
      </c>
      <c r="I29" s="620"/>
      <c r="J29" s="619">
        <f t="shared" si="0"/>
        <v>0</v>
      </c>
      <c r="K29" s="620"/>
      <c r="L29" s="582">
        <f t="shared" si="1"/>
        <v>10902.777777777777</v>
      </c>
      <c r="M29" s="777">
        <f t="shared" si="2"/>
        <v>0</v>
      </c>
      <c r="N29" s="292"/>
      <c r="O29" s="386" t="s">
        <v>413</v>
      </c>
      <c r="P29" s="97"/>
      <c r="Q29" s="454"/>
      <c r="R29" s="454"/>
      <c r="S29" s="454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</row>
    <row r="30" spans="1:42" s="95" customFormat="1" ht="19.5" customHeight="1">
      <c r="A30" s="211">
        <v>24</v>
      </c>
      <c r="B30" s="584" t="str">
        <f>'TỔNG HỢP THÁNG'!B133</f>
        <v>ADONIS 30x60-HA</v>
      </c>
      <c r="C30" s="109" t="s">
        <v>194</v>
      </c>
      <c r="D30" s="619">
        <f>'TỔNG HỢP THÁNG'!D133</f>
        <v>2060</v>
      </c>
      <c r="E30" s="620"/>
      <c r="F30" s="619">
        <f>'TỔNG HỢP THÁNG'!F133</f>
        <v>0</v>
      </c>
      <c r="G30" s="620"/>
      <c r="H30" s="619">
        <f>'TỔNG HỢP THÁNG'!H133</f>
        <v>0</v>
      </c>
      <c r="I30" s="620"/>
      <c r="J30" s="619">
        <f t="shared" si="0"/>
        <v>2060</v>
      </c>
      <c r="K30" s="620"/>
      <c r="L30" s="582">
        <f t="shared" si="1"/>
        <v>10902.777777777777</v>
      </c>
      <c r="M30" s="777">
        <f t="shared" ref="M30" si="18">J30/L30</f>
        <v>0.18894267515923568</v>
      </c>
      <c r="N30" s="292"/>
      <c r="O30" s="784" t="s">
        <v>460</v>
      </c>
      <c r="Q30" s="454"/>
      <c r="R30" s="454"/>
      <c r="S30" s="454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</row>
    <row r="31" spans="1:42" s="95" customFormat="1" ht="19.5" customHeight="1">
      <c r="A31" s="211">
        <v>25</v>
      </c>
      <c r="B31" s="584" t="str">
        <f>'TỔNG HỢP THÁNG'!B134</f>
        <v>GREEN ERA 30x60-HA</v>
      </c>
      <c r="C31" s="109" t="s">
        <v>194</v>
      </c>
      <c r="D31" s="619">
        <f>'TỔNG HỢP THÁNG'!D134</f>
        <v>0</v>
      </c>
      <c r="E31" s="620"/>
      <c r="F31" s="619">
        <f>'TỔNG HỢP THÁNG'!F134</f>
        <v>0</v>
      </c>
      <c r="G31" s="620"/>
      <c r="H31" s="619">
        <f>'TỔNG HỢP THÁNG'!H134</f>
        <v>0</v>
      </c>
      <c r="I31" s="620"/>
      <c r="J31" s="619">
        <f t="shared" si="0"/>
        <v>0</v>
      </c>
      <c r="K31" s="620"/>
      <c r="L31" s="582">
        <f t="shared" si="1"/>
        <v>10902.777777777777</v>
      </c>
      <c r="M31" s="777">
        <f t="shared" ref="M31" si="19">J31/L31</f>
        <v>0</v>
      </c>
      <c r="N31" s="292"/>
      <c r="O31" s="784" t="s">
        <v>758</v>
      </c>
      <c r="Q31" s="454"/>
      <c r="R31" s="454"/>
      <c r="S31" s="454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</row>
    <row r="32" spans="1:42" s="95" customFormat="1" ht="19.5" customHeight="1">
      <c r="A32" s="211">
        <v>26</v>
      </c>
      <c r="B32" s="584" t="str">
        <f>'TỔNG HỢP THÁNG'!B135</f>
        <v xml:space="preserve">GREEN ERA 30x60-HA giấy nâu </v>
      </c>
      <c r="C32" s="109" t="s">
        <v>194</v>
      </c>
      <c r="D32" s="619">
        <f>'TỔNG HỢP THÁNG'!D135</f>
        <v>3590</v>
      </c>
      <c r="E32" s="620"/>
      <c r="F32" s="619">
        <f>'TỔNG HỢP THÁNG'!F135</f>
        <v>0</v>
      </c>
      <c r="G32" s="620"/>
      <c r="H32" s="619">
        <f>'TỔNG HỢP THÁNG'!H135</f>
        <v>0</v>
      </c>
      <c r="I32" s="620"/>
      <c r="J32" s="619">
        <f t="shared" ref="J32" si="20">D32+F32-H32</f>
        <v>3590</v>
      </c>
      <c r="K32" s="620"/>
      <c r="L32" s="582">
        <f t="shared" si="1"/>
        <v>10902.777777777777</v>
      </c>
      <c r="M32" s="777">
        <f t="shared" ref="M32" si="21">J32/L32</f>
        <v>0.32927388535031848</v>
      </c>
      <c r="N32" s="292"/>
      <c r="O32" s="784" t="s">
        <v>878</v>
      </c>
      <c r="Q32" s="454"/>
      <c r="R32" s="454"/>
      <c r="S32" s="454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</row>
    <row r="33" spans="1:42" s="95" customFormat="1" ht="19.5" customHeight="1">
      <c r="A33" s="211">
        <v>27</v>
      </c>
      <c r="B33" s="584" t="str">
        <f>'TỔNG HỢP THÁNG'!B136</f>
        <v xml:space="preserve">GREEN HOME 30x60-HA </v>
      </c>
      <c r="C33" s="109" t="s">
        <v>194</v>
      </c>
      <c r="D33" s="619">
        <f>'TỔNG HỢP THÁNG'!D136</f>
        <v>9226</v>
      </c>
      <c r="E33" s="620"/>
      <c r="F33" s="619">
        <f>'TỔNG HỢP THÁNG'!F136</f>
        <v>0</v>
      </c>
      <c r="G33" s="620"/>
      <c r="H33" s="619">
        <f>'TỔNG HỢP THÁNG'!H136</f>
        <v>0</v>
      </c>
      <c r="I33" s="620"/>
      <c r="J33" s="619">
        <f t="shared" ref="J33" si="22">D33+F33-H33</f>
        <v>9226</v>
      </c>
      <c r="K33" s="620"/>
      <c r="L33" s="582">
        <f t="shared" si="1"/>
        <v>10902.777777777777</v>
      </c>
      <c r="M33" s="777">
        <f t="shared" ref="M33" si="23">J33/L33</f>
        <v>0.84620636942675165</v>
      </c>
      <c r="N33" s="292"/>
      <c r="O33" s="784" t="s">
        <v>941</v>
      </c>
      <c r="Q33" s="454"/>
      <c r="R33" s="454"/>
      <c r="S33" s="454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</row>
    <row r="34" spans="1:42" s="95" customFormat="1" ht="19.5" customHeight="1">
      <c r="A34" s="211">
        <v>28</v>
      </c>
      <c r="B34" s="584" t="str">
        <f>'TỔNG HỢP THÁNG'!B137</f>
        <v xml:space="preserve">LUSTILE 30*60-HA </v>
      </c>
      <c r="C34" s="109" t="s">
        <v>194</v>
      </c>
      <c r="D34" s="619">
        <f>'TỔNG HỢP THÁNG'!D137</f>
        <v>14586</v>
      </c>
      <c r="E34" s="620"/>
      <c r="F34" s="619">
        <f>'TỔNG HỢP THÁNG'!F137</f>
        <v>10050</v>
      </c>
      <c r="G34" s="620"/>
      <c r="H34" s="619">
        <f>'TỔNG HỢP THÁNG'!H137</f>
        <v>4800</v>
      </c>
      <c r="I34" s="620"/>
      <c r="J34" s="619">
        <f t="shared" ref="J34" si="24">D34+F34-H34</f>
        <v>19836</v>
      </c>
      <c r="K34" s="620"/>
      <c r="L34" s="582">
        <f t="shared" si="1"/>
        <v>10902.777777777777</v>
      </c>
      <c r="M34" s="777">
        <f t="shared" ref="M34" si="25">J34/L34</f>
        <v>1.8193528662420382</v>
      </c>
      <c r="N34" s="292"/>
      <c r="O34" s="784" t="s">
        <v>968</v>
      </c>
      <c r="Q34" s="454"/>
      <c r="R34" s="454"/>
      <c r="S34" s="454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</row>
    <row r="35" spans="1:42" s="95" customFormat="1" ht="19.5" customHeight="1">
      <c r="A35" s="211">
        <v>29</v>
      </c>
      <c r="B35" s="584" t="str">
        <f>'TỔNG HỢP THÁNG'!B138</f>
        <v xml:space="preserve">PANA TILES 30*60 nâu-HA </v>
      </c>
      <c r="C35" s="109" t="s">
        <v>194</v>
      </c>
      <c r="D35" s="619">
        <f>'TỔNG HỢP THÁNG'!D138</f>
        <v>0</v>
      </c>
      <c r="E35" s="620"/>
      <c r="F35" s="619">
        <f>'TỔNG HỢP THÁNG'!F138</f>
        <v>0</v>
      </c>
      <c r="G35" s="620"/>
      <c r="H35" s="619">
        <f>'TỔNG HỢP THÁNG'!H138</f>
        <v>0</v>
      </c>
      <c r="I35" s="620"/>
      <c r="J35" s="619">
        <f t="shared" ref="J35" si="26">D35+F35-H35</f>
        <v>0</v>
      </c>
      <c r="K35" s="620"/>
      <c r="L35" s="582">
        <f t="shared" si="1"/>
        <v>10902.777777777777</v>
      </c>
      <c r="M35" s="777">
        <f t="shared" ref="M35" si="27">J35/L35</f>
        <v>0</v>
      </c>
      <c r="N35" s="292"/>
      <c r="O35" s="784" t="s">
        <v>1000</v>
      </c>
      <c r="Q35" s="454"/>
      <c r="R35" s="454"/>
      <c r="S35" s="454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</row>
    <row r="36" spans="1:42" s="95" customFormat="1" ht="19.5" customHeight="1">
      <c r="A36" s="211">
        <v>30</v>
      </c>
      <c r="B36" s="584" t="str">
        <f>'TỔNG HỢP THÁNG'!B139</f>
        <v xml:space="preserve">TOP ONE 30*60 nâu-HA </v>
      </c>
      <c r="C36" s="109" t="s">
        <v>194</v>
      </c>
      <c r="D36" s="619">
        <f>'TỔNG HỢP THÁNG'!D139</f>
        <v>13841</v>
      </c>
      <c r="E36" s="620"/>
      <c r="F36" s="619">
        <f>'TỔNG HỢP THÁNG'!F139</f>
        <v>15775</v>
      </c>
      <c r="G36" s="620"/>
      <c r="H36" s="619">
        <f>'TỔNG HỢP THÁNG'!H139</f>
        <v>23150</v>
      </c>
      <c r="I36" s="620"/>
      <c r="J36" s="619">
        <f t="shared" ref="J36" si="28">D36+F36-H36</f>
        <v>6466</v>
      </c>
      <c r="K36" s="620"/>
      <c r="L36" s="582">
        <f t="shared" si="1"/>
        <v>10902.777777777777</v>
      </c>
      <c r="M36" s="777">
        <f t="shared" ref="M36" si="29">J36/L36</f>
        <v>0.59305987261146498</v>
      </c>
      <c r="N36" s="292"/>
      <c r="O36" s="784" t="s">
        <v>1031</v>
      </c>
      <c r="Q36" s="454"/>
      <c r="R36" s="454"/>
      <c r="S36" s="454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</row>
    <row r="37" spans="1:42" s="95" customFormat="1" ht="19.5" customHeight="1">
      <c r="A37" s="211">
        <v>31</v>
      </c>
      <c r="B37" s="584" t="str">
        <f>'TỔNG HỢP THÁNG'!B140</f>
        <v xml:space="preserve">CROVINA 30*60 nâu-HA </v>
      </c>
      <c r="C37" s="109" t="s">
        <v>194</v>
      </c>
      <c r="D37" s="619">
        <f>'TỔNG HỢP THÁNG'!D140</f>
        <v>11421</v>
      </c>
      <c r="E37" s="620"/>
      <c r="F37" s="619">
        <f>'TỔNG HỢP THÁNG'!F140</f>
        <v>10100</v>
      </c>
      <c r="G37" s="620"/>
      <c r="H37" s="619">
        <f>'TỔNG HỢP THÁNG'!H140</f>
        <v>14400</v>
      </c>
      <c r="I37" s="620"/>
      <c r="J37" s="619">
        <f t="shared" ref="J37:J39" si="30">D37+F37-H37</f>
        <v>7121</v>
      </c>
      <c r="K37" s="620"/>
      <c r="L37" s="582">
        <f t="shared" si="1"/>
        <v>10902.777777777777</v>
      </c>
      <c r="M37" s="777">
        <f t="shared" ref="M37:M38" si="31">J37/L37</f>
        <v>0.65313630573248405</v>
      </c>
      <c r="N37" s="292"/>
      <c r="O37" s="784" t="s">
        <v>1138</v>
      </c>
      <c r="Q37" s="454"/>
      <c r="R37" s="454"/>
      <c r="S37" s="454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</row>
    <row r="38" spans="1:42" s="95" customFormat="1" ht="19.5" customHeight="1">
      <c r="A38" s="211">
        <v>32</v>
      </c>
      <c r="B38" s="584" t="str">
        <f>'TỔNG HỢP THÁNG'!B141</f>
        <v xml:space="preserve">TRANG HOÀNG PHƯƠNG 30*60 nâu-HA </v>
      </c>
      <c r="C38" s="109" t="s">
        <v>194</v>
      </c>
      <c r="D38" s="619">
        <f>'TỔNG HỢP THÁNG'!D141</f>
        <v>21410</v>
      </c>
      <c r="E38" s="620"/>
      <c r="F38" s="619">
        <f>'TỔNG HỢP THÁNG'!F141</f>
        <v>41030</v>
      </c>
      <c r="G38" s="620"/>
      <c r="H38" s="619">
        <f>'TỔNG HỢP THÁNG'!H141</f>
        <v>36000</v>
      </c>
      <c r="I38" s="620"/>
      <c r="J38" s="619">
        <f t="shared" si="30"/>
        <v>26440</v>
      </c>
      <c r="K38" s="620"/>
      <c r="L38" s="582">
        <f t="shared" si="1"/>
        <v>10902.777777777777</v>
      </c>
      <c r="M38" s="777">
        <f t="shared" si="31"/>
        <v>2.4250700636942675</v>
      </c>
      <c r="N38" s="292"/>
      <c r="O38" s="784" t="s">
        <v>1157</v>
      </c>
      <c r="Q38" s="454"/>
      <c r="R38" s="454"/>
      <c r="S38" s="454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</row>
    <row r="39" spans="1:42" s="95" customFormat="1" ht="19.5" customHeight="1">
      <c r="A39" s="211">
        <v>33</v>
      </c>
      <c r="B39" s="584" t="str">
        <f>'KARPO 3060'!H4</f>
        <v xml:space="preserve">KARPO 30*60 nâu-HA </v>
      </c>
      <c r="C39" s="109" t="s">
        <v>194</v>
      </c>
      <c r="D39" s="619">
        <f>'KARPO 3060'!G8</f>
        <v>10050</v>
      </c>
      <c r="E39" s="620"/>
      <c r="F39" s="619">
        <f>'KARPO 3060'!D40</f>
        <v>15250</v>
      </c>
      <c r="G39" s="620"/>
      <c r="H39" s="619">
        <f>'KARPO 3060'!E40</f>
        <v>8450</v>
      </c>
      <c r="I39" s="620"/>
      <c r="J39" s="619">
        <f t="shared" si="30"/>
        <v>16850</v>
      </c>
      <c r="K39" s="620"/>
      <c r="L39" s="582">
        <f t="shared" si="1"/>
        <v>10902.777777777777</v>
      </c>
      <c r="M39" s="777">
        <f t="shared" ref="M39" si="32">J39/L39</f>
        <v>1.5454777070063694</v>
      </c>
      <c r="N39" s="292"/>
      <c r="O39" s="784" t="s">
        <v>1186</v>
      </c>
      <c r="Q39" s="454"/>
      <c r="R39" s="454"/>
      <c r="S39" s="454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</row>
    <row r="40" spans="1:42" s="95" customFormat="1" ht="19.5" customHeight="1">
      <c r="A40" s="211">
        <v>34</v>
      </c>
      <c r="B40" s="584" t="str">
        <f>'VIDONA 3060'!H4</f>
        <v xml:space="preserve">VIDONA 30*60 nâu-HA </v>
      </c>
      <c r="C40" s="109" t="s">
        <v>194</v>
      </c>
      <c r="D40" s="619">
        <f>'VIDONA 3060'!G8</f>
        <v>4310</v>
      </c>
      <c r="E40" s="620"/>
      <c r="F40" s="619">
        <f>'VIDONA 3060'!D40</f>
        <v>3100</v>
      </c>
      <c r="G40" s="620"/>
      <c r="H40" s="619">
        <f>'VIDONA 3060'!E40</f>
        <v>3800</v>
      </c>
      <c r="I40" s="620"/>
      <c r="J40" s="619">
        <f t="shared" ref="J40:J43" si="33">D40+F40-H40</f>
        <v>3610</v>
      </c>
      <c r="K40" s="620"/>
      <c r="L40" s="582">
        <f t="shared" si="1"/>
        <v>10902.777777777777</v>
      </c>
      <c r="M40" s="777">
        <f t="shared" ref="M40:M43" si="34">J40/L40</f>
        <v>0.33110828025477707</v>
      </c>
      <c r="N40" s="292"/>
      <c r="O40" s="784" t="s">
        <v>1188</v>
      </c>
      <c r="Q40" s="454"/>
      <c r="R40" s="454"/>
      <c r="S40" s="454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</row>
    <row r="41" spans="1:42" s="95" customFormat="1" ht="19.5" customHeight="1">
      <c r="A41" s="211">
        <v>35</v>
      </c>
      <c r="B41" s="584" t="str">
        <f>'VINA PHACON 36'!H4</f>
        <v xml:space="preserve">VINA PHACON 30*60 nâu-HA </v>
      </c>
      <c r="C41" s="109" t="s">
        <v>194</v>
      </c>
      <c r="D41" s="619">
        <f>'VINA PHACON 36'!G8</f>
        <v>6615</v>
      </c>
      <c r="E41" s="620"/>
      <c r="F41" s="619">
        <f>'VINA PHACON 36'!D40</f>
        <v>20054</v>
      </c>
      <c r="G41" s="620"/>
      <c r="H41" s="619">
        <f>'VINA PHACON 36'!E40</f>
        <v>12000</v>
      </c>
      <c r="I41" s="620"/>
      <c r="J41" s="619">
        <f t="shared" ref="J41" si="35">D41+F41-H41</f>
        <v>14669</v>
      </c>
      <c r="K41" s="620"/>
      <c r="L41" s="582">
        <f t="shared" si="1"/>
        <v>10902.777777777777</v>
      </c>
      <c r="M41" s="777">
        <f t="shared" ref="M41" si="36">J41/L41</f>
        <v>1.3454369426751593</v>
      </c>
      <c r="N41" s="292"/>
      <c r="O41" s="784" t="s">
        <v>1196</v>
      </c>
      <c r="Q41" s="454"/>
      <c r="R41" s="454"/>
      <c r="S41" s="454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</row>
    <row r="42" spans="1:42" s="95" customFormat="1" ht="19.5" customHeight="1">
      <c r="A42" s="211">
        <v>36</v>
      </c>
      <c r="B42" s="584" t="str">
        <f>'PADOVA 36'!H4</f>
        <v xml:space="preserve">PADOVA 30*60 nâu-HA </v>
      </c>
      <c r="C42" s="109" t="s">
        <v>194</v>
      </c>
      <c r="D42" s="619">
        <f>'PADOVA 36'!G8</f>
        <v>6090</v>
      </c>
      <c r="E42" s="620"/>
      <c r="F42" s="619">
        <f>'PADOVA 36'!D40</f>
        <v>20300</v>
      </c>
      <c r="G42" s="620"/>
      <c r="H42" s="619">
        <f>'PADOVA 36'!E40</f>
        <v>21600</v>
      </c>
      <c r="I42" s="620"/>
      <c r="J42" s="619">
        <f t="shared" ref="J42" si="37">D42+F42-H42</f>
        <v>4790</v>
      </c>
      <c r="K42" s="620"/>
      <c r="L42" s="582">
        <f t="shared" si="1"/>
        <v>10902.777777777777</v>
      </c>
      <c r="M42" s="777">
        <f t="shared" ref="M42" si="38">J42/L42</f>
        <v>0.43933757961783443</v>
      </c>
      <c r="N42" s="292"/>
      <c r="O42" s="784" t="s">
        <v>1240</v>
      </c>
      <c r="Q42" s="454"/>
      <c r="R42" s="454"/>
      <c r="S42" s="454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</row>
    <row r="43" spans="1:42" s="95" customFormat="1" ht="19.5" customHeight="1">
      <c r="A43" s="211">
        <v>37</v>
      </c>
      <c r="B43" s="583" t="s">
        <v>375</v>
      </c>
      <c r="C43" s="109" t="s">
        <v>194</v>
      </c>
      <c r="D43" s="619">
        <v>0</v>
      </c>
      <c r="E43" s="620"/>
      <c r="F43" s="619">
        <v>0</v>
      </c>
      <c r="G43" s="620"/>
      <c r="H43" s="619">
        <v>0</v>
      </c>
      <c r="I43" s="620"/>
      <c r="J43" s="619">
        <f t="shared" si="33"/>
        <v>0</v>
      </c>
      <c r="K43" s="620"/>
      <c r="L43" s="582">
        <f t="shared" si="1"/>
        <v>10902.777777777777</v>
      </c>
      <c r="M43" s="777">
        <f t="shared" si="34"/>
        <v>0</v>
      </c>
      <c r="N43" s="292"/>
      <c r="O43" s="386" t="s">
        <v>412</v>
      </c>
      <c r="Q43" s="454"/>
      <c r="R43" s="454"/>
      <c r="S43" s="454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</row>
    <row r="44" spans="1:42" s="95" customFormat="1" ht="19.5" customHeight="1">
      <c r="A44" s="211">
        <v>37</v>
      </c>
      <c r="B44" s="583" t="str">
        <f>'VO PHE 30x60'!H4</f>
        <v>VỎ PHẾ 30x60-HA</v>
      </c>
      <c r="C44" s="109" t="s">
        <v>194</v>
      </c>
      <c r="D44" s="619">
        <f>'VO PHE 30x60'!G8</f>
        <v>4000</v>
      </c>
      <c r="E44" s="620"/>
      <c r="F44" s="619">
        <f>'VO PHE 30x60'!D40</f>
        <v>0</v>
      </c>
      <c r="G44" s="620"/>
      <c r="H44" s="619">
        <f>'VO PHE 30x60'!E40</f>
        <v>0</v>
      </c>
      <c r="I44" s="620"/>
      <c r="J44" s="619">
        <f>D44+F44-H44</f>
        <v>4000</v>
      </c>
      <c r="K44" s="620"/>
      <c r="L44" s="582">
        <f t="shared" si="1"/>
        <v>10902.777777777777</v>
      </c>
      <c r="M44" s="777">
        <f>J44/L44</f>
        <v>0.36687898089171977</v>
      </c>
      <c r="N44" s="292"/>
      <c r="O44" s="386" t="s">
        <v>412</v>
      </c>
      <c r="Q44" s="454"/>
      <c r="R44" s="454"/>
      <c r="S44" s="454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</row>
    <row r="45" spans="1:42" ht="19.5" customHeight="1">
      <c r="A45" s="778">
        <v>2</v>
      </c>
      <c r="B45" s="357" t="s">
        <v>374</v>
      </c>
      <c r="C45" s="294"/>
      <c r="D45" s="358"/>
      <c r="E45" s="358"/>
      <c r="F45" s="358"/>
      <c r="G45" s="358"/>
      <c r="H45" s="358"/>
      <c r="I45" s="358"/>
      <c r="J45" s="358"/>
      <c r="K45" s="358"/>
      <c r="L45" s="582"/>
      <c r="M45" s="777"/>
      <c r="N45" s="292"/>
      <c r="O45" s="386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  <c r="AK45" s="289"/>
      <c r="AL45" s="289"/>
      <c r="AM45" s="289"/>
      <c r="AN45" s="289"/>
      <c r="AO45" s="289"/>
      <c r="AP45" s="289"/>
    </row>
    <row r="46" spans="1:42" ht="19.5" customHeight="1">
      <c r="A46" s="211">
        <v>1</v>
      </c>
      <c r="B46" s="584" t="str">
        <f>'SAHADO 40x80-HA '!H4</f>
        <v>SAHADO 40x80-HA</v>
      </c>
      <c r="C46" s="109" t="s">
        <v>194</v>
      </c>
      <c r="D46" s="619">
        <f>'SAHADO 40x80-HA '!G8</f>
        <v>2105</v>
      </c>
      <c r="E46" s="620"/>
      <c r="F46" s="619">
        <f>'SAHADO 40x80-HA '!D40</f>
        <v>0</v>
      </c>
      <c r="G46" s="620"/>
      <c r="H46" s="619">
        <f>'SAHADO 40x80-HA '!E40</f>
        <v>0</v>
      </c>
      <c r="I46" s="620"/>
      <c r="J46" s="619">
        <f t="shared" ref="J46:J53" si="39">D46+F46-H46</f>
        <v>2105</v>
      </c>
      <c r="K46" s="620"/>
      <c r="L46" s="582">
        <f t="shared" si="1"/>
        <v>10902.777777777777</v>
      </c>
      <c r="M46" s="777">
        <f t="shared" ref="M46:M52" si="40">J46/L46</f>
        <v>0.19307006369426752</v>
      </c>
      <c r="N46" s="292"/>
      <c r="O46" s="386" t="s">
        <v>347</v>
      </c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  <c r="AK46" s="289"/>
      <c r="AL46" s="289"/>
      <c r="AM46" s="289"/>
      <c r="AN46" s="289"/>
      <c r="AO46" s="289"/>
      <c r="AP46" s="289"/>
    </row>
    <row r="47" spans="1:42" ht="19.5" customHeight="1">
      <c r="A47" s="211">
        <v>2</v>
      </c>
      <c r="B47" s="584" t="str">
        <f>'LUXURY 40x80-HA'!H4</f>
        <v>LUXURY 40x8-HA</v>
      </c>
      <c r="C47" s="109" t="s">
        <v>194</v>
      </c>
      <c r="D47" s="619">
        <f>'LUXURY 40x80-HA'!G8</f>
        <v>9070</v>
      </c>
      <c r="E47" s="620"/>
      <c r="F47" s="619">
        <f>'LUXURY 40x80-HA'!D40</f>
        <v>0</v>
      </c>
      <c r="G47" s="620"/>
      <c r="H47" s="619">
        <f>'LUXURY 40x80-HA'!E40</f>
        <v>30</v>
      </c>
      <c r="I47" s="620"/>
      <c r="J47" s="619">
        <f t="shared" si="39"/>
        <v>9040</v>
      </c>
      <c r="K47" s="620"/>
      <c r="L47" s="582">
        <f t="shared" si="1"/>
        <v>10902.777777777777</v>
      </c>
      <c r="M47" s="777">
        <f t="shared" si="40"/>
        <v>0.82914649681528663</v>
      </c>
      <c r="N47" s="292"/>
      <c r="O47" s="386" t="s">
        <v>414</v>
      </c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  <c r="AN47" s="289"/>
      <c r="AO47" s="289"/>
      <c r="AP47" s="289"/>
    </row>
    <row r="48" spans="1:42" ht="19.5" customHeight="1">
      <c r="A48" s="211">
        <v>3</v>
      </c>
      <c r="B48" s="584" t="str">
        <f>'TỔNG HỢP THÁNG'!B151</f>
        <v>LUXURY nâu 40x8-HA</v>
      </c>
      <c r="C48" s="109" t="s">
        <v>194</v>
      </c>
      <c r="D48" s="619">
        <f>'TỔNG HỢP THÁNG'!D151</f>
        <v>0</v>
      </c>
      <c r="E48" s="620"/>
      <c r="F48" s="619">
        <f>'TỔNG HỢP THÁNG'!F151</f>
        <v>0</v>
      </c>
      <c r="G48" s="620"/>
      <c r="H48" s="619">
        <f>'TỔNG HỢP THÁNG'!H151</f>
        <v>0</v>
      </c>
      <c r="I48" s="620"/>
      <c r="J48" s="619">
        <f t="shared" ref="J48:J49" si="41">D48+F48-H48</f>
        <v>0</v>
      </c>
      <c r="K48" s="620"/>
      <c r="L48" s="582">
        <f t="shared" si="1"/>
        <v>10902.777777777777</v>
      </c>
      <c r="M48" s="777">
        <f t="shared" ref="M48:M49" si="42">J48/L48</f>
        <v>0</v>
      </c>
      <c r="N48" s="292"/>
      <c r="O48" s="784" t="s">
        <v>975</v>
      </c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  <c r="AO48" s="289"/>
      <c r="AP48" s="289"/>
    </row>
    <row r="49" spans="1:42" ht="19.5" customHeight="1">
      <c r="A49" s="211">
        <v>4</v>
      </c>
      <c r="B49" s="584" t="str">
        <f>'CROWN 40x80-HA'!H4</f>
        <v>CROWN 40x80-HA</v>
      </c>
      <c r="C49" s="109" t="s">
        <v>194</v>
      </c>
      <c r="D49" s="619">
        <f>'CROWN 40x80-HA'!G8</f>
        <v>4642</v>
      </c>
      <c r="E49" s="620"/>
      <c r="F49" s="619">
        <f>'CROWN 40x80-HA'!D40</f>
        <v>0</v>
      </c>
      <c r="G49" s="620"/>
      <c r="H49" s="619">
        <f>'CROWN 40x80-HA'!E40</f>
        <v>0</v>
      </c>
      <c r="I49" s="620"/>
      <c r="J49" s="619">
        <f t="shared" si="41"/>
        <v>4642</v>
      </c>
      <c r="K49" s="620"/>
      <c r="L49" s="582">
        <f t="shared" si="1"/>
        <v>10902.777777777777</v>
      </c>
      <c r="M49" s="777">
        <f t="shared" si="42"/>
        <v>0.42576305732484077</v>
      </c>
      <c r="N49" s="292"/>
      <c r="O49" s="386" t="s">
        <v>415</v>
      </c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89"/>
      <c r="AL49" s="289"/>
      <c r="AM49" s="289"/>
      <c r="AN49" s="289"/>
      <c r="AO49" s="289"/>
      <c r="AP49" s="289"/>
    </row>
    <row r="50" spans="1:42" ht="19.5" customHeight="1">
      <c r="A50" s="211">
        <v>5</v>
      </c>
      <c r="B50" s="584" t="str">
        <f>'ESPANA 40x80-HA '!H4</f>
        <v>ESPANA 40x80-HA</v>
      </c>
      <c r="C50" s="109" t="s">
        <v>194</v>
      </c>
      <c r="D50" s="619">
        <f>'ESPANA 40x80-HA '!G8</f>
        <v>14340</v>
      </c>
      <c r="E50" s="620"/>
      <c r="F50" s="619">
        <f>'ESPANA 40x80-HA '!D40</f>
        <v>0</v>
      </c>
      <c r="G50" s="620"/>
      <c r="H50" s="619">
        <f>'ESPANA 40x80-HA '!E40</f>
        <v>0</v>
      </c>
      <c r="I50" s="620"/>
      <c r="J50" s="619">
        <f t="shared" si="39"/>
        <v>14340</v>
      </c>
      <c r="K50" s="620"/>
      <c r="L50" s="582">
        <f t="shared" si="1"/>
        <v>10902.777777777777</v>
      </c>
      <c r="M50" s="777">
        <f t="shared" si="40"/>
        <v>1.3152611464968154</v>
      </c>
      <c r="N50" s="292"/>
      <c r="O50" s="784" t="s">
        <v>455</v>
      </c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  <c r="AL50" s="289"/>
      <c r="AM50" s="289"/>
      <c r="AN50" s="289"/>
      <c r="AO50" s="289"/>
      <c r="AP50" s="289"/>
    </row>
    <row r="51" spans="1:42" ht="19.5" customHeight="1">
      <c r="A51" s="211">
        <v>6</v>
      </c>
      <c r="B51" s="584" t="str">
        <f>'ESPANA 40x80-HA nâu'!H4</f>
        <v>ESPANA 40x80-HA giấy nâu</v>
      </c>
      <c r="C51" s="109" t="s">
        <v>194</v>
      </c>
      <c r="D51" s="619">
        <f>'ESPANA 40x80-HA nâu'!G8</f>
        <v>0</v>
      </c>
      <c r="E51" s="620"/>
      <c r="F51" s="619">
        <f>'ESPANA 40x80-HA nâu'!D40</f>
        <v>0</v>
      </c>
      <c r="G51" s="620"/>
      <c r="H51" s="619">
        <f>'ESPANA 40x80-HA nâu'!E40</f>
        <v>0</v>
      </c>
      <c r="I51" s="620"/>
      <c r="J51" s="619">
        <f t="shared" ref="J51" si="43">D51+F51-H51</f>
        <v>0</v>
      </c>
      <c r="K51" s="620"/>
      <c r="L51" s="582">
        <f t="shared" si="1"/>
        <v>10902.777777777777</v>
      </c>
      <c r="M51" s="777">
        <f t="shared" ref="M51" si="44">J51/L51</f>
        <v>0</v>
      </c>
      <c r="N51" s="292"/>
      <c r="O51" s="784" t="s">
        <v>1044</v>
      </c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  <c r="AL51" s="289"/>
      <c r="AM51" s="289"/>
      <c r="AN51" s="289"/>
      <c r="AO51" s="289"/>
      <c r="AP51" s="289"/>
    </row>
    <row r="52" spans="1:42" ht="19.5" customHeight="1">
      <c r="A52" s="211">
        <v>7</v>
      </c>
      <c r="B52" s="584" t="str">
        <f>'TỔNG HỢP THÁNG'!B155</f>
        <v>ADONIS 40x80-HA</v>
      </c>
      <c r="C52" s="109" t="s">
        <v>194</v>
      </c>
      <c r="D52" s="619">
        <f>'TỔNG HỢP THÁNG'!D155</f>
        <v>1200</v>
      </c>
      <c r="E52" s="620"/>
      <c r="F52" s="619">
        <f>'TỔNG HỢP THÁNG'!F155</f>
        <v>0</v>
      </c>
      <c r="G52" s="620"/>
      <c r="H52" s="619">
        <f>'TỔNG HỢP THÁNG'!H155</f>
        <v>0</v>
      </c>
      <c r="I52" s="620"/>
      <c r="J52" s="619">
        <f t="shared" si="39"/>
        <v>1200</v>
      </c>
      <c r="K52" s="620"/>
      <c r="L52" s="582">
        <f t="shared" si="1"/>
        <v>10902.777777777777</v>
      </c>
      <c r="M52" s="777">
        <f t="shared" si="40"/>
        <v>0.11006369426751593</v>
      </c>
      <c r="N52" s="292"/>
      <c r="O52" s="784" t="s">
        <v>476</v>
      </c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  <c r="AL52" s="289"/>
      <c r="AM52" s="289"/>
      <c r="AN52" s="289"/>
      <c r="AO52" s="289"/>
      <c r="AP52" s="289"/>
    </row>
    <row r="53" spans="1:42" ht="19.5" customHeight="1">
      <c r="A53" s="211">
        <v>8</v>
      </c>
      <c r="B53" s="584" t="str">
        <f>'TỔNG HỢP THÁNG'!B156</f>
        <v>GREEN ERA 40x80-HA</v>
      </c>
      <c r="C53" s="109" t="s">
        <v>194</v>
      </c>
      <c r="D53" s="619">
        <f>'TỔNG HỢP THÁNG'!D156</f>
        <v>0</v>
      </c>
      <c r="E53" s="620"/>
      <c r="F53" s="619">
        <f>'TỔNG HỢP THÁNG'!F156</f>
        <v>0</v>
      </c>
      <c r="G53" s="620"/>
      <c r="H53" s="619">
        <f>'TỔNG HỢP THÁNG'!H156</f>
        <v>0</v>
      </c>
      <c r="I53" s="620"/>
      <c r="J53" s="619">
        <f t="shared" si="39"/>
        <v>0</v>
      </c>
      <c r="K53" s="620"/>
      <c r="L53" s="582">
        <f t="shared" si="1"/>
        <v>10902.777777777777</v>
      </c>
      <c r="M53" s="777">
        <f t="shared" ref="M53" si="45">J53/L53</f>
        <v>0</v>
      </c>
      <c r="N53" s="292"/>
      <c r="O53" s="784" t="s">
        <v>762</v>
      </c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</row>
    <row r="54" spans="1:42" ht="19.5" customHeight="1">
      <c r="A54" s="211">
        <v>9</v>
      </c>
      <c r="B54" s="584" t="str">
        <f>'TỔNG HỢP THÁNG'!B157</f>
        <v>GREEN ERA nâu 40x80-HA</v>
      </c>
      <c r="C54" s="109" t="s">
        <v>194</v>
      </c>
      <c r="D54" s="619">
        <f>'TỔNG HỢP THÁNG'!D157</f>
        <v>0</v>
      </c>
      <c r="E54" s="620"/>
      <c r="F54" s="619">
        <f>'TỔNG HỢP THÁNG'!F157</f>
        <v>0</v>
      </c>
      <c r="G54" s="620"/>
      <c r="H54" s="619">
        <f>'TỔNG HỢP THÁNG'!H157</f>
        <v>0</v>
      </c>
      <c r="I54" s="620"/>
      <c r="J54" s="619">
        <f t="shared" ref="J54:J56" si="46">D54+F54-H54</f>
        <v>0</v>
      </c>
      <c r="K54" s="620"/>
      <c r="L54" s="582">
        <f t="shared" si="1"/>
        <v>10902.777777777777</v>
      </c>
      <c r="M54" s="777">
        <f t="shared" ref="M54:M56" si="47">J54/L54</f>
        <v>0</v>
      </c>
      <c r="N54" s="292"/>
      <c r="O54" s="784" t="s">
        <v>982</v>
      </c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  <c r="AK54" s="289"/>
      <c r="AL54" s="289"/>
      <c r="AM54" s="289"/>
      <c r="AN54" s="289"/>
      <c r="AO54" s="289"/>
      <c r="AP54" s="289"/>
    </row>
    <row r="55" spans="1:42" ht="19.5" customHeight="1">
      <c r="A55" s="211">
        <v>10</v>
      </c>
      <c r="B55" s="584" t="str">
        <f>'TỔNG HỢP THÁNG'!B158</f>
        <v xml:space="preserve">LUSTILE 40*80 nâu-HA </v>
      </c>
      <c r="C55" s="109" t="s">
        <v>194</v>
      </c>
      <c r="D55" s="619">
        <f>'TỔNG HỢP THÁNG'!D158</f>
        <v>1920</v>
      </c>
      <c r="E55" s="620"/>
      <c r="F55" s="619">
        <f>'TỔNG HỢP THÁNG'!F158</f>
        <v>0</v>
      </c>
      <c r="G55" s="620"/>
      <c r="H55" s="619">
        <f>'TỔNG HỢP THÁNG'!H158</f>
        <v>0</v>
      </c>
      <c r="I55" s="620"/>
      <c r="J55" s="619">
        <f t="shared" si="46"/>
        <v>1920</v>
      </c>
      <c r="K55" s="620"/>
      <c r="L55" s="582">
        <f t="shared" si="1"/>
        <v>10902.777777777777</v>
      </c>
      <c r="M55" s="777">
        <f t="shared" si="47"/>
        <v>0.17610191082802548</v>
      </c>
      <c r="N55" s="292"/>
      <c r="O55" s="784" t="s">
        <v>980</v>
      </c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89"/>
      <c r="AL55" s="289"/>
      <c r="AM55" s="289"/>
      <c r="AN55" s="289"/>
      <c r="AO55" s="289"/>
      <c r="AP55" s="289"/>
    </row>
    <row r="56" spans="1:42" ht="19.5" customHeight="1">
      <c r="A56" s="211">
        <v>11</v>
      </c>
      <c r="B56" s="584" t="str">
        <f>'TỔNG HỢP THÁNG'!B159</f>
        <v xml:space="preserve">GREEN HOME nâu 40*80-HA </v>
      </c>
      <c r="C56" s="109" t="s">
        <v>194</v>
      </c>
      <c r="D56" s="619">
        <f>'TỔNG HỢP THÁNG'!D159</f>
        <v>0</v>
      </c>
      <c r="E56" s="620"/>
      <c r="F56" s="619">
        <f>'TỔNG HỢP THÁNG'!F159</f>
        <v>0</v>
      </c>
      <c r="G56" s="620"/>
      <c r="H56" s="619">
        <f>'TỔNG HỢP THÁNG'!H159</f>
        <v>0</v>
      </c>
      <c r="I56" s="620"/>
      <c r="J56" s="619">
        <f t="shared" si="46"/>
        <v>0</v>
      </c>
      <c r="K56" s="620"/>
      <c r="L56" s="582">
        <f t="shared" si="1"/>
        <v>10902.777777777777</v>
      </c>
      <c r="M56" s="777">
        <f t="shared" si="47"/>
        <v>0</v>
      </c>
      <c r="N56" s="292"/>
      <c r="O56" s="784" t="s">
        <v>983</v>
      </c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89"/>
      <c r="AJ56" s="289"/>
      <c r="AK56" s="289"/>
      <c r="AL56" s="289"/>
      <c r="AM56" s="289"/>
      <c r="AN56" s="289"/>
      <c r="AO56" s="289"/>
      <c r="AP56" s="289"/>
    </row>
    <row r="57" spans="1:42" ht="19.5" customHeight="1">
      <c r="A57" s="211">
        <v>12</v>
      </c>
      <c r="B57" s="584" t="str">
        <f>'TỔNG HỢP THÁNG'!B160</f>
        <v xml:space="preserve">UNITILE nâu 40*80-HA </v>
      </c>
      <c r="C57" s="109" t="s">
        <v>194</v>
      </c>
      <c r="D57" s="619">
        <f>'TỔNG HỢP THÁNG'!D160</f>
        <v>0</v>
      </c>
      <c r="E57" s="620"/>
      <c r="F57" s="619">
        <f>'TỔNG HỢP THÁNG'!F160</f>
        <v>0</v>
      </c>
      <c r="G57" s="620"/>
      <c r="H57" s="619">
        <f>'TỔNG HỢP THÁNG'!H160</f>
        <v>0</v>
      </c>
      <c r="I57" s="620"/>
      <c r="J57" s="619">
        <f t="shared" ref="J57" si="48">D57+F57-H57</f>
        <v>0</v>
      </c>
      <c r="K57" s="620"/>
      <c r="L57" s="582">
        <f t="shared" si="1"/>
        <v>10902.777777777777</v>
      </c>
      <c r="M57" s="777">
        <f t="shared" ref="M57" si="49">J57/L57</f>
        <v>0</v>
      </c>
      <c r="N57" s="292"/>
      <c r="O57" s="784" t="s">
        <v>985</v>
      </c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</row>
    <row r="58" spans="1:42" ht="19.5" customHeight="1">
      <c r="A58" s="211">
        <v>13</v>
      </c>
      <c r="B58" s="584" t="str">
        <f>'TỔNG HỢP THÁNG'!B161</f>
        <v>HAVIRA 40*80-HA giấy nâu</v>
      </c>
      <c r="C58" s="109" t="s">
        <v>194</v>
      </c>
      <c r="D58" s="619">
        <f>'TỔNG HỢP THÁNG'!D161</f>
        <v>0</v>
      </c>
      <c r="E58" s="620"/>
      <c r="F58" s="619">
        <f>'TỔNG HỢP THÁNG'!F161</f>
        <v>0</v>
      </c>
      <c r="G58" s="620"/>
      <c r="H58" s="619">
        <f>'TỔNG HỢP THÁNG'!H161</f>
        <v>0</v>
      </c>
      <c r="I58" s="620"/>
      <c r="J58" s="619">
        <f t="shared" ref="J58:J61" si="50">D58+F58-H58</f>
        <v>0</v>
      </c>
      <c r="K58" s="620"/>
      <c r="L58" s="582">
        <f t="shared" si="1"/>
        <v>10902.777777777777</v>
      </c>
      <c r="M58" s="777">
        <f t="shared" ref="M58:M61" si="51">J58/L58</f>
        <v>0</v>
      </c>
      <c r="N58" s="292"/>
      <c r="O58" s="784" t="s">
        <v>995</v>
      </c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  <c r="AC58" s="289"/>
      <c r="AD58" s="289"/>
      <c r="AE58" s="289"/>
      <c r="AF58" s="289"/>
      <c r="AG58" s="289"/>
      <c r="AH58" s="289"/>
      <c r="AI58" s="289"/>
      <c r="AJ58" s="289"/>
      <c r="AK58" s="289"/>
      <c r="AL58" s="289"/>
      <c r="AM58" s="289"/>
      <c r="AN58" s="289"/>
      <c r="AO58" s="289"/>
      <c r="AP58" s="289"/>
    </row>
    <row r="59" spans="1:42" ht="19.5" customHeight="1">
      <c r="A59" s="211">
        <v>14</v>
      </c>
      <c r="B59" s="584" t="str">
        <f>'TỔNG HỢP THÁNG'!B162</f>
        <v xml:space="preserve">PANA TILES 40*80 nâu-HA </v>
      </c>
      <c r="C59" s="109" t="s">
        <v>194</v>
      </c>
      <c r="D59" s="619">
        <f>'TỔNG HỢP THÁNG'!D162</f>
        <v>0</v>
      </c>
      <c r="E59" s="620"/>
      <c r="F59" s="619">
        <f>'TỔNG HỢP THÁNG'!F162</f>
        <v>0</v>
      </c>
      <c r="G59" s="620"/>
      <c r="H59" s="619">
        <f>'TỔNG HỢP THÁNG'!H162</f>
        <v>0</v>
      </c>
      <c r="I59" s="620"/>
      <c r="J59" s="619">
        <f t="shared" ref="J59" si="52">D59+F59-H59</f>
        <v>0</v>
      </c>
      <c r="K59" s="620"/>
      <c r="L59" s="582">
        <f t="shared" si="1"/>
        <v>10902.777777777777</v>
      </c>
      <c r="M59" s="777">
        <f t="shared" ref="M59" si="53">J59/L59</f>
        <v>0</v>
      </c>
      <c r="N59" s="292"/>
      <c r="O59" s="784" t="s">
        <v>997</v>
      </c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  <c r="AC59" s="289"/>
      <c r="AD59" s="289"/>
      <c r="AE59" s="289"/>
      <c r="AF59" s="289"/>
      <c r="AG59" s="289"/>
      <c r="AH59" s="289"/>
      <c r="AI59" s="289"/>
      <c r="AJ59" s="289"/>
      <c r="AK59" s="289"/>
      <c r="AL59" s="289"/>
      <c r="AM59" s="289"/>
      <c r="AN59" s="289"/>
      <c r="AO59" s="289"/>
      <c r="AP59" s="289"/>
    </row>
    <row r="60" spans="1:42" ht="18.75" customHeight="1">
      <c r="A60" s="211">
        <v>15</v>
      </c>
      <c r="B60" s="584" t="str">
        <f>'TỔNG HỢP THÁNG'!B163</f>
        <v xml:space="preserve">TOP ONE 40*80 nâu-HA </v>
      </c>
      <c r="C60" s="109" t="s">
        <v>194</v>
      </c>
      <c r="D60" s="619">
        <f>'TỔNG HỢP THÁNG'!D163</f>
        <v>0</v>
      </c>
      <c r="E60" s="620"/>
      <c r="F60" s="619">
        <f>'TỔNG HỢP THÁNG'!F163</f>
        <v>0</v>
      </c>
      <c r="G60" s="620"/>
      <c r="H60" s="619">
        <f>'TỔNG HỢP THÁNG'!H163</f>
        <v>0</v>
      </c>
      <c r="I60" s="620"/>
      <c r="J60" s="619">
        <f t="shared" ref="J60" si="54">D60+F60-H60</f>
        <v>0</v>
      </c>
      <c r="K60" s="620"/>
      <c r="L60" s="582">
        <f t="shared" si="1"/>
        <v>10902.777777777777</v>
      </c>
      <c r="M60" s="777">
        <f t="shared" ref="M60" si="55">J60/L60</f>
        <v>0</v>
      </c>
      <c r="N60" s="292"/>
      <c r="O60" s="784" t="s">
        <v>1029</v>
      </c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  <c r="AC60" s="289"/>
      <c r="AD60" s="289"/>
      <c r="AE60" s="289"/>
      <c r="AF60" s="289"/>
      <c r="AG60" s="289"/>
      <c r="AH60" s="289"/>
      <c r="AI60" s="289"/>
      <c r="AJ60" s="289"/>
      <c r="AK60" s="289"/>
      <c r="AL60" s="289"/>
      <c r="AM60" s="289"/>
      <c r="AN60" s="289"/>
      <c r="AO60" s="289"/>
      <c r="AP60" s="289"/>
    </row>
    <row r="61" spans="1:42" ht="19.5" customHeight="1">
      <c r="A61" s="211">
        <v>16</v>
      </c>
      <c r="B61" s="584" t="str">
        <f>'VO PHE  40x80'!H4</f>
        <v>VỎ PHẾ 40x80-HA</v>
      </c>
      <c r="C61" s="109" t="s">
        <v>194</v>
      </c>
      <c r="D61" s="619">
        <f>'VO PHE  40x80'!G8</f>
        <v>8500</v>
      </c>
      <c r="E61" s="620"/>
      <c r="F61" s="619">
        <f>'VO PHE  40x80'!D40</f>
        <v>0</v>
      </c>
      <c r="G61" s="620"/>
      <c r="H61" s="619">
        <f>'VO PHE  40x80'!E40</f>
        <v>500</v>
      </c>
      <c r="I61" s="620"/>
      <c r="J61" s="619">
        <f t="shared" si="50"/>
        <v>8000</v>
      </c>
      <c r="K61" s="620"/>
      <c r="L61" s="582">
        <f t="shared" si="1"/>
        <v>10902.777777777777</v>
      </c>
      <c r="M61" s="777">
        <f t="shared" si="51"/>
        <v>0.73375796178343955</v>
      </c>
      <c r="N61" s="292"/>
      <c r="O61" s="386" t="s">
        <v>416</v>
      </c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89"/>
      <c r="AI61" s="289"/>
      <c r="AJ61" s="289"/>
      <c r="AK61" s="289"/>
      <c r="AL61" s="289"/>
      <c r="AM61" s="289"/>
      <c r="AN61" s="289"/>
      <c r="AO61" s="289"/>
      <c r="AP61" s="289"/>
    </row>
    <row r="62" spans="1:42" ht="19.5" customHeight="1">
      <c r="A62" s="211">
        <v>17</v>
      </c>
      <c r="B62" s="584" t="str">
        <f>'TỔNG HỢP THÁNG'!B165</f>
        <v>LUXURY nâu 40x8 5V-HA</v>
      </c>
      <c r="C62" s="109" t="s">
        <v>194</v>
      </c>
      <c r="D62" s="619">
        <f>'TỔNG HỢP THÁNG'!D165</f>
        <v>0</v>
      </c>
      <c r="E62" s="620"/>
      <c r="F62" s="619">
        <f>'TỔNG HỢP THÁNG'!F165</f>
        <v>40070</v>
      </c>
      <c r="G62" s="620"/>
      <c r="H62" s="619">
        <f>'TỔNG HỢP THÁNG'!H165</f>
        <v>22950</v>
      </c>
      <c r="I62" s="620"/>
      <c r="J62" s="619">
        <f t="shared" ref="J62:J68" si="56">D62+F62-H62</f>
        <v>17120</v>
      </c>
      <c r="K62" s="620"/>
      <c r="L62" s="582">
        <f t="shared" si="1"/>
        <v>10902.777777777777</v>
      </c>
      <c r="M62" s="777">
        <f t="shared" ref="M62:M68" si="57">J62/L62</f>
        <v>1.5702420382165605</v>
      </c>
      <c r="N62" s="292"/>
      <c r="O62" s="784" t="s">
        <v>1094</v>
      </c>
      <c r="P62" s="289"/>
      <c r="Q62" s="289"/>
      <c r="R62" s="289"/>
      <c r="S62" s="289"/>
      <c r="T62" s="289"/>
      <c r="U62" s="289"/>
      <c r="V62" s="289"/>
      <c r="W62" s="289"/>
      <c r="X62" s="289"/>
      <c r="Y62" s="289"/>
      <c r="Z62" s="289"/>
      <c r="AA62" s="289"/>
      <c r="AB62" s="289"/>
      <c r="AC62" s="289"/>
      <c r="AD62" s="289"/>
      <c r="AE62" s="289"/>
      <c r="AF62" s="289"/>
      <c r="AG62" s="289"/>
      <c r="AH62" s="289"/>
      <c r="AI62" s="289"/>
      <c r="AJ62" s="289"/>
      <c r="AK62" s="289"/>
      <c r="AL62" s="289"/>
      <c r="AM62" s="289"/>
      <c r="AN62" s="289"/>
      <c r="AO62" s="289"/>
      <c r="AP62" s="289"/>
    </row>
    <row r="63" spans="1:42" ht="19.5" customHeight="1">
      <c r="A63" s="211">
        <v>18</v>
      </c>
      <c r="B63" s="584" t="str">
        <f>'TỔNG HỢP THÁNG'!B166</f>
        <v>CROWN 40x80 5V-HA</v>
      </c>
      <c r="C63" s="109" t="s">
        <v>194</v>
      </c>
      <c r="D63" s="619">
        <f>'TỔNG HỢP THÁNG'!D166</f>
        <v>0</v>
      </c>
      <c r="E63" s="620"/>
      <c r="F63" s="619">
        <f>'TỔNG HỢP THÁNG'!F166</f>
        <v>0</v>
      </c>
      <c r="G63" s="620"/>
      <c r="H63" s="619">
        <f>'TỔNG HỢP THÁNG'!H166</f>
        <v>0</v>
      </c>
      <c r="I63" s="620"/>
      <c r="J63" s="619">
        <f t="shared" si="56"/>
        <v>0</v>
      </c>
      <c r="K63" s="620"/>
      <c r="L63" s="582">
        <f t="shared" si="1"/>
        <v>10902.777777777777</v>
      </c>
      <c r="M63" s="777">
        <f t="shared" si="57"/>
        <v>0</v>
      </c>
      <c r="N63" s="292"/>
      <c r="O63" s="784" t="s">
        <v>1083</v>
      </c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89"/>
      <c r="AJ63" s="289"/>
      <c r="AK63" s="289"/>
      <c r="AL63" s="289"/>
      <c r="AM63" s="289"/>
      <c r="AN63" s="289"/>
      <c r="AO63" s="289"/>
      <c r="AP63" s="289"/>
    </row>
    <row r="64" spans="1:42" ht="19.5" customHeight="1">
      <c r="A64" s="211">
        <v>19</v>
      </c>
      <c r="B64" s="584" t="str">
        <f>'TỔNG HỢP THÁNG'!B167</f>
        <v>GREEN ERA nâu 40x80 5V-HA</v>
      </c>
      <c r="C64" s="109" t="s">
        <v>194</v>
      </c>
      <c r="D64" s="619">
        <f>'TỔNG HỢP THÁNG'!D167</f>
        <v>0</v>
      </c>
      <c r="E64" s="620"/>
      <c r="F64" s="619">
        <f>'TỔNG HỢP THÁNG'!F167</f>
        <v>0</v>
      </c>
      <c r="G64" s="620"/>
      <c r="H64" s="619">
        <f>'TỔNG HỢP THÁNG'!H167</f>
        <v>0</v>
      </c>
      <c r="I64" s="620"/>
      <c r="J64" s="619">
        <f t="shared" si="56"/>
        <v>0</v>
      </c>
      <c r="K64" s="620"/>
      <c r="L64" s="582">
        <f t="shared" si="1"/>
        <v>10902.777777777777</v>
      </c>
      <c r="M64" s="777">
        <f t="shared" si="57"/>
        <v>0</v>
      </c>
      <c r="N64" s="292"/>
      <c r="O64" s="784" t="s">
        <v>1085</v>
      </c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89"/>
      <c r="AB64" s="289"/>
      <c r="AC64" s="289"/>
      <c r="AD64" s="289"/>
      <c r="AE64" s="289"/>
      <c r="AF64" s="289"/>
      <c r="AG64" s="289"/>
      <c r="AH64" s="289"/>
      <c r="AI64" s="289"/>
      <c r="AJ64" s="289"/>
      <c r="AK64" s="289"/>
      <c r="AL64" s="289"/>
      <c r="AM64" s="289"/>
      <c r="AN64" s="289"/>
      <c r="AO64" s="289"/>
      <c r="AP64" s="289"/>
    </row>
    <row r="65" spans="1:42" ht="20.25" customHeight="1">
      <c r="A65" s="211">
        <v>20</v>
      </c>
      <c r="B65" s="584" t="str">
        <f>'TỔNG HỢP THÁNG'!B168</f>
        <v xml:space="preserve">GREEN HOME nâu 40*80 5V-HA </v>
      </c>
      <c r="C65" s="109" t="s">
        <v>194</v>
      </c>
      <c r="D65" s="619">
        <f>'TỔNG HỢP THÁNG'!D168</f>
        <v>0</v>
      </c>
      <c r="E65" s="620"/>
      <c r="F65" s="619">
        <f>'TỔNG HỢP THÁNG'!F168</f>
        <v>10000</v>
      </c>
      <c r="G65" s="620"/>
      <c r="H65" s="619">
        <f>'TỔNG HỢP THÁNG'!H168</f>
        <v>0</v>
      </c>
      <c r="I65" s="620"/>
      <c r="J65" s="619">
        <f t="shared" si="56"/>
        <v>10000</v>
      </c>
      <c r="K65" s="620"/>
      <c r="L65" s="582">
        <f t="shared" si="1"/>
        <v>10902.777777777777</v>
      </c>
      <c r="M65" s="777">
        <f t="shared" si="57"/>
        <v>0.91719745222929938</v>
      </c>
      <c r="N65" s="292"/>
      <c r="O65" s="784" t="s">
        <v>1087</v>
      </c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89"/>
      <c r="AB65" s="289"/>
      <c r="AC65" s="289"/>
      <c r="AD65" s="289"/>
      <c r="AE65" s="289"/>
      <c r="AF65" s="289"/>
      <c r="AG65" s="289"/>
      <c r="AH65" s="289"/>
      <c r="AI65" s="289"/>
      <c r="AJ65" s="289"/>
      <c r="AK65" s="289"/>
      <c r="AL65" s="289"/>
      <c r="AM65" s="289"/>
      <c r="AN65" s="289"/>
      <c r="AO65" s="289"/>
      <c r="AP65" s="289"/>
    </row>
    <row r="66" spans="1:42" ht="19.5" customHeight="1">
      <c r="A66" s="211">
        <v>21</v>
      </c>
      <c r="B66" s="584" t="str">
        <f>'TỔNG HỢP THÁNG'!B169</f>
        <v>ESPANA 40x80-5V HA giấy nâu</v>
      </c>
      <c r="C66" s="109" t="s">
        <v>194</v>
      </c>
      <c r="D66" s="619">
        <f>'TỔNG HỢP THÁNG'!D169</f>
        <v>0</v>
      </c>
      <c r="E66" s="620"/>
      <c r="F66" s="619">
        <f>'TỔNG HỢP THÁNG'!F169</f>
        <v>0</v>
      </c>
      <c r="G66" s="620"/>
      <c r="H66" s="619">
        <f>'TỔNG HỢP THÁNG'!H169</f>
        <v>0</v>
      </c>
      <c r="I66" s="620"/>
      <c r="J66" s="619">
        <f t="shared" si="56"/>
        <v>0</v>
      </c>
      <c r="K66" s="620"/>
      <c r="L66" s="582">
        <f t="shared" si="1"/>
        <v>10902.777777777777</v>
      </c>
      <c r="M66" s="777">
        <f t="shared" si="57"/>
        <v>0</v>
      </c>
      <c r="N66" s="292"/>
      <c r="O66" s="784" t="s">
        <v>1089</v>
      </c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289"/>
      <c r="AJ66" s="289"/>
      <c r="AK66" s="289"/>
      <c r="AL66" s="289"/>
      <c r="AM66" s="289"/>
      <c r="AN66" s="289"/>
      <c r="AO66" s="289"/>
      <c r="AP66" s="289"/>
    </row>
    <row r="67" spans="1:42" ht="19.5" customHeight="1">
      <c r="A67" s="211">
        <v>22</v>
      </c>
      <c r="B67" s="584" t="str">
        <f>'TỔNG HỢP THÁNG'!B170</f>
        <v>HAVIRA 40*80 5V-HA giấy nâu</v>
      </c>
      <c r="C67" s="109" t="s">
        <v>194</v>
      </c>
      <c r="D67" s="619">
        <f>'TỔNG HỢP THÁNG'!D170</f>
        <v>0</v>
      </c>
      <c r="E67" s="620"/>
      <c r="F67" s="619">
        <f>'TỔNG HỢP THÁNG'!F170</f>
        <v>15050</v>
      </c>
      <c r="G67" s="620"/>
      <c r="H67" s="619">
        <f>'TỔNG HỢP THÁNG'!H170</f>
        <v>5000</v>
      </c>
      <c r="I67" s="620"/>
      <c r="J67" s="619">
        <f t="shared" si="56"/>
        <v>10050</v>
      </c>
      <c r="K67" s="620"/>
      <c r="L67" s="582">
        <f t="shared" si="1"/>
        <v>10902.777777777777</v>
      </c>
      <c r="M67" s="777">
        <f t="shared" si="57"/>
        <v>0.92178343949044594</v>
      </c>
      <c r="N67" s="292"/>
      <c r="O67" s="784" t="s">
        <v>1091</v>
      </c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89"/>
      <c r="AB67" s="289"/>
      <c r="AC67" s="289"/>
      <c r="AD67" s="289"/>
      <c r="AE67" s="289"/>
      <c r="AF67" s="289"/>
      <c r="AG67" s="289"/>
      <c r="AH67" s="289"/>
      <c r="AI67" s="289"/>
      <c r="AJ67" s="289"/>
      <c r="AK67" s="289"/>
      <c r="AL67" s="289"/>
      <c r="AM67" s="289"/>
      <c r="AN67" s="289"/>
      <c r="AO67" s="289"/>
      <c r="AP67" s="289"/>
    </row>
    <row r="68" spans="1:42" ht="19.5" customHeight="1">
      <c r="A68" s="211">
        <v>23</v>
      </c>
      <c r="B68" s="584" t="str">
        <f>'TỔNG HỢP THÁNG'!B171</f>
        <v xml:space="preserve">TOP ONE 40*80 5V nâu-HA </v>
      </c>
      <c r="C68" s="109" t="s">
        <v>194</v>
      </c>
      <c r="D68" s="619">
        <f>'TỔNG HỢP THÁNG'!D171</f>
        <v>0</v>
      </c>
      <c r="E68" s="620"/>
      <c r="F68" s="619">
        <f>'TỔNG HỢP THÁNG'!F171</f>
        <v>11150</v>
      </c>
      <c r="G68" s="620"/>
      <c r="H68" s="619">
        <f>'TỔNG HỢP THÁNG'!H171</f>
        <v>5000</v>
      </c>
      <c r="I68" s="620"/>
      <c r="J68" s="619">
        <f t="shared" si="56"/>
        <v>6150</v>
      </c>
      <c r="K68" s="620"/>
      <c r="L68" s="582">
        <f t="shared" si="1"/>
        <v>10902.777777777777</v>
      </c>
      <c r="M68" s="777">
        <f t="shared" si="57"/>
        <v>0.56407643312101918</v>
      </c>
      <c r="N68" s="292"/>
      <c r="O68" s="784" t="s">
        <v>1093</v>
      </c>
      <c r="P68" s="289"/>
      <c r="Q68" s="289"/>
      <c r="R68" s="289"/>
      <c r="S68" s="289"/>
      <c r="T68" s="289"/>
      <c r="U68" s="289"/>
      <c r="V68" s="289"/>
      <c r="W68" s="289"/>
      <c r="X68" s="289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  <c r="AN68" s="289"/>
      <c r="AO68" s="289"/>
      <c r="AP68" s="289"/>
    </row>
    <row r="69" spans="1:42" ht="19.5" customHeight="1">
      <c r="A69" s="211">
        <v>24</v>
      </c>
      <c r="B69" s="584" t="str">
        <f>'TỔNG HỢP THÁNG'!B172</f>
        <v xml:space="preserve">PANA TILES 40*80 5V nâu-HA </v>
      </c>
      <c r="C69" s="109" t="s">
        <v>194</v>
      </c>
      <c r="D69" s="619">
        <f>'TỔNG HỢP THÁNG'!D172</f>
        <v>0</v>
      </c>
      <c r="E69" s="620"/>
      <c r="F69" s="619">
        <f>'TỔNG HỢP THÁNG'!F172</f>
        <v>0</v>
      </c>
      <c r="G69" s="620"/>
      <c r="H69" s="619">
        <f>'TỔNG HỢP THÁNG'!H172</f>
        <v>0</v>
      </c>
      <c r="I69" s="620"/>
      <c r="J69" s="619">
        <f t="shared" ref="J69" si="58">D69+F69-H69</f>
        <v>0</v>
      </c>
      <c r="K69" s="620"/>
      <c r="L69" s="582">
        <f t="shared" si="1"/>
        <v>10902.777777777777</v>
      </c>
      <c r="M69" s="777">
        <f t="shared" ref="M69" si="59">J69/L69</f>
        <v>0</v>
      </c>
      <c r="N69" s="292"/>
      <c r="O69" s="784" t="s">
        <v>1111</v>
      </c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89"/>
      <c r="AB69" s="289"/>
      <c r="AC69" s="289"/>
      <c r="AD69" s="289"/>
      <c r="AE69" s="289"/>
      <c r="AF69" s="289"/>
      <c r="AG69" s="289"/>
      <c r="AH69" s="289"/>
      <c r="AI69" s="289"/>
      <c r="AJ69" s="289"/>
      <c r="AK69" s="289"/>
      <c r="AL69" s="289"/>
      <c r="AM69" s="289"/>
      <c r="AN69" s="289"/>
      <c r="AO69" s="289"/>
      <c r="AP69" s="289"/>
    </row>
    <row r="70" spans="1:42" ht="19.5" customHeight="1">
      <c r="A70" s="211">
        <v>25</v>
      </c>
      <c r="B70" s="584" t="str">
        <f>'TỔNG HỢP THÁNG'!B173</f>
        <v xml:space="preserve">LUSTILE 40*80 5V nâu-HA </v>
      </c>
      <c r="C70" s="109" t="s">
        <v>194</v>
      </c>
      <c r="D70" s="619">
        <f>'TỔNG HỢP THÁNG'!D173</f>
        <v>0</v>
      </c>
      <c r="E70" s="620"/>
      <c r="F70" s="619">
        <f>'TỔNG HỢP THÁNG'!F173</f>
        <v>0</v>
      </c>
      <c r="G70" s="620"/>
      <c r="H70" s="619">
        <f>'TỔNG HỢP THÁNG'!H173</f>
        <v>0</v>
      </c>
      <c r="I70" s="620"/>
      <c r="J70" s="619">
        <f t="shared" ref="J70" si="60">D70+F70-H70</f>
        <v>0</v>
      </c>
      <c r="K70" s="620"/>
      <c r="L70" s="582">
        <f t="shared" si="1"/>
        <v>10902.777777777777</v>
      </c>
      <c r="M70" s="777">
        <f t="shared" ref="M70" si="61">J70/L70</f>
        <v>0</v>
      </c>
      <c r="N70" s="292"/>
      <c r="O70" s="784" t="s">
        <v>1128</v>
      </c>
      <c r="P70" s="289"/>
      <c r="Q70" s="289"/>
      <c r="R70" s="289"/>
      <c r="S70" s="289"/>
      <c r="T70" s="289"/>
      <c r="U70" s="289"/>
      <c r="V70" s="289"/>
      <c r="W70" s="289"/>
      <c r="X70" s="289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  <c r="AN70" s="289"/>
      <c r="AO70" s="289"/>
      <c r="AP70" s="289"/>
    </row>
    <row r="71" spans="1:42" ht="19.5" customHeight="1">
      <c r="A71" s="211">
        <v>26</v>
      </c>
      <c r="B71" s="584" t="str">
        <f>'CROVINA 4080 5v'!H4</f>
        <v xml:space="preserve">CROVINA 40*80 5v nâu-HA </v>
      </c>
      <c r="C71" s="109" t="s">
        <v>194</v>
      </c>
      <c r="D71" s="619">
        <f>'CROVINA 4080 5v'!G8</f>
        <v>0</v>
      </c>
      <c r="E71" s="620"/>
      <c r="F71" s="619">
        <f>'CROVINA 4080 5v'!D40</f>
        <v>20035</v>
      </c>
      <c r="G71" s="620"/>
      <c r="H71" s="619">
        <f>'CROVINA 4080 5v'!E40</f>
        <v>10000</v>
      </c>
      <c r="I71" s="620"/>
      <c r="J71" s="619">
        <f t="shared" ref="J71" si="62">D71+F71-H71</f>
        <v>10035</v>
      </c>
      <c r="K71" s="620"/>
      <c r="L71" s="582">
        <f t="shared" si="1"/>
        <v>10902.777777777777</v>
      </c>
      <c r="M71" s="777">
        <f t="shared" ref="M71" si="63">J71/L71</f>
        <v>0.9204076433121019</v>
      </c>
      <c r="N71" s="292"/>
      <c r="O71" s="784" t="s">
        <v>1155</v>
      </c>
      <c r="P71" s="289"/>
      <c r="Q71" s="289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</row>
    <row r="72" spans="1:42" ht="19.5" customHeight="1">
      <c r="A72" s="211">
        <v>27</v>
      </c>
      <c r="B72" s="584" t="str">
        <f>'T H PHUONG 4080 5v '!H4</f>
        <v xml:space="preserve">T H PHƯƠNG 40*80 5v nâu-HA </v>
      </c>
      <c r="C72" s="109" t="s">
        <v>194</v>
      </c>
      <c r="D72" s="619">
        <f>'T H PHUONG 4080 5v '!G8</f>
        <v>0</v>
      </c>
      <c r="E72" s="620"/>
      <c r="F72" s="619">
        <f>'T H PHUONG 4080 5v '!D40</f>
        <v>20150</v>
      </c>
      <c r="G72" s="620"/>
      <c r="H72" s="619">
        <f>'T H PHUONG 4080 5v '!E40</f>
        <v>5000</v>
      </c>
      <c r="I72" s="620"/>
      <c r="J72" s="619">
        <f t="shared" ref="J72" si="64">D72+F72-H72</f>
        <v>15150</v>
      </c>
      <c r="K72" s="620"/>
      <c r="L72" s="582">
        <f t="shared" si="1"/>
        <v>10902.777777777777</v>
      </c>
      <c r="M72" s="777">
        <f t="shared" ref="M72" si="65">J72/L72</f>
        <v>1.3895541401273885</v>
      </c>
      <c r="N72" s="292"/>
      <c r="O72" s="784" t="s">
        <v>1194</v>
      </c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  <c r="AK72" s="289"/>
      <c r="AL72" s="289"/>
      <c r="AM72" s="289"/>
      <c r="AN72" s="289"/>
      <c r="AO72" s="289"/>
      <c r="AP72" s="289"/>
    </row>
    <row r="73" spans="1:42" ht="19.5" customHeight="1">
      <c r="A73" s="211">
        <v>28</v>
      </c>
      <c r="B73" s="584" t="str">
        <f>'VINA PHACON 48'!H4</f>
        <v xml:space="preserve">VINA PHACON 40*80 5v nâu-HA </v>
      </c>
      <c r="C73" s="109" t="s">
        <v>194</v>
      </c>
      <c r="D73" s="619">
        <f>'VINA PHACON 48'!G8</f>
        <v>0</v>
      </c>
      <c r="E73" s="620"/>
      <c r="F73" s="619">
        <f>'VINA PHACON 48'!D40</f>
        <v>0</v>
      </c>
      <c r="G73" s="620"/>
      <c r="H73" s="619">
        <f>'VINA PHACON 48'!E40</f>
        <v>0</v>
      </c>
      <c r="I73" s="620"/>
      <c r="J73" s="619">
        <f t="shared" ref="J73" si="66">D73+F73-H73</f>
        <v>0</v>
      </c>
      <c r="K73" s="620"/>
      <c r="L73" s="582">
        <f t="shared" si="1"/>
        <v>10902.777777777777</v>
      </c>
      <c r="M73" s="777">
        <f t="shared" ref="M73" si="67">J73/L73</f>
        <v>0</v>
      </c>
      <c r="N73" s="292"/>
      <c r="O73" s="784" t="s">
        <v>1198</v>
      </c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89"/>
      <c r="AB73" s="289"/>
      <c r="AC73" s="289"/>
      <c r="AD73" s="289"/>
      <c r="AE73" s="289"/>
      <c r="AF73" s="289"/>
      <c r="AG73" s="289"/>
      <c r="AH73" s="289"/>
      <c r="AI73" s="289"/>
      <c r="AJ73" s="289"/>
      <c r="AK73" s="289"/>
      <c r="AL73" s="289"/>
      <c r="AM73" s="289"/>
      <c r="AN73" s="289"/>
      <c r="AO73" s="289"/>
      <c r="AP73" s="289"/>
    </row>
    <row r="74" spans="1:42" ht="19.5" customHeight="1">
      <c r="A74" s="211">
        <v>29</v>
      </c>
      <c r="B74" s="584" t="str">
        <f>'VIDONA 48'!H4</f>
        <v xml:space="preserve">VIDONA 40*80 5v nâu-HA </v>
      </c>
      <c r="C74" s="109" t="s">
        <v>194</v>
      </c>
      <c r="D74" s="619">
        <f>'VIDONA 48'!G8</f>
        <v>0</v>
      </c>
      <c r="E74" s="620"/>
      <c r="F74" s="619">
        <f>'VIDONA 48'!D40</f>
        <v>0</v>
      </c>
      <c r="G74" s="620"/>
      <c r="H74" s="619">
        <f>'VIDONA 48'!E40</f>
        <v>0</v>
      </c>
      <c r="I74" s="620"/>
      <c r="J74" s="619">
        <f t="shared" ref="J74" si="68">D74+F74-H74</f>
        <v>0</v>
      </c>
      <c r="K74" s="620"/>
      <c r="L74" s="582">
        <f t="shared" si="1"/>
        <v>10902.777777777777</v>
      </c>
      <c r="M74" s="777">
        <f t="shared" ref="M74" si="69">J74/L74</f>
        <v>0</v>
      </c>
      <c r="N74" s="292"/>
      <c r="O74" s="784" t="s">
        <v>1225</v>
      </c>
      <c r="P74" s="289"/>
      <c r="Q74" s="289"/>
      <c r="R74" s="289"/>
      <c r="S74" s="289"/>
      <c r="T74" s="289"/>
      <c r="U74" s="289"/>
      <c r="V74" s="289"/>
      <c r="W74" s="289"/>
      <c r="X74" s="289"/>
      <c r="Y74" s="289"/>
      <c r="Z74" s="289"/>
      <c r="AA74" s="289"/>
      <c r="AB74" s="289"/>
      <c r="AC74" s="289"/>
      <c r="AD74" s="289"/>
      <c r="AE74" s="289"/>
      <c r="AF74" s="289"/>
      <c r="AG74" s="289"/>
      <c r="AH74" s="289"/>
      <c r="AI74" s="289"/>
      <c r="AJ74" s="289"/>
      <c r="AK74" s="289"/>
      <c r="AL74" s="289"/>
      <c r="AM74" s="289"/>
      <c r="AN74" s="289"/>
      <c r="AO74" s="289"/>
      <c r="AP74" s="289"/>
    </row>
    <row r="75" spans="1:42" ht="19.5" customHeight="1">
      <c r="A75" s="211">
        <v>30</v>
      </c>
      <c r="B75" s="584" t="str">
        <f>'PADOVA 48 '!H4</f>
        <v xml:space="preserve">PADOVA 40*80 5v nâu-HA </v>
      </c>
      <c r="C75" s="109" t="s">
        <v>194</v>
      </c>
      <c r="D75" s="619">
        <f>'PADOVA 48 '!G8</f>
        <v>0</v>
      </c>
      <c r="E75" s="620"/>
      <c r="F75" s="619">
        <f>'PADOVA 48 '!D40</f>
        <v>5050</v>
      </c>
      <c r="G75" s="620"/>
      <c r="H75" s="619">
        <f>'PADOVA 48 '!E40</f>
        <v>0</v>
      </c>
      <c r="I75" s="620"/>
      <c r="J75" s="619">
        <f t="shared" ref="J75" si="70">D75+F75-H75</f>
        <v>5050</v>
      </c>
      <c r="K75" s="620"/>
      <c r="L75" s="582">
        <f t="shared" si="1"/>
        <v>10902.777777777777</v>
      </c>
      <c r="M75" s="777">
        <f t="shared" ref="M75" si="71">J75/L75</f>
        <v>0.4631847133757962</v>
      </c>
      <c r="N75" s="292"/>
      <c r="O75" s="784" t="s">
        <v>1234</v>
      </c>
      <c r="P75" s="289"/>
      <c r="Q75" s="289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  <c r="AC75" s="289"/>
      <c r="AD75" s="289"/>
      <c r="AE75" s="289"/>
      <c r="AF75" s="289"/>
      <c r="AG75" s="289"/>
      <c r="AH75" s="289"/>
      <c r="AI75" s="289"/>
      <c r="AJ75" s="289"/>
      <c r="AK75" s="289"/>
      <c r="AL75" s="289"/>
      <c r="AM75" s="289"/>
      <c r="AN75" s="289"/>
      <c r="AO75" s="289"/>
      <c r="AP75" s="289"/>
    </row>
    <row r="76" spans="1:42" ht="24" customHeight="1">
      <c r="A76" s="356">
        <v>5</v>
      </c>
      <c r="B76" s="357" t="s">
        <v>862</v>
      </c>
      <c r="C76" s="294"/>
      <c r="D76" s="358"/>
      <c r="E76" s="358"/>
      <c r="F76" s="358"/>
      <c r="G76" s="358"/>
      <c r="H76" s="358"/>
      <c r="I76" s="358"/>
      <c r="J76" s="358"/>
      <c r="K76" s="358"/>
      <c r="L76" s="582"/>
      <c r="M76" s="777"/>
      <c r="N76" s="292"/>
      <c r="O76" s="386"/>
      <c r="P76" s="289"/>
      <c r="Q76" s="289"/>
      <c r="R76" s="289"/>
      <c r="S76" s="289"/>
      <c r="T76" s="289"/>
      <c r="U76" s="289"/>
      <c r="V76" s="289"/>
      <c r="W76" s="289"/>
      <c r="X76" s="289"/>
      <c r="Y76" s="289"/>
      <c r="Z76" s="289"/>
      <c r="AA76" s="289"/>
      <c r="AB76" s="289"/>
      <c r="AC76" s="289"/>
      <c r="AD76" s="289"/>
      <c r="AE76" s="289"/>
      <c r="AF76" s="289"/>
      <c r="AG76" s="289"/>
      <c r="AH76" s="289"/>
      <c r="AI76" s="289"/>
      <c r="AJ76" s="289"/>
      <c r="AK76" s="289"/>
      <c r="AL76" s="289"/>
      <c r="AM76" s="289"/>
      <c r="AN76" s="289"/>
      <c r="AO76" s="289"/>
      <c r="AP76" s="289"/>
    </row>
    <row r="77" spans="1:42" s="1020" customFormat="1" ht="17.25" customHeight="1">
      <c r="A77" s="109">
        <v>1</v>
      </c>
      <c r="B77" s="1015" t="str">
        <f>'TỔNG HỢP THÁNG'!B191</f>
        <v>GRANDCERA TÍM 50x50-HA</v>
      </c>
      <c r="C77" s="109" t="s">
        <v>194</v>
      </c>
      <c r="D77" s="743">
        <f>'TỔNG HỢP THÁNG'!D191</f>
        <v>14789</v>
      </c>
      <c r="E77" s="620"/>
      <c r="F77" s="743">
        <f>'TỔNG HỢP THÁNG'!F191</f>
        <v>12180</v>
      </c>
      <c r="G77" s="620"/>
      <c r="H77" s="743">
        <f>'TỔNG HỢP THÁNG'!H191</f>
        <v>21500</v>
      </c>
      <c r="I77" s="620"/>
      <c r="J77" s="619">
        <f t="shared" ref="J77:J83" si="72">D77+F77-H77</f>
        <v>5469</v>
      </c>
      <c r="K77" s="620"/>
      <c r="L77" s="582">
        <f t="shared" ref="L77:L94" si="73">15700/1.44</f>
        <v>10902.777777777777</v>
      </c>
      <c r="M77" s="777">
        <f t="shared" ref="M77" si="74">J77/L77</f>
        <v>0.50161528662420385</v>
      </c>
      <c r="N77" s="1018"/>
      <c r="O77" s="1017" t="s">
        <v>823</v>
      </c>
      <c r="P77" s="1019"/>
      <c r="Q77" s="1019"/>
      <c r="R77" s="1019"/>
      <c r="S77" s="1019"/>
      <c r="T77" s="1019"/>
      <c r="U77" s="1019"/>
      <c r="V77" s="1019"/>
      <c r="W77" s="1019"/>
      <c r="X77" s="1019"/>
      <c r="Y77" s="1019"/>
      <c r="Z77" s="1019"/>
      <c r="AA77" s="1019"/>
      <c r="AB77" s="1019"/>
      <c r="AC77" s="1019"/>
      <c r="AD77" s="1019"/>
      <c r="AE77" s="1019"/>
      <c r="AF77" s="1019"/>
      <c r="AG77" s="1019"/>
      <c r="AH77" s="1019"/>
      <c r="AI77" s="1019"/>
      <c r="AJ77" s="1019"/>
      <c r="AK77" s="1019"/>
      <c r="AL77" s="1019"/>
      <c r="AM77" s="1019"/>
      <c r="AN77" s="1019"/>
      <c r="AO77" s="1019"/>
      <c r="AP77" s="1019"/>
    </row>
    <row r="78" spans="1:42" s="1020" customFormat="1" ht="17.25" customHeight="1">
      <c r="A78" s="109">
        <v>2</v>
      </c>
      <c r="B78" s="1015" t="str">
        <f>'TỔNG HỢP THÁNG'!B192</f>
        <v>LUXURY 500*500-HA</v>
      </c>
      <c r="C78" s="109" t="s">
        <v>194</v>
      </c>
      <c r="D78" s="743">
        <f>'TỔNG HỢP THÁNG'!D192</f>
        <v>0</v>
      </c>
      <c r="E78" s="620"/>
      <c r="F78" s="743">
        <f>'TỔNG HỢP THÁNG'!F192</f>
        <v>0</v>
      </c>
      <c r="G78" s="620"/>
      <c r="H78" s="743">
        <f>'TỔNG HỢP THÁNG'!H192</f>
        <v>0</v>
      </c>
      <c r="I78" s="620"/>
      <c r="J78" s="619">
        <f t="shared" si="72"/>
        <v>0</v>
      </c>
      <c r="K78" s="620"/>
      <c r="L78" s="582">
        <f t="shared" si="73"/>
        <v>10902.777777777777</v>
      </c>
      <c r="M78" s="777">
        <f t="shared" ref="M78" si="75">J78/L78</f>
        <v>0</v>
      </c>
      <c r="N78" s="1018"/>
      <c r="O78" s="1017" t="s">
        <v>827</v>
      </c>
      <c r="P78" s="1019"/>
      <c r="Q78" s="1019"/>
      <c r="R78" s="1019"/>
      <c r="S78" s="1019"/>
      <c r="T78" s="1019"/>
      <c r="U78" s="1019"/>
      <c r="V78" s="1019"/>
      <c r="W78" s="1019"/>
      <c r="X78" s="1019"/>
      <c r="Y78" s="1019"/>
      <c r="Z78" s="1019"/>
      <c r="AA78" s="1019"/>
      <c r="AB78" s="1019"/>
      <c r="AC78" s="1019"/>
      <c r="AD78" s="1019"/>
      <c r="AE78" s="1019"/>
      <c r="AF78" s="1019"/>
      <c r="AG78" s="1019"/>
      <c r="AH78" s="1019"/>
      <c r="AI78" s="1019"/>
      <c r="AJ78" s="1019"/>
      <c r="AK78" s="1019"/>
      <c r="AL78" s="1019"/>
      <c r="AM78" s="1019"/>
      <c r="AN78" s="1019"/>
      <c r="AO78" s="1019"/>
      <c r="AP78" s="1019"/>
    </row>
    <row r="79" spans="1:42" s="1020" customFormat="1" ht="17.25" customHeight="1">
      <c r="A79" s="109">
        <v>3</v>
      </c>
      <c r="B79" s="1015" t="str">
        <f>'TỔNG HỢP THÁNG'!B193</f>
        <v>LUXURY 500*500-HA giấy nâu</v>
      </c>
      <c r="C79" s="109" t="s">
        <v>194</v>
      </c>
      <c r="D79" s="743">
        <f>'TỔNG HỢP THÁNG'!D193</f>
        <v>38645</v>
      </c>
      <c r="E79" s="620"/>
      <c r="F79" s="743">
        <f>'TỔNG HỢP THÁNG'!F193</f>
        <v>22170</v>
      </c>
      <c r="G79" s="620"/>
      <c r="H79" s="743">
        <f>'TỔNG HỢP THÁNG'!H193</f>
        <v>56000</v>
      </c>
      <c r="I79" s="620"/>
      <c r="J79" s="619">
        <f t="shared" ref="J79:J80" si="76">D79+F79-H79</f>
        <v>4815</v>
      </c>
      <c r="K79" s="620"/>
      <c r="L79" s="582">
        <f t="shared" si="73"/>
        <v>10902.777777777777</v>
      </c>
      <c r="M79" s="777">
        <f t="shared" ref="M79:M80" si="77">J79/L79</f>
        <v>0.44163057324840765</v>
      </c>
      <c r="N79" s="1018"/>
      <c r="O79" s="1017" t="s">
        <v>869</v>
      </c>
      <c r="P79" s="1019"/>
      <c r="Q79" s="1019"/>
      <c r="R79" s="1019"/>
      <c r="S79" s="1019"/>
      <c r="T79" s="1019"/>
      <c r="U79" s="1019"/>
      <c r="V79" s="1019"/>
      <c r="W79" s="1019"/>
      <c r="X79" s="1019"/>
      <c r="Y79" s="1019"/>
      <c r="Z79" s="1019"/>
      <c r="AA79" s="1019"/>
      <c r="AB79" s="1019"/>
      <c r="AC79" s="1019"/>
      <c r="AD79" s="1019"/>
      <c r="AE79" s="1019"/>
      <c r="AF79" s="1019"/>
      <c r="AG79" s="1019"/>
      <c r="AH79" s="1019"/>
      <c r="AI79" s="1019"/>
      <c r="AJ79" s="1019"/>
      <c r="AK79" s="1019"/>
      <c r="AL79" s="1019"/>
      <c r="AM79" s="1019"/>
      <c r="AN79" s="1019"/>
      <c r="AO79" s="1019"/>
      <c r="AP79" s="1019"/>
    </row>
    <row r="80" spans="1:42" s="1020" customFormat="1" ht="17.25" customHeight="1">
      <c r="A80" s="109">
        <v>4</v>
      </c>
      <c r="B80" s="1015" t="str">
        <f>'TỔNG HỢP THÁNG'!B194</f>
        <v>CROWN 500x500-HA</v>
      </c>
      <c r="C80" s="109" t="s">
        <v>194</v>
      </c>
      <c r="D80" s="743">
        <f>'TỔNG HỢP THÁNG'!D194</f>
        <v>0</v>
      </c>
      <c r="E80" s="620"/>
      <c r="F80" s="743">
        <f>'TỔNG HỢP THÁNG'!F194</f>
        <v>0</v>
      </c>
      <c r="G80" s="620"/>
      <c r="H80" s="743">
        <f>'TỔNG HỢP THÁNG'!H194</f>
        <v>0</v>
      </c>
      <c r="I80" s="620"/>
      <c r="J80" s="619">
        <f t="shared" si="76"/>
        <v>0</v>
      </c>
      <c r="K80" s="620"/>
      <c r="L80" s="582">
        <f t="shared" si="73"/>
        <v>10902.777777777777</v>
      </c>
      <c r="M80" s="777">
        <f t="shared" si="77"/>
        <v>0</v>
      </c>
      <c r="N80" s="1018"/>
      <c r="O80" s="1017" t="s">
        <v>829</v>
      </c>
      <c r="P80" s="1019"/>
      <c r="Q80" s="1019"/>
      <c r="R80" s="1019"/>
      <c r="S80" s="1019"/>
      <c r="T80" s="1019"/>
      <c r="U80" s="1019"/>
      <c r="V80" s="1019"/>
      <c r="W80" s="1019"/>
      <c r="X80" s="1019"/>
      <c r="Y80" s="1019"/>
      <c r="Z80" s="1019"/>
      <c r="AA80" s="1019"/>
      <c r="AB80" s="1019"/>
      <c r="AC80" s="1019"/>
      <c r="AD80" s="1019"/>
      <c r="AE80" s="1019"/>
      <c r="AF80" s="1019"/>
      <c r="AG80" s="1019"/>
      <c r="AH80" s="1019"/>
      <c r="AI80" s="1019"/>
      <c r="AJ80" s="1019"/>
      <c r="AK80" s="1019"/>
      <c r="AL80" s="1019"/>
      <c r="AM80" s="1019"/>
      <c r="AN80" s="1019"/>
      <c r="AO80" s="1019"/>
      <c r="AP80" s="1019"/>
    </row>
    <row r="81" spans="1:42" s="1020" customFormat="1" ht="17.25" customHeight="1">
      <c r="A81" s="109">
        <v>5</v>
      </c>
      <c r="B81" s="1015" t="str">
        <f>'TỔNG HỢP THÁNG'!B195</f>
        <v>HAVIRA 50*50-HA giấy nâu</v>
      </c>
      <c r="C81" s="109" t="s">
        <v>194</v>
      </c>
      <c r="D81" s="743">
        <f>'TỔNG HỢP THÁNG'!D195</f>
        <v>4329</v>
      </c>
      <c r="E81" s="620"/>
      <c r="F81" s="743">
        <f>'TỔNG HỢP THÁNG'!F195</f>
        <v>13430</v>
      </c>
      <c r="G81" s="620"/>
      <c r="H81" s="743">
        <f>'TỔNG HỢP THÁNG'!H195</f>
        <v>16150</v>
      </c>
      <c r="I81" s="620"/>
      <c r="J81" s="619">
        <f t="shared" si="72"/>
        <v>1609</v>
      </c>
      <c r="K81" s="620"/>
      <c r="L81" s="582">
        <f t="shared" si="73"/>
        <v>10902.777777777777</v>
      </c>
      <c r="M81" s="777">
        <f t="shared" ref="M81:M83" si="78">J81/L81</f>
        <v>0.14757707006369428</v>
      </c>
      <c r="N81" s="1018"/>
      <c r="O81" s="1017" t="s">
        <v>834</v>
      </c>
      <c r="P81" s="1019"/>
      <c r="Q81" s="1019"/>
      <c r="R81" s="1019"/>
      <c r="S81" s="1019"/>
      <c r="T81" s="1019"/>
      <c r="U81" s="1019"/>
      <c r="V81" s="1019"/>
      <c r="W81" s="1019"/>
      <c r="X81" s="1019"/>
      <c r="Y81" s="1019"/>
      <c r="Z81" s="1019"/>
      <c r="AA81" s="1019"/>
      <c r="AB81" s="1019"/>
      <c r="AC81" s="1019"/>
      <c r="AD81" s="1019"/>
      <c r="AE81" s="1019"/>
      <c r="AF81" s="1019"/>
      <c r="AG81" s="1019"/>
      <c r="AH81" s="1019"/>
      <c r="AI81" s="1019"/>
      <c r="AJ81" s="1019"/>
      <c r="AK81" s="1019"/>
      <c r="AL81" s="1019"/>
      <c r="AM81" s="1019"/>
      <c r="AN81" s="1019"/>
      <c r="AO81" s="1019"/>
      <c r="AP81" s="1019"/>
    </row>
    <row r="82" spans="1:42" s="1020" customFormat="1" ht="17.25" customHeight="1">
      <c r="A82" s="109">
        <v>6</v>
      </c>
      <c r="B82" s="1015" t="str">
        <f>'TỔNG HỢP THÁNG'!B196</f>
        <v>ESPANA 50x50-HA giấy nâu</v>
      </c>
      <c r="C82" s="109" t="s">
        <v>194</v>
      </c>
      <c r="D82" s="743">
        <f>'TỔNG HỢP THÁNG'!D196</f>
        <v>260</v>
      </c>
      <c r="E82" s="620"/>
      <c r="F82" s="743">
        <f>'TỔNG HỢP THÁNG'!F196</f>
        <v>0</v>
      </c>
      <c r="G82" s="620"/>
      <c r="H82" s="743">
        <f>'TỔNG HỢP THÁNG'!H196</f>
        <v>0</v>
      </c>
      <c r="I82" s="620"/>
      <c r="J82" s="619">
        <f t="shared" ref="J82" si="79">D82+F82-H82</f>
        <v>260</v>
      </c>
      <c r="K82" s="620"/>
      <c r="L82" s="582">
        <f t="shared" si="73"/>
        <v>10902.777777777777</v>
      </c>
      <c r="M82" s="777">
        <f t="shared" ref="M82" si="80">J82/L82</f>
        <v>2.3847133757961783E-2</v>
      </c>
      <c r="N82" s="1018"/>
      <c r="O82" s="1017" t="s">
        <v>836</v>
      </c>
      <c r="P82" s="1019"/>
      <c r="Q82" s="1019"/>
      <c r="R82" s="1019"/>
      <c r="S82" s="1019"/>
      <c r="T82" s="1019"/>
      <c r="U82" s="1019"/>
      <c r="V82" s="1019"/>
      <c r="W82" s="1019"/>
      <c r="X82" s="1019"/>
      <c r="Y82" s="1019"/>
      <c r="Z82" s="1019"/>
      <c r="AA82" s="1019"/>
      <c r="AB82" s="1019"/>
      <c r="AC82" s="1019"/>
      <c r="AD82" s="1019"/>
      <c r="AE82" s="1019"/>
      <c r="AF82" s="1019"/>
      <c r="AG82" s="1019"/>
      <c r="AH82" s="1019"/>
      <c r="AI82" s="1019"/>
      <c r="AJ82" s="1019"/>
      <c r="AK82" s="1019"/>
      <c r="AL82" s="1019"/>
      <c r="AM82" s="1019"/>
      <c r="AN82" s="1019"/>
      <c r="AO82" s="1019"/>
      <c r="AP82" s="1019"/>
    </row>
    <row r="83" spans="1:42" ht="19.5" customHeight="1">
      <c r="A83" s="109">
        <v>7</v>
      </c>
      <c r="B83" s="584" t="str">
        <f>'TỔNG HỢP THÁNG'!B197</f>
        <v>VỎ PHẾ 50x50-HA</v>
      </c>
      <c r="C83" s="109" t="s">
        <v>194</v>
      </c>
      <c r="D83" s="619">
        <f>'TỔNG HỢP THÁNG'!D197</f>
        <v>4200</v>
      </c>
      <c r="E83" s="620"/>
      <c r="F83" s="619">
        <f>'TỔNG HỢP THÁNG'!F197</f>
        <v>0</v>
      </c>
      <c r="G83" s="620"/>
      <c r="H83" s="619">
        <f>'TỔNG HỢP THÁNG'!H197</f>
        <v>500</v>
      </c>
      <c r="I83" s="620"/>
      <c r="J83" s="619">
        <f t="shared" si="72"/>
        <v>3700</v>
      </c>
      <c r="K83" s="620"/>
      <c r="L83" s="582">
        <f t="shared" si="73"/>
        <v>10902.777777777777</v>
      </c>
      <c r="M83" s="777">
        <f t="shared" si="78"/>
        <v>0.33936305732484079</v>
      </c>
      <c r="N83" s="292"/>
      <c r="O83" s="784" t="s">
        <v>795</v>
      </c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289"/>
      <c r="AE83" s="289"/>
      <c r="AF83" s="289"/>
      <c r="AG83" s="289"/>
      <c r="AH83" s="289"/>
      <c r="AI83" s="289"/>
      <c r="AJ83" s="289"/>
      <c r="AK83" s="289"/>
      <c r="AL83" s="289"/>
      <c r="AM83" s="289"/>
      <c r="AN83" s="289"/>
      <c r="AO83" s="289"/>
      <c r="AP83" s="289"/>
    </row>
    <row r="84" spans="1:42" ht="19.5" customHeight="1">
      <c r="A84" s="109">
        <v>8</v>
      </c>
      <c r="B84" s="584" t="str">
        <f>'TỔNG HỢP THÁNG'!B198</f>
        <v xml:space="preserve">GREEN HOME 50*50-HA </v>
      </c>
      <c r="C84" s="109" t="s">
        <v>194</v>
      </c>
      <c r="D84" s="619">
        <f>'TỔNG HỢP THÁNG'!D198</f>
        <v>1416</v>
      </c>
      <c r="E84" s="620"/>
      <c r="F84" s="619">
        <f>'TỔNG HỢP THÁNG'!F198</f>
        <v>12641</v>
      </c>
      <c r="G84" s="620"/>
      <c r="H84" s="619">
        <f>'TỔNG HỢP THÁNG'!H198</f>
        <v>13100</v>
      </c>
      <c r="I84" s="620"/>
      <c r="J84" s="619">
        <f t="shared" ref="J84" si="81">D84+F84-H84</f>
        <v>957</v>
      </c>
      <c r="K84" s="620"/>
      <c r="L84" s="582">
        <f t="shared" si="73"/>
        <v>10902.777777777777</v>
      </c>
      <c r="M84" s="777">
        <f t="shared" ref="M84" si="82">J84/L84</f>
        <v>8.7775796178343954E-2</v>
      </c>
      <c r="N84" s="292"/>
      <c r="O84" s="784" t="s">
        <v>950</v>
      </c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289"/>
      <c r="AE84" s="289"/>
      <c r="AF84" s="289"/>
      <c r="AG84" s="289"/>
      <c r="AH84" s="289"/>
      <c r="AI84" s="289"/>
      <c r="AJ84" s="289"/>
      <c r="AK84" s="289"/>
      <c r="AL84" s="289"/>
      <c r="AM84" s="289"/>
      <c r="AN84" s="289"/>
      <c r="AO84" s="289"/>
      <c r="AP84" s="289"/>
    </row>
    <row r="85" spans="1:42" ht="19.5" customHeight="1">
      <c r="A85" s="109">
        <v>9</v>
      </c>
      <c r="B85" s="584" t="str">
        <f>'TOP ONE 5050 nâu '!H4</f>
        <v xml:space="preserve">TOP ONE 50*50 nâu-HA </v>
      </c>
      <c r="C85" s="109" t="s">
        <v>194</v>
      </c>
      <c r="D85" s="619">
        <f>'TOP ONE 5050 nâu '!G8</f>
        <v>1114</v>
      </c>
      <c r="E85" s="620"/>
      <c r="F85" s="619">
        <f>'TOP ONE 5050 nâu '!D40</f>
        <v>0</v>
      </c>
      <c r="G85" s="620"/>
      <c r="H85" s="619">
        <f>'TOP ONE 5050 nâu '!E40</f>
        <v>0</v>
      </c>
      <c r="I85" s="620"/>
      <c r="J85" s="619">
        <f t="shared" ref="J85" si="83">D85+F85-H85</f>
        <v>1114</v>
      </c>
      <c r="K85" s="620"/>
      <c r="L85" s="582">
        <f t="shared" si="73"/>
        <v>10902.777777777777</v>
      </c>
      <c r="M85" s="777">
        <f t="shared" ref="M85" si="84">J85/L85</f>
        <v>0.10217579617834395</v>
      </c>
      <c r="N85" s="292"/>
      <c r="O85" s="784" t="s">
        <v>1046</v>
      </c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89"/>
      <c r="AB85" s="289"/>
      <c r="AC85" s="289"/>
      <c r="AD85" s="289"/>
      <c r="AE85" s="289"/>
      <c r="AF85" s="289"/>
      <c r="AG85" s="289"/>
      <c r="AH85" s="289"/>
      <c r="AI85" s="289"/>
      <c r="AJ85" s="289"/>
      <c r="AK85" s="289"/>
      <c r="AL85" s="289"/>
      <c r="AM85" s="289"/>
      <c r="AN85" s="289"/>
      <c r="AO85" s="289"/>
      <c r="AP85" s="289"/>
    </row>
    <row r="86" spans="1:42" ht="19.5" customHeight="1">
      <c r="A86" s="109">
        <v>10</v>
      </c>
      <c r="B86" s="584" t="str">
        <f>'TỔNG HỢP THÁNG'!B200</f>
        <v xml:space="preserve">CROVINA 50*50 nâu-HA </v>
      </c>
      <c r="C86" s="109" t="s">
        <v>194</v>
      </c>
      <c r="D86" s="619">
        <f>'TỔNG HỢP THÁNG'!D200</f>
        <v>550</v>
      </c>
      <c r="E86" s="620"/>
      <c r="F86" s="619">
        <f>'TỔNG HỢP THÁNG'!F200</f>
        <v>5573</v>
      </c>
      <c r="G86" s="620"/>
      <c r="H86" s="619">
        <f>'TỔNG HỢP THÁNG'!H200</f>
        <v>6123</v>
      </c>
      <c r="I86" s="620"/>
      <c r="J86" s="619">
        <f t="shared" ref="J86" si="85">D86+F86-H86</f>
        <v>0</v>
      </c>
      <c r="K86" s="620"/>
      <c r="L86" s="582">
        <f t="shared" si="73"/>
        <v>10902.777777777777</v>
      </c>
      <c r="M86" s="777">
        <f t="shared" ref="M86" si="86">J86/L86</f>
        <v>0</v>
      </c>
      <c r="N86" s="292"/>
      <c r="O86" s="784" t="s">
        <v>1142</v>
      </c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  <c r="AN86" s="289"/>
      <c r="AO86" s="289"/>
      <c r="AP86" s="289"/>
    </row>
    <row r="87" spans="1:42" ht="19.5" customHeight="1">
      <c r="A87" s="109">
        <v>11</v>
      </c>
      <c r="B87" s="584" t="str">
        <f>'KARPO 50'!H4</f>
        <v xml:space="preserve">KARPO 50*50 nâu-HA </v>
      </c>
      <c r="C87" s="109" t="s">
        <v>194</v>
      </c>
      <c r="D87" s="619">
        <f>'KARPO 50'!G8</f>
        <v>962</v>
      </c>
      <c r="E87" s="620"/>
      <c r="F87" s="619">
        <f>'KARPO 50'!D40</f>
        <v>0</v>
      </c>
      <c r="G87" s="620"/>
      <c r="H87" s="619">
        <f>'KARPO 50'!E40</f>
        <v>0</v>
      </c>
      <c r="I87" s="620"/>
      <c r="J87" s="619">
        <f t="shared" ref="J87:J88" si="87">D87+F87-H87</f>
        <v>962</v>
      </c>
      <c r="K87" s="620"/>
      <c r="L87" s="582">
        <f t="shared" si="73"/>
        <v>10902.777777777777</v>
      </c>
      <c r="M87" s="777">
        <f t="shared" ref="M87:M88" si="88">J87/L87</f>
        <v>8.8234394904458599E-2</v>
      </c>
      <c r="N87" s="292"/>
      <c r="O87" s="784" t="s">
        <v>1182</v>
      </c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89"/>
      <c r="AC87" s="289"/>
      <c r="AD87" s="289"/>
      <c r="AE87" s="289"/>
      <c r="AF87" s="289"/>
      <c r="AG87" s="289"/>
      <c r="AH87" s="289"/>
      <c r="AI87" s="289"/>
      <c r="AJ87" s="289"/>
      <c r="AK87" s="289"/>
      <c r="AL87" s="289"/>
      <c r="AM87" s="289"/>
      <c r="AN87" s="289"/>
      <c r="AO87" s="289"/>
      <c r="AP87" s="289"/>
    </row>
    <row r="88" spans="1:42" ht="19.5" customHeight="1">
      <c r="A88" s="109">
        <v>12</v>
      </c>
      <c r="B88" s="584" t="str">
        <f>'VIDONA 50'!H4</f>
        <v xml:space="preserve">VIDONA 50*50 nâu-HA </v>
      </c>
      <c r="C88" s="109" t="s">
        <v>194</v>
      </c>
      <c r="D88" s="619">
        <f>'VIDONA 50'!G8</f>
        <v>0</v>
      </c>
      <c r="E88" s="620"/>
      <c r="F88" s="619">
        <f>'VIDONA 50'!D40</f>
        <v>0</v>
      </c>
      <c r="G88" s="620"/>
      <c r="H88" s="619">
        <f>'VIDONA 50'!E40</f>
        <v>0</v>
      </c>
      <c r="I88" s="620"/>
      <c r="J88" s="619">
        <f t="shared" si="87"/>
        <v>0</v>
      </c>
      <c r="K88" s="620"/>
      <c r="L88" s="582">
        <f t="shared" si="73"/>
        <v>10902.777777777777</v>
      </c>
      <c r="M88" s="777">
        <f t="shared" si="88"/>
        <v>0</v>
      </c>
      <c r="N88" s="292"/>
      <c r="O88" s="784" t="s">
        <v>1184</v>
      </c>
      <c r="P88" s="289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/>
      <c r="AB88" s="289"/>
      <c r="AC88" s="289"/>
      <c r="AD88" s="289"/>
      <c r="AE88" s="289"/>
      <c r="AF88" s="289"/>
      <c r="AG88" s="289"/>
      <c r="AH88" s="289"/>
      <c r="AI88" s="289"/>
      <c r="AJ88" s="289"/>
      <c r="AK88" s="289"/>
      <c r="AL88" s="289"/>
      <c r="AM88" s="289"/>
      <c r="AN88" s="289"/>
      <c r="AO88" s="289"/>
      <c r="AP88" s="289"/>
    </row>
    <row r="89" spans="1:42" ht="19.5" customHeight="1">
      <c r="A89" s="109">
        <v>13</v>
      </c>
      <c r="B89" s="584" t="str">
        <f>'T H PHƯƠNG 5050'!H4</f>
        <v xml:space="preserve">TRANG HOÀNG PHƯƠNG 50*50 nâu-HA </v>
      </c>
      <c r="C89" s="109" t="s">
        <v>194</v>
      </c>
      <c r="D89" s="619">
        <f>'T H PHƯƠNG 5050'!G8</f>
        <v>3700</v>
      </c>
      <c r="E89" s="620"/>
      <c r="F89" s="619">
        <f>'T H PHƯƠNG 5050'!D40</f>
        <v>0</v>
      </c>
      <c r="G89" s="620"/>
      <c r="H89" s="619">
        <f>'T H PHƯƠNG 5050'!E40</f>
        <v>0</v>
      </c>
      <c r="I89" s="620"/>
      <c r="J89" s="619">
        <f t="shared" ref="J89" si="89">D89+F89-H89</f>
        <v>3700</v>
      </c>
      <c r="K89" s="620"/>
      <c r="L89" s="582">
        <f t="shared" si="73"/>
        <v>10902.777777777777</v>
      </c>
      <c r="M89" s="777">
        <f t="shared" ref="M89" si="90">J89/L89</f>
        <v>0.33936305732484079</v>
      </c>
      <c r="N89" s="292"/>
      <c r="O89" s="784" t="s">
        <v>1250</v>
      </c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289"/>
      <c r="AL89" s="289"/>
      <c r="AM89" s="289"/>
      <c r="AN89" s="289"/>
      <c r="AO89" s="289"/>
      <c r="AP89" s="289"/>
    </row>
    <row r="90" spans="1:42" ht="19.5" customHeight="1">
      <c r="A90" s="109">
        <v>14</v>
      </c>
      <c r="B90" s="584" t="str">
        <f>'PADOVA 50'!H4</f>
        <v xml:space="preserve">PADOVA 30*60 nâu-HA </v>
      </c>
      <c r="C90" s="109"/>
      <c r="D90" s="619">
        <f>'PADOVA 50'!G8</f>
        <v>0</v>
      </c>
      <c r="E90" s="620"/>
      <c r="F90" s="619">
        <f>'PADOVA 50'!D40</f>
        <v>0</v>
      </c>
      <c r="G90" s="620"/>
      <c r="H90" s="619">
        <f>'PADOVA 50'!E40</f>
        <v>0</v>
      </c>
      <c r="I90" s="620"/>
      <c r="J90" s="619">
        <f t="shared" ref="J90" si="91">D90+F90-H90</f>
        <v>0</v>
      </c>
      <c r="K90" s="620"/>
      <c r="L90" s="582">
        <f t="shared" si="73"/>
        <v>10902.777777777777</v>
      </c>
      <c r="M90" s="777">
        <f t="shared" ref="M90" si="92">J90/L90</f>
        <v>0</v>
      </c>
      <c r="N90" s="292"/>
      <c r="O90" s="784" t="s">
        <v>1251</v>
      </c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89"/>
      <c r="AB90" s="289"/>
      <c r="AC90" s="289"/>
      <c r="AD90" s="289"/>
      <c r="AE90" s="289"/>
      <c r="AF90" s="289"/>
      <c r="AG90" s="289"/>
      <c r="AH90" s="289"/>
      <c r="AI90" s="289"/>
      <c r="AJ90" s="289"/>
      <c r="AK90" s="289"/>
      <c r="AL90" s="289"/>
      <c r="AM90" s="289"/>
      <c r="AN90" s="289"/>
      <c r="AO90" s="289"/>
      <c r="AP90" s="289"/>
    </row>
    <row r="91" spans="1:42" ht="24" customHeight="1">
      <c r="A91" s="356">
        <v>5</v>
      </c>
      <c r="B91" s="357" t="s">
        <v>861</v>
      </c>
      <c r="C91" s="294"/>
      <c r="D91" s="358"/>
      <c r="E91" s="358"/>
      <c r="F91" s="358"/>
      <c r="G91" s="358"/>
      <c r="H91" s="358"/>
      <c r="I91" s="358"/>
      <c r="J91" s="358"/>
      <c r="K91" s="358"/>
      <c r="L91" s="582"/>
      <c r="M91" s="777"/>
      <c r="N91" s="292"/>
      <c r="O91" s="386"/>
      <c r="P91" s="289"/>
      <c r="Q91" s="289"/>
      <c r="R91" s="289"/>
      <c r="S91" s="289"/>
      <c r="T91" s="289"/>
      <c r="U91" s="289"/>
      <c r="V91" s="289"/>
      <c r="W91" s="289"/>
      <c r="X91" s="289"/>
      <c r="Y91" s="289"/>
      <c r="Z91" s="289"/>
      <c r="AA91" s="289"/>
      <c r="AB91" s="289"/>
      <c r="AC91" s="289"/>
      <c r="AD91" s="289"/>
      <c r="AE91" s="289"/>
      <c r="AF91" s="289"/>
      <c r="AG91" s="289"/>
      <c r="AH91" s="289"/>
      <c r="AI91" s="289"/>
      <c r="AJ91" s="289"/>
      <c r="AK91" s="289"/>
      <c r="AL91" s="289"/>
      <c r="AM91" s="289"/>
      <c r="AN91" s="289"/>
      <c r="AO91" s="289"/>
      <c r="AP91" s="289"/>
    </row>
    <row r="92" spans="1:42" ht="19.5" customHeight="1">
      <c r="A92" s="109">
        <v>1</v>
      </c>
      <c r="B92" s="584" t="str">
        <f>'TỔNG HỢP THÁNG'!B206</f>
        <v xml:space="preserve">VỎ PHẾ 40x60-HA giấy nâu </v>
      </c>
      <c r="C92" s="109" t="s">
        <v>194</v>
      </c>
      <c r="D92" s="619">
        <f>'TỔNG HỢP THÁNG'!D206</f>
        <v>9080</v>
      </c>
      <c r="E92" s="620"/>
      <c r="F92" s="619">
        <f>'TỔNG HỢP THÁNG'!F206</f>
        <v>0</v>
      </c>
      <c r="G92" s="620"/>
      <c r="H92" s="619">
        <f>'TỔNG HỢP THÁNG'!H206</f>
        <v>0</v>
      </c>
      <c r="I92" s="620"/>
      <c r="J92" s="619">
        <f>D92+F92-H92</f>
        <v>9080</v>
      </c>
      <c r="K92" s="620"/>
      <c r="L92" s="582">
        <f t="shared" si="73"/>
        <v>10902.777777777777</v>
      </c>
      <c r="M92" s="777">
        <f t="shared" ref="M92" si="93">J92/L92</f>
        <v>0.8328152866242039</v>
      </c>
      <c r="N92" s="292"/>
      <c r="O92" s="784" t="s">
        <v>796</v>
      </c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89"/>
      <c r="AB92" s="289"/>
      <c r="AC92" s="289"/>
      <c r="AD92" s="289"/>
      <c r="AE92" s="289"/>
      <c r="AF92" s="289"/>
      <c r="AG92" s="289"/>
      <c r="AH92" s="289"/>
      <c r="AI92" s="289"/>
      <c r="AJ92" s="289"/>
      <c r="AK92" s="289"/>
      <c r="AL92" s="289"/>
      <c r="AM92" s="289"/>
      <c r="AN92" s="289"/>
      <c r="AO92" s="289"/>
      <c r="AP92" s="289"/>
    </row>
    <row r="93" spans="1:42" ht="19.5" customHeight="1">
      <c r="A93" s="1071">
        <v>2</v>
      </c>
      <c r="B93" s="1072" t="str">
        <f>'TỔNG HỢP THÁNG'!B207</f>
        <v>LUXURY 400*600-HA giấy nâu</v>
      </c>
      <c r="C93" s="109" t="s">
        <v>194</v>
      </c>
      <c r="D93" s="619">
        <f>'TỔNG HỢP THÁNG'!D207</f>
        <v>4200</v>
      </c>
      <c r="E93" s="620"/>
      <c r="F93" s="619">
        <f>'TỔNG HỢP THÁNG'!F207</f>
        <v>0</v>
      </c>
      <c r="G93" s="620"/>
      <c r="H93" s="619">
        <f>'TỔNG HỢP THÁNG'!H207</f>
        <v>0</v>
      </c>
      <c r="I93" s="620"/>
      <c r="J93" s="619">
        <f>D93+F93-H93</f>
        <v>4200</v>
      </c>
      <c r="K93" s="620"/>
      <c r="L93" s="582">
        <f t="shared" si="73"/>
        <v>10902.777777777777</v>
      </c>
      <c r="M93" s="777">
        <f t="shared" ref="M93" si="94">J93/L93</f>
        <v>0.38522292993630575</v>
      </c>
      <c r="N93" s="1070"/>
      <c r="O93" s="1073" t="s">
        <v>863</v>
      </c>
      <c r="P93" s="289"/>
      <c r="Q93" s="289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289"/>
      <c r="AL93" s="289"/>
      <c r="AM93" s="289"/>
      <c r="AN93" s="289"/>
      <c r="AO93" s="289"/>
      <c r="AP93" s="289"/>
    </row>
    <row r="94" spans="1:42" ht="19.5" customHeight="1">
      <c r="A94" s="1071">
        <v>3</v>
      </c>
      <c r="B94" s="1072" t="str">
        <f>'TỔNG HỢP THÁNG'!B208</f>
        <v>CROWN 40*60-HA</v>
      </c>
      <c r="C94" s="109" t="s">
        <v>194</v>
      </c>
      <c r="D94" s="619">
        <f>'TỔNG HỢP THÁNG'!D208</f>
        <v>2210</v>
      </c>
      <c r="E94" s="620"/>
      <c r="F94" s="619">
        <f>'TỔNG HỢP THÁNG'!F208</f>
        <v>0</v>
      </c>
      <c r="G94" s="620"/>
      <c r="H94" s="619">
        <f>'TỔNG HỢP THÁNG'!H208</f>
        <v>0</v>
      </c>
      <c r="I94" s="620"/>
      <c r="J94" s="619">
        <f>D94+F94-H94</f>
        <v>2210</v>
      </c>
      <c r="K94" s="620"/>
      <c r="L94" s="582">
        <f t="shared" si="73"/>
        <v>10902.777777777777</v>
      </c>
      <c r="M94" s="777">
        <f t="shared" ref="M94" si="95">J94/L94</f>
        <v>0.20270063694267518</v>
      </c>
      <c r="N94" s="1070"/>
      <c r="O94" s="1073" t="s">
        <v>893</v>
      </c>
      <c r="P94" s="289"/>
      <c r="Q94" s="289"/>
      <c r="R94" s="289"/>
      <c r="S94" s="289"/>
      <c r="T94" s="289"/>
      <c r="U94" s="289"/>
      <c r="V94" s="289"/>
      <c r="W94" s="289"/>
      <c r="X94" s="289"/>
      <c r="Y94" s="289"/>
      <c r="Z94" s="289"/>
      <c r="AA94" s="289"/>
      <c r="AB94" s="289"/>
      <c r="AC94" s="289"/>
      <c r="AD94" s="289"/>
      <c r="AE94" s="289"/>
      <c r="AF94" s="289"/>
      <c r="AG94" s="289"/>
      <c r="AH94" s="289"/>
      <c r="AI94" s="289"/>
      <c r="AJ94" s="289"/>
      <c r="AK94" s="289"/>
      <c r="AL94" s="289"/>
      <c r="AM94" s="289"/>
      <c r="AN94" s="289"/>
      <c r="AO94" s="289"/>
      <c r="AP94" s="289"/>
    </row>
    <row r="95" spans="1:42" ht="19.5" customHeight="1">
      <c r="A95" s="356">
        <v>6</v>
      </c>
      <c r="B95" s="357" t="s">
        <v>926</v>
      </c>
      <c r="C95" s="294"/>
      <c r="D95" s="358"/>
      <c r="E95" s="358"/>
      <c r="F95" s="358"/>
      <c r="G95" s="358"/>
      <c r="H95" s="358"/>
      <c r="I95" s="358"/>
      <c r="J95" s="358"/>
      <c r="K95" s="358"/>
      <c r="L95" s="582"/>
      <c r="M95" s="777"/>
      <c r="N95" s="292"/>
      <c r="O95" s="1073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89"/>
      <c r="AB95" s="289"/>
      <c r="AC95" s="289"/>
      <c r="AD95" s="289"/>
      <c r="AE95" s="289"/>
      <c r="AF95" s="289"/>
      <c r="AG95" s="289"/>
      <c r="AH95" s="289"/>
      <c r="AI95" s="289"/>
      <c r="AJ95" s="289"/>
      <c r="AK95" s="289"/>
      <c r="AL95" s="289"/>
      <c r="AM95" s="289"/>
      <c r="AN95" s="289"/>
      <c r="AO95" s="289"/>
      <c r="AP95" s="289"/>
    </row>
    <row r="96" spans="1:42" ht="19.5" customHeight="1">
      <c r="A96" s="1014">
        <v>1</v>
      </c>
      <c r="B96" s="584" t="str">
        <f>'TỔNG HỢP THÁNG'!B210</f>
        <v xml:space="preserve">VỎ PHẾ 60x60-HA giấy nâu </v>
      </c>
      <c r="C96" s="109" t="s">
        <v>194</v>
      </c>
      <c r="D96" s="619">
        <f>'TỔNG HỢP THÁNG'!D210</f>
        <v>1530</v>
      </c>
      <c r="E96" s="620"/>
      <c r="F96" s="619">
        <f>'TỔNG HỢP THÁNG'!F210</f>
        <v>0</v>
      </c>
      <c r="G96" s="620"/>
      <c r="H96" s="619">
        <f>'TỔNG HỢP THÁNG'!H210</f>
        <v>0</v>
      </c>
      <c r="I96" s="620"/>
      <c r="J96" s="619">
        <f>D96+F96-H96</f>
        <v>1530</v>
      </c>
      <c r="K96" s="620"/>
      <c r="L96" s="582">
        <f t="shared" ref="L96:L107" si="96">15700/1.44</f>
        <v>10902.777777777777</v>
      </c>
      <c r="M96" s="777">
        <f>J96/L96</f>
        <v>0.1403312101910828</v>
      </c>
      <c r="N96" s="292"/>
      <c r="O96" s="1073" t="s">
        <v>931</v>
      </c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  <c r="AB96" s="289"/>
      <c r="AC96" s="289"/>
      <c r="AD96" s="289"/>
      <c r="AE96" s="289"/>
      <c r="AF96" s="289"/>
      <c r="AG96" s="289"/>
      <c r="AH96" s="289"/>
      <c r="AI96" s="289"/>
      <c r="AJ96" s="289"/>
      <c r="AK96" s="289"/>
      <c r="AL96" s="289"/>
      <c r="AM96" s="289"/>
      <c r="AN96" s="289"/>
      <c r="AO96" s="289"/>
      <c r="AP96" s="289"/>
    </row>
    <row r="97" spans="1:42" ht="19.5" customHeight="1">
      <c r="A97" s="1014">
        <v>2</v>
      </c>
      <c r="B97" s="584" t="str">
        <f>'TỔNG HỢP THÁNG'!B211</f>
        <v>LUXURY 600*600-HA giấy nâu</v>
      </c>
      <c r="C97" s="109" t="s">
        <v>194</v>
      </c>
      <c r="D97" s="619">
        <f>'TỔNG HỢP THÁNG'!D211</f>
        <v>0</v>
      </c>
      <c r="E97" s="620"/>
      <c r="F97" s="619">
        <f>'TỔNG HỢP THÁNG'!F211</f>
        <v>0</v>
      </c>
      <c r="G97" s="620"/>
      <c r="H97" s="619">
        <f>'TỔNG HỢP THÁNG'!H211</f>
        <v>0</v>
      </c>
      <c r="I97" s="620"/>
      <c r="J97" s="619">
        <f>D97+F97-H97</f>
        <v>0</v>
      </c>
      <c r="K97" s="620"/>
      <c r="L97" s="582">
        <f t="shared" si="96"/>
        <v>10902.777777777777</v>
      </c>
      <c r="M97" s="777">
        <f>J97/L97</f>
        <v>0</v>
      </c>
      <c r="N97" s="292"/>
      <c r="O97" s="1073" t="s">
        <v>932</v>
      </c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  <c r="AC97" s="289"/>
      <c r="AD97" s="289"/>
      <c r="AE97" s="289"/>
      <c r="AF97" s="289"/>
      <c r="AG97" s="289"/>
      <c r="AH97" s="289"/>
      <c r="AI97" s="289"/>
      <c r="AJ97" s="289"/>
      <c r="AK97" s="289"/>
      <c r="AL97" s="289"/>
      <c r="AM97" s="289"/>
      <c r="AN97" s="289"/>
      <c r="AO97" s="289"/>
      <c r="AP97" s="289"/>
    </row>
    <row r="98" spans="1:42" ht="19.5" customHeight="1">
      <c r="A98" s="1014">
        <v>3</v>
      </c>
      <c r="B98" s="584" t="str">
        <f>'TỔNG HỢP THÁNG'!B212</f>
        <v>CROWN 60*60-HA</v>
      </c>
      <c r="C98" s="109" t="s">
        <v>194</v>
      </c>
      <c r="D98" s="619">
        <f>'TỔNG HỢP THÁNG'!D212</f>
        <v>920</v>
      </c>
      <c r="E98" s="620"/>
      <c r="F98" s="619">
        <f>'TỔNG HỢP THÁNG'!F212</f>
        <v>0</v>
      </c>
      <c r="G98" s="620"/>
      <c r="H98" s="619">
        <f>'TỔNG HỢP THÁNG'!H212</f>
        <v>0</v>
      </c>
      <c r="I98" s="620"/>
      <c r="J98" s="619">
        <f>D98+F98-H98</f>
        <v>920</v>
      </c>
      <c r="K98" s="620"/>
      <c r="L98" s="582">
        <f t="shared" si="96"/>
        <v>10902.777777777777</v>
      </c>
      <c r="M98" s="777">
        <f>J98/L98</f>
        <v>8.4382165605095538E-2</v>
      </c>
      <c r="N98" s="292"/>
      <c r="O98" s="1073" t="s">
        <v>935</v>
      </c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89"/>
      <c r="AB98" s="289"/>
      <c r="AC98" s="289"/>
      <c r="AD98" s="289"/>
      <c r="AE98" s="289"/>
      <c r="AF98" s="289"/>
      <c r="AG98" s="289"/>
      <c r="AH98" s="289"/>
      <c r="AI98" s="289"/>
      <c r="AJ98" s="289"/>
      <c r="AK98" s="289"/>
      <c r="AL98" s="289"/>
      <c r="AM98" s="289"/>
      <c r="AN98" s="289"/>
      <c r="AO98" s="289"/>
      <c r="AP98" s="289"/>
    </row>
    <row r="99" spans="1:42" ht="19.5" customHeight="1">
      <c r="A99" s="1014">
        <v>4</v>
      </c>
      <c r="B99" s="584" t="str">
        <f>'TỔNG HỢP THÁNG'!B213</f>
        <v>ESPANA 60*60-HA giấy nâu</v>
      </c>
      <c r="C99" s="109" t="s">
        <v>194</v>
      </c>
      <c r="D99" s="619">
        <f>'TỔNG HỢP THÁNG'!D213</f>
        <v>469</v>
      </c>
      <c r="E99" s="620"/>
      <c r="F99" s="619">
        <f>'TỔNG HỢP THÁNG'!F213</f>
        <v>0</v>
      </c>
      <c r="G99" s="620"/>
      <c r="H99" s="619">
        <f>'TỔNG HỢP THÁNG'!H213</f>
        <v>0</v>
      </c>
      <c r="I99" s="620"/>
      <c r="J99" s="619">
        <f t="shared" ref="J99:J100" si="97">D99+F99-H99</f>
        <v>469</v>
      </c>
      <c r="K99" s="620"/>
      <c r="L99" s="582">
        <f t="shared" si="96"/>
        <v>10902.777777777777</v>
      </c>
      <c r="M99" s="777">
        <f t="shared" ref="M99:M100" si="98">J99/L99</f>
        <v>4.3016560509554144E-2</v>
      </c>
      <c r="N99" s="292"/>
      <c r="O99" s="1073" t="s">
        <v>937</v>
      </c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  <c r="AC99" s="289"/>
      <c r="AD99" s="289"/>
      <c r="AE99" s="289"/>
      <c r="AF99" s="289"/>
      <c r="AG99" s="289"/>
      <c r="AH99" s="289"/>
      <c r="AI99" s="289"/>
      <c r="AJ99" s="289"/>
      <c r="AK99" s="289"/>
      <c r="AL99" s="289"/>
      <c r="AM99" s="289"/>
      <c r="AN99" s="289"/>
      <c r="AO99" s="289"/>
      <c r="AP99" s="289"/>
    </row>
    <row r="100" spans="1:42" ht="19.5" customHeight="1">
      <c r="A100" s="1014">
        <v>5</v>
      </c>
      <c r="B100" s="584" t="str">
        <f>'TỔNG HỢP THÁNG'!B214</f>
        <v>HAVIRA 60*60-HA giấy nâu</v>
      </c>
      <c r="C100" s="109" t="s">
        <v>194</v>
      </c>
      <c r="D100" s="619">
        <f>'TỔNG HỢP THÁNG'!D214</f>
        <v>960</v>
      </c>
      <c r="E100" s="620"/>
      <c r="F100" s="619">
        <f>'TỔNG HỢP THÁNG'!F214</f>
        <v>0</v>
      </c>
      <c r="G100" s="620"/>
      <c r="H100" s="619">
        <f>'TỔNG HỢP THÁNG'!H214</f>
        <v>0</v>
      </c>
      <c r="I100" s="620"/>
      <c r="J100" s="619">
        <f t="shared" si="97"/>
        <v>960</v>
      </c>
      <c r="K100" s="620"/>
      <c r="L100" s="582">
        <f t="shared" si="96"/>
        <v>10902.777777777777</v>
      </c>
      <c r="M100" s="777">
        <f t="shared" si="98"/>
        <v>8.8050955414012741E-2</v>
      </c>
      <c r="N100" s="292"/>
      <c r="O100" s="1073" t="s">
        <v>938</v>
      </c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89"/>
      <c r="AM100" s="289"/>
      <c r="AN100" s="289"/>
      <c r="AO100" s="289"/>
      <c r="AP100" s="289"/>
    </row>
    <row r="101" spans="1:42" ht="19.5" customHeight="1">
      <c r="A101" s="1014">
        <v>6</v>
      </c>
      <c r="B101" s="584" t="str">
        <f>'TỔNG HỢP THÁNG'!B215</f>
        <v xml:space="preserve">GREEN HOME 60*60-HA </v>
      </c>
      <c r="C101" s="109" t="s">
        <v>194</v>
      </c>
      <c r="D101" s="619">
        <f>'TỔNG HỢP THÁNG'!D215</f>
        <v>2980</v>
      </c>
      <c r="E101" s="620"/>
      <c r="F101" s="619">
        <f>'TỔNG HỢP THÁNG'!F215</f>
        <v>0</v>
      </c>
      <c r="G101" s="620"/>
      <c r="H101" s="619">
        <f>'TỔNG HỢP THÁNG'!H215</f>
        <v>0</v>
      </c>
      <c r="I101" s="620"/>
      <c r="J101" s="619">
        <f t="shared" ref="J101" si="99">D101+F101-H101</f>
        <v>2980</v>
      </c>
      <c r="K101" s="620"/>
      <c r="L101" s="582">
        <f t="shared" si="96"/>
        <v>10902.777777777777</v>
      </c>
      <c r="M101" s="777">
        <f t="shared" ref="M101" si="100">J101/L101</f>
        <v>0.27332484076433122</v>
      </c>
      <c r="N101" s="292"/>
      <c r="O101" s="1073" t="s">
        <v>944</v>
      </c>
      <c r="P101" s="289"/>
      <c r="Q101" s="289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  <c r="AC101" s="289"/>
      <c r="AD101" s="289"/>
      <c r="AE101" s="289"/>
      <c r="AF101" s="289"/>
      <c r="AG101" s="289"/>
      <c r="AH101" s="289"/>
      <c r="AI101" s="289"/>
      <c r="AJ101" s="289"/>
      <c r="AK101" s="289"/>
      <c r="AL101" s="289"/>
      <c r="AM101" s="289"/>
      <c r="AN101" s="289"/>
      <c r="AO101" s="289"/>
      <c r="AP101" s="289"/>
    </row>
    <row r="102" spans="1:42" ht="19.5" customHeight="1">
      <c r="A102" s="1014">
        <v>7</v>
      </c>
      <c r="B102" s="584" t="str">
        <f>'TỔNG HỢP THÁNG'!B216</f>
        <v>GREEN HOME 60*60 5V nâu</v>
      </c>
      <c r="C102" s="109" t="s">
        <v>194</v>
      </c>
      <c r="D102" s="619">
        <f>'TỔNG HỢP THÁNG'!D216</f>
        <v>811</v>
      </c>
      <c r="E102" s="620"/>
      <c r="F102" s="619">
        <f>'TỔNG HỢP THÁNG'!F216</f>
        <v>0</v>
      </c>
      <c r="G102" s="620"/>
      <c r="H102" s="619">
        <f>'TỔNG HỢP THÁNG'!H216</f>
        <v>0</v>
      </c>
      <c r="I102" s="620"/>
      <c r="J102" s="619">
        <f t="shared" ref="J102:J106" si="101">D102+F102-H102</f>
        <v>811</v>
      </c>
      <c r="K102" s="620"/>
      <c r="L102" s="582">
        <f t="shared" si="96"/>
        <v>10902.777777777777</v>
      </c>
      <c r="M102" s="777">
        <f t="shared" ref="M102:M106" si="102">J102/L102</f>
        <v>7.4384713375796177E-2</v>
      </c>
      <c r="N102" s="292"/>
      <c r="O102" s="1073" t="s">
        <v>1058</v>
      </c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89"/>
      <c r="AE102" s="289"/>
      <c r="AF102" s="289"/>
      <c r="AG102" s="289"/>
      <c r="AH102" s="289"/>
      <c r="AI102" s="289"/>
      <c r="AJ102" s="289"/>
      <c r="AK102" s="289"/>
      <c r="AL102" s="289"/>
      <c r="AM102" s="289"/>
      <c r="AN102" s="289"/>
      <c r="AO102" s="289"/>
      <c r="AP102" s="289"/>
    </row>
    <row r="103" spans="1:42" ht="19.5" customHeight="1">
      <c r="A103" s="1014">
        <v>8</v>
      </c>
      <c r="B103" s="584" t="str">
        <f>'TỔNG HỢP THÁNG'!B217</f>
        <v>LUXURY 60x60 5V nâu</v>
      </c>
      <c r="C103" s="109" t="s">
        <v>194</v>
      </c>
      <c r="D103" s="619">
        <f>'TỔNG HỢP THÁNG'!D217</f>
        <v>1748</v>
      </c>
      <c r="E103" s="620"/>
      <c r="F103" s="619">
        <f>'TỔNG HỢP THÁNG'!F217</f>
        <v>0</v>
      </c>
      <c r="G103" s="620"/>
      <c r="H103" s="619">
        <f>'TỔNG HỢP THÁNG'!H217</f>
        <v>0</v>
      </c>
      <c r="I103" s="620"/>
      <c r="J103" s="619">
        <f t="shared" si="101"/>
        <v>1748</v>
      </c>
      <c r="K103" s="620"/>
      <c r="L103" s="582">
        <f t="shared" si="96"/>
        <v>10902.777777777777</v>
      </c>
      <c r="M103" s="777">
        <f t="shared" si="102"/>
        <v>0.16032611464968152</v>
      </c>
      <c r="N103" s="292"/>
      <c r="O103" s="1073" t="s">
        <v>1060</v>
      </c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89"/>
      <c r="AE103" s="289"/>
      <c r="AF103" s="289"/>
      <c r="AG103" s="289"/>
      <c r="AH103" s="289"/>
      <c r="AI103" s="289"/>
      <c r="AJ103" s="289"/>
      <c r="AK103" s="289"/>
      <c r="AL103" s="289"/>
      <c r="AM103" s="289"/>
      <c r="AN103" s="289"/>
      <c r="AO103" s="289"/>
      <c r="AP103" s="289"/>
    </row>
    <row r="104" spans="1:42" ht="19.5" customHeight="1">
      <c r="A104" s="1014">
        <v>9</v>
      </c>
      <c r="B104" s="584" t="str">
        <f>'TỔNG HỢP THÁNG'!B218</f>
        <v>ESPANA 60x60 5V nâu</v>
      </c>
      <c r="C104" s="109" t="s">
        <v>194</v>
      </c>
      <c r="D104" s="619">
        <f>'TỔNG HỢP THÁNG'!D218</f>
        <v>1579</v>
      </c>
      <c r="E104" s="620"/>
      <c r="F104" s="619">
        <f>'TỔNG HỢP THÁNG'!F218</f>
        <v>0</v>
      </c>
      <c r="G104" s="620"/>
      <c r="H104" s="619">
        <f>'TỔNG HỢP THÁNG'!H218</f>
        <v>0</v>
      </c>
      <c r="I104" s="620"/>
      <c r="J104" s="619">
        <f t="shared" si="101"/>
        <v>1579</v>
      </c>
      <c r="K104" s="620"/>
      <c r="L104" s="582">
        <f t="shared" si="96"/>
        <v>10902.777777777777</v>
      </c>
      <c r="M104" s="777">
        <f t="shared" si="102"/>
        <v>0.14482547770700638</v>
      </c>
      <c r="N104" s="292"/>
      <c r="O104" s="1073" t="s">
        <v>1062</v>
      </c>
      <c r="P104" s="289"/>
      <c r="Q104" s="289"/>
      <c r="R104" s="289"/>
      <c r="S104" s="289"/>
      <c r="T104" s="289"/>
      <c r="U104" s="289"/>
      <c r="V104" s="289"/>
      <c r="W104" s="289"/>
      <c r="X104" s="289"/>
      <c r="Y104" s="289"/>
      <c r="Z104" s="289"/>
      <c r="AA104" s="289"/>
      <c r="AB104" s="289"/>
      <c r="AC104" s="289"/>
      <c r="AD104" s="289"/>
      <c r="AE104" s="289"/>
      <c r="AF104" s="289"/>
      <c r="AG104" s="289"/>
      <c r="AH104" s="289"/>
      <c r="AI104" s="289"/>
      <c r="AJ104" s="289"/>
      <c r="AK104" s="289"/>
      <c r="AL104" s="289"/>
      <c r="AM104" s="289"/>
      <c r="AN104" s="289"/>
      <c r="AO104" s="289"/>
      <c r="AP104" s="289"/>
    </row>
    <row r="105" spans="1:42" ht="19.5" customHeight="1">
      <c r="A105" s="1014">
        <v>10</v>
      </c>
      <c r="B105" s="584" t="str">
        <f>'TỔNG HỢP THÁNG'!B219</f>
        <v>HAVIRA 60x60 5V nâu</v>
      </c>
      <c r="C105" s="109" t="s">
        <v>194</v>
      </c>
      <c r="D105" s="619">
        <f>'TỔNG HỢP THÁNG'!D219</f>
        <v>550</v>
      </c>
      <c r="E105" s="620"/>
      <c r="F105" s="619">
        <f>'TỔNG HỢP THÁNG'!F219</f>
        <v>0</v>
      </c>
      <c r="G105" s="620"/>
      <c r="H105" s="619">
        <f>'TỔNG HỢP THÁNG'!H219</f>
        <v>0</v>
      </c>
      <c r="I105" s="620"/>
      <c r="J105" s="619">
        <f t="shared" si="101"/>
        <v>550</v>
      </c>
      <c r="K105" s="620"/>
      <c r="L105" s="582">
        <f t="shared" si="96"/>
        <v>10902.777777777777</v>
      </c>
      <c r="M105" s="777">
        <f t="shared" si="102"/>
        <v>5.0445859872611465E-2</v>
      </c>
      <c r="N105" s="292"/>
      <c r="O105" s="1073" t="s">
        <v>1067</v>
      </c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  <c r="AC105" s="289"/>
      <c r="AD105" s="289"/>
      <c r="AE105" s="289"/>
      <c r="AF105" s="289"/>
      <c r="AG105" s="289"/>
      <c r="AH105" s="289"/>
      <c r="AI105" s="289"/>
      <c r="AJ105" s="289"/>
      <c r="AK105" s="289"/>
      <c r="AL105" s="289"/>
      <c r="AM105" s="289"/>
      <c r="AN105" s="289"/>
      <c r="AO105" s="289"/>
      <c r="AP105" s="289"/>
    </row>
    <row r="106" spans="1:42" ht="19.5" customHeight="1">
      <c r="A106" s="1335">
        <v>11</v>
      </c>
      <c r="B106" s="1336" t="str">
        <f>'TỔNG HỢP THÁNG'!B220</f>
        <v>CROWN 60x60 5V nâu</v>
      </c>
      <c r="C106" s="1337" t="s">
        <v>194</v>
      </c>
      <c r="D106" s="1338">
        <f>'TỔNG HỢP THÁNG'!D220</f>
        <v>0</v>
      </c>
      <c r="E106" s="1339"/>
      <c r="F106" s="1338">
        <f>'TỔNG HỢP THÁNG'!F220</f>
        <v>0</v>
      </c>
      <c r="G106" s="1339"/>
      <c r="H106" s="1338">
        <f>'TỔNG HỢP THÁNG'!H220</f>
        <v>0</v>
      </c>
      <c r="I106" s="1339"/>
      <c r="J106" s="1338">
        <f t="shared" si="101"/>
        <v>0</v>
      </c>
      <c r="K106" s="1339"/>
      <c r="L106" s="1340">
        <f t="shared" si="96"/>
        <v>10902.777777777777</v>
      </c>
      <c r="M106" s="1341">
        <f t="shared" si="102"/>
        <v>0</v>
      </c>
      <c r="N106" s="1342"/>
      <c r="O106" s="1073" t="s">
        <v>1066</v>
      </c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  <c r="AC106" s="289"/>
      <c r="AD106" s="289"/>
      <c r="AE106" s="289"/>
      <c r="AF106" s="289"/>
      <c r="AG106" s="289"/>
      <c r="AH106" s="289"/>
      <c r="AI106" s="289"/>
      <c r="AJ106" s="289"/>
      <c r="AK106" s="289"/>
      <c r="AL106" s="289"/>
      <c r="AM106" s="289"/>
      <c r="AN106" s="289"/>
      <c r="AO106" s="289"/>
      <c r="AP106" s="289"/>
    </row>
    <row r="107" spans="1:42" ht="19.5" customHeight="1">
      <c r="A107" s="1014">
        <v>12</v>
      </c>
      <c r="B107" s="584" t="str">
        <f>'CROVINA 60'!H4</f>
        <v xml:space="preserve">CROVINA 60*60 nâu-HA </v>
      </c>
      <c r="C107" s="109" t="s">
        <v>194</v>
      </c>
      <c r="D107" s="619">
        <f>'CROVINA 60'!G8</f>
        <v>3038</v>
      </c>
      <c r="E107" s="620"/>
      <c r="F107" s="619">
        <f>'CROVINA 60'!D40</f>
        <v>0</v>
      </c>
      <c r="G107" s="620"/>
      <c r="H107" s="619">
        <f>'CROVINA 60'!E40</f>
        <v>0</v>
      </c>
      <c r="I107" s="620"/>
      <c r="J107" s="1338">
        <f t="shared" ref="J107" si="103">D107+F107-H107</f>
        <v>3038</v>
      </c>
      <c r="K107" s="1339"/>
      <c r="L107" s="1340">
        <f t="shared" si="96"/>
        <v>10902.777777777777</v>
      </c>
      <c r="M107" s="1341">
        <f t="shared" ref="M107" si="104">J107/L107</f>
        <v>0.27864458598726116</v>
      </c>
      <c r="N107" s="292"/>
      <c r="O107" s="1343" t="s">
        <v>1144</v>
      </c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  <c r="AC107" s="289"/>
      <c r="AD107" s="289"/>
      <c r="AE107" s="289"/>
      <c r="AF107" s="289"/>
      <c r="AG107" s="289"/>
      <c r="AH107" s="289"/>
      <c r="AI107" s="289"/>
      <c r="AJ107" s="289"/>
      <c r="AK107" s="289"/>
      <c r="AL107" s="289"/>
      <c r="AM107" s="289"/>
      <c r="AN107" s="289"/>
      <c r="AO107" s="289"/>
      <c r="AP107" s="289"/>
    </row>
    <row r="108" spans="1:42" ht="18.7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782" t="str">
        <f>'TỔNG HỢP THÁNG'!J258</f>
        <v>Đồng Nai, ngày 31 tháng 08 năm 2026</v>
      </c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89"/>
      <c r="AB108" s="289"/>
      <c r="AC108" s="289"/>
      <c r="AD108" s="289"/>
      <c r="AE108" s="289"/>
      <c r="AF108" s="289"/>
      <c r="AG108" s="289"/>
      <c r="AH108" s="289"/>
      <c r="AI108" s="289"/>
      <c r="AJ108" s="289"/>
      <c r="AK108" s="289"/>
      <c r="AL108" s="289"/>
      <c r="AM108" s="289"/>
      <c r="AN108" s="289"/>
      <c r="AO108" s="289"/>
      <c r="AP108" s="289"/>
    </row>
    <row r="109" spans="1:42" ht="23.25" customHeight="1">
      <c r="A109" s="780"/>
      <c r="B109" s="780"/>
      <c r="C109" s="780"/>
      <c r="D109" s="780"/>
      <c r="E109" s="290" t="s">
        <v>213</v>
      </c>
      <c r="F109" s="780"/>
      <c r="G109" s="780"/>
      <c r="H109" s="780"/>
      <c r="I109" s="780"/>
      <c r="J109" s="781" t="s">
        <v>13</v>
      </c>
      <c r="K109" s="780"/>
      <c r="L109" s="780"/>
      <c r="M109" s="780"/>
      <c r="N109" s="780"/>
      <c r="O109" s="780"/>
      <c r="P109" s="780"/>
      <c r="Q109" s="780"/>
      <c r="R109" s="780"/>
      <c r="S109" s="780"/>
      <c r="T109" s="780"/>
      <c r="U109" s="780"/>
      <c r="V109" s="780"/>
      <c r="W109" s="780"/>
      <c r="X109" s="780"/>
      <c r="Y109" s="780"/>
      <c r="Z109" s="780"/>
      <c r="AA109" s="780"/>
      <c r="AB109" s="780"/>
      <c r="AC109" s="780"/>
      <c r="AD109" s="780"/>
      <c r="AE109" s="780"/>
      <c r="AF109" s="780"/>
      <c r="AG109" s="780"/>
      <c r="AH109" s="780"/>
      <c r="AI109" s="780"/>
      <c r="AJ109" s="780"/>
      <c r="AK109" s="780"/>
      <c r="AL109" s="780"/>
      <c r="AM109" s="780"/>
      <c r="AN109" s="780"/>
      <c r="AO109" s="780"/>
      <c r="AP109" s="780"/>
    </row>
    <row r="110" spans="1:42">
      <c r="A110" s="780"/>
      <c r="B110" s="780"/>
      <c r="C110" s="780"/>
      <c r="D110" s="780"/>
      <c r="E110" s="780"/>
      <c r="F110" s="780"/>
      <c r="G110" s="780"/>
      <c r="H110" s="780"/>
      <c r="I110" s="780"/>
      <c r="J110" s="780"/>
      <c r="K110" s="780"/>
      <c r="L110" s="780"/>
      <c r="M110" s="780"/>
      <c r="N110" s="780"/>
      <c r="O110" s="780"/>
      <c r="P110" s="780"/>
      <c r="Q110" s="780"/>
      <c r="R110" s="780"/>
      <c r="S110" s="780"/>
      <c r="T110" s="780"/>
      <c r="U110" s="780"/>
      <c r="V110" s="780"/>
      <c r="W110" s="780"/>
      <c r="X110" s="780"/>
      <c r="Y110" s="780"/>
      <c r="Z110" s="780"/>
      <c r="AA110" s="780"/>
      <c r="AB110" s="780"/>
      <c r="AC110" s="780"/>
      <c r="AD110" s="780"/>
      <c r="AE110" s="780"/>
      <c r="AF110" s="780"/>
      <c r="AG110" s="780"/>
      <c r="AH110" s="780"/>
      <c r="AI110" s="780"/>
      <c r="AJ110" s="780"/>
      <c r="AK110" s="780"/>
      <c r="AL110" s="780"/>
      <c r="AM110" s="780"/>
    </row>
    <row r="111" spans="1:42">
      <c r="A111" s="780"/>
      <c r="B111" s="780"/>
      <c r="C111" s="780"/>
      <c r="D111" s="780"/>
      <c r="E111" s="780"/>
      <c r="F111" s="780"/>
      <c r="G111" s="780"/>
      <c r="H111" s="780"/>
      <c r="I111" s="780"/>
      <c r="J111" s="780"/>
      <c r="K111" s="780"/>
      <c r="L111" s="780"/>
      <c r="M111" s="780"/>
      <c r="N111" s="780"/>
      <c r="O111" s="780"/>
      <c r="P111" s="780"/>
      <c r="Q111" s="780"/>
      <c r="R111" s="780"/>
      <c r="S111" s="780"/>
      <c r="T111" s="780"/>
      <c r="U111" s="780"/>
      <c r="V111" s="780"/>
      <c r="W111" s="780"/>
      <c r="X111" s="780"/>
      <c r="Y111" s="780"/>
      <c r="Z111" s="780"/>
      <c r="AA111" s="780"/>
      <c r="AB111" s="780"/>
      <c r="AC111" s="780"/>
      <c r="AD111" s="780"/>
      <c r="AE111" s="780"/>
      <c r="AF111" s="780"/>
      <c r="AG111" s="780"/>
      <c r="AH111" s="780"/>
      <c r="AI111" s="780"/>
      <c r="AJ111" s="780"/>
      <c r="AK111" s="780"/>
      <c r="AL111" s="780"/>
      <c r="AM111" s="780"/>
    </row>
    <row r="112" spans="1:42">
      <c r="A112" s="780"/>
      <c r="B112" s="780"/>
      <c r="C112" s="780"/>
      <c r="D112" s="780"/>
      <c r="E112" s="780"/>
      <c r="F112" s="780"/>
      <c r="G112" s="780"/>
      <c r="H112" s="780"/>
      <c r="I112" s="780"/>
      <c r="J112" s="780"/>
      <c r="K112" s="780"/>
      <c r="L112" s="780"/>
      <c r="M112" s="780"/>
      <c r="N112" s="780"/>
      <c r="O112" s="780"/>
      <c r="P112" s="780"/>
      <c r="Q112" s="780"/>
      <c r="R112" s="780"/>
      <c r="S112" s="780"/>
      <c r="T112" s="780"/>
      <c r="U112" s="780"/>
      <c r="V112" s="780"/>
      <c r="W112" s="780"/>
      <c r="X112" s="780"/>
      <c r="Y112" s="780"/>
      <c r="Z112" s="780"/>
      <c r="AA112" s="780"/>
      <c r="AB112" s="780"/>
      <c r="AC112" s="780"/>
      <c r="AD112" s="780"/>
      <c r="AE112" s="780"/>
      <c r="AF112" s="780"/>
      <c r="AG112" s="780"/>
      <c r="AH112" s="780"/>
      <c r="AI112" s="780"/>
      <c r="AJ112" s="780"/>
      <c r="AK112" s="780"/>
      <c r="AL112" s="780"/>
      <c r="AM112" s="780"/>
    </row>
    <row r="113" spans="1:39">
      <c r="A113" s="780"/>
      <c r="B113" s="780"/>
      <c r="C113" s="780"/>
      <c r="D113" s="780"/>
      <c r="E113" s="780"/>
      <c r="F113" s="780"/>
      <c r="G113" s="780"/>
      <c r="H113" s="780"/>
      <c r="I113" s="780"/>
      <c r="J113" s="780"/>
      <c r="K113" s="780"/>
      <c r="L113" s="780"/>
      <c r="M113" s="780"/>
      <c r="N113" s="780"/>
      <c r="O113" s="780"/>
      <c r="P113" s="780"/>
      <c r="Q113" s="780"/>
      <c r="R113" s="780"/>
      <c r="S113" s="780"/>
      <c r="T113" s="780"/>
      <c r="U113" s="780"/>
      <c r="V113" s="780"/>
      <c r="W113" s="780"/>
      <c r="X113" s="780"/>
      <c r="Y113" s="780"/>
      <c r="Z113" s="780"/>
      <c r="AA113" s="780"/>
      <c r="AB113" s="780"/>
      <c r="AC113" s="780"/>
      <c r="AD113" s="780"/>
      <c r="AE113" s="780"/>
      <c r="AF113" s="780"/>
      <c r="AG113" s="780"/>
      <c r="AH113" s="780"/>
      <c r="AI113" s="780"/>
      <c r="AJ113" s="780"/>
      <c r="AK113" s="780"/>
      <c r="AL113" s="780"/>
      <c r="AM113" s="780"/>
    </row>
    <row r="114" spans="1:39">
      <c r="A114" s="780"/>
      <c r="B114" s="780"/>
      <c r="C114" s="780"/>
      <c r="D114" s="780"/>
      <c r="E114" s="290" t="s">
        <v>214</v>
      </c>
      <c r="F114" s="780"/>
      <c r="G114" s="780"/>
      <c r="H114" s="780"/>
      <c r="I114" s="780"/>
      <c r="J114" s="781" t="s">
        <v>333</v>
      </c>
      <c r="K114" s="780"/>
      <c r="L114" s="780"/>
      <c r="M114" s="780"/>
      <c r="N114" s="780"/>
      <c r="O114" s="780"/>
      <c r="P114" s="780"/>
      <c r="Q114" s="780"/>
      <c r="R114" s="780"/>
      <c r="S114" s="780"/>
      <c r="T114" s="780"/>
      <c r="U114" s="780"/>
      <c r="V114" s="780"/>
      <c r="W114" s="780"/>
      <c r="X114" s="780"/>
      <c r="Y114" s="780"/>
      <c r="Z114" s="780"/>
      <c r="AA114" s="780"/>
      <c r="AB114" s="780"/>
      <c r="AC114" s="780"/>
      <c r="AD114" s="780"/>
      <c r="AE114" s="780"/>
      <c r="AF114" s="780"/>
      <c r="AG114" s="780"/>
      <c r="AH114" s="780"/>
      <c r="AI114" s="780"/>
      <c r="AJ114" s="780"/>
      <c r="AK114" s="780"/>
      <c r="AL114" s="780"/>
      <c r="AM114" s="780"/>
    </row>
    <row r="115" spans="1:39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289"/>
      <c r="W115" s="289"/>
      <c r="X115" s="289"/>
      <c r="Y115" s="289"/>
      <c r="Z115" s="289"/>
      <c r="AA115" s="289"/>
      <c r="AB115" s="289"/>
      <c r="AC115" s="289"/>
      <c r="AD115" s="289"/>
      <c r="AE115" s="289"/>
      <c r="AF115" s="289"/>
      <c r="AG115" s="289"/>
      <c r="AH115" s="289"/>
      <c r="AI115" s="289"/>
      <c r="AJ115" s="289"/>
      <c r="AK115" s="289"/>
      <c r="AL115" s="289"/>
      <c r="AM115" s="289"/>
    </row>
    <row r="116" spans="1:39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89"/>
      <c r="W116" s="289"/>
      <c r="X116" s="289"/>
      <c r="Y116" s="289"/>
      <c r="Z116" s="289"/>
      <c r="AA116" s="289"/>
      <c r="AB116" s="289"/>
      <c r="AC116" s="289"/>
      <c r="AD116" s="289"/>
      <c r="AE116" s="289"/>
      <c r="AF116" s="289"/>
      <c r="AG116" s="289"/>
      <c r="AH116" s="289"/>
      <c r="AI116" s="289"/>
      <c r="AJ116" s="289"/>
      <c r="AK116" s="289"/>
      <c r="AL116" s="289"/>
      <c r="AM116" s="289"/>
    </row>
    <row r="117" spans="1:39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289"/>
      <c r="W117" s="289"/>
      <c r="X117" s="289"/>
      <c r="Y117" s="289"/>
      <c r="Z117" s="289"/>
      <c r="AA117" s="289"/>
      <c r="AB117" s="289"/>
      <c r="AC117" s="289"/>
      <c r="AD117" s="289"/>
      <c r="AE117" s="289"/>
      <c r="AF117" s="289"/>
      <c r="AG117" s="289"/>
      <c r="AH117" s="289"/>
      <c r="AI117" s="289"/>
      <c r="AJ117" s="289"/>
      <c r="AK117" s="289"/>
      <c r="AL117" s="289"/>
      <c r="AM117" s="289"/>
    </row>
    <row r="118" spans="1:39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289"/>
      <c r="W118" s="289"/>
      <c r="X118" s="289"/>
      <c r="Y118" s="289"/>
      <c r="Z118" s="289"/>
      <c r="AA118" s="289"/>
      <c r="AB118" s="289"/>
      <c r="AC118" s="289"/>
      <c r="AD118" s="289"/>
      <c r="AE118" s="289"/>
      <c r="AF118" s="289"/>
      <c r="AG118" s="289"/>
      <c r="AH118" s="289"/>
      <c r="AI118" s="289"/>
      <c r="AJ118" s="289"/>
      <c r="AK118" s="289"/>
      <c r="AL118" s="289"/>
      <c r="AM118" s="289"/>
    </row>
    <row r="119" spans="1:39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289"/>
      <c r="W119" s="289"/>
      <c r="X119" s="289"/>
      <c r="Y119" s="289"/>
      <c r="Z119" s="289"/>
      <c r="AA119" s="289"/>
      <c r="AB119" s="289"/>
      <c r="AC119" s="289"/>
      <c r="AD119" s="289"/>
      <c r="AE119" s="289"/>
      <c r="AF119" s="289"/>
      <c r="AG119" s="289"/>
      <c r="AH119" s="289"/>
      <c r="AI119" s="289"/>
      <c r="AJ119" s="289"/>
      <c r="AK119" s="289"/>
      <c r="AL119" s="289"/>
      <c r="AM119" s="289"/>
    </row>
    <row r="120" spans="1:39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289"/>
      <c r="W120" s="289"/>
      <c r="X120" s="289"/>
      <c r="Y120" s="289"/>
      <c r="Z120" s="289"/>
      <c r="AA120" s="289"/>
      <c r="AB120" s="289"/>
      <c r="AC120" s="289"/>
      <c r="AD120" s="289"/>
      <c r="AE120" s="289"/>
      <c r="AF120" s="289"/>
      <c r="AG120" s="289"/>
      <c r="AH120" s="289"/>
      <c r="AI120" s="289"/>
      <c r="AJ120" s="289"/>
      <c r="AK120" s="289"/>
      <c r="AL120" s="289"/>
      <c r="AM120" s="289"/>
    </row>
    <row r="121" spans="1:39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289"/>
      <c r="W121" s="289"/>
      <c r="X121" s="289"/>
      <c r="Y121" s="289"/>
      <c r="Z121" s="289"/>
      <c r="AA121" s="289"/>
      <c r="AB121" s="289"/>
      <c r="AC121" s="289"/>
      <c r="AD121" s="289"/>
      <c r="AE121" s="289"/>
      <c r="AF121" s="289"/>
      <c r="AG121" s="289"/>
      <c r="AH121" s="289"/>
      <c r="AI121" s="289"/>
      <c r="AJ121" s="289"/>
      <c r="AK121" s="289"/>
      <c r="AL121" s="289"/>
      <c r="AM121" s="289"/>
    </row>
    <row r="122" spans="1:39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89"/>
      <c r="AB122" s="289"/>
      <c r="AC122" s="289"/>
      <c r="AD122" s="289"/>
      <c r="AE122" s="289"/>
      <c r="AF122" s="289"/>
      <c r="AG122" s="289"/>
      <c r="AH122" s="289"/>
      <c r="AI122" s="289"/>
      <c r="AJ122" s="289"/>
      <c r="AK122" s="289"/>
      <c r="AL122" s="289"/>
      <c r="AM122" s="289"/>
    </row>
    <row r="123" spans="1:39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289"/>
      <c r="W123" s="289"/>
      <c r="X123" s="289"/>
      <c r="Y123" s="289"/>
      <c r="Z123" s="289"/>
      <c r="AA123" s="289"/>
      <c r="AB123" s="289"/>
      <c r="AC123" s="289"/>
      <c r="AD123" s="289"/>
      <c r="AE123" s="289"/>
      <c r="AF123" s="289"/>
      <c r="AG123" s="289"/>
      <c r="AH123" s="289"/>
      <c r="AI123" s="289"/>
      <c r="AJ123" s="289"/>
      <c r="AK123" s="289"/>
      <c r="AL123" s="289"/>
      <c r="AM123" s="289"/>
    </row>
    <row r="124" spans="1:39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89"/>
      <c r="AB124" s="289"/>
      <c r="AC124" s="289"/>
      <c r="AD124" s="289"/>
      <c r="AE124" s="289"/>
      <c r="AF124" s="289"/>
      <c r="AG124" s="289"/>
      <c r="AH124" s="289"/>
      <c r="AI124" s="289"/>
      <c r="AJ124" s="289"/>
      <c r="AK124" s="289"/>
      <c r="AL124" s="289"/>
      <c r="AM124" s="289"/>
    </row>
    <row r="125" spans="1:39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89"/>
      <c r="AB125" s="289"/>
      <c r="AC125" s="289"/>
      <c r="AD125" s="289"/>
      <c r="AE125" s="289"/>
      <c r="AF125" s="289"/>
      <c r="AG125" s="289"/>
      <c r="AH125" s="289"/>
      <c r="AI125" s="289"/>
      <c r="AJ125" s="289"/>
      <c r="AK125" s="289"/>
      <c r="AL125" s="289"/>
      <c r="AM125" s="289"/>
    </row>
    <row r="126" spans="1:39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89"/>
      <c r="AB126" s="289"/>
      <c r="AC126" s="289"/>
      <c r="AD126" s="289"/>
      <c r="AE126" s="289"/>
      <c r="AF126" s="289"/>
      <c r="AG126" s="289"/>
      <c r="AH126" s="289"/>
      <c r="AI126" s="289"/>
      <c r="AJ126" s="289"/>
      <c r="AK126" s="289"/>
      <c r="AL126" s="289"/>
      <c r="AM126" s="289"/>
    </row>
  </sheetData>
  <mergeCells count="10">
    <mergeCell ref="N4:N5"/>
    <mergeCell ref="A3:M3"/>
    <mergeCell ref="A4:A5"/>
    <mergeCell ref="B4:B5"/>
    <mergeCell ref="C4:C5"/>
    <mergeCell ref="D4:E4"/>
    <mergeCell ref="F4:G4"/>
    <mergeCell ref="H4:I4"/>
    <mergeCell ref="L4:L5"/>
    <mergeCell ref="M4:M5"/>
  </mergeCells>
  <hyperlinks>
    <hyperlink ref="O7" location="'GR TIM 30x60-HA '!A1" display="GR TIM 30x60-HA'!A1"/>
    <hyperlink ref="O9" location="'GR TIM 30x60-VH'!A1" display="GR TIM 30x60-VH'!A1"/>
    <hyperlink ref="O13" location="'GR XANH 30X60-VH'!A1" display="GR XANH 30X60-VH'!A1"/>
    <hyperlink ref="O18" location="'SAHADO NEW 30x60-VH'!A1" display="SAHADO NEW 30x60-VH'!A1"/>
    <hyperlink ref="O19" location="'SAHADO 30x60-VH'!A1" display="SAHADO 30x60-VIET HA'!A1"/>
    <hyperlink ref="O29" location="'CROWN 30x60-HA '!A1" display="CROWN 30x60-HOANG ANH '!A1"/>
    <hyperlink ref="O25" location="'ESPANA 30x60-VH'!A1" display="ESPANA 30x60-VIET HA'!A1"/>
    <hyperlink ref="O44" location="'VO PHE 30x60'!A1" display="VO PHE DONG MAY 30x60'!A1"/>
    <hyperlink ref="O23" location="'ESPANA 30x60-HA'!A1" display="ESPANA -HA'!Print_Titles"/>
    <hyperlink ref="O47" location="'LUXURY 40x80-HA'!A1" display="LUXURY 40x80-HA'!A1"/>
    <hyperlink ref="O61" location="'VO PHE  40x80'!A1" display="VO PHE 40x80'!A1"/>
    <hyperlink ref="O46" location="'SAHADO 40x80-HA '!A1" display="SAHADO 40x80 HA '!A1"/>
    <hyperlink ref="O49" location="'CROWN 40x80-HA'!A1" display="CROWN 40x80-HA'!A1"/>
    <hyperlink ref="O26" location="'CERAMIC 30x60-HA'!A1" display="CERAMIC HA'!A1"/>
    <hyperlink ref="O14" location="'GR XANH 30x60-TTP'!A1" display="GR XANH 30x60-TTP'!A1"/>
    <hyperlink ref="O43" location="'VO PHE 30x60'!A1" display="VO PHE 30x60'!A1"/>
    <hyperlink ref="O10" location="'GR TIM 30x60-TTP'!A1" display="GR XANH 30x60-TTP'!A1"/>
    <hyperlink ref="O11" location="'GR XANH 30x60-HA'!A1" display="'GR XANH 30x60-HA'!A1"/>
    <hyperlink ref="O16" location="'SAHADO NEW 30x60-HA'!A1" display="'SAHADO NEW 30x60-HA'!A1"/>
    <hyperlink ref="O20" location="'LUXURY 30x60-HA'!A1" display="'LUXURY 30x60-HA'!A1"/>
    <hyperlink ref="O50" location="'ESPANA 40x80-HA '!Print_Titles" display="'ESPANA 40x80-HA '!Print_Titles"/>
    <hyperlink ref="O27" location="HAVIRA!A1" display="HAVIRA!A1"/>
    <hyperlink ref="O30" location="ADONIS!Print_Titles" display="ADONIS!Print_Titles"/>
    <hyperlink ref="O52" location="'ADONIS 40x80-HA'!Print_Titles" display="'ADONIS 40x80-HA'!Print_Titles"/>
    <hyperlink ref="O22" location="'LUXURY 30x60-TTP'!A1" display="'LUXURY 30x60-TTP'!A1"/>
    <hyperlink ref="O31" location="'GREEN ERA'!Print_Titles" display="'GREEN ERA'!Print_Titles"/>
    <hyperlink ref="O53" location="'GREEN ERA 4080'!A1" display="'GREEN ERA 4080'!A1"/>
    <hyperlink ref="O83" location="'VO PHE  5050'!A1" display="'VO PHE  5050'!A1"/>
    <hyperlink ref="O92" location="'VO PHE  4060'!A1" display="'VO PHE  4060'!A1"/>
    <hyperlink ref="O77" location="'GR TIM 5050-HA '!A1" display="'GR TIM 5050-HA '!A1"/>
    <hyperlink ref="O78" location="'LUXURY 5050-HA '!A1" display="'LUXURY 5050-HA '!A1"/>
    <hyperlink ref="O80" location="'CROWN 50x50-HA'!A1" display="'CROWN 50x50-HA'!A1"/>
    <hyperlink ref="O81" location="'HAVIRA 5050'!A1" display="'HAVIRA 5050'!A1"/>
    <hyperlink ref="O82" location="'ESPANA 50x50-HA'!A1" display="'ESPANA 50x50-HA'!A1"/>
    <hyperlink ref="O93" location="'LUXURY 4060-HA '!A1" display="'LUXURY 4060-HA '!A1"/>
    <hyperlink ref="O79" location="'LUXURY 5050-HA giấy nâu'!Print_Titles" display="'LUXURY 5050-HA giấy nâu'!Print_Titles"/>
    <hyperlink ref="O8" location="'GR TIM 30x60-HA  NÂU'!A1" display="'GR TIM 30x60-HA  NÂU'!A1"/>
    <hyperlink ref="O21" location="'LUXURY 30x60-HA nâu'!A1" display="'LUXURY 30x60-HA nâu'!A1"/>
    <hyperlink ref="O32" location="'GREEN ERA nâu'!A1" display="'GREEN ERA nâu'!A1"/>
    <hyperlink ref="O17" location="'SAHADO NEW 30x60-HA nâu'!A1" display="'SAHADO NEW 30x60-HA nâu'!A1"/>
    <hyperlink ref="O28" location="'HAVIRA nâu'!A1" display="'HAVIRA nâu'!A1"/>
    <hyperlink ref="O94" location="'CROWN 40x60-HA'!Print_Titles" display="'CROWN 40x60-HA'!Print_Titles"/>
    <hyperlink ref="O12" location="'GR XANH 30x60-HA nâu'!A1" display="'GR XANH 30x60-HA nâu'!A1"/>
    <hyperlink ref="O24" location="'ESPANA 30x60-HA nâu'!A1" display="'ESPANA 30x60-HA nâu'!A1"/>
    <hyperlink ref="O96" location="'VO PHE  6060'!A1" display="'VO PHE  6060'!A1"/>
    <hyperlink ref="O97" location="'LUXURY 6060-HA '!Print_Titles" display="'LUXURY 6060-HA '!Print_Titles"/>
    <hyperlink ref="O98" location="'CROWN 60x60-HA '!Print_Titles" display="'CROWN 60x60-HA '!Print_Titles"/>
    <hyperlink ref="O99" location="'ESPANA 60x60-HA'!Print_Titles" display="'ESPANA 60x60-HA'!Print_Titles"/>
    <hyperlink ref="O100" location="'HAVIRA 6060'!Print_Titles" display="'HAVIRA 6060'!Print_Titles"/>
    <hyperlink ref="O33" location="'GREEN HOME'!Print_Titles" display="'GREEN HOME'!Print_Titles"/>
    <hyperlink ref="O101" location="'GREEN HOME 6060'!Print_Titles" display="'GREEN HOME 6060'!Print_Titles"/>
    <hyperlink ref="O84" location="'GREEN HOME 5050'!A1" display="'GREEN HOME 5050'!A1"/>
    <hyperlink ref="O34" location="LUSTILE!Print_Titles" display="LUSTILE!Print_Titles"/>
    <hyperlink ref="O48" location="'LUXURY 40x80-HA nâu'!A1" display="'LUXURY 40x80-HA nâu'!A1"/>
    <hyperlink ref="O54" location="'GREEN ERA 4080 nâu'!Print_Titles" display="'GREEN ERA 4080 nâu'!Print_Titles"/>
    <hyperlink ref="O55" location="'LUSTILE 4080 nâu'!A1" display="'LUSTILE 4080 nâu'!A1"/>
    <hyperlink ref="O56" location="'GREEN HOME 4080'!Print_Titles" display="'GREEN HOME 4080'!Print_Titles"/>
    <hyperlink ref="O57" location="'UNITILE 4080 '!A1" display="'UNITILE 4080 '!A1"/>
    <hyperlink ref="O58" location="'HAVIRA 4080'!Print_Titles" display="'HAVIRA 4080'!Print_Titles"/>
    <hyperlink ref="O59" location="'PANA TILES 4080 nâu '!Print_Titles" display="'PANA TILES 4080 nâu '!Print_Titles"/>
    <hyperlink ref="O35" location="'PANA TILES 3060 nâu '!Print_Titles" display="'PANA TILES 3060 nâu '!Print_Titles"/>
    <hyperlink ref="O60" location="'TOP ONE 4080 nâu '!Print_Titles" display="'TOP ONE 4080 nâu '!Print_Titles"/>
    <hyperlink ref="O36" location="'TOP ONE 3060 nâu  '!Print_Titles" display="'TOP ONE 3060 nâu  '!Print_Titles"/>
    <hyperlink ref="O51" location="'ESPANA 40x80-HA nâu'!Print_Titles" display="'ESPANA 40x80-HA nâu'!Print_Titles"/>
    <hyperlink ref="O85" location="'TOP ONE 5050 nâu '!Print_Titles" display="'TOP ONE 5050 nâu '!Print_Titles"/>
    <hyperlink ref="O102" location="'GREEN HOME 6060 5V'!Print_Titles" display="'GREEN HOME 6060 5V'!Print_Titles"/>
    <hyperlink ref="O103" location="'LUXURY 6060-HA  5V'!Print_Titles" display="'LUXURY 6060-HA  5V'!Print_Titles"/>
    <hyperlink ref="O104" location="'ESPANA 60x60-HA 5V'!Print_Titles" display="'ESPANA 60x60-HA 5V'!Print_Titles"/>
    <hyperlink ref="O105" location="'HAVIRA 6060 5V'!A1" display="'HAVIRA 6060 5V'!A1"/>
    <hyperlink ref="O106" location="'CROWN 60x60-HA 5V'!Print_Titles" display="'CROWN 60x60-HA 5V'!Print_Titles"/>
    <hyperlink ref="O62" location="'LUXURY 40x80 5V-HA nâu '!Print_Titles" display="'LUXURY 40x80 5V-HA nâu '!Print_Titles"/>
    <hyperlink ref="O63" location="'CROWN 40x80-5V HA '!Print_Titles" display="'CROWN 40x80-5V HA '!Print_Titles"/>
    <hyperlink ref="O64" location="'GREEN ERA 4080 5V nâu '!Print_Titles" display="'GREEN ERA 4080 5V nâu '!Print_Titles"/>
    <hyperlink ref="O65" location="'GREEN HOME 4080 5V'!Print_Titles" display="'GREEN HOME 4080 5V'!Print_Titles"/>
    <hyperlink ref="O66" location="'ESPANA 40x80-5V HA nâu '!Print_Titles" display="'ESPANA 40x80-5V HA nâu '!Print_Titles"/>
    <hyperlink ref="O67" location="'HAVIRA 4080 5V'!Print_Titles" display="'HAVIRA 4080 5V'!Print_Titles"/>
    <hyperlink ref="O68" location="'TOP ONE 4080 5V nâu '!Print_Titles" display="'TOP ONE 4080 5V nâu '!Print_Titles"/>
    <hyperlink ref="O69" location="'PANA TILES 4080 nâu  5V'!Print_Titles" display="'PANA TILES 4080 nâu  5V'!Print_Titles"/>
    <hyperlink ref="O70" location="'LUSTILE 4080 nâu 5V'!Print_Titles" display="'LUSTILE 4080 nâu 5V'!Print_Titles"/>
    <hyperlink ref="O37" location="'CROVINA 3060'!Print_Titles" display="'CROVINA 3060'!Print_Titles"/>
    <hyperlink ref="O15" location="'GR XANH 30x60-HA nâu MỚI'!A1" display="'GR XANH 30x60-HA nâu MỚI'!A1"/>
    <hyperlink ref="O86" location="'CROVINA 50'!Print_Titles" display="'CROVINA 50'!Print_Titles"/>
    <hyperlink ref="O107" location="'CROVINA 60'!Print_Titles" display="'CROVINA 60'!Print_Titles"/>
    <hyperlink ref="O71" location="'CROVINA 4080 5v'!Print_Titles" display="'CROVINA 4080 5v'!Print_Titles"/>
    <hyperlink ref="O38" location="'T H PHƯƠNG 3060'!Print_Titles" display="'T H PHƯƠNG 3060'!Print_Titles"/>
    <hyperlink ref="O87" location="'KARPO 50'!Print_Titles" display="'KARPO 50'!Print_Titles"/>
    <hyperlink ref="O88" location="'VIDONA 50'!Print_Titles" display="'VIDONA 50'!Print_Titles"/>
    <hyperlink ref="O39" location="'KARPO 3060'!Print_Titles" display="'KARPO 3060'!Print_Titles"/>
    <hyperlink ref="O40" location="'VIDONA 3060'!Print_Titles" display="'VIDONA 3060'!Print_Titles"/>
    <hyperlink ref="O72" location="'T H PHUONG 4080 5v '!A1" display="'T H PHUONG 4080 5v '!A1"/>
    <hyperlink ref="O41" location="'VINA PHACON 36'!Print_Titles" display="'VINA PHACON 36'!Print_Titles"/>
    <hyperlink ref="O73" location="'VINA PHACON 48'!Print_Titles" display="'VINA PHACON 48'!Print_Titles"/>
    <hyperlink ref="O74" location="'VIDONA 48'!Print_Titles" display="'VIDONA 48'!Print_Titles"/>
    <hyperlink ref="O75" location="'PADOVA 48 '!Print_Titles" display="'PADOVA 48 '!Print_Titles"/>
    <hyperlink ref="O42" location="'PADOVA 36'!Print_Titles" display="'PADOVA 36'!Print_Titles"/>
    <hyperlink ref="O89" location="'T H PHƯƠNG 5050'!Print_Titles" display="'T H PHƯƠNG 5050'!Print_Titles"/>
    <hyperlink ref="O90" location="'PADOVA 50'!Print_Titles" display="'PADOVA 50'!Print_Titles"/>
  </hyperlinks>
  <pageMargins left="0.23622047244094491" right="0.23622047244094491" top="0.19685039370078741" bottom="0.15748031496062992" header="0.11811023622047245" footer="0.15748031496062992"/>
  <pageSetup paperSize="9" scale="75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AP141"/>
  <sheetViews>
    <sheetView workbookViewId="0">
      <selection sqref="A1:XFD1048576"/>
    </sheetView>
  </sheetViews>
  <sheetFormatPr defaultColWidth="9" defaultRowHeight="15"/>
  <cols>
    <col min="1" max="1" width="6.28515625" style="829" customWidth="1"/>
    <col min="2" max="2" width="44.5703125" style="829" customWidth="1"/>
    <col min="3" max="3" width="14.5703125" style="829" customWidth="1"/>
    <col min="4" max="4" width="5.28515625" style="829" customWidth="1"/>
    <col min="5" max="7" width="14.28515625" style="829" customWidth="1"/>
    <col min="8" max="8" width="13.28515625" style="829" customWidth="1"/>
    <col min="9" max="9" width="7.140625" style="829" hidden="1" customWidth="1"/>
    <col min="10" max="10" width="7.7109375" style="829" customWidth="1"/>
    <col min="11" max="11" width="6.7109375" style="907" customWidth="1"/>
    <col min="12" max="12" width="13.42578125" style="829" customWidth="1"/>
    <col min="13" max="16384" width="9" style="829"/>
  </cols>
  <sheetData>
    <row r="1" spans="1:42" s="867" customFormat="1" ht="18.75">
      <c r="A1" s="860" t="s">
        <v>704</v>
      </c>
      <c r="B1" s="860"/>
      <c r="C1" s="860"/>
      <c r="D1" s="861"/>
      <c r="E1" s="862"/>
      <c r="F1" s="863"/>
      <c r="G1" s="863"/>
      <c r="H1" s="863"/>
      <c r="I1" s="863"/>
      <c r="J1" s="864"/>
      <c r="K1" s="865"/>
      <c r="L1" s="863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6"/>
      <c r="AL1" s="866"/>
      <c r="AM1" s="866"/>
      <c r="AN1" s="866"/>
      <c r="AO1" s="866"/>
      <c r="AP1" s="866"/>
    </row>
    <row r="2" spans="1:42" s="867" customFormat="1" ht="18.75">
      <c r="A2" s="863"/>
      <c r="B2" s="868"/>
      <c r="C2" s="868"/>
      <c r="D2" s="863"/>
      <c r="E2" s="869"/>
      <c r="F2" s="863"/>
      <c r="G2" s="863"/>
      <c r="H2" s="863"/>
      <c r="I2" s="863"/>
      <c r="J2" s="864"/>
      <c r="K2" s="865"/>
      <c r="L2" s="863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866"/>
      <c r="AD2" s="866"/>
      <c r="AE2" s="866"/>
      <c r="AF2" s="866"/>
      <c r="AG2" s="866"/>
      <c r="AH2" s="866"/>
      <c r="AI2" s="866"/>
      <c r="AJ2" s="866"/>
      <c r="AK2" s="866"/>
      <c r="AL2" s="866"/>
      <c r="AM2" s="866"/>
      <c r="AN2" s="866"/>
      <c r="AO2" s="866"/>
      <c r="AP2" s="866"/>
    </row>
    <row r="3" spans="1:42" s="867" customFormat="1" ht="18.75" customHeight="1">
      <c r="A3" s="1581" t="s">
        <v>1170</v>
      </c>
      <c r="B3" s="1581"/>
      <c r="C3" s="1581"/>
      <c r="D3" s="1581"/>
      <c r="E3" s="1581"/>
      <c r="F3" s="1581"/>
      <c r="G3" s="1581"/>
      <c r="H3" s="1581"/>
      <c r="I3" s="1581"/>
      <c r="J3" s="1581"/>
      <c r="K3" s="1581"/>
      <c r="L3" s="1581"/>
      <c r="M3" s="871"/>
      <c r="N3" s="871"/>
      <c r="O3" s="871"/>
      <c r="P3" s="871"/>
      <c r="Q3" s="871"/>
      <c r="R3" s="871"/>
      <c r="S3" s="871"/>
      <c r="T3" s="871"/>
      <c r="U3" s="871"/>
      <c r="V3" s="871"/>
      <c r="W3" s="871"/>
      <c r="X3" s="871"/>
      <c r="Y3" s="871"/>
      <c r="Z3" s="871"/>
      <c r="AA3" s="871"/>
      <c r="AB3" s="871"/>
      <c r="AC3" s="871"/>
      <c r="AD3" s="871"/>
      <c r="AE3" s="871"/>
      <c r="AF3" s="871"/>
      <c r="AG3" s="871"/>
      <c r="AH3" s="871"/>
      <c r="AI3" s="871"/>
      <c r="AJ3" s="871"/>
      <c r="AK3" s="871"/>
      <c r="AL3" s="871"/>
      <c r="AM3" s="871"/>
      <c r="AN3" s="871"/>
      <c r="AO3" s="871"/>
      <c r="AP3" s="871"/>
    </row>
    <row r="4" spans="1:42" s="875" customFormat="1">
      <c r="A4" s="872" t="s">
        <v>1171</v>
      </c>
      <c r="B4" s="872"/>
      <c r="C4" s="872"/>
      <c r="D4" s="872"/>
      <c r="E4" s="872"/>
      <c r="F4" s="872"/>
      <c r="G4" s="872"/>
      <c r="H4" s="872"/>
      <c r="I4" s="872"/>
      <c r="J4" s="872"/>
      <c r="K4" s="873"/>
      <c r="L4" s="874"/>
      <c r="M4" s="872"/>
      <c r="N4" s="872"/>
      <c r="O4" s="872"/>
      <c r="P4" s="872"/>
      <c r="Q4" s="872"/>
      <c r="R4" s="872"/>
      <c r="S4" s="872"/>
      <c r="T4" s="872"/>
      <c r="U4" s="872"/>
      <c r="V4" s="872"/>
      <c r="W4" s="872"/>
      <c r="X4" s="872"/>
      <c r="Y4" s="872"/>
      <c r="Z4" s="872"/>
      <c r="AA4" s="872"/>
      <c r="AB4" s="872"/>
      <c r="AC4" s="872"/>
      <c r="AD4" s="872"/>
      <c r="AE4" s="872"/>
      <c r="AF4" s="872"/>
      <c r="AG4" s="872"/>
      <c r="AH4" s="872"/>
      <c r="AI4" s="872"/>
      <c r="AJ4" s="872"/>
      <c r="AK4" s="872"/>
      <c r="AL4" s="872"/>
      <c r="AM4" s="872"/>
      <c r="AN4" s="872"/>
      <c r="AO4" s="872"/>
      <c r="AP4" s="872"/>
    </row>
    <row r="5" spans="1:42" ht="15" customHeight="1">
      <c r="A5" s="1565" t="s">
        <v>705</v>
      </c>
      <c r="B5" s="1565"/>
      <c r="C5" s="1565"/>
      <c r="D5" s="1565"/>
      <c r="E5" s="1565"/>
      <c r="F5" s="1565" t="s">
        <v>1167</v>
      </c>
      <c r="G5" s="1565"/>
      <c r="J5" s="1566" t="s">
        <v>1169</v>
      </c>
      <c r="K5" s="1566"/>
      <c r="L5" s="1224"/>
      <c r="M5" s="878"/>
      <c r="N5" s="878"/>
      <c r="O5" s="878"/>
      <c r="P5" s="878"/>
      <c r="Q5" s="878"/>
      <c r="R5" s="878"/>
      <c r="S5" s="878"/>
      <c r="T5" s="878"/>
      <c r="U5" s="878"/>
      <c r="V5" s="876"/>
      <c r="W5" s="876"/>
      <c r="X5" s="876"/>
      <c r="Y5" s="876"/>
      <c r="Z5" s="876"/>
      <c r="AA5" s="876"/>
      <c r="AB5" s="876"/>
      <c r="AC5" s="876"/>
      <c r="AD5" s="876"/>
      <c r="AE5" s="876"/>
      <c r="AF5" s="876"/>
      <c r="AG5" s="876"/>
      <c r="AH5" s="876"/>
      <c r="AI5" s="876"/>
      <c r="AJ5" s="876"/>
      <c r="AK5" s="876"/>
      <c r="AL5" s="876"/>
      <c r="AM5" s="876"/>
      <c r="AN5" s="876"/>
      <c r="AO5" s="876"/>
      <c r="AP5" s="876"/>
    </row>
    <row r="6" spans="1:42" ht="15" customHeight="1">
      <c r="A6" s="1565" t="s">
        <v>1165</v>
      </c>
      <c r="B6" s="1565"/>
      <c r="C6" s="1565"/>
      <c r="D6" s="1565"/>
      <c r="E6" s="1565"/>
      <c r="F6" s="1565" t="s">
        <v>1166</v>
      </c>
      <c r="G6" s="1565"/>
      <c r="J6" s="1566" t="s">
        <v>1020</v>
      </c>
      <c r="K6" s="1566"/>
      <c r="L6" s="1224"/>
      <c r="M6" s="878"/>
      <c r="N6" s="878"/>
      <c r="O6" s="878"/>
      <c r="P6" s="878"/>
      <c r="Q6" s="878"/>
      <c r="R6" s="878"/>
      <c r="S6" s="878"/>
      <c r="T6" s="878"/>
      <c r="U6" s="878"/>
      <c r="V6" s="876"/>
      <c r="W6" s="876"/>
      <c r="X6" s="876"/>
      <c r="Y6" s="876"/>
      <c r="Z6" s="876"/>
      <c r="AA6" s="876"/>
      <c r="AB6" s="876"/>
      <c r="AC6" s="876"/>
      <c r="AD6" s="876"/>
      <c r="AE6" s="876"/>
      <c r="AF6" s="876"/>
      <c r="AG6" s="876"/>
      <c r="AH6" s="876"/>
      <c r="AI6" s="876"/>
      <c r="AJ6" s="876"/>
      <c r="AK6" s="876"/>
      <c r="AL6" s="876"/>
      <c r="AM6" s="876"/>
      <c r="AN6" s="876"/>
      <c r="AO6" s="876"/>
      <c r="AP6" s="876"/>
    </row>
    <row r="7" spans="1:42" ht="15" customHeight="1">
      <c r="A7" s="1565" t="s">
        <v>708</v>
      </c>
      <c r="B7" s="1565"/>
      <c r="C7" s="1565"/>
      <c r="D7" s="1565"/>
      <c r="E7" s="1565"/>
      <c r="F7" s="1565" t="s">
        <v>709</v>
      </c>
      <c r="G7" s="1565"/>
      <c r="J7" s="1566" t="s">
        <v>707</v>
      </c>
      <c r="K7" s="1566"/>
      <c r="L7" s="1224"/>
      <c r="M7" s="878"/>
      <c r="N7" s="878"/>
      <c r="O7" s="878"/>
      <c r="P7" s="878"/>
      <c r="Q7" s="1580"/>
      <c r="R7" s="1579"/>
      <c r="S7" s="1578"/>
      <c r="T7" s="1578"/>
      <c r="U7" s="1578"/>
      <c r="V7" s="876"/>
      <c r="W7" s="876"/>
      <c r="X7" s="876"/>
      <c r="Y7" s="876"/>
      <c r="Z7" s="876"/>
      <c r="AA7" s="876"/>
      <c r="AB7" s="876"/>
      <c r="AC7" s="876"/>
      <c r="AD7" s="876"/>
      <c r="AE7" s="876"/>
      <c r="AF7" s="876"/>
      <c r="AG7" s="876"/>
      <c r="AH7" s="876"/>
      <c r="AI7" s="876"/>
      <c r="AJ7" s="876"/>
      <c r="AK7" s="876"/>
      <c r="AL7" s="876"/>
      <c r="AM7" s="876"/>
      <c r="AN7" s="876"/>
      <c r="AO7" s="876"/>
      <c r="AP7" s="876"/>
    </row>
    <row r="8" spans="1:42" ht="15" customHeight="1">
      <c r="A8" s="1565" t="s">
        <v>710</v>
      </c>
      <c r="B8" s="1565"/>
      <c r="C8" s="1565"/>
      <c r="D8" s="1565"/>
      <c r="E8" s="1565"/>
      <c r="F8" s="1565" t="s">
        <v>706</v>
      </c>
      <c r="G8" s="1565"/>
      <c r="J8" s="1566" t="s">
        <v>707</v>
      </c>
      <c r="K8" s="1566"/>
      <c r="L8" s="1224"/>
      <c r="M8" s="878"/>
      <c r="N8" s="878"/>
      <c r="O8" s="878"/>
      <c r="P8" s="878"/>
      <c r="Q8" s="1580"/>
      <c r="R8" s="1579"/>
      <c r="S8" s="1578"/>
      <c r="T8" s="1578"/>
      <c r="U8" s="1578"/>
      <c r="V8" s="876"/>
      <c r="W8" s="876"/>
      <c r="X8" s="876"/>
      <c r="Y8" s="876"/>
      <c r="Z8" s="876"/>
      <c r="AA8" s="876"/>
      <c r="AB8" s="876"/>
      <c r="AC8" s="876"/>
      <c r="AD8" s="876"/>
      <c r="AE8" s="876"/>
      <c r="AF8" s="876"/>
      <c r="AG8" s="876"/>
      <c r="AH8" s="876"/>
      <c r="AI8" s="876"/>
      <c r="AJ8" s="876"/>
      <c r="AK8" s="876"/>
      <c r="AL8" s="876"/>
      <c r="AM8" s="876"/>
      <c r="AN8" s="876"/>
      <c r="AO8" s="876"/>
      <c r="AP8" s="876"/>
    </row>
    <row r="9" spans="1:42" ht="15" customHeight="1">
      <c r="A9" s="1565" t="s">
        <v>713</v>
      </c>
      <c r="B9" s="1565"/>
      <c r="C9" s="1565"/>
      <c r="D9" s="1565"/>
      <c r="E9" s="1565"/>
      <c r="F9" s="1565" t="s">
        <v>1168</v>
      </c>
      <c r="G9" s="1565"/>
      <c r="J9" s="1566" t="s">
        <v>707</v>
      </c>
      <c r="K9" s="1566"/>
      <c r="L9" s="1224"/>
      <c r="M9" s="878"/>
      <c r="N9" s="878"/>
      <c r="O9" s="878"/>
      <c r="P9" s="878"/>
      <c r="Q9" s="1580"/>
      <c r="R9" s="1579"/>
      <c r="S9" s="1578"/>
      <c r="T9" s="1578"/>
      <c r="U9" s="1578"/>
      <c r="V9" s="876"/>
      <c r="W9" s="876"/>
      <c r="X9" s="876"/>
      <c r="Y9" s="876"/>
      <c r="Z9" s="876"/>
      <c r="AA9" s="876"/>
      <c r="AB9" s="876"/>
      <c r="AC9" s="876"/>
      <c r="AD9" s="876"/>
      <c r="AE9" s="876"/>
      <c r="AF9" s="876"/>
      <c r="AG9" s="876"/>
      <c r="AH9" s="876"/>
      <c r="AI9" s="876"/>
      <c r="AJ9" s="876"/>
      <c r="AK9" s="876"/>
      <c r="AL9" s="876"/>
      <c r="AM9" s="876"/>
      <c r="AN9" s="876"/>
      <c r="AO9" s="876"/>
      <c r="AP9" s="876"/>
    </row>
    <row r="10" spans="1:42" ht="15" customHeight="1">
      <c r="A10" s="1565" t="s">
        <v>714</v>
      </c>
      <c r="B10" s="1565"/>
      <c r="C10" s="1565"/>
      <c r="D10" s="1565"/>
      <c r="E10" s="1565"/>
      <c r="F10" s="1565" t="s">
        <v>1021</v>
      </c>
      <c r="G10" s="1565"/>
      <c r="J10" s="1566" t="s">
        <v>707</v>
      </c>
      <c r="K10" s="1566"/>
      <c r="L10" s="1224"/>
      <c r="M10" s="878"/>
      <c r="N10" s="878"/>
      <c r="O10" s="878"/>
      <c r="P10" s="878"/>
      <c r="Q10" s="1580"/>
      <c r="R10" s="1579"/>
      <c r="S10" s="1578"/>
      <c r="T10" s="1578"/>
      <c r="U10" s="1578"/>
      <c r="V10" s="876"/>
      <c r="W10" s="876"/>
      <c r="X10" s="876"/>
      <c r="Y10" s="876"/>
      <c r="Z10" s="876"/>
      <c r="AA10" s="876"/>
      <c r="AB10" s="876"/>
      <c r="AC10" s="876"/>
      <c r="AD10" s="876"/>
      <c r="AE10" s="876"/>
      <c r="AF10" s="876"/>
      <c r="AG10" s="876"/>
      <c r="AH10" s="876"/>
      <c r="AI10" s="876"/>
      <c r="AJ10" s="876"/>
      <c r="AK10" s="876"/>
      <c r="AL10" s="876"/>
      <c r="AM10" s="876"/>
      <c r="AN10" s="876"/>
      <c r="AO10" s="876"/>
      <c r="AP10" s="876"/>
    </row>
    <row r="11" spans="1:42" ht="15" customHeight="1">
      <c r="A11" s="1565" t="s">
        <v>715</v>
      </c>
      <c r="B11" s="1565"/>
      <c r="C11" s="1565"/>
      <c r="D11" s="1565"/>
      <c r="E11" s="1565"/>
      <c r="F11" s="1565" t="s">
        <v>1022</v>
      </c>
      <c r="G11" s="1565"/>
      <c r="J11" s="1566" t="s">
        <v>707</v>
      </c>
      <c r="K11" s="1566"/>
      <c r="L11" s="1224"/>
      <c r="M11" s="878"/>
      <c r="N11" s="878"/>
      <c r="O11" s="878"/>
      <c r="P11" s="878"/>
      <c r="Q11" s="1580"/>
      <c r="R11" s="1579"/>
      <c r="S11" s="1578"/>
      <c r="T11" s="1578"/>
      <c r="U11" s="1578"/>
      <c r="V11" s="876"/>
      <c r="W11" s="876"/>
      <c r="X11" s="876"/>
      <c r="Y11" s="876"/>
      <c r="Z11" s="876"/>
      <c r="AA11" s="876"/>
      <c r="AB11" s="876"/>
      <c r="AC11" s="876"/>
      <c r="AD11" s="876"/>
      <c r="AE11" s="876"/>
      <c r="AF11" s="876"/>
      <c r="AG11" s="876"/>
      <c r="AH11" s="876"/>
      <c r="AI11" s="876"/>
      <c r="AJ11" s="876"/>
      <c r="AK11" s="876"/>
      <c r="AL11" s="876"/>
      <c r="AM11" s="876"/>
      <c r="AN11" s="876"/>
      <c r="AO11" s="876"/>
      <c r="AP11" s="876"/>
    </row>
    <row r="12" spans="1:42" ht="15" customHeight="1">
      <c r="A12" s="1565" t="s">
        <v>716</v>
      </c>
      <c r="B12" s="1565"/>
      <c r="C12" s="1565"/>
      <c r="D12" s="1565"/>
      <c r="E12" s="1565"/>
      <c r="F12" s="1565" t="s">
        <v>1022</v>
      </c>
      <c r="G12" s="1565"/>
      <c r="J12" s="1566" t="s">
        <v>707</v>
      </c>
      <c r="K12" s="1566"/>
      <c r="L12" s="1224"/>
      <c r="M12" s="878"/>
      <c r="N12" s="878"/>
      <c r="O12" s="878"/>
      <c r="P12" s="878"/>
      <c r="Q12" s="1580"/>
      <c r="R12" s="1579"/>
      <c r="S12" s="1578"/>
      <c r="T12" s="1578"/>
      <c r="U12" s="1578"/>
      <c r="V12" s="876"/>
      <c r="W12" s="876"/>
      <c r="X12" s="876"/>
      <c r="Y12" s="876"/>
      <c r="Z12" s="876"/>
      <c r="AA12" s="876"/>
      <c r="AB12" s="876"/>
      <c r="AC12" s="876"/>
      <c r="AD12" s="876"/>
      <c r="AE12" s="876"/>
      <c r="AF12" s="876"/>
      <c r="AG12" s="876"/>
      <c r="AH12" s="876"/>
      <c r="AI12" s="876"/>
      <c r="AJ12" s="876"/>
      <c r="AK12" s="876"/>
      <c r="AL12" s="876"/>
      <c r="AM12" s="876"/>
      <c r="AN12" s="876"/>
      <c r="AO12" s="876"/>
      <c r="AP12" s="876"/>
    </row>
    <row r="13" spans="1:42">
      <c r="A13" s="1585" t="s">
        <v>1172</v>
      </c>
      <c r="B13" s="1585"/>
      <c r="C13" s="1585"/>
      <c r="D13" s="1585"/>
      <c r="E13" s="1585"/>
      <c r="F13" s="876"/>
      <c r="G13" s="876"/>
      <c r="H13" s="876"/>
      <c r="I13" s="876"/>
      <c r="J13" s="876"/>
      <c r="K13" s="877"/>
      <c r="L13" s="1586"/>
      <c r="M13" s="1586"/>
      <c r="N13" s="879"/>
      <c r="O13" s="878"/>
      <c r="P13" s="878"/>
      <c r="Q13" s="1580"/>
      <c r="R13" s="1579"/>
      <c r="S13" s="878"/>
      <c r="T13" s="878"/>
      <c r="U13" s="878"/>
      <c r="V13" s="876"/>
      <c r="W13" s="876"/>
      <c r="X13" s="876"/>
      <c r="Y13" s="876"/>
      <c r="Z13" s="876"/>
      <c r="AA13" s="876"/>
      <c r="AB13" s="876"/>
      <c r="AC13" s="876"/>
      <c r="AD13" s="876"/>
      <c r="AE13" s="876"/>
      <c r="AF13" s="876"/>
      <c r="AG13" s="876"/>
      <c r="AH13" s="876"/>
      <c r="AI13" s="876"/>
      <c r="AJ13" s="876"/>
      <c r="AK13" s="876"/>
      <c r="AL13" s="876"/>
      <c r="AM13" s="876"/>
      <c r="AN13" s="876"/>
      <c r="AO13" s="876"/>
      <c r="AP13" s="876"/>
    </row>
    <row r="14" spans="1:42">
      <c r="A14" s="1582" t="s">
        <v>717</v>
      </c>
      <c r="B14" s="1574" t="s">
        <v>718</v>
      </c>
      <c r="C14" s="1574" t="s">
        <v>719</v>
      </c>
      <c r="D14" s="1574" t="s">
        <v>720</v>
      </c>
      <c r="E14" s="1583" t="s">
        <v>721</v>
      </c>
      <c r="F14" s="1574" t="s">
        <v>722</v>
      </c>
      <c r="G14" s="1574"/>
      <c r="H14" s="1575" t="s">
        <v>723</v>
      </c>
      <c r="I14" s="1574" t="s">
        <v>724</v>
      </c>
      <c r="J14" s="1577" t="s">
        <v>725</v>
      </c>
      <c r="K14" s="1573" t="s">
        <v>726</v>
      </c>
      <c r="L14" s="1570" t="s">
        <v>16</v>
      </c>
      <c r="M14" s="880"/>
      <c r="N14" s="880"/>
      <c r="O14" s="880"/>
      <c r="P14" s="880"/>
      <c r="Q14" s="880"/>
      <c r="R14" s="880"/>
      <c r="S14" s="880"/>
      <c r="T14" s="880"/>
      <c r="U14" s="880"/>
      <c r="V14" s="880"/>
      <c r="W14" s="880"/>
      <c r="X14" s="880"/>
      <c r="Y14" s="880"/>
      <c r="Z14" s="880"/>
      <c r="AA14" s="880"/>
      <c r="AB14" s="880"/>
      <c r="AC14" s="880"/>
      <c r="AD14" s="880"/>
      <c r="AE14" s="880"/>
      <c r="AF14" s="880"/>
      <c r="AG14" s="880"/>
      <c r="AH14" s="880"/>
      <c r="AI14" s="880"/>
      <c r="AJ14" s="880"/>
      <c r="AK14" s="880"/>
      <c r="AL14" s="880"/>
      <c r="AM14" s="880"/>
      <c r="AN14" s="880"/>
      <c r="AO14" s="880"/>
      <c r="AP14" s="880"/>
    </row>
    <row r="15" spans="1:42">
      <c r="A15" s="1582"/>
      <c r="B15" s="1574"/>
      <c r="C15" s="1574"/>
      <c r="D15" s="1574"/>
      <c r="E15" s="1584"/>
      <c r="F15" s="1574"/>
      <c r="G15" s="1574"/>
      <c r="H15" s="1576"/>
      <c r="I15" s="1574"/>
      <c r="J15" s="1577"/>
      <c r="K15" s="1573"/>
      <c r="L15" s="1570"/>
      <c r="M15" s="880"/>
      <c r="N15" s="880"/>
      <c r="O15" s="880"/>
      <c r="P15" s="880"/>
      <c r="Q15" s="880"/>
      <c r="R15" s="880"/>
      <c r="S15" s="880"/>
      <c r="T15" s="880"/>
      <c r="U15" s="880"/>
      <c r="V15" s="880"/>
      <c r="W15" s="880"/>
      <c r="X15" s="880"/>
      <c r="Y15" s="880"/>
      <c r="Z15" s="880"/>
      <c r="AA15" s="880"/>
      <c r="AB15" s="880"/>
      <c r="AC15" s="880"/>
      <c r="AD15" s="880"/>
      <c r="AE15" s="880"/>
      <c r="AF15" s="880"/>
      <c r="AG15" s="880"/>
      <c r="AH15" s="880"/>
      <c r="AI15" s="880"/>
      <c r="AJ15" s="880"/>
      <c r="AK15" s="880"/>
      <c r="AL15" s="880"/>
      <c r="AM15" s="880"/>
      <c r="AN15" s="880"/>
      <c r="AO15" s="880"/>
      <c r="AP15" s="880"/>
    </row>
    <row r="16" spans="1:42">
      <c r="A16" s="1582"/>
      <c r="B16" s="1574"/>
      <c r="C16" s="1574"/>
      <c r="D16" s="1574"/>
      <c r="E16" s="1584"/>
      <c r="F16" s="1574"/>
      <c r="G16" s="1574"/>
      <c r="H16" s="1576"/>
      <c r="I16" s="1574"/>
      <c r="J16" s="1577"/>
      <c r="K16" s="1573"/>
      <c r="L16" s="1570"/>
      <c r="M16" s="880"/>
      <c r="N16" s="880"/>
      <c r="O16" s="880"/>
      <c r="P16" s="880"/>
      <c r="Q16" s="880"/>
      <c r="R16" s="880"/>
      <c r="S16" s="880"/>
      <c r="T16" s="880"/>
      <c r="U16" s="880"/>
      <c r="V16" s="880"/>
      <c r="W16" s="880"/>
      <c r="X16" s="880"/>
      <c r="Y16" s="880"/>
      <c r="Z16" s="880"/>
      <c r="AA16" s="880"/>
      <c r="AB16" s="880"/>
      <c r="AC16" s="880"/>
      <c r="AD16" s="880"/>
      <c r="AE16" s="880"/>
      <c r="AF16" s="880"/>
      <c r="AG16" s="880"/>
      <c r="AH16" s="880"/>
      <c r="AI16" s="880"/>
      <c r="AJ16" s="880"/>
      <c r="AK16" s="880"/>
      <c r="AL16" s="880"/>
      <c r="AM16" s="880"/>
      <c r="AN16" s="880"/>
      <c r="AO16" s="880"/>
      <c r="AP16" s="880"/>
    </row>
    <row r="17" spans="1:42">
      <c r="A17" s="1582"/>
      <c r="B17" s="1574"/>
      <c r="C17" s="1574"/>
      <c r="D17" s="1574"/>
      <c r="E17" s="1584"/>
      <c r="F17" s="881" t="s">
        <v>12</v>
      </c>
      <c r="G17" s="881" t="s">
        <v>6</v>
      </c>
      <c r="H17" s="1576"/>
      <c r="I17" s="1574"/>
      <c r="J17" s="1577"/>
      <c r="K17" s="1573"/>
      <c r="L17" s="1570"/>
      <c r="M17" s="880"/>
      <c r="N17" s="880"/>
      <c r="O17" s="880"/>
      <c r="P17" s="880"/>
      <c r="Q17" s="880"/>
      <c r="R17" s="880"/>
      <c r="S17" s="880"/>
      <c r="T17" s="880"/>
      <c r="U17" s="880"/>
      <c r="V17" s="880"/>
      <c r="W17" s="880"/>
      <c r="X17" s="880"/>
      <c r="Y17" s="880"/>
      <c r="Z17" s="880"/>
      <c r="AA17" s="880"/>
      <c r="AB17" s="880"/>
      <c r="AC17" s="880"/>
      <c r="AD17" s="880"/>
      <c r="AE17" s="880"/>
      <c r="AF17" s="880"/>
      <c r="AG17" s="880"/>
      <c r="AH17" s="880"/>
      <c r="AI17" s="880"/>
      <c r="AJ17" s="880"/>
      <c r="AK17" s="880"/>
      <c r="AL17" s="880"/>
      <c r="AM17" s="880"/>
      <c r="AN17" s="880"/>
      <c r="AO17" s="880"/>
      <c r="AP17" s="880"/>
    </row>
    <row r="18" spans="1:42" s="888" customFormat="1" ht="19.5" customHeight="1">
      <c r="A18" s="882">
        <v>1</v>
      </c>
      <c r="B18" s="833" t="str">
        <f>'TH KẾ TOÁN'!C8</f>
        <v>Cao lanh (Phú Thọ) A2</v>
      </c>
      <c r="C18" s="833" t="str">
        <f>'TH KẾ TOÁN'!B8</f>
        <v>NVLKM01.001</v>
      </c>
      <c r="D18" s="882" t="s">
        <v>193</v>
      </c>
      <c r="E18" s="858">
        <f>'TH KẾ TOÁN'!K8</f>
        <v>4764</v>
      </c>
      <c r="F18" s="883">
        <f>E18</f>
        <v>4764</v>
      </c>
      <c r="G18" s="883">
        <f>F18-(F18*K18)</f>
        <v>4764</v>
      </c>
      <c r="H18" s="883">
        <f>F18-E18</f>
        <v>0</v>
      </c>
      <c r="I18" s="884"/>
      <c r="J18" s="885"/>
      <c r="K18" s="892">
        <v>0</v>
      </c>
      <c r="L18" s="1361"/>
      <c r="M18" s="887"/>
      <c r="N18" s="887"/>
      <c r="O18" s="887"/>
      <c r="P18" s="887"/>
      <c r="Q18" s="887"/>
      <c r="R18" s="887"/>
      <c r="S18" s="887"/>
      <c r="T18" s="887"/>
      <c r="U18" s="887"/>
      <c r="V18" s="887"/>
      <c r="W18" s="887"/>
      <c r="X18" s="887"/>
      <c r="Y18" s="887"/>
      <c r="Z18" s="887"/>
      <c r="AA18" s="887"/>
      <c r="AB18" s="887"/>
      <c r="AC18" s="887"/>
      <c r="AD18" s="887"/>
      <c r="AE18" s="887"/>
      <c r="AF18" s="887"/>
      <c r="AG18" s="887"/>
      <c r="AH18" s="887"/>
      <c r="AI18" s="887"/>
      <c r="AJ18" s="887"/>
      <c r="AK18" s="887"/>
      <c r="AL18" s="887"/>
      <c r="AM18" s="887"/>
      <c r="AN18" s="887"/>
      <c r="AO18" s="887"/>
      <c r="AP18" s="887"/>
    </row>
    <row r="19" spans="1:42" s="888" customFormat="1" ht="19.5" customHeight="1">
      <c r="A19" s="882">
        <v>2</v>
      </c>
      <c r="B19" s="833" t="str">
        <f>'TH KẾ TOÁN'!C9</f>
        <v>FV090/540 FRIT TITAN</v>
      </c>
      <c r="C19" s="833" t="str">
        <f>'TH KẾ TOÁN'!B9</f>
        <v>NVLKM01.003</v>
      </c>
      <c r="D19" s="882" t="s">
        <v>193</v>
      </c>
      <c r="E19" s="858">
        <f>'TH KẾ TOÁN'!K9</f>
        <v>537.6</v>
      </c>
      <c r="F19" s="883">
        <f t="shared" ref="F19:F56" si="0">E19</f>
        <v>537.6</v>
      </c>
      <c r="G19" s="883">
        <f t="shared" ref="G19:G105" si="1">F19-(F19*K19)</f>
        <v>537.6</v>
      </c>
      <c r="H19" s="883">
        <f t="shared" ref="H19:H92" si="2">F19-E19</f>
        <v>0</v>
      </c>
      <c r="I19" s="884"/>
      <c r="J19" s="885"/>
      <c r="K19" s="892">
        <v>0</v>
      </c>
      <c r="L19" s="1361"/>
      <c r="M19" s="887"/>
      <c r="N19" s="887"/>
      <c r="O19" s="887"/>
      <c r="P19" s="887"/>
      <c r="Q19" s="887"/>
      <c r="R19" s="887"/>
      <c r="S19" s="887"/>
      <c r="T19" s="887"/>
      <c r="U19" s="887"/>
      <c r="V19" s="887"/>
      <c r="W19" s="887"/>
      <c r="X19" s="887"/>
      <c r="Y19" s="887"/>
      <c r="Z19" s="887"/>
      <c r="AA19" s="887"/>
      <c r="AB19" s="887"/>
      <c r="AC19" s="887"/>
      <c r="AD19" s="887"/>
      <c r="AE19" s="887"/>
      <c r="AF19" s="887"/>
      <c r="AG19" s="887"/>
      <c r="AH19" s="887"/>
      <c r="AI19" s="887"/>
      <c r="AJ19" s="887"/>
      <c r="AK19" s="887"/>
      <c r="AL19" s="887"/>
      <c r="AM19" s="887"/>
      <c r="AN19" s="887"/>
      <c r="AO19" s="887"/>
      <c r="AP19" s="887"/>
    </row>
    <row r="20" spans="1:42" s="888" customFormat="1" ht="19.5" customHeight="1">
      <c r="A20" s="882">
        <v>3</v>
      </c>
      <c r="B20" s="833" t="str">
        <f>'TH KẾ TOÁN'!C10</f>
        <v>Nhôm oxit (AL2O3)</v>
      </c>
      <c r="C20" s="833" t="str">
        <f>'TH KẾ TOÁN'!B10</f>
        <v>NVLKM01.005</v>
      </c>
      <c r="D20" s="882" t="s">
        <v>193</v>
      </c>
      <c r="E20" s="858">
        <f>'TH KẾ TOÁN'!K10</f>
        <v>9225</v>
      </c>
      <c r="F20" s="883">
        <f>120*50</f>
        <v>6000</v>
      </c>
      <c r="G20" s="883">
        <f t="shared" si="1"/>
        <v>6000</v>
      </c>
      <c r="H20" s="883">
        <f>F20-E20</f>
        <v>-3225</v>
      </c>
      <c r="I20" s="884"/>
      <c r="J20" s="885"/>
      <c r="K20" s="892">
        <v>0</v>
      </c>
      <c r="L20" s="1361"/>
      <c r="M20" s="887"/>
      <c r="N20" s="887"/>
      <c r="O20" s="887"/>
      <c r="P20" s="887"/>
      <c r="Q20" s="887"/>
      <c r="R20" s="887"/>
      <c r="S20" s="887"/>
      <c r="T20" s="887"/>
      <c r="U20" s="887"/>
      <c r="V20" s="887"/>
      <c r="W20" s="887"/>
      <c r="X20" s="887"/>
      <c r="Y20" s="887"/>
      <c r="Z20" s="887"/>
      <c r="AA20" s="887"/>
      <c r="AB20" s="887"/>
      <c r="AC20" s="887"/>
      <c r="AD20" s="887"/>
      <c r="AE20" s="887"/>
      <c r="AF20" s="887"/>
      <c r="AG20" s="887"/>
      <c r="AH20" s="887"/>
      <c r="AI20" s="887"/>
      <c r="AJ20" s="887"/>
      <c r="AK20" s="887"/>
      <c r="AL20" s="887"/>
      <c r="AM20" s="887"/>
      <c r="AN20" s="887"/>
      <c r="AO20" s="887"/>
      <c r="AP20" s="887"/>
    </row>
    <row r="21" spans="1:42" s="888" customFormat="1" ht="19.5" customHeight="1">
      <c r="A21" s="882">
        <v>4</v>
      </c>
      <c r="B21" s="833" t="str">
        <f>'TH KẾ TOÁN'!C11</f>
        <v>Cao lanh P0255 (Cao lanh 1C)</v>
      </c>
      <c r="C21" s="833" t="str">
        <f>'TH KẾ TOÁN'!B11</f>
        <v>NVLKM01.008</v>
      </c>
      <c r="D21" s="882" t="s">
        <v>193</v>
      </c>
      <c r="E21" s="858">
        <f>'TH KẾ TOÁN'!K11</f>
        <v>28440</v>
      </c>
      <c r="F21" s="883">
        <v>28440</v>
      </c>
      <c r="G21" s="883">
        <f>F21-(F21*K21)</f>
        <v>25311.599999999999</v>
      </c>
      <c r="H21" s="883">
        <f>F21-E21</f>
        <v>0</v>
      </c>
      <c r="I21" s="884"/>
      <c r="J21" s="885"/>
      <c r="K21" s="892">
        <v>0.11</v>
      </c>
      <c r="L21" s="1361"/>
      <c r="M21" s="887"/>
      <c r="N21" s="887"/>
      <c r="O21" s="887"/>
      <c r="P21" s="887"/>
      <c r="Q21" s="887"/>
      <c r="R21" s="887"/>
      <c r="S21" s="887"/>
      <c r="T21" s="887"/>
      <c r="U21" s="887"/>
      <c r="V21" s="887"/>
      <c r="W21" s="887"/>
      <c r="X21" s="887"/>
      <c r="Y21" s="887"/>
      <c r="Z21" s="887"/>
      <c r="AA21" s="887"/>
      <c r="AB21" s="887"/>
      <c r="AC21" s="887"/>
      <c r="AD21" s="887"/>
      <c r="AE21" s="887"/>
      <c r="AF21" s="887"/>
      <c r="AG21" s="887"/>
      <c r="AH21" s="887"/>
      <c r="AI21" s="887"/>
      <c r="AJ21" s="887"/>
      <c r="AK21" s="887"/>
      <c r="AL21" s="887"/>
      <c r="AM21" s="887"/>
      <c r="AN21" s="887"/>
      <c r="AO21" s="887"/>
      <c r="AP21" s="887"/>
    </row>
    <row r="22" spans="1:42" s="888" customFormat="1" ht="19.5" customHeight="1">
      <c r="A22" s="882">
        <v>5</v>
      </c>
      <c r="B22" s="833" t="str">
        <f>'TH KẾ TOÁN'!C12</f>
        <v>FO 716</v>
      </c>
      <c r="C22" s="833" t="str">
        <f>'TH KẾ TOÁN'!B12</f>
        <v>NVLKM01.010</v>
      </c>
      <c r="D22" s="882" t="s">
        <v>193</v>
      </c>
      <c r="E22" s="858">
        <f>'TH KẾ TOÁN'!K12</f>
        <v>825</v>
      </c>
      <c r="F22" s="883">
        <f t="shared" si="0"/>
        <v>825</v>
      </c>
      <c r="G22" s="883">
        <f t="shared" si="1"/>
        <v>825</v>
      </c>
      <c r="H22" s="883">
        <f t="shared" si="2"/>
        <v>0</v>
      </c>
      <c r="I22" s="884"/>
      <c r="J22" s="885"/>
      <c r="K22" s="892">
        <v>0</v>
      </c>
      <c r="L22" s="1361"/>
      <c r="M22" s="887"/>
      <c r="N22" s="887"/>
      <c r="O22" s="887"/>
      <c r="P22" s="887"/>
      <c r="Q22" s="887"/>
      <c r="R22" s="887"/>
      <c r="S22" s="887"/>
      <c r="T22" s="887"/>
      <c r="U22" s="887"/>
      <c r="V22" s="887"/>
      <c r="W22" s="887"/>
      <c r="X22" s="887"/>
      <c r="Y22" s="887"/>
      <c r="Z22" s="887"/>
      <c r="AA22" s="887"/>
      <c r="AB22" s="887"/>
      <c r="AC22" s="887"/>
      <c r="AD22" s="887"/>
      <c r="AE22" s="887"/>
      <c r="AF22" s="887"/>
      <c r="AG22" s="887"/>
      <c r="AH22" s="887"/>
      <c r="AI22" s="887"/>
      <c r="AJ22" s="887"/>
      <c r="AK22" s="887"/>
      <c r="AL22" s="887"/>
      <c r="AM22" s="887"/>
      <c r="AN22" s="887"/>
      <c r="AO22" s="887"/>
      <c r="AP22" s="887"/>
    </row>
    <row r="23" spans="1:42" s="888" customFormat="1" ht="19.5" customHeight="1">
      <c r="A23" s="882">
        <v>6</v>
      </c>
      <c r="B23" s="833" t="str">
        <f>'TH KẾ TOÁN'!C13</f>
        <v>BẢ MEN</v>
      </c>
      <c r="C23" s="833" t="str">
        <f>'TH KẾ TOÁN'!B13</f>
        <v>BMEN</v>
      </c>
      <c r="D23" s="882" t="s">
        <v>193</v>
      </c>
      <c r="E23" s="858">
        <f>'TH KẾ TOÁN'!K13</f>
        <v>0</v>
      </c>
      <c r="F23" s="883">
        <v>0</v>
      </c>
      <c r="G23" s="883">
        <f t="shared" si="1"/>
        <v>0</v>
      </c>
      <c r="H23" s="883">
        <f t="shared" si="2"/>
        <v>0</v>
      </c>
      <c r="I23" s="884"/>
      <c r="J23" s="885"/>
      <c r="K23" s="892">
        <v>0</v>
      </c>
      <c r="L23" s="1361"/>
      <c r="M23" s="887"/>
      <c r="N23" s="887"/>
      <c r="O23" s="887"/>
      <c r="P23" s="887"/>
      <c r="Q23" s="887"/>
      <c r="R23" s="887"/>
      <c r="S23" s="887"/>
      <c r="T23" s="887"/>
      <c r="U23" s="887"/>
      <c r="V23" s="887"/>
      <c r="W23" s="887"/>
      <c r="X23" s="887"/>
      <c r="Y23" s="887"/>
      <c r="Z23" s="887"/>
      <c r="AA23" s="887"/>
      <c r="AB23" s="887"/>
      <c r="AC23" s="887"/>
      <c r="AD23" s="887"/>
      <c r="AE23" s="887"/>
      <c r="AF23" s="887"/>
      <c r="AG23" s="887"/>
      <c r="AH23" s="887"/>
      <c r="AI23" s="887"/>
      <c r="AJ23" s="887"/>
      <c r="AK23" s="887"/>
      <c r="AL23" s="887"/>
      <c r="AM23" s="887"/>
      <c r="AN23" s="887"/>
      <c r="AO23" s="887"/>
      <c r="AP23" s="887"/>
    </row>
    <row r="24" spans="1:42" s="895" customFormat="1" ht="19.5" customHeight="1">
      <c r="A24" s="889">
        <v>7</v>
      </c>
      <c r="B24" s="856" t="str">
        <f>'TH KẾ TOÁN'!C14</f>
        <v>Cao lanh N2A</v>
      </c>
      <c r="C24" s="856" t="str">
        <f>'TH KẾ TOÁN'!B14</f>
        <v>NVLKM01.0121</v>
      </c>
      <c r="D24" s="889" t="s">
        <v>193</v>
      </c>
      <c r="E24" s="858">
        <f>'TH KẾ TOÁN'!K14</f>
        <v>66542</v>
      </c>
      <c r="F24" s="883">
        <f>98*1190+965</f>
        <v>117585</v>
      </c>
      <c r="G24" s="883">
        <f t="shared" si="1"/>
        <v>88188.75</v>
      </c>
      <c r="H24" s="883">
        <f t="shared" si="2"/>
        <v>51043</v>
      </c>
      <c r="I24" s="890"/>
      <c r="J24" s="891"/>
      <c r="K24" s="892">
        <v>0.25</v>
      </c>
      <c r="L24" s="1368"/>
      <c r="M24" s="1363"/>
      <c r="N24" s="1363"/>
      <c r="O24" s="1363"/>
      <c r="P24" s="1363"/>
      <c r="Q24" s="1363"/>
      <c r="R24" s="1363"/>
      <c r="S24" s="1363"/>
      <c r="T24" s="1363"/>
      <c r="U24" s="1363"/>
      <c r="V24" s="1363"/>
      <c r="W24" s="1363"/>
      <c r="X24" s="1363"/>
      <c r="Y24" s="1363"/>
      <c r="Z24" s="1363"/>
      <c r="AA24" s="1363"/>
      <c r="AB24" s="1363"/>
      <c r="AC24" s="1363"/>
      <c r="AD24" s="1363"/>
      <c r="AE24" s="1363"/>
      <c r="AF24" s="1363"/>
      <c r="AG24" s="1363"/>
      <c r="AH24" s="1363"/>
      <c r="AI24" s="1363"/>
      <c r="AJ24" s="1363"/>
      <c r="AK24" s="1363"/>
      <c r="AL24" s="1363"/>
      <c r="AM24" s="1363"/>
      <c r="AN24" s="1363"/>
      <c r="AO24" s="1363"/>
      <c r="AP24" s="1363"/>
    </row>
    <row r="25" spans="1:42" s="888" customFormat="1" ht="19.5" customHeight="1">
      <c r="A25" s="882">
        <v>8</v>
      </c>
      <c r="B25" s="833" t="str">
        <f>'TH KẾ TOÁN'!C15</f>
        <v>Men gốm sứ FO102</v>
      </c>
      <c r="C25" s="833" t="str">
        <f>'TH KẾ TOÁN'!B15</f>
        <v>NVLKM01.014</v>
      </c>
      <c r="D25" s="882" t="s">
        <v>193</v>
      </c>
      <c r="E25" s="858">
        <f>'TH KẾ TOÁN'!K15</f>
        <v>20897</v>
      </c>
      <c r="F25" s="883">
        <f>6*1250</f>
        <v>7500</v>
      </c>
      <c r="G25" s="883">
        <f t="shared" si="1"/>
        <v>7410</v>
      </c>
      <c r="H25" s="883">
        <f>F25-E25</f>
        <v>-13397</v>
      </c>
      <c r="I25" s="884"/>
      <c r="J25" s="885"/>
      <c r="K25" s="892">
        <v>1.2E-2</v>
      </c>
      <c r="L25" s="1361"/>
      <c r="M25" s="887"/>
      <c r="N25" s="887"/>
      <c r="O25" s="887"/>
      <c r="P25" s="887"/>
      <c r="Q25" s="887"/>
      <c r="R25" s="887"/>
      <c r="S25" s="887"/>
      <c r="T25" s="887"/>
      <c r="U25" s="887"/>
      <c r="V25" s="887"/>
      <c r="W25" s="887"/>
      <c r="X25" s="887"/>
      <c r="Y25" s="887"/>
      <c r="Z25" s="887"/>
      <c r="AA25" s="887"/>
      <c r="AB25" s="887"/>
      <c r="AC25" s="887"/>
      <c r="AD25" s="887"/>
      <c r="AE25" s="887"/>
      <c r="AF25" s="887"/>
      <c r="AG25" s="887"/>
      <c r="AH25" s="887"/>
      <c r="AI25" s="887"/>
      <c r="AJ25" s="887"/>
      <c r="AK25" s="887"/>
      <c r="AL25" s="887"/>
      <c r="AM25" s="887"/>
      <c r="AN25" s="887"/>
      <c r="AO25" s="887"/>
      <c r="AP25" s="887"/>
    </row>
    <row r="26" spans="1:42" s="888" customFormat="1" ht="19.5" customHeight="1">
      <c r="A26" s="882">
        <v>9</v>
      </c>
      <c r="B26" s="833" t="str">
        <f>'TH KẾ TOÁN'!C16</f>
        <v>Men gốm sứ FO113</v>
      </c>
      <c r="C26" s="833" t="str">
        <f>'TH KẾ TOÁN'!B16</f>
        <v>NVLKM01.015</v>
      </c>
      <c r="D26" s="882" t="s">
        <v>193</v>
      </c>
      <c r="E26" s="858">
        <f>'TH KẾ TOÁN'!K16</f>
        <v>43174</v>
      </c>
      <c r="F26" s="883">
        <f>43*1250</f>
        <v>53750</v>
      </c>
      <c r="G26" s="883">
        <f t="shared" si="1"/>
        <v>53158.75</v>
      </c>
      <c r="H26" s="883">
        <f t="shared" si="2"/>
        <v>10576</v>
      </c>
      <c r="I26" s="884"/>
      <c r="J26" s="885"/>
      <c r="K26" s="892">
        <v>1.0999999999999999E-2</v>
      </c>
      <c r="L26" s="1361"/>
      <c r="M26" s="887"/>
      <c r="N26" s="887"/>
      <c r="O26" s="887"/>
      <c r="P26" s="887"/>
      <c r="Q26" s="887"/>
      <c r="R26" s="887"/>
      <c r="S26" s="887"/>
      <c r="T26" s="887"/>
      <c r="U26" s="887"/>
      <c r="V26" s="887"/>
      <c r="W26" s="887"/>
      <c r="X26" s="887"/>
      <c r="Y26" s="887"/>
      <c r="Z26" s="887"/>
      <c r="AA26" s="887"/>
      <c r="AB26" s="887"/>
      <c r="AC26" s="887"/>
      <c r="AD26" s="887"/>
      <c r="AE26" s="887"/>
      <c r="AF26" s="887"/>
      <c r="AG26" s="887"/>
      <c r="AH26" s="887"/>
      <c r="AI26" s="887"/>
      <c r="AJ26" s="887"/>
      <c r="AK26" s="887"/>
      <c r="AL26" s="887"/>
      <c r="AM26" s="887"/>
      <c r="AN26" s="887"/>
      <c r="AO26" s="887"/>
      <c r="AP26" s="887"/>
    </row>
    <row r="27" spans="1:42" s="888" customFormat="1" ht="19.5" customHeight="1">
      <c r="A27" s="882">
        <v>10</v>
      </c>
      <c r="B27" s="833" t="str">
        <f>'TH KẾ TOÁN'!C17</f>
        <v>Tràng thạch Ấn Độ (PNG-AD) Feldspar</v>
      </c>
      <c r="C27" s="833" t="str">
        <f>'TH KẾ TOÁN'!B17</f>
        <v>NVLKM01.016</v>
      </c>
      <c r="D27" s="882" t="s">
        <v>193</v>
      </c>
      <c r="E27" s="858">
        <f>'TH KẾ TOÁN'!K17</f>
        <v>0</v>
      </c>
      <c r="F27" s="883">
        <f>E27</f>
        <v>0</v>
      </c>
      <c r="G27" s="883">
        <f t="shared" si="1"/>
        <v>0</v>
      </c>
      <c r="H27" s="883">
        <f t="shared" si="2"/>
        <v>0</v>
      </c>
      <c r="I27" s="884"/>
      <c r="J27" s="885"/>
      <c r="K27" s="892">
        <v>0</v>
      </c>
      <c r="L27" s="1361"/>
      <c r="M27" s="887"/>
      <c r="N27" s="887"/>
      <c r="O27" s="887"/>
      <c r="P27" s="887"/>
      <c r="Q27" s="887"/>
      <c r="R27" s="887"/>
      <c r="S27" s="887"/>
      <c r="T27" s="887"/>
      <c r="U27" s="887"/>
      <c r="V27" s="887"/>
      <c r="W27" s="887"/>
      <c r="X27" s="887"/>
      <c r="Y27" s="887"/>
      <c r="Z27" s="887"/>
      <c r="AA27" s="887"/>
      <c r="AB27" s="887"/>
      <c r="AC27" s="887"/>
      <c r="AD27" s="887"/>
      <c r="AE27" s="887"/>
      <c r="AF27" s="887"/>
      <c r="AG27" s="887"/>
      <c r="AH27" s="887"/>
      <c r="AI27" s="887"/>
      <c r="AJ27" s="887"/>
      <c r="AK27" s="887"/>
      <c r="AL27" s="887"/>
      <c r="AM27" s="887"/>
      <c r="AN27" s="887"/>
      <c r="AO27" s="887"/>
      <c r="AP27" s="887"/>
    </row>
    <row r="28" spans="1:42" s="888" customFormat="1" ht="19.5" customHeight="1">
      <c r="A28" s="882">
        <v>11</v>
      </c>
      <c r="B28" s="833" t="str">
        <f>'TH KẾ TOÁN'!C18</f>
        <v>MAGNESIUM OXIDE (Magie oxit)</v>
      </c>
      <c r="C28" s="833" t="str">
        <f>'TH KẾ TOÁN'!B18</f>
        <v>NVLKM01.017</v>
      </c>
      <c r="D28" s="882" t="s">
        <v>193</v>
      </c>
      <c r="E28" s="858">
        <f>'TH KẾ TOÁN'!K18</f>
        <v>0</v>
      </c>
      <c r="F28" s="883">
        <f>173</f>
        <v>173</v>
      </c>
      <c r="G28" s="883">
        <f t="shared" ref="G28" si="3">F28-(F28*K28)</f>
        <v>173</v>
      </c>
      <c r="H28" s="883">
        <f t="shared" ref="H28" si="4">F28-E28</f>
        <v>173</v>
      </c>
      <c r="I28" s="884"/>
      <c r="J28" s="885"/>
      <c r="K28" s="892">
        <v>0</v>
      </c>
      <c r="L28" s="1361"/>
      <c r="M28" s="887"/>
      <c r="N28" s="887"/>
      <c r="O28" s="887"/>
      <c r="P28" s="887"/>
      <c r="Q28" s="887"/>
      <c r="R28" s="887"/>
      <c r="S28" s="887"/>
      <c r="T28" s="887"/>
      <c r="U28" s="887"/>
      <c r="V28" s="887"/>
      <c r="W28" s="887"/>
      <c r="X28" s="887"/>
      <c r="Y28" s="887"/>
      <c r="Z28" s="887"/>
      <c r="AA28" s="887"/>
      <c r="AB28" s="887"/>
      <c r="AC28" s="887"/>
      <c r="AD28" s="887"/>
      <c r="AE28" s="887"/>
      <c r="AF28" s="887"/>
      <c r="AG28" s="887"/>
      <c r="AH28" s="887"/>
      <c r="AI28" s="887"/>
      <c r="AJ28" s="887"/>
      <c r="AK28" s="887"/>
      <c r="AL28" s="887"/>
      <c r="AM28" s="887"/>
      <c r="AN28" s="887"/>
      <c r="AO28" s="887"/>
      <c r="AP28" s="887"/>
    </row>
    <row r="29" spans="1:42" s="888" customFormat="1" ht="19.5" customHeight="1">
      <c r="A29" s="882">
        <v>12</v>
      </c>
      <c r="B29" s="833" t="str">
        <f>'TH KẾ TOÁN'!C19</f>
        <v>Bột tan S220</v>
      </c>
      <c r="C29" s="833" t="str">
        <f>'TH KẾ TOÁN'!B19</f>
        <v>NVLKM01.019</v>
      </c>
      <c r="D29" s="882" t="s">
        <v>193</v>
      </c>
      <c r="E29" s="858">
        <f>'TH KẾ TOÁN'!K19</f>
        <v>12200</v>
      </c>
      <c r="F29" s="883">
        <f t="shared" si="0"/>
        <v>12200</v>
      </c>
      <c r="G29" s="883">
        <f t="shared" si="1"/>
        <v>12200</v>
      </c>
      <c r="H29" s="883">
        <f t="shared" si="2"/>
        <v>0</v>
      </c>
      <c r="I29" s="884"/>
      <c r="J29" s="885"/>
      <c r="K29" s="892">
        <v>0</v>
      </c>
      <c r="L29" s="1361"/>
      <c r="M29" s="887"/>
      <c r="N29" s="887"/>
      <c r="O29" s="887"/>
      <c r="P29" s="887"/>
      <c r="Q29" s="887"/>
      <c r="R29" s="887"/>
      <c r="S29" s="887"/>
      <c r="T29" s="887"/>
      <c r="U29" s="887"/>
      <c r="V29" s="887"/>
      <c r="W29" s="887"/>
      <c r="X29" s="887"/>
      <c r="Y29" s="887"/>
      <c r="Z29" s="887"/>
      <c r="AA29" s="887"/>
      <c r="AB29" s="887"/>
      <c r="AC29" s="887"/>
      <c r="AD29" s="887"/>
      <c r="AE29" s="887"/>
      <c r="AF29" s="887"/>
      <c r="AG29" s="887"/>
      <c r="AH29" s="887"/>
      <c r="AI29" s="887"/>
      <c r="AJ29" s="887"/>
      <c r="AK29" s="887"/>
      <c r="AL29" s="887"/>
      <c r="AM29" s="887"/>
      <c r="AN29" s="887"/>
      <c r="AO29" s="887"/>
      <c r="AP29" s="887"/>
    </row>
    <row r="30" spans="1:42" s="895" customFormat="1" ht="19.5" customHeight="1">
      <c r="A30" s="882">
        <v>13</v>
      </c>
      <c r="B30" s="833" t="str">
        <f>'TH KẾ TOÁN'!C20</f>
        <v>Cao lanh P08</v>
      </c>
      <c r="C30" s="833" t="str">
        <f>'TH KẾ TOÁN'!B20</f>
        <v>NVLKM01.021</v>
      </c>
      <c r="D30" s="889" t="s">
        <v>193</v>
      </c>
      <c r="E30" s="858">
        <f>'TH KẾ TOÁN'!K20</f>
        <v>157.5</v>
      </c>
      <c r="F30" s="883">
        <v>157.5</v>
      </c>
      <c r="G30" s="883">
        <f t="shared" si="1"/>
        <v>157.5</v>
      </c>
      <c r="H30" s="883">
        <f t="shared" si="2"/>
        <v>0</v>
      </c>
      <c r="I30" s="890"/>
      <c r="J30" s="891"/>
      <c r="K30" s="892">
        <v>0</v>
      </c>
      <c r="L30" s="1361"/>
      <c r="M30" s="894"/>
      <c r="N30" s="894"/>
      <c r="O30" s="894"/>
      <c r="P30" s="894"/>
      <c r="Q30" s="894"/>
      <c r="R30" s="894"/>
      <c r="S30" s="894"/>
      <c r="T30" s="894"/>
      <c r="U30" s="894"/>
      <c r="V30" s="894"/>
      <c r="W30" s="894"/>
      <c r="X30" s="894"/>
      <c r="Y30" s="894"/>
      <c r="Z30" s="894"/>
      <c r="AA30" s="894"/>
      <c r="AB30" s="894"/>
      <c r="AC30" s="894"/>
      <c r="AD30" s="894"/>
      <c r="AE30" s="894"/>
      <c r="AF30" s="894"/>
      <c r="AG30" s="894"/>
      <c r="AH30" s="894"/>
      <c r="AI30" s="894"/>
      <c r="AJ30" s="894"/>
      <c r="AK30" s="894"/>
      <c r="AL30" s="894"/>
      <c r="AM30" s="894"/>
      <c r="AN30" s="894"/>
      <c r="AO30" s="894"/>
      <c r="AP30" s="894"/>
    </row>
    <row r="31" spans="1:42" s="888" customFormat="1" ht="19.5" customHeight="1">
      <c r="A31" s="882">
        <v>14</v>
      </c>
      <c r="B31" s="833" t="str">
        <f>'TH KẾ TOÁN'!C21</f>
        <v>Men FV150/521</v>
      </c>
      <c r="C31" s="833" t="str">
        <f>'TH KẾ TOÁN'!B21</f>
        <v>NVLKM01.022</v>
      </c>
      <c r="D31" s="882" t="s">
        <v>193</v>
      </c>
      <c r="E31" s="858">
        <f>'TH KẾ TOÁN'!K21</f>
        <v>31467</v>
      </c>
      <c r="F31" s="883">
        <f t="shared" si="0"/>
        <v>31467</v>
      </c>
      <c r="G31" s="883">
        <f t="shared" si="1"/>
        <v>31467</v>
      </c>
      <c r="H31" s="883">
        <f t="shared" si="2"/>
        <v>0</v>
      </c>
      <c r="I31" s="884"/>
      <c r="J31" s="885"/>
      <c r="K31" s="892">
        <v>0</v>
      </c>
      <c r="L31" s="1361"/>
      <c r="M31" s="887"/>
      <c r="N31" s="887"/>
      <c r="O31" s="887"/>
      <c r="P31" s="887"/>
      <c r="Q31" s="887"/>
      <c r="R31" s="887"/>
      <c r="S31" s="887"/>
      <c r="T31" s="887"/>
      <c r="U31" s="887"/>
      <c r="V31" s="887"/>
      <c r="W31" s="887"/>
      <c r="X31" s="887"/>
      <c r="Y31" s="887"/>
      <c r="Z31" s="887"/>
      <c r="AA31" s="887"/>
      <c r="AB31" s="887"/>
      <c r="AC31" s="887"/>
      <c r="AD31" s="887"/>
      <c r="AE31" s="887"/>
      <c r="AF31" s="887"/>
      <c r="AG31" s="887"/>
      <c r="AH31" s="887"/>
      <c r="AI31" s="887"/>
      <c r="AJ31" s="887"/>
      <c r="AK31" s="887"/>
      <c r="AL31" s="887"/>
      <c r="AM31" s="887"/>
      <c r="AN31" s="887"/>
      <c r="AO31" s="887"/>
      <c r="AP31" s="887"/>
    </row>
    <row r="32" spans="1:42" s="888" customFormat="1" ht="19.5" customHeight="1">
      <c r="A32" s="882">
        <v>15</v>
      </c>
      <c r="B32" s="833" t="str">
        <f>'TH KẾ TOÁN'!C22</f>
        <v>CLAY GF3005</v>
      </c>
      <c r="C32" s="833" t="str">
        <f>'TH KẾ TOÁN'!B22</f>
        <v>NVLKM01.023</v>
      </c>
      <c r="D32" s="882" t="s">
        <v>193</v>
      </c>
      <c r="E32" s="858">
        <f>'TH KẾ TOÁN'!K22</f>
        <v>950</v>
      </c>
      <c r="F32" s="883">
        <f t="shared" si="0"/>
        <v>950</v>
      </c>
      <c r="G32" s="883">
        <f t="shared" si="1"/>
        <v>950</v>
      </c>
      <c r="H32" s="883">
        <f t="shared" si="2"/>
        <v>0</v>
      </c>
      <c r="I32" s="884"/>
      <c r="J32" s="885"/>
      <c r="K32" s="892">
        <v>0</v>
      </c>
      <c r="L32" s="1361"/>
      <c r="M32" s="887"/>
      <c r="N32" s="887"/>
      <c r="O32" s="887"/>
      <c r="P32" s="887"/>
      <c r="Q32" s="887"/>
      <c r="R32" s="887"/>
      <c r="S32" s="887"/>
      <c r="T32" s="887"/>
      <c r="U32" s="887"/>
      <c r="V32" s="887"/>
      <c r="W32" s="887"/>
      <c r="X32" s="887"/>
      <c r="Y32" s="887"/>
      <c r="Z32" s="887"/>
      <c r="AA32" s="887"/>
      <c r="AB32" s="887"/>
      <c r="AC32" s="887"/>
      <c r="AD32" s="887"/>
      <c r="AE32" s="887"/>
      <c r="AF32" s="887"/>
      <c r="AG32" s="887"/>
      <c r="AH32" s="887"/>
      <c r="AI32" s="887"/>
      <c r="AJ32" s="887"/>
      <c r="AK32" s="887"/>
      <c r="AL32" s="887"/>
      <c r="AM32" s="887"/>
      <c r="AN32" s="887"/>
      <c r="AO32" s="887"/>
      <c r="AP32" s="887"/>
    </row>
    <row r="33" spans="1:42" s="888" customFormat="1" ht="19.5" customHeight="1">
      <c r="A33" s="882">
        <v>16</v>
      </c>
      <c r="B33" s="833" t="str">
        <f>'TH KẾ TOÁN'!C23</f>
        <v>Men HIFIL1</v>
      </c>
      <c r="C33" s="833" t="str">
        <f>'TH KẾ TOÁN'!B23</f>
        <v>NVLKM01.024</v>
      </c>
      <c r="D33" s="882" t="s">
        <v>193</v>
      </c>
      <c r="E33" s="858">
        <f>'TH KẾ TOÁN'!K23</f>
        <v>7106.5990000000002</v>
      </c>
      <c r="F33" s="883">
        <f t="shared" si="0"/>
        <v>7106.5990000000002</v>
      </c>
      <c r="G33" s="883">
        <f t="shared" si="1"/>
        <v>7106.5990000000002</v>
      </c>
      <c r="H33" s="883">
        <f t="shared" si="2"/>
        <v>0</v>
      </c>
      <c r="I33" s="884"/>
      <c r="J33" s="885"/>
      <c r="K33" s="892">
        <v>0</v>
      </c>
      <c r="L33" s="1361"/>
      <c r="M33" s="887"/>
      <c r="N33" s="887"/>
      <c r="O33" s="887"/>
      <c r="P33" s="887"/>
      <c r="Q33" s="887"/>
      <c r="R33" s="887"/>
      <c r="S33" s="887"/>
      <c r="T33" s="887"/>
      <c r="U33" s="887"/>
      <c r="V33" s="887"/>
      <c r="W33" s="887"/>
      <c r="X33" s="887"/>
      <c r="Y33" s="887"/>
      <c r="Z33" s="887"/>
      <c r="AA33" s="887"/>
      <c r="AB33" s="887"/>
      <c r="AC33" s="887"/>
      <c r="AD33" s="887"/>
      <c r="AE33" s="887"/>
      <c r="AF33" s="887"/>
      <c r="AG33" s="887"/>
      <c r="AH33" s="887"/>
      <c r="AI33" s="887"/>
      <c r="AJ33" s="887"/>
      <c r="AK33" s="887"/>
      <c r="AL33" s="887"/>
      <c r="AM33" s="887"/>
      <c r="AN33" s="887"/>
      <c r="AO33" s="887"/>
      <c r="AP33" s="887"/>
    </row>
    <row r="34" spans="1:42" s="888" customFormat="1" ht="19.5" customHeight="1">
      <c r="A34" s="882">
        <v>17</v>
      </c>
      <c r="B34" s="833" t="str">
        <f>'TH KẾ TOÁN'!C24</f>
        <v>Men in FP940</v>
      </c>
      <c r="C34" s="833" t="str">
        <f>'TH KẾ TOÁN'!B24</f>
        <v>NVLKM01.036</v>
      </c>
      <c r="D34" s="882" t="s">
        <v>193</v>
      </c>
      <c r="E34" s="858">
        <f>'TH KẾ TOÁN'!K24</f>
        <v>267</v>
      </c>
      <c r="F34" s="883">
        <v>267</v>
      </c>
      <c r="G34" s="883">
        <f t="shared" si="1"/>
        <v>267</v>
      </c>
      <c r="H34" s="883">
        <f t="shared" si="2"/>
        <v>0</v>
      </c>
      <c r="I34" s="884"/>
      <c r="J34" s="885"/>
      <c r="K34" s="892">
        <v>0</v>
      </c>
      <c r="L34" s="1361"/>
      <c r="M34" s="887"/>
      <c r="N34" s="887"/>
      <c r="O34" s="887"/>
      <c r="P34" s="887"/>
      <c r="Q34" s="887"/>
      <c r="R34" s="887"/>
      <c r="S34" s="887"/>
      <c r="T34" s="887"/>
      <c r="U34" s="887"/>
      <c r="V34" s="887"/>
      <c r="W34" s="887"/>
      <c r="X34" s="887"/>
      <c r="Y34" s="887"/>
      <c r="Z34" s="887"/>
      <c r="AA34" s="887"/>
      <c r="AB34" s="887"/>
      <c r="AC34" s="887"/>
      <c r="AD34" s="887"/>
      <c r="AE34" s="887"/>
      <c r="AF34" s="887"/>
      <c r="AG34" s="887"/>
      <c r="AH34" s="887"/>
      <c r="AI34" s="887"/>
      <c r="AJ34" s="887"/>
      <c r="AK34" s="887"/>
      <c r="AL34" s="887"/>
      <c r="AM34" s="887"/>
      <c r="AN34" s="887"/>
      <c r="AO34" s="887"/>
      <c r="AP34" s="887"/>
    </row>
    <row r="35" spans="1:42" s="895" customFormat="1" ht="19.5" customHeight="1">
      <c r="A35" s="889">
        <v>18</v>
      </c>
      <c r="B35" s="856" t="str">
        <f>'TH KẾ TOÁN'!C25</f>
        <v>Frit A106</v>
      </c>
      <c r="C35" s="856" t="str">
        <f>'TH KẾ TOÁN'!B25</f>
        <v>NVLKM01.037</v>
      </c>
      <c r="D35" s="889" t="s">
        <v>193</v>
      </c>
      <c r="E35" s="858">
        <f>'TH KẾ TOÁN'!K25</f>
        <v>19960.599999999999</v>
      </c>
      <c r="F35" s="883">
        <f>18*1250+495</f>
        <v>22995</v>
      </c>
      <c r="G35" s="883">
        <f t="shared" si="1"/>
        <v>22696.064999999999</v>
      </c>
      <c r="H35" s="883">
        <f t="shared" si="2"/>
        <v>3034.4000000000015</v>
      </c>
      <c r="I35" s="890"/>
      <c r="J35" s="891"/>
      <c r="K35" s="892">
        <v>1.2999999999999999E-2</v>
      </c>
      <c r="L35" s="1368"/>
      <c r="M35" s="1362"/>
      <c r="N35" s="1362"/>
      <c r="O35" s="1362"/>
      <c r="P35" s="1362"/>
      <c r="Q35" s="1362"/>
      <c r="R35" s="1362"/>
      <c r="S35" s="1362"/>
      <c r="T35" s="1362"/>
      <c r="U35" s="1362"/>
      <c r="V35" s="1362"/>
      <c r="W35" s="1362"/>
      <c r="X35" s="1362"/>
      <c r="Y35" s="1362"/>
      <c r="Z35" s="1362"/>
      <c r="AA35" s="1362"/>
      <c r="AB35" s="1362"/>
      <c r="AC35" s="1362"/>
      <c r="AD35" s="1362"/>
      <c r="AE35" s="1362"/>
      <c r="AF35" s="1362"/>
      <c r="AG35" s="1362"/>
      <c r="AH35" s="1362"/>
      <c r="AI35" s="1362"/>
      <c r="AJ35" s="1362"/>
      <c r="AK35" s="1362"/>
      <c r="AL35" s="1362"/>
      <c r="AM35" s="1362"/>
      <c r="AN35" s="1362"/>
      <c r="AO35" s="1362"/>
      <c r="AP35" s="1362"/>
    </row>
    <row r="36" spans="1:42" s="888" customFormat="1" ht="19.5" customHeight="1">
      <c r="A36" s="882">
        <v>19</v>
      </c>
      <c r="B36" s="833" t="str">
        <f>'TH KẾ TOÁN'!C26</f>
        <v>PGB1288B</v>
      </c>
      <c r="C36" s="833" t="str">
        <f>'TH KẾ TOÁN'!B26</f>
        <v>NVLKM01.039</v>
      </c>
      <c r="D36" s="882" t="s">
        <v>193</v>
      </c>
      <c r="E36" s="858">
        <f>'TH KẾ TOÁN'!K26</f>
        <v>0</v>
      </c>
      <c r="F36" s="883">
        <f t="shared" si="0"/>
        <v>0</v>
      </c>
      <c r="G36" s="883">
        <f t="shared" si="1"/>
        <v>0</v>
      </c>
      <c r="H36" s="883">
        <f t="shared" si="2"/>
        <v>0</v>
      </c>
      <c r="I36" s="884"/>
      <c r="J36" s="885"/>
      <c r="K36" s="892">
        <v>0</v>
      </c>
      <c r="L36" s="1361"/>
      <c r="M36" s="887"/>
      <c r="N36" s="887"/>
      <c r="O36" s="887"/>
      <c r="P36" s="887"/>
      <c r="Q36" s="887"/>
      <c r="R36" s="887"/>
      <c r="S36" s="887"/>
      <c r="T36" s="887"/>
      <c r="U36" s="887"/>
      <c r="V36" s="887"/>
      <c r="W36" s="887"/>
      <c r="X36" s="887"/>
      <c r="Y36" s="887"/>
      <c r="Z36" s="887"/>
      <c r="AA36" s="887"/>
      <c r="AB36" s="887"/>
      <c r="AC36" s="887"/>
      <c r="AD36" s="887"/>
      <c r="AE36" s="887"/>
      <c r="AF36" s="887"/>
      <c r="AG36" s="887"/>
      <c r="AH36" s="887"/>
      <c r="AI36" s="887"/>
      <c r="AJ36" s="887"/>
      <c r="AK36" s="887"/>
      <c r="AL36" s="887"/>
      <c r="AM36" s="887"/>
      <c r="AN36" s="887"/>
      <c r="AO36" s="887"/>
      <c r="AP36" s="887"/>
    </row>
    <row r="37" spans="1:42" s="888" customFormat="1" ht="19.5" customHeight="1">
      <c r="A37" s="882">
        <v>20</v>
      </c>
      <c r="B37" s="833" t="str">
        <f>'TH KẾ TOÁN'!C27</f>
        <v>TM2085</v>
      </c>
      <c r="C37" s="833" t="str">
        <f>'TH KẾ TOÁN'!B27</f>
        <v>NVLKM01.041</v>
      </c>
      <c r="D37" s="882" t="s">
        <v>193</v>
      </c>
      <c r="E37" s="858">
        <f>'TH KẾ TOÁN'!K27</f>
        <v>4305.8</v>
      </c>
      <c r="F37" s="883">
        <f t="shared" si="0"/>
        <v>4305.8</v>
      </c>
      <c r="G37" s="883">
        <f t="shared" si="1"/>
        <v>4305.8</v>
      </c>
      <c r="H37" s="883">
        <f t="shared" si="2"/>
        <v>0</v>
      </c>
      <c r="I37" s="884"/>
      <c r="J37" s="885"/>
      <c r="K37" s="892">
        <v>0</v>
      </c>
      <c r="L37" s="1361"/>
      <c r="M37" s="887"/>
      <c r="N37" s="887"/>
      <c r="O37" s="887"/>
      <c r="P37" s="887"/>
      <c r="Q37" s="887"/>
      <c r="R37" s="887"/>
      <c r="S37" s="887"/>
      <c r="T37" s="887"/>
      <c r="U37" s="887"/>
      <c r="V37" s="887"/>
      <c r="W37" s="887"/>
      <c r="X37" s="887"/>
      <c r="Y37" s="887"/>
      <c r="Z37" s="887"/>
      <c r="AA37" s="887"/>
      <c r="AB37" s="887"/>
      <c r="AC37" s="887"/>
      <c r="AD37" s="887"/>
      <c r="AE37" s="887"/>
      <c r="AF37" s="887"/>
      <c r="AG37" s="887"/>
      <c r="AH37" s="887"/>
      <c r="AI37" s="887"/>
      <c r="AJ37" s="887"/>
      <c r="AK37" s="887"/>
      <c r="AL37" s="887"/>
      <c r="AM37" s="887"/>
      <c r="AN37" s="887"/>
      <c r="AO37" s="887"/>
      <c r="AP37" s="887"/>
    </row>
    <row r="38" spans="1:42" s="888" customFormat="1" ht="19.5" customHeight="1">
      <c r="A38" s="882">
        <v>21</v>
      </c>
      <c r="B38" s="833" t="str">
        <f>'TH KẾ TOÁN'!C28</f>
        <v>B3001</v>
      </c>
      <c r="C38" s="833" t="str">
        <f>'TH KẾ TOÁN'!B28</f>
        <v>NVLKM01.042</v>
      </c>
      <c r="D38" s="882" t="s">
        <v>193</v>
      </c>
      <c r="E38" s="858">
        <f>'TH KẾ TOÁN'!K28</f>
        <v>8263</v>
      </c>
      <c r="F38" s="883">
        <f t="shared" si="0"/>
        <v>8263</v>
      </c>
      <c r="G38" s="883">
        <f t="shared" si="1"/>
        <v>8263</v>
      </c>
      <c r="H38" s="883">
        <f t="shared" si="2"/>
        <v>0</v>
      </c>
      <c r="I38" s="884"/>
      <c r="J38" s="885"/>
      <c r="K38" s="892">
        <v>0</v>
      </c>
      <c r="L38" s="1361"/>
      <c r="M38" s="887"/>
      <c r="N38" s="887"/>
      <c r="O38" s="887"/>
      <c r="P38" s="887"/>
      <c r="Q38" s="887"/>
      <c r="R38" s="887"/>
      <c r="S38" s="887"/>
      <c r="T38" s="887"/>
      <c r="U38" s="887"/>
      <c r="V38" s="887"/>
      <c r="W38" s="887"/>
      <c r="X38" s="887"/>
      <c r="Y38" s="887"/>
      <c r="Z38" s="887"/>
      <c r="AA38" s="887"/>
      <c r="AB38" s="887"/>
      <c r="AC38" s="887"/>
      <c r="AD38" s="887"/>
      <c r="AE38" s="887"/>
      <c r="AF38" s="887"/>
      <c r="AG38" s="887"/>
      <c r="AH38" s="887"/>
      <c r="AI38" s="887"/>
      <c r="AJ38" s="887"/>
      <c r="AK38" s="887"/>
      <c r="AL38" s="887"/>
      <c r="AM38" s="887"/>
      <c r="AN38" s="887"/>
      <c r="AO38" s="887"/>
      <c r="AP38" s="887"/>
    </row>
    <row r="39" spans="1:42" s="888" customFormat="1" ht="19.5" customHeight="1">
      <c r="A39" s="882">
        <v>22</v>
      </c>
      <c r="B39" s="833" t="str">
        <f>'TH KẾ TOÁN'!C29</f>
        <v>BT4139</v>
      </c>
      <c r="C39" s="833" t="str">
        <f>'TH KẾ TOÁN'!B29</f>
        <v>NVLKM01.044</v>
      </c>
      <c r="D39" s="882" t="s">
        <v>193</v>
      </c>
      <c r="E39" s="858">
        <f>'TH KẾ TOÁN'!K29</f>
        <v>600</v>
      </c>
      <c r="F39" s="883">
        <f t="shared" si="0"/>
        <v>600</v>
      </c>
      <c r="G39" s="883">
        <f t="shared" si="1"/>
        <v>600</v>
      </c>
      <c r="H39" s="883">
        <f t="shared" si="2"/>
        <v>0</v>
      </c>
      <c r="I39" s="884"/>
      <c r="J39" s="885"/>
      <c r="K39" s="892">
        <v>0</v>
      </c>
      <c r="L39" s="1361"/>
      <c r="M39" s="887"/>
      <c r="N39" s="887"/>
      <c r="O39" s="887"/>
      <c r="P39" s="887"/>
      <c r="Q39" s="887"/>
      <c r="R39" s="887"/>
      <c r="S39" s="887"/>
      <c r="T39" s="887"/>
      <c r="U39" s="887"/>
      <c r="V39" s="887"/>
      <c r="W39" s="887"/>
      <c r="X39" s="887"/>
      <c r="Y39" s="887"/>
      <c r="Z39" s="887"/>
      <c r="AA39" s="887"/>
      <c r="AB39" s="887"/>
      <c r="AC39" s="887"/>
      <c r="AD39" s="887"/>
      <c r="AE39" s="887"/>
      <c r="AF39" s="887"/>
      <c r="AG39" s="887"/>
      <c r="AH39" s="887"/>
      <c r="AI39" s="887"/>
      <c r="AJ39" s="887"/>
      <c r="AK39" s="887"/>
      <c r="AL39" s="887"/>
      <c r="AM39" s="887"/>
      <c r="AN39" s="887"/>
      <c r="AO39" s="887"/>
      <c r="AP39" s="887"/>
    </row>
    <row r="40" spans="1:42" s="888" customFormat="1" ht="19.5" customHeight="1">
      <c r="A40" s="882">
        <v>23</v>
      </c>
      <c r="B40" s="833" t="str">
        <f>'TH KẾ TOÁN'!C30</f>
        <v>TB3007</v>
      </c>
      <c r="C40" s="833" t="str">
        <f>'TH KẾ TOÁN'!B30</f>
        <v>NVLKM01.045</v>
      </c>
      <c r="D40" s="882" t="s">
        <v>193</v>
      </c>
      <c r="E40" s="858">
        <f>'TH KẾ TOÁN'!K30</f>
        <v>300</v>
      </c>
      <c r="F40" s="883">
        <f t="shared" si="0"/>
        <v>300</v>
      </c>
      <c r="G40" s="883">
        <f t="shared" si="1"/>
        <v>300</v>
      </c>
      <c r="H40" s="883">
        <f t="shared" si="2"/>
        <v>0</v>
      </c>
      <c r="I40" s="884"/>
      <c r="J40" s="885"/>
      <c r="K40" s="892">
        <v>0</v>
      </c>
      <c r="L40" s="1361"/>
      <c r="M40" s="887"/>
      <c r="N40" s="887"/>
      <c r="O40" s="887"/>
      <c r="P40" s="887"/>
      <c r="Q40" s="887"/>
      <c r="R40" s="887"/>
      <c r="S40" s="887"/>
      <c r="T40" s="887"/>
      <c r="U40" s="887"/>
      <c r="V40" s="887"/>
      <c r="W40" s="887"/>
      <c r="X40" s="887"/>
      <c r="Y40" s="887"/>
      <c r="Z40" s="887"/>
      <c r="AA40" s="887"/>
      <c r="AB40" s="887"/>
      <c r="AC40" s="887"/>
      <c r="AD40" s="887"/>
      <c r="AE40" s="887"/>
      <c r="AF40" s="887"/>
      <c r="AG40" s="887"/>
      <c r="AH40" s="887"/>
      <c r="AI40" s="887"/>
      <c r="AJ40" s="887"/>
      <c r="AK40" s="887"/>
      <c r="AL40" s="887"/>
      <c r="AM40" s="887"/>
      <c r="AN40" s="887"/>
      <c r="AO40" s="887"/>
      <c r="AP40" s="887"/>
    </row>
    <row r="41" spans="1:42" s="888" customFormat="1" ht="19.5" customHeight="1">
      <c r="A41" s="882">
        <v>24</v>
      </c>
      <c r="B41" s="833" t="str">
        <f>'TH KẾ TOÁN'!C31</f>
        <v>BT3008</v>
      </c>
      <c r="C41" s="833" t="str">
        <f>'TH KẾ TOÁN'!B31</f>
        <v>NVLKM01.046</v>
      </c>
      <c r="D41" s="882" t="s">
        <v>193</v>
      </c>
      <c r="E41" s="858">
        <f>'TH KẾ TOÁN'!K31</f>
        <v>6180</v>
      </c>
      <c r="F41" s="883">
        <f t="shared" si="0"/>
        <v>6180</v>
      </c>
      <c r="G41" s="883">
        <f t="shared" si="1"/>
        <v>6180</v>
      </c>
      <c r="H41" s="883">
        <f t="shared" si="2"/>
        <v>0</v>
      </c>
      <c r="I41" s="884"/>
      <c r="J41" s="885"/>
      <c r="K41" s="892">
        <v>0</v>
      </c>
      <c r="L41" s="1361"/>
      <c r="M41" s="887"/>
      <c r="N41" s="887"/>
      <c r="O41" s="887"/>
      <c r="P41" s="887"/>
      <c r="Q41" s="887"/>
      <c r="R41" s="887"/>
      <c r="S41" s="887"/>
      <c r="T41" s="887"/>
      <c r="U41" s="887"/>
      <c r="V41" s="887"/>
      <c r="W41" s="887"/>
      <c r="X41" s="887"/>
      <c r="Y41" s="887"/>
      <c r="Z41" s="887"/>
      <c r="AA41" s="887"/>
      <c r="AB41" s="887"/>
      <c r="AC41" s="887"/>
      <c r="AD41" s="887"/>
      <c r="AE41" s="887"/>
      <c r="AF41" s="887"/>
      <c r="AG41" s="887"/>
      <c r="AH41" s="887"/>
      <c r="AI41" s="887"/>
      <c r="AJ41" s="887"/>
      <c r="AK41" s="887"/>
      <c r="AL41" s="887"/>
      <c r="AM41" s="887"/>
      <c r="AN41" s="887"/>
      <c r="AO41" s="887"/>
      <c r="AP41" s="887"/>
    </row>
    <row r="42" spans="1:42" s="888" customFormat="1" ht="19.5" customHeight="1">
      <c r="A42" s="882">
        <v>25</v>
      </c>
      <c r="B42" s="833" t="str">
        <f>'TH KẾ TOÁN'!C32</f>
        <v>GB1660</v>
      </c>
      <c r="C42" s="833" t="str">
        <f>'TH KẾ TOÁN'!B32</f>
        <v>NVLKM01.047</v>
      </c>
      <c r="D42" s="882" t="s">
        <v>193</v>
      </c>
      <c r="E42" s="858">
        <f>'TH KẾ TOÁN'!K32</f>
        <v>200</v>
      </c>
      <c r="F42" s="883">
        <f t="shared" si="0"/>
        <v>200</v>
      </c>
      <c r="G42" s="883">
        <f t="shared" si="1"/>
        <v>200</v>
      </c>
      <c r="H42" s="883">
        <f t="shared" si="2"/>
        <v>0</v>
      </c>
      <c r="I42" s="884"/>
      <c r="J42" s="885"/>
      <c r="K42" s="892">
        <v>0</v>
      </c>
      <c r="L42" s="1361"/>
      <c r="M42" s="887"/>
      <c r="N42" s="887"/>
      <c r="O42" s="887"/>
      <c r="P42" s="887"/>
      <c r="Q42" s="887"/>
      <c r="R42" s="887"/>
      <c r="S42" s="887"/>
      <c r="T42" s="887"/>
      <c r="U42" s="887"/>
      <c r="V42" s="887"/>
      <c r="W42" s="887"/>
      <c r="X42" s="887"/>
      <c r="Y42" s="887"/>
      <c r="Z42" s="887"/>
      <c r="AA42" s="887"/>
      <c r="AB42" s="887"/>
      <c r="AC42" s="887"/>
      <c r="AD42" s="887"/>
      <c r="AE42" s="887"/>
      <c r="AF42" s="887"/>
      <c r="AG42" s="887"/>
      <c r="AH42" s="887"/>
      <c r="AI42" s="887"/>
      <c r="AJ42" s="887"/>
      <c r="AK42" s="887"/>
      <c r="AL42" s="887"/>
      <c r="AM42" s="887"/>
      <c r="AN42" s="887"/>
      <c r="AO42" s="887"/>
      <c r="AP42" s="887"/>
    </row>
    <row r="43" spans="1:42" s="888" customFormat="1" ht="19.5" customHeight="1">
      <c r="A43" s="882">
        <v>26</v>
      </c>
      <c r="B43" s="833" t="str">
        <f>'TH KẾ TOÁN'!C33</f>
        <v>S501</v>
      </c>
      <c r="C43" s="833" t="str">
        <f>'TH KẾ TOÁN'!B33</f>
        <v>NVLKM01.048</v>
      </c>
      <c r="D43" s="882" t="s">
        <v>193</v>
      </c>
      <c r="E43" s="858">
        <f>'TH KẾ TOÁN'!K33</f>
        <v>3222</v>
      </c>
      <c r="F43" s="883">
        <f t="shared" si="0"/>
        <v>3222</v>
      </c>
      <c r="G43" s="883">
        <f t="shared" si="1"/>
        <v>3222</v>
      </c>
      <c r="H43" s="883">
        <f t="shared" si="2"/>
        <v>0</v>
      </c>
      <c r="I43" s="884"/>
      <c r="J43" s="885"/>
      <c r="K43" s="892">
        <v>0</v>
      </c>
      <c r="L43" s="1361"/>
      <c r="M43" s="887"/>
      <c r="N43" s="887"/>
      <c r="O43" s="887"/>
      <c r="P43" s="887"/>
      <c r="Q43" s="887"/>
      <c r="R43" s="887"/>
      <c r="S43" s="887"/>
      <c r="T43" s="887"/>
      <c r="U43" s="887"/>
      <c r="V43" s="887"/>
      <c r="W43" s="887"/>
      <c r="X43" s="887"/>
      <c r="Y43" s="887"/>
      <c r="Z43" s="887"/>
      <c r="AA43" s="887"/>
      <c r="AB43" s="887"/>
      <c r="AC43" s="887"/>
      <c r="AD43" s="887"/>
      <c r="AE43" s="887"/>
      <c r="AF43" s="887"/>
      <c r="AG43" s="887"/>
      <c r="AH43" s="887"/>
      <c r="AI43" s="887"/>
      <c r="AJ43" s="887"/>
      <c r="AK43" s="887"/>
      <c r="AL43" s="887"/>
      <c r="AM43" s="887"/>
      <c r="AN43" s="887"/>
      <c r="AO43" s="887"/>
      <c r="AP43" s="887"/>
    </row>
    <row r="44" spans="1:42" s="888" customFormat="1" ht="19.5" customHeight="1">
      <c r="A44" s="882">
        <v>27</v>
      </c>
      <c r="B44" s="833" t="str">
        <f>'TH KẾ TOÁN'!C34</f>
        <v>S250</v>
      </c>
      <c r="C44" s="833" t="str">
        <f>'TH KẾ TOÁN'!B34</f>
        <v>NVLKM01.049</v>
      </c>
      <c r="D44" s="882" t="s">
        <v>193</v>
      </c>
      <c r="E44" s="858">
        <f>'TH KẾ TOÁN'!K34</f>
        <v>4330</v>
      </c>
      <c r="F44" s="883">
        <f t="shared" si="0"/>
        <v>4330</v>
      </c>
      <c r="G44" s="883">
        <f t="shared" si="1"/>
        <v>4330</v>
      </c>
      <c r="H44" s="883">
        <f t="shared" si="2"/>
        <v>0</v>
      </c>
      <c r="I44" s="884"/>
      <c r="J44" s="885"/>
      <c r="K44" s="892">
        <v>0</v>
      </c>
      <c r="L44" s="1361"/>
      <c r="M44" s="887"/>
      <c r="N44" s="887"/>
      <c r="O44" s="887"/>
      <c r="P44" s="887"/>
      <c r="Q44" s="887"/>
      <c r="R44" s="887"/>
      <c r="S44" s="887"/>
      <c r="T44" s="887"/>
      <c r="U44" s="887"/>
      <c r="V44" s="887"/>
      <c r="W44" s="887"/>
      <c r="X44" s="887"/>
      <c r="Y44" s="887"/>
      <c r="Z44" s="887"/>
      <c r="AA44" s="887"/>
      <c r="AB44" s="887"/>
      <c r="AC44" s="887"/>
      <c r="AD44" s="887"/>
      <c r="AE44" s="887"/>
      <c r="AF44" s="887"/>
      <c r="AG44" s="887"/>
      <c r="AH44" s="887"/>
      <c r="AI44" s="887"/>
      <c r="AJ44" s="887"/>
      <c r="AK44" s="887"/>
      <c r="AL44" s="887"/>
      <c r="AM44" s="887"/>
      <c r="AN44" s="887"/>
      <c r="AO44" s="887"/>
      <c r="AP44" s="887"/>
    </row>
    <row r="45" spans="1:42" s="888" customFormat="1" ht="19.5" customHeight="1">
      <c r="A45" s="882">
        <v>28</v>
      </c>
      <c r="B45" s="833" t="str">
        <f>'TH KẾ TOÁN'!C35</f>
        <v>M004</v>
      </c>
      <c r="C45" s="833" t="str">
        <f>'TH KẾ TOÁN'!B35</f>
        <v>NVLKM01.051</v>
      </c>
      <c r="D45" s="882" t="s">
        <v>193</v>
      </c>
      <c r="E45" s="858">
        <f>'TH KẾ TOÁN'!K35</f>
        <v>0</v>
      </c>
      <c r="F45" s="883">
        <f t="shared" si="0"/>
        <v>0</v>
      </c>
      <c r="G45" s="883">
        <f t="shared" si="1"/>
        <v>0</v>
      </c>
      <c r="H45" s="883">
        <f t="shared" si="2"/>
        <v>0</v>
      </c>
      <c r="I45" s="884"/>
      <c r="J45" s="885"/>
      <c r="K45" s="892">
        <v>0</v>
      </c>
      <c r="L45" s="1361"/>
      <c r="M45" s="887"/>
      <c r="N45" s="887"/>
      <c r="O45" s="887"/>
      <c r="P45" s="887"/>
      <c r="Q45" s="887"/>
      <c r="R45" s="887"/>
      <c r="S45" s="887"/>
      <c r="T45" s="887"/>
      <c r="U45" s="887"/>
      <c r="V45" s="887"/>
      <c r="W45" s="887"/>
      <c r="X45" s="887"/>
      <c r="Y45" s="887"/>
      <c r="Z45" s="887"/>
      <c r="AA45" s="887"/>
      <c r="AB45" s="887"/>
      <c r="AC45" s="887"/>
      <c r="AD45" s="887"/>
      <c r="AE45" s="887"/>
      <c r="AF45" s="887"/>
      <c r="AG45" s="887"/>
      <c r="AH45" s="887"/>
      <c r="AI45" s="887"/>
      <c r="AJ45" s="887"/>
      <c r="AK45" s="887"/>
      <c r="AL45" s="887"/>
      <c r="AM45" s="887"/>
      <c r="AN45" s="887"/>
      <c r="AO45" s="887"/>
      <c r="AP45" s="887"/>
    </row>
    <row r="46" spans="1:42" s="888" customFormat="1" ht="19.5" customHeight="1">
      <c r="A46" s="882">
        <v>29</v>
      </c>
      <c r="B46" s="833" t="str">
        <f>'TH KẾ TOÁN'!C36</f>
        <v>S130</v>
      </c>
      <c r="C46" s="833" t="str">
        <f>'TH KẾ TOÁN'!B36</f>
        <v>NVLKM01.052</v>
      </c>
      <c r="D46" s="882" t="s">
        <v>193</v>
      </c>
      <c r="E46" s="858">
        <f>'TH KẾ TOÁN'!K36</f>
        <v>300</v>
      </c>
      <c r="F46" s="883">
        <f t="shared" si="0"/>
        <v>300</v>
      </c>
      <c r="G46" s="883">
        <f t="shared" si="1"/>
        <v>300</v>
      </c>
      <c r="H46" s="883">
        <f t="shared" si="2"/>
        <v>0</v>
      </c>
      <c r="I46" s="884"/>
      <c r="J46" s="885"/>
      <c r="K46" s="892">
        <v>0</v>
      </c>
      <c r="L46" s="1361"/>
      <c r="M46" s="887"/>
      <c r="N46" s="887"/>
      <c r="O46" s="887"/>
      <c r="P46" s="887"/>
      <c r="Q46" s="887"/>
      <c r="R46" s="887"/>
      <c r="S46" s="887"/>
      <c r="T46" s="887"/>
      <c r="U46" s="887"/>
      <c r="V46" s="887"/>
      <c r="W46" s="887"/>
      <c r="X46" s="887"/>
      <c r="Y46" s="887"/>
      <c r="Z46" s="887"/>
      <c r="AA46" s="887"/>
      <c r="AB46" s="887"/>
      <c r="AC46" s="887"/>
      <c r="AD46" s="887"/>
      <c r="AE46" s="887"/>
      <c r="AF46" s="887"/>
      <c r="AG46" s="887"/>
      <c r="AH46" s="887"/>
      <c r="AI46" s="887"/>
      <c r="AJ46" s="887"/>
      <c r="AK46" s="887"/>
      <c r="AL46" s="887"/>
      <c r="AM46" s="887"/>
      <c r="AN46" s="887"/>
      <c r="AO46" s="887"/>
      <c r="AP46" s="887"/>
    </row>
    <row r="47" spans="1:42" s="895" customFormat="1" ht="19.5" customHeight="1">
      <c r="A47" s="889">
        <v>30</v>
      </c>
      <c r="B47" s="856" t="str">
        <f>'TH KẾ TOÁN'!C37</f>
        <v>Men Frit HGE91</v>
      </c>
      <c r="C47" s="856" t="str">
        <f>'TH KẾ TOÁN'!B37</f>
        <v>NVLKM01.054</v>
      </c>
      <c r="D47" s="889" t="s">
        <v>193</v>
      </c>
      <c r="E47" s="858">
        <f>'TH KẾ TOÁN'!K37</f>
        <v>43381</v>
      </c>
      <c r="F47" s="883">
        <f>50*1350+989</f>
        <v>68489</v>
      </c>
      <c r="G47" s="883">
        <f t="shared" si="1"/>
        <v>67804.11</v>
      </c>
      <c r="H47" s="883">
        <f t="shared" si="2"/>
        <v>25108</v>
      </c>
      <c r="I47" s="890"/>
      <c r="J47" s="891"/>
      <c r="K47" s="892">
        <v>0.01</v>
      </c>
      <c r="L47" s="1368"/>
      <c r="M47" s="1362"/>
      <c r="N47" s="1362"/>
      <c r="O47" s="1362"/>
      <c r="P47" s="1362"/>
      <c r="Q47" s="1362"/>
      <c r="R47" s="1362"/>
      <c r="S47" s="1362"/>
      <c r="T47" s="1362"/>
      <c r="U47" s="1362"/>
      <c r="V47" s="1362"/>
      <c r="W47" s="1362"/>
      <c r="X47" s="1362"/>
      <c r="Y47" s="1362"/>
      <c r="Z47" s="1362"/>
      <c r="AA47" s="1362"/>
      <c r="AB47" s="1362"/>
      <c r="AC47" s="1362"/>
      <c r="AD47" s="1362"/>
      <c r="AE47" s="1362"/>
      <c r="AF47" s="1362"/>
      <c r="AG47" s="1362"/>
      <c r="AH47" s="1362"/>
      <c r="AI47" s="1362"/>
      <c r="AJ47" s="1362"/>
      <c r="AK47" s="1362"/>
      <c r="AL47" s="1362"/>
      <c r="AM47" s="1362"/>
      <c r="AN47" s="1362"/>
      <c r="AO47" s="1362"/>
      <c r="AP47" s="1362"/>
    </row>
    <row r="48" spans="1:42" s="888" customFormat="1" ht="19.5" customHeight="1">
      <c r="A48" s="882">
        <v>31</v>
      </c>
      <c r="B48" s="833" t="e">
        <f>'TH KẾ TOÁN'!#REF!</f>
        <v>#REF!</v>
      </c>
      <c r="C48" s="833" t="e">
        <f>'TH KẾ TOÁN'!#REF!</f>
        <v>#REF!</v>
      </c>
      <c r="D48" s="882" t="s">
        <v>193</v>
      </c>
      <c r="E48" s="858" t="e">
        <f>'TH KẾ TOÁN'!#REF!</f>
        <v>#REF!</v>
      </c>
      <c r="F48" s="883" t="e">
        <f t="shared" si="0"/>
        <v>#REF!</v>
      </c>
      <c r="G48" s="883" t="e">
        <f t="shared" si="1"/>
        <v>#REF!</v>
      </c>
      <c r="H48" s="883" t="e">
        <f t="shared" si="2"/>
        <v>#REF!</v>
      </c>
      <c r="I48" s="884"/>
      <c r="J48" s="885"/>
      <c r="K48" s="892">
        <v>0</v>
      </c>
      <c r="L48" s="1361"/>
      <c r="M48" s="887"/>
      <c r="N48" s="887"/>
      <c r="O48" s="887"/>
      <c r="P48" s="887"/>
      <c r="Q48" s="887"/>
      <c r="R48" s="887"/>
      <c r="S48" s="887"/>
      <c r="T48" s="887"/>
      <c r="U48" s="887"/>
      <c r="V48" s="887"/>
      <c r="W48" s="887"/>
      <c r="X48" s="887"/>
      <c r="Y48" s="887"/>
      <c r="Z48" s="887"/>
      <c r="AA48" s="887"/>
      <c r="AB48" s="887"/>
      <c r="AC48" s="887"/>
      <c r="AD48" s="887"/>
      <c r="AE48" s="887"/>
      <c r="AF48" s="887"/>
      <c r="AG48" s="887"/>
      <c r="AH48" s="887"/>
      <c r="AI48" s="887"/>
      <c r="AJ48" s="887"/>
      <c r="AK48" s="887"/>
      <c r="AL48" s="887"/>
      <c r="AM48" s="887"/>
      <c r="AN48" s="887"/>
      <c r="AO48" s="887"/>
      <c r="AP48" s="887"/>
    </row>
    <row r="49" spans="1:42" s="888" customFormat="1" ht="19.5" customHeight="1">
      <c r="A49" s="882">
        <v>32</v>
      </c>
      <c r="B49" s="833" t="str">
        <f>'TH KẾ TOÁN'!C38</f>
        <v>Men matt Glaze (MT-03VT)</v>
      </c>
      <c r="C49" s="833" t="str">
        <f>'TH KẾ TOÁN'!B38</f>
        <v>NVLKM01.056</v>
      </c>
      <c r="D49" s="882" t="s">
        <v>193</v>
      </c>
      <c r="E49" s="858">
        <f>'TH KẾ TOÁN'!K38</f>
        <v>760</v>
      </c>
      <c r="F49" s="883">
        <f t="shared" si="0"/>
        <v>760</v>
      </c>
      <c r="G49" s="883">
        <f t="shared" si="1"/>
        <v>760</v>
      </c>
      <c r="H49" s="883">
        <f t="shared" si="2"/>
        <v>0</v>
      </c>
      <c r="I49" s="884"/>
      <c r="J49" s="885"/>
      <c r="K49" s="892">
        <v>0</v>
      </c>
      <c r="L49" s="1361"/>
      <c r="M49" s="887"/>
      <c r="N49" s="887"/>
      <c r="O49" s="887"/>
      <c r="P49" s="887"/>
      <c r="Q49" s="887"/>
      <c r="R49" s="887"/>
      <c r="S49" s="887"/>
      <c r="T49" s="887"/>
      <c r="U49" s="887"/>
      <c r="V49" s="887"/>
      <c r="W49" s="887"/>
      <c r="X49" s="887"/>
      <c r="Y49" s="887"/>
      <c r="Z49" s="887"/>
      <c r="AA49" s="887"/>
      <c r="AB49" s="887"/>
      <c r="AC49" s="887"/>
      <c r="AD49" s="887"/>
      <c r="AE49" s="887"/>
      <c r="AF49" s="887"/>
      <c r="AG49" s="887"/>
      <c r="AH49" s="887"/>
      <c r="AI49" s="887"/>
      <c r="AJ49" s="887"/>
      <c r="AK49" s="887"/>
      <c r="AL49" s="887"/>
      <c r="AM49" s="887"/>
      <c r="AN49" s="887"/>
      <c r="AO49" s="887"/>
      <c r="AP49" s="887"/>
    </row>
    <row r="50" spans="1:42" s="888" customFormat="1" ht="19.5" customHeight="1">
      <c r="A50" s="882">
        <v>33</v>
      </c>
      <c r="B50" s="833" t="str">
        <f>'TH KẾ TOÁN'!C39</f>
        <v>Men Frit Y-327</v>
      </c>
      <c r="C50" s="833" t="str">
        <f>'TH KẾ TOÁN'!B39</f>
        <v>NVLKM01.057</v>
      </c>
      <c r="D50" s="882" t="s">
        <v>193</v>
      </c>
      <c r="E50" s="858">
        <f>'TH KẾ TOÁN'!K39</f>
        <v>100</v>
      </c>
      <c r="F50" s="883">
        <f t="shared" si="0"/>
        <v>100</v>
      </c>
      <c r="G50" s="883">
        <f t="shared" si="1"/>
        <v>100</v>
      </c>
      <c r="H50" s="883">
        <f t="shared" si="2"/>
        <v>0</v>
      </c>
      <c r="I50" s="884"/>
      <c r="J50" s="885"/>
      <c r="K50" s="892">
        <v>0</v>
      </c>
      <c r="L50" s="1361"/>
      <c r="M50" s="887"/>
      <c r="N50" s="887"/>
      <c r="O50" s="887"/>
      <c r="P50" s="887"/>
      <c r="Q50" s="887"/>
      <c r="R50" s="887"/>
      <c r="S50" s="887"/>
      <c r="T50" s="887"/>
      <c r="U50" s="887"/>
      <c r="V50" s="887"/>
      <c r="W50" s="887"/>
      <c r="X50" s="887"/>
      <c r="Y50" s="887"/>
      <c r="Z50" s="887"/>
      <c r="AA50" s="887"/>
      <c r="AB50" s="887"/>
      <c r="AC50" s="887"/>
      <c r="AD50" s="887"/>
      <c r="AE50" s="887"/>
      <c r="AF50" s="887"/>
      <c r="AG50" s="887"/>
      <c r="AH50" s="887"/>
      <c r="AI50" s="887"/>
      <c r="AJ50" s="887"/>
      <c r="AK50" s="887"/>
      <c r="AL50" s="887"/>
      <c r="AM50" s="887"/>
      <c r="AN50" s="887"/>
      <c r="AO50" s="887"/>
      <c r="AP50" s="887"/>
    </row>
    <row r="51" spans="1:42" s="888" customFormat="1" ht="19.5" customHeight="1">
      <c r="A51" s="882">
        <v>34</v>
      </c>
      <c r="B51" s="833" t="str">
        <f>'TH KẾ TOÁN'!C40</f>
        <v>Men matt Frit (MT-812)</v>
      </c>
      <c r="C51" s="833" t="str">
        <f>'TH KẾ TOÁN'!B40</f>
        <v>NVLKM01.058</v>
      </c>
      <c r="D51" s="882" t="s">
        <v>193</v>
      </c>
      <c r="E51" s="858">
        <f>'TH KẾ TOÁN'!K40</f>
        <v>3400</v>
      </c>
      <c r="F51" s="883">
        <f t="shared" si="0"/>
        <v>3400</v>
      </c>
      <c r="G51" s="883">
        <f t="shared" si="1"/>
        <v>3400</v>
      </c>
      <c r="H51" s="883">
        <f t="shared" si="2"/>
        <v>0</v>
      </c>
      <c r="I51" s="884"/>
      <c r="J51" s="885"/>
      <c r="K51" s="892">
        <v>0</v>
      </c>
      <c r="L51" s="1361"/>
      <c r="M51" s="887"/>
      <c r="N51" s="887"/>
      <c r="O51" s="887"/>
      <c r="P51" s="887"/>
      <c r="Q51" s="887"/>
      <c r="R51" s="887"/>
      <c r="S51" s="887"/>
      <c r="T51" s="887"/>
      <c r="U51" s="887"/>
      <c r="V51" s="887"/>
      <c r="W51" s="887"/>
      <c r="X51" s="887"/>
      <c r="Y51" s="887"/>
      <c r="Z51" s="887"/>
      <c r="AA51" s="887"/>
      <c r="AB51" s="887"/>
      <c r="AC51" s="887"/>
      <c r="AD51" s="887"/>
      <c r="AE51" s="887"/>
      <c r="AF51" s="887"/>
      <c r="AG51" s="887"/>
      <c r="AH51" s="887"/>
      <c r="AI51" s="887"/>
      <c r="AJ51" s="887"/>
      <c r="AK51" s="887"/>
      <c r="AL51" s="887"/>
      <c r="AM51" s="887"/>
      <c r="AN51" s="887"/>
      <c r="AO51" s="887"/>
      <c r="AP51" s="887"/>
    </row>
    <row r="52" spans="1:42" s="888" customFormat="1" ht="19.5" customHeight="1">
      <c r="A52" s="882">
        <v>35</v>
      </c>
      <c r="B52" s="833" t="str">
        <f>'TH KẾ TOÁN'!C41</f>
        <v>BF002A</v>
      </c>
      <c r="C52" s="833" t="str">
        <f>'TH KẾ TOÁN'!B41</f>
        <v>NVLKM01.059</v>
      </c>
      <c r="D52" s="882" t="s">
        <v>193</v>
      </c>
      <c r="E52" s="858">
        <f>'TH KẾ TOÁN'!K41</f>
        <v>0</v>
      </c>
      <c r="F52" s="883">
        <f t="shared" si="0"/>
        <v>0</v>
      </c>
      <c r="G52" s="883">
        <f t="shared" si="1"/>
        <v>0</v>
      </c>
      <c r="H52" s="883">
        <f t="shared" si="2"/>
        <v>0</v>
      </c>
      <c r="I52" s="884"/>
      <c r="J52" s="885"/>
      <c r="K52" s="892">
        <v>0</v>
      </c>
      <c r="L52" s="1361"/>
      <c r="M52" s="887"/>
      <c r="N52" s="887"/>
      <c r="O52" s="887"/>
      <c r="P52" s="887"/>
      <c r="Q52" s="887"/>
      <c r="R52" s="887"/>
      <c r="S52" s="887"/>
      <c r="T52" s="887"/>
      <c r="U52" s="887"/>
      <c r="V52" s="887"/>
      <c r="W52" s="887"/>
      <c r="X52" s="887"/>
      <c r="Y52" s="887"/>
      <c r="Z52" s="887"/>
      <c r="AA52" s="887"/>
      <c r="AB52" s="887"/>
      <c r="AC52" s="887"/>
      <c r="AD52" s="887"/>
      <c r="AE52" s="887"/>
      <c r="AF52" s="887"/>
      <c r="AG52" s="887"/>
      <c r="AH52" s="887"/>
      <c r="AI52" s="887"/>
      <c r="AJ52" s="887"/>
      <c r="AK52" s="887"/>
      <c r="AL52" s="887"/>
      <c r="AM52" s="887"/>
      <c r="AN52" s="887"/>
      <c r="AO52" s="887"/>
      <c r="AP52" s="887"/>
    </row>
    <row r="53" spans="1:42" s="888" customFormat="1" ht="19.5" customHeight="1">
      <c r="A53" s="882">
        <v>36</v>
      </c>
      <c r="B53" s="833" t="str">
        <f>'TH KẾ TOÁN'!C43</f>
        <v>CMC S50</v>
      </c>
      <c r="C53" s="833" t="str">
        <f>'TH KẾ TOÁN'!B43</f>
        <v>NVLKM01.064</v>
      </c>
      <c r="D53" s="882" t="s">
        <v>193</v>
      </c>
      <c r="E53" s="858">
        <f>'TH KẾ TOÁN'!K43</f>
        <v>810</v>
      </c>
      <c r="F53" s="883">
        <f t="shared" si="0"/>
        <v>810</v>
      </c>
      <c r="G53" s="883">
        <f t="shared" si="1"/>
        <v>810</v>
      </c>
      <c r="H53" s="883">
        <f t="shared" si="2"/>
        <v>0</v>
      </c>
      <c r="I53" s="884"/>
      <c r="J53" s="885"/>
      <c r="K53" s="892">
        <v>0</v>
      </c>
      <c r="L53" s="1361"/>
      <c r="M53" s="887"/>
      <c r="N53" s="887"/>
      <c r="O53" s="887"/>
      <c r="P53" s="887"/>
      <c r="Q53" s="887"/>
      <c r="R53" s="887"/>
      <c r="S53" s="887"/>
      <c r="T53" s="887"/>
      <c r="U53" s="887"/>
      <c r="V53" s="887"/>
      <c r="W53" s="887"/>
      <c r="X53" s="887"/>
      <c r="Y53" s="887"/>
      <c r="Z53" s="887"/>
      <c r="AA53" s="887"/>
      <c r="AB53" s="887"/>
      <c r="AC53" s="887"/>
      <c r="AD53" s="887"/>
      <c r="AE53" s="887"/>
      <c r="AF53" s="887"/>
      <c r="AG53" s="887"/>
      <c r="AH53" s="887"/>
      <c r="AI53" s="887"/>
      <c r="AJ53" s="887"/>
      <c r="AK53" s="887"/>
      <c r="AL53" s="887"/>
      <c r="AM53" s="887"/>
      <c r="AN53" s="887"/>
      <c r="AO53" s="887"/>
      <c r="AP53" s="887"/>
    </row>
    <row r="54" spans="1:42" s="888" customFormat="1" ht="19.5" customHeight="1">
      <c r="A54" s="882">
        <v>37</v>
      </c>
      <c r="B54" s="833" t="str">
        <f>'TH KẾ TOÁN'!C44</f>
        <v>CMC G30</v>
      </c>
      <c r="C54" s="833" t="str">
        <f>'TH KẾ TOÁN'!B44</f>
        <v>NVLKM01.065</v>
      </c>
      <c r="D54" s="882" t="s">
        <v>193</v>
      </c>
      <c r="E54" s="858">
        <f>'TH KẾ TOÁN'!K44</f>
        <v>25</v>
      </c>
      <c r="F54" s="883">
        <f t="shared" si="0"/>
        <v>25</v>
      </c>
      <c r="G54" s="883">
        <f t="shared" si="1"/>
        <v>25</v>
      </c>
      <c r="H54" s="883">
        <f t="shared" si="2"/>
        <v>0</v>
      </c>
      <c r="I54" s="884"/>
      <c r="J54" s="885"/>
      <c r="K54" s="892">
        <v>0</v>
      </c>
      <c r="L54" s="1361"/>
      <c r="M54" s="887"/>
      <c r="N54" s="887"/>
      <c r="O54" s="887"/>
      <c r="P54" s="887"/>
      <c r="Q54" s="887"/>
      <c r="R54" s="887"/>
      <c r="S54" s="887"/>
      <c r="T54" s="887"/>
      <c r="U54" s="887"/>
      <c r="V54" s="887"/>
      <c r="W54" s="887"/>
      <c r="X54" s="887"/>
      <c r="Y54" s="887"/>
      <c r="Z54" s="887"/>
      <c r="AA54" s="887"/>
      <c r="AB54" s="887"/>
      <c r="AC54" s="887"/>
      <c r="AD54" s="887"/>
      <c r="AE54" s="887"/>
      <c r="AF54" s="887"/>
      <c r="AG54" s="887"/>
      <c r="AH54" s="887"/>
      <c r="AI54" s="887"/>
      <c r="AJ54" s="887"/>
      <c r="AK54" s="887"/>
      <c r="AL54" s="887"/>
      <c r="AM54" s="887"/>
      <c r="AN54" s="887"/>
      <c r="AO54" s="887"/>
      <c r="AP54" s="887"/>
    </row>
    <row r="55" spans="1:42" s="888" customFormat="1" ht="19.5" customHeight="1">
      <c r="A55" s="882">
        <v>38</v>
      </c>
      <c r="B55" s="833" t="str">
        <f>'TH KẾ TOÁN'!C45</f>
        <v>Men gốm sứ FO118</v>
      </c>
      <c r="C55" s="833" t="str">
        <f>'TH KẾ TOÁN'!B45</f>
        <v>NVLKM01.066</v>
      </c>
      <c r="D55" s="882" t="s">
        <v>193</v>
      </c>
      <c r="E55" s="858">
        <f>'TH KẾ TOÁN'!K45</f>
        <v>63899</v>
      </c>
      <c r="F55" s="883">
        <f>25*1250</f>
        <v>31250</v>
      </c>
      <c r="G55" s="883">
        <f t="shared" si="1"/>
        <v>30937.5</v>
      </c>
      <c r="H55" s="883">
        <f t="shared" si="2"/>
        <v>-32649</v>
      </c>
      <c r="I55" s="884"/>
      <c r="J55" s="885"/>
      <c r="K55" s="892">
        <v>0.01</v>
      </c>
      <c r="L55" s="1361"/>
      <c r="M55" s="887"/>
      <c r="N55" s="887"/>
      <c r="O55" s="887"/>
      <c r="P55" s="887"/>
      <c r="Q55" s="887"/>
      <c r="R55" s="887"/>
      <c r="S55" s="887"/>
      <c r="T55" s="887"/>
      <c r="U55" s="887"/>
      <c r="V55" s="887"/>
      <c r="W55" s="887"/>
      <c r="X55" s="887"/>
      <c r="Y55" s="887"/>
      <c r="Z55" s="887"/>
      <c r="AA55" s="887"/>
      <c r="AB55" s="887"/>
      <c r="AC55" s="887"/>
      <c r="AD55" s="887"/>
      <c r="AE55" s="887"/>
      <c r="AF55" s="887"/>
      <c r="AG55" s="887"/>
      <c r="AH55" s="887"/>
      <c r="AI55" s="887"/>
      <c r="AJ55" s="887"/>
      <c r="AK55" s="887"/>
      <c r="AL55" s="887"/>
      <c r="AM55" s="887"/>
      <c r="AN55" s="887"/>
      <c r="AO55" s="887"/>
      <c r="AP55" s="887"/>
    </row>
    <row r="56" spans="1:42" s="888" customFormat="1" ht="19.5" customHeight="1">
      <c r="A56" s="882">
        <v>39</v>
      </c>
      <c r="B56" s="833" t="str">
        <f>'TH KẾ TOÁN'!C46</f>
        <v>Men lót SUGAR</v>
      </c>
      <c r="C56" s="833" t="str">
        <f>'TH KẾ TOÁN'!B46</f>
        <v>NVLKM01.067</v>
      </c>
      <c r="D56" s="882" t="s">
        <v>193</v>
      </c>
      <c r="E56" s="858">
        <f>'TH KẾ TOÁN'!K46</f>
        <v>223</v>
      </c>
      <c r="F56" s="883">
        <f t="shared" si="0"/>
        <v>223</v>
      </c>
      <c r="G56" s="883">
        <f t="shared" si="1"/>
        <v>221.66200000000001</v>
      </c>
      <c r="H56" s="883">
        <f t="shared" si="2"/>
        <v>0</v>
      </c>
      <c r="I56" s="884"/>
      <c r="J56" s="885"/>
      <c r="K56" s="892">
        <v>6.0000000000000001E-3</v>
      </c>
      <c r="L56" s="1361"/>
      <c r="M56" s="887"/>
      <c r="N56" s="887"/>
      <c r="O56" s="887"/>
      <c r="P56" s="887"/>
      <c r="Q56" s="887"/>
      <c r="R56" s="887"/>
      <c r="S56" s="887"/>
      <c r="T56" s="887"/>
      <c r="U56" s="887"/>
      <c r="V56" s="887"/>
      <c r="W56" s="887"/>
      <c r="X56" s="887"/>
      <c r="Y56" s="887"/>
      <c r="Z56" s="887"/>
      <c r="AA56" s="887"/>
      <c r="AB56" s="887"/>
      <c r="AC56" s="887"/>
      <c r="AD56" s="887"/>
      <c r="AE56" s="887"/>
      <c r="AF56" s="887"/>
      <c r="AG56" s="887"/>
      <c r="AH56" s="887"/>
      <c r="AI56" s="887"/>
      <c r="AJ56" s="887"/>
      <c r="AK56" s="887"/>
      <c r="AL56" s="887"/>
      <c r="AM56" s="887"/>
      <c r="AN56" s="887"/>
      <c r="AO56" s="887"/>
      <c r="AP56" s="887"/>
    </row>
    <row r="57" spans="1:42" s="888" customFormat="1" ht="19.5" customHeight="1">
      <c r="A57" s="882">
        <v>40</v>
      </c>
      <c r="B57" s="833" t="str">
        <f>'TH KẾ TOÁN'!C47</f>
        <v>Frit VM06</v>
      </c>
      <c r="C57" s="833" t="str">
        <f>'TH KẾ TOÁN'!B47</f>
        <v>NVLKM01.069</v>
      </c>
      <c r="D57" s="882" t="s">
        <v>193</v>
      </c>
      <c r="E57" s="858">
        <f>'TH KẾ TOÁN'!K47</f>
        <v>23895</v>
      </c>
      <c r="F57" s="883">
        <f>13*1250</f>
        <v>16250</v>
      </c>
      <c r="G57" s="883">
        <f t="shared" si="1"/>
        <v>16136.25</v>
      </c>
      <c r="H57" s="883">
        <f t="shared" si="2"/>
        <v>-7645</v>
      </c>
      <c r="I57" s="884"/>
      <c r="J57" s="885"/>
      <c r="K57" s="892">
        <v>7.0000000000000001E-3</v>
      </c>
      <c r="L57" s="1361"/>
      <c r="M57" s="887"/>
      <c r="N57" s="887"/>
      <c r="O57" s="887"/>
      <c r="P57" s="887"/>
      <c r="Q57" s="887"/>
      <c r="R57" s="887"/>
      <c r="S57" s="887"/>
      <c r="T57" s="887"/>
      <c r="U57" s="887"/>
      <c r="V57" s="887"/>
      <c r="W57" s="887"/>
      <c r="X57" s="887"/>
      <c r="Y57" s="887"/>
      <c r="Z57" s="887"/>
      <c r="AA57" s="887"/>
      <c r="AB57" s="887"/>
      <c r="AC57" s="887"/>
      <c r="AD57" s="887"/>
      <c r="AE57" s="887"/>
      <c r="AF57" s="887"/>
      <c r="AG57" s="887"/>
      <c r="AH57" s="887"/>
      <c r="AI57" s="887"/>
      <c r="AJ57" s="887"/>
      <c r="AK57" s="887"/>
      <c r="AL57" s="887"/>
      <c r="AM57" s="887"/>
      <c r="AN57" s="887"/>
      <c r="AO57" s="887"/>
      <c r="AP57" s="887"/>
    </row>
    <row r="58" spans="1:42" s="888" customFormat="1" ht="19.5" customHeight="1">
      <c r="A58" s="882">
        <v>41</v>
      </c>
      <c r="B58" s="833" t="str">
        <f>'TH KẾ TOÁN'!C48</f>
        <v>Frit VM01 DC</v>
      </c>
      <c r="C58" s="833" t="str">
        <f>'TH KẾ TOÁN'!B48</f>
        <v>NVLKM01.070</v>
      </c>
      <c r="D58" s="882" t="s">
        <v>193</v>
      </c>
      <c r="E58" s="858">
        <f>'TH KẾ TOÁN'!K48</f>
        <v>32866</v>
      </c>
      <c r="F58" s="883">
        <f>E58</f>
        <v>32866</v>
      </c>
      <c r="G58" s="883">
        <f t="shared" si="1"/>
        <v>32537.34</v>
      </c>
      <c r="H58" s="883">
        <f t="shared" si="2"/>
        <v>0</v>
      </c>
      <c r="I58" s="884"/>
      <c r="J58" s="885"/>
      <c r="K58" s="892">
        <v>0.01</v>
      </c>
      <c r="L58" s="1361"/>
      <c r="M58" s="887"/>
      <c r="N58" s="887"/>
      <c r="O58" s="887"/>
      <c r="P58" s="887"/>
      <c r="Q58" s="887"/>
      <c r="R58" s="887"/>
      <c r="S58" s="887"/>
      <c r="T58" s="887"/>
      <c r="U58" s="887"/>
      <c r="V58" s="887"/>
      <c r="W58" s="887"/>
      <c r="X58" s="887"/>
      <c r="Y58" s="887"/>
      <c r="Z58" s="887"/>
      <c r="AA58" s="887"/>
      <c r="AB58" s="887"/>
      <c r="AC58" s="887"/>
      <c r="AD58" s="887"/>
      <c r="AE58" s="887"/>
      <c r="AF58" s="887"/>
      <c r="AG58" s="887"/>
      <c r="AH58" s="887"/>
      <c r="AI58" s="887"/>
      <c r="AJ58" s="887"/>
      <c r="AK58" s="887"/>
      <c r="AL58" s="887"/>
      <c r="AM58" s="887"/>
      <c r="AN58" s="887"/>
      <c r="AO58" s="887"/>
      <c r="AP58" s="887"/>
    </row>
    <row r="59" spans="1:42" s="888" customFormat="1" ht="19.5" customHeight="1">
      <c r="A59" s="882">
        <v>42</v>
      </c>
      <c r="B59" s="833" t="str">
        <f>'TH KẾ TOÁN'!C49</f>
        <v>Frit 288</v>
      </c>
      <c r="C59" s="833" t="str">
        <f>'TH KẾ TOÁN'!B49</f>
        <v>NVLKM01.071</v>
      </c>
      <c r="D59" s="882" t="s">
        <v>193</v>
      </c>
      <c r="E59" s="858">
        <f>'TH KẾ TOÁN'!K49</f>
        <v>41648</v>
      </c>
      <c r="F59" s="883">
        <v>42100</v>
      </c>
      <c r="G59" s="883">
        <f t="shared" si="1"/>
        <v>41889.5</v>
      </c>
      <c r="H59" s="883">
        <f t="shared" si="2"/>
        <v>452</v>
      </c>
      <c r="I59" s="884"/>
      <c r="J59" s="885"/>
      <c r="K59" s="892">
        <v>5.0000000000000001E-3</v>
      </c>
      <c r="L59" s="1361"/>
      <c r="M59" s="887"/>
      <c r="N59" s="887"/>
      <c r="O59" s="887"/>
      <c r="P59" s="887"/>
      <c r="Q59" s="887"/>
      <c r="R59" s="887"/>
      <c r="S59" s="887"/>
      <c r="T59" s="887"/>
      <c r="U59" s="887"/>
      <c r="V59" s="887"/>
      <c r="W59" s="887"/>
      <c r="X59" s="887"/>
      <c r="Y59" s="887"/>
      <c r="Z59" s="887"/>
      <c r="AA59" s="887"/>
      <c r="AB59" s="887"/>
      <c r="AC59" s="887"/>
      <c r="AD59" s="887"/>
      <c r="AE59" s="887"/>
      <c r="AF59" s="887"/>
      <c r="AG59" s="887"/>
      <c r="AH59" s="887"/>
      <c r="AI59" s="887"/>
      <c r="AJ59" s="887"/>
      <c r="AK59" s="887"/>
      <c r="AL59" s="887"/>
      <c r="AM59" s="887"/>
      <c r="AN59" s="887"/>
      <c r="AO59" s="887"/>
      <c r="AP59" s="887"/>
    </row>
    <row r="60" spans="1:42" s="888" customFormat="1" ht="19.5" customHeight="1">
      <c r="A60" s="882">
        <v>43</v>
      </c>
      <c r="B60" s="833" t="str">
        <f>'TH KẾ TOÁN'!C50</f>
        <v>Cao lanh N1A</v>
      </c>
      <c r="C60" s="833" t="str">
        <f>'TH KẾ TOÁN'!B50</f>
        <v>NVLKM01.072</v>
      </c>
      <c r="D60" s="882" t="s">
        <v>193</v>
      </c>
      <c r="E60" s="858">
        <f>'TH KẾ TOÁN'!K50</f>
        <v>2505</v>
      </c>
      <c r="F60" s="883">
        <v>0</v>
      </c>
      <c r="G60" s="883">
        <f t="shared" si="1"/>
        <v>0</v>
      </c>
      <c r="H60" s="883">
        <f t="shared" si="2"/>
        <v>-2505</v>
      </c>
      <c r="I60" s="884"/>
      <c r="J60" s="885"/>
      <c r="K60" s="892">
        <v>0</v>
      </c>
      <c r="L60" s="1361"/>
      <c r="M60" s="887"/>
      <c r="N60" s="887"/>
      <c r="O60" s="887"/>
      <c r="P60" s="887"/>
      <c r="Q60" s="887"/>
      <c r="R60" s="887"/>
      <c r="S60" s="887"/>
      <c r="T60" s="887"/>
      <c r="U60" s="887"/>
      <c r="V60" s="887"/>
      <c r="W60" s="887"/>
      <c r="X60" s="887"/>
      <c r="Y60" s="887"/>
      <c r="Z60" s="887"/>
      <c r="AA60" s="887"/>
      <c r="AB60" s="887"/>
      <c r="AC60" s="887"/>
      <c r="AD60" s="887"/>
      <c r="AE60" s="887"/>
      <c r="AF60" s="887"/>
      <c r="AG60" s="887"/>
      <c r="AH60" s="887"/>
      <c r="AI60" s="887"/>
      <c r="AJ60" s="887"/>
      <c r="AK60" s="887"/>
      <c r="AL60" s="887"/>
      <c r="AM60" s="887"/>
      <c r="AN60" s="887"/>
      <c r="AO60" s="887"/>
      <c r="AP60" s="887"/>
    </row>
    <row r="61" spans="1:42" s="888" customFormat="1" ht="19.5" customHeight="1">
      <c r="A61" s="882">
        <v>44</v>
      </c>
      <c r="B61" s="833" t="str">
        <f>'TH KẾ TOÁN'!C51</f>
        <v>Frit VS28</v>
      </c>
      <c r="C61" s="833" t="str">
        <f>'TH KẾ TOÁN'!B51</f>
        <v>NVLKM01.073</v>
      </c>
      <c r="D61" s="882" t="s">
        <v>193</v>
      </c>
      <c r="E61" s="858">
        <f>'TH KẾ TOÁN'!K51</f>
        <v>17250</v>
      </c>
      <c r="F61" s="883">
        <f>E61</f>
        <v>17250</v>
      </c>
      <c r="G61" s="883">
        <f t="shared" si="1"/>
        <v>17129.25</v>
      </c>
      <c r="H61" s="883">
        <f t="shared" si="2"/>
        <v>0</v>
      </c>
      <c r="I61" s="884"/>
      <c r="J61" s="885"/>
      <c r="K61" s="892">
        <v>7.0000000000000001E-3</v>
      </c>
      <c r="L61" s="1361"/>
      <c r="M61" s="887"/>
      <c r="N61" s="887"/>
      <c r="O61" s="887"/>
      <c r="P61" s="887"/>
      <c r="Q61" s="887"/>
      <c r="R61" s="887"/>
      <c r="S61" s="887"/>
      <c r="T61" s="887"/>
      <c r="U61" s="887"/>
      <c r="V61" s="887"/>
      <c r="W61" s="887"/>
      <c r="X61" s="887"/>
      <c r="Y61" s="887"/>
      <c r="Z61" s="887"/>
      <c r="AA61" s="887"/>
      <c r="AB61" s="887"/>
      <c r="AC61" s="887"/>
      <c r="AD61" s="887"/>
      <c r="AE61" s="887"/>
      <c r="AF61" s="887"/>
      <c r="AG61" s="887"/>
      <c r="AH61" s="887"/>
      <c r="AI61" s="887"/>
      <c r="AJ61" s="887"/>
      <c r="AK61" s="887"/>
      <c r="AL61" s="887"/>
      <c r="AM61" s="887"/>
      <c r="AN61" s="887"/>
      <c r="AO61" s="887"/>
      <c r="AP61" s="887"/>
    </row>
    <row r="62" spans="1:42" s="888" customFormat="1" ht="19.5" customHeight="1">
      <c r="A62" s="882">
        <v>45</v>
      </c>
      <c r="B62" s="833" t="str">
        <f>'TH KẾ TOÁN'!C52</f>
        <v>Frit VS68</v>
      </c>
      <c r="C62" s="833" t="str">
        <f>'TH KẾ TOÁN'!B52</f>
        <v>NVLKM01.074</v>
      </c>
      <c r="D62" s="882" t="s">
        <v>193</v>
      </c>
      <c r="E62" s="858">
        <f>'TH KẾ TOÁN'!K52</f>
        <v>36878</v>
      </c>
      <c r="F62" s="883">
        <f>E62</f>
        <v>36878</v>
      </c>
      <c r="G62" s="883">
        <f>F62-(F62*K62)</f>
        <v>36619.853999999999</v>
      </c>
      <c r="H62" s="883">
        <f t="shared" si="2"/>
        <v>0</v>
      </c>
      <c r="I62" s="884"/>
      <c r="J62" s="885"/>
      <c r="K62" s="892">
        <v>7.0000000000000001E-3</v>
      </c>
      <c r="L62" s="1361"/>
      <c r="M62" s="887"/>
      <c r="N62" s="887"/>
      <c r="O62" s="887"/>
      <c r="P62" s="887"/>
      <c r="Q62" s="887"/>
      <c r="R62" s="887"/>
      <c r="S62" s="887"/>
      <c r="T62" s="887"/>
      <c r="U62" s="887"/>
      <c r="V62" s="887"/>
      <c r="W62" s="887"/>
      <c r="X62" s="887"/>
      <c r="Y62" s="887"/>
      <c r="Z62" s="887"/>
      <c r="AA62" s="887"/>
      <c r="AB62" s="887"/>
      <c r="AC62" s="887"/>
      <c r="AD62" s="887"/>
      <c r="AE62" s="887"/>
      <c r="AF62" s="887"/>
      <c r="AG62" s="887"/>
      <c r="AH62" s="887"/>
      <c r="AI62" s="887"/>
      <c r="AJ62" s="887"/>
      <c r="AK62" s="887"/>
      <c r="AL62" s="887"/>
      <c r="AM62" s="887"/>
      <c r="AN62" s="887"/>
      <c r="AO62" s="887"/>
      <c r="AP62" s="887"/>
    </row>
    <row r="63" spans="1:42" s="888" customFormat="1" ht="19.5" customHeight="1">
      <c r="A63" s="882">
        <v>46</v>
      </c>
      <c r="B63" s="833" t="str">
        <f>'TH KẾ TOÁN'!C53</f>
        <v>Phụ gia điện giải cho men- DEF 305</v>
      </c>
      <c r="C63" s="833" t="str">
        <f>'TH KẾ TOÁN'!B53</f>
        <v>NVLKM01.075</v>
      </c>
      <c r="D63" s="882" t="s">
        <v>193</v>
      </c>
      <c r="E63" s="858">
        <f>'TH KẾ TOÁN'!K53</f>
        <v>1000</v>
      </c>
      <c r="F63" s="883">
        <v>0</v>
      </c>
      <c r="G63" s="883">
        <f t="shared" si="1"/>
        <v>0</v>
      </c>
      <c r="H63" s="883">
        <f t="shared" si="2"/>
        <v>-1000</v>
      </c>
      <c r="I63" s="884"/>
      <c r="J63" s="885"/>
      <c r="K63" s="892">
        <v>0</v>
      </c>
      <c r="L63" s="1361"/>
      <c r="M63" s="887"/>
      <c r="N63" s="887"/>
      <c r="O63" s="887"/>
      <c r="P63" s="887"/>
      <c r="Q63" s="887"/>
      <c r="R63" s="887"/>
      <c r="S63" s="887"/>
      <c r="T63" s="887"/>
      <c r="U63" s="887"/>
      <c r="V63" s="887"/>
      <c r="W63" s="887"/>
      <c r="X63" s="887"/>
      <c r="Y63" s="887"/>
      <c r="Z63" s="887"/>
      <c r="AA63" s="887"/>
      <c r="AB63" s="887"/>
      <c r="AC63" s="887"/>
      <c r="AD63" s="887"/>
      <c r="AE63" s="887"/>
      <c r="AF63" s="887"/>
      <c r="AG63" s="887"/>
      <c r="AH63" s="887"/>
      <c r="AI63" s="887"/>
      <c r="AJ63" s="887"/>
      <c r="AK63" s="887"/>
      <c r="AL63" s="887"/>
      <c r="AM63" s="887"/>
      <c r="AN63" s="887"/>
      <c r="AO63" s="887"/>
      <c r="AP63" s="887"/>
    </row>
    <row r="64" spans="1:42" s="888" customFormat="1" ht="19.5" customHeight="1">
      <c r="A64" s="882">
        <v>47</v>
      </c>
      <c r="B64" s="833" t="str">
        <f>'TH KẾ TOÁN'!C54</f>
        <v>Frit 1089</v>
      </c>
      <c r="C64" s="833" t="str">
        <f>'TH KẾ TOÁN'!B54</f>
        <v>NVLKM01.076</v>
      </c>
      <c r="D64" s="882" t="s">
        <v>193</v>
      </c>
      <c r="E64" s="858">
        <f>'TH KẾ TOÁN'!K54</f>
        <v>0</v>
      </c>
      <c r="F64" s="883">
        <v>0</v>
      </c>
      <c r="G64" s="883">
        <f t="shared" si="1"/>
        <v>0</v>
      </c>
      <c r="H64" s="883">
        <f t="shared" si="2"/>
        <v>0</v>
      </c>
      <c r="I64" s="884"/>
      <c r="J64" s="885"/>
      <c r="K64" s="892">
        <v>0</v>
      </c>
      <c r="L64" s="1361"/>
      <c r="M64" s="887"/>
      <c r="N64" s="887"/>
      <c r="O64" s="887"/>
      <c r="P64" s="887"/>
      <c r="Q64" s="887"/>
      <c r="R64" s="887"/>
      <c r="S64" s="887"/>
      <c r="T64" s="887"/>
      <c r="U64" s="887"/>
      <c r="V64" s="887"/>
      <c r="W64" s="887"/>
      <c r="X64" s="887"/>
      <c r="Y64" s="887"/>
      <c r="Z64" s="887"/>
      <c r="AA64" s="887"/>
      <c r="AB64" s="887"/>
      <c r="AC64" s="887"/>
      <c r="AD64" s="887"/>
      <c r="AE64" s="887"/>
      <c r="AF64" s="887"/>
      <c r="AG64" s="887"/>
      <c r="AH64" s="887"/>
      <c r="AI64" s="887"/>
      <c r="AJ64" s="887"/>
      <c r="AK64" s="887"/>
      <c r="AL64" s="887"/>
      <c r="AM64" s="887"/>
      <c r="AN64" s="887"/>
      <c r="AO64" s="887"/>
      <c r="AP64" s="887"/>
    </row>
    <row r="65" spans="1:42" s="888" customFormat="1" ht="19.5" customHeight="1">
      <c r="A65" s="882">
        <v>48</v>
      </c>
      <c r="B65" s="833" t="str">
        <f>'TH KẾ TOÁN'!C55</f>
        <v>Frit A608</v>
      </c>
      <c r="C65" s="833" t="str">
        <f>'TH KẾ TOÁN'!B55</f>
        <v>NVLKM01.077</v>
      </c>
      <c r="D65" s="882" t="s">
        <v>193</v>
      </c>
      <c r="E65" s="858">
        <f>'TH KẾ TOÁN'!K55</f>
        <v>0</v>
      </c>
      <c r="F65" s="883">
        <v>0</v>
      </c>
      <c r="G65" s="883">
        <f t="shared" si="1"/>
        <v>0</v>
      </c>
      <c r="H65" s="883">
        <f t="shared" si="2"/>
        <v>0</v>
      </c>
      <c r="I65" s="884"/>
      <c r="J65" s="885"/>
      <c r="K65" s="892">
        <v>0</v>
      </c>
      <c r="L65" s="1361"/>
      <c r="M65" s="887"/>
      <c r="N65" s="887"/>
      <c r="O65" s="887"/>
      <c r="P65" s="887"/>
      <c r="Q65" s="887"/>
      <c r="R65" s="887"/>
      <c r="S65" s="887"/>
      <c r="T65" s="887"/>
      <c r="U65" s="887"/>
      <c r="V65" s="887"/>
      <c r="W65" s="887"/>
      <c r="X65" s="887"/>
      <c r="Y65" s="887"/>
      <c r="Z65" s="887"/>
      <c r="AA65" s="887"/>
      <c r="AB65" s="887"/>
      <c r="AC65" s="887"/>
      <c r="AD65" s="887"/>
      <c r="AE65" s="887"/>
      <c r="AF65" s="887"/>
      <c r="AG65" s="887"/>
      <c r="AH65" s="887"/>
      <c r="AI65" s="887"/>
      <c r="AJ65" s="887"/>
      <c r="AK65" s="887"/>
      <c r="AL65" s="887"/>
      <c r="AM65" s="887"/>
      <c r="AN65" s="887"/>
      <c r="AO65" s="887"/>
      <c r="AP65" s="887"/>
    </row>
    <row r="66" spans="1:42" s="888" customFormat="1" ht="19.5" customHeight="1">
      <c r="A66" s="882">
        <v>49</v>
      </c>
      <c r="B66" s="833" t="str">
        <f>'TH KẾ TOÁN'!C56</f>
        <v>Frit 568</v>
      </c>
      <c r="C66" s="833" t="str">
        <f>'TH KẾ TOÁN'!B56</f>
        <v>NVLKM01.078</v>
      </c>
      <c r="D66" s="882" t="s">
        <v>193</v>
      </c>
      <c r="E66" s="858">
        <v>0</v>
      </c>
      <c r="F66" s="883">
        <v>0</v>
      </c>
      <c r="G66" s="883">
        <f>F66-(F66*K66)</f>
        <v>0</v>
      </c>
      <c r="H66" s="883">
        <f>F66-E66</f>
        <v>0</v>
      </c>
      <c r="I66" s="884"/>
      <c r="J66" s="885"/>
      <c r="K66" s="892">
        <v>0</v>
      </c>
      <c r="L66" s="1361"/>
      <c r="M66" s="887"/>
      <c r="N66" s="887"/>
      <c r="O66" s="887"/>
      <c r="P66" s="887"/>
      <c r="Q66" s="887"/>
      <c r="R66" s="887"/>
      <c r="S66" s="887"/>
      <c r="T66" s="887"/>
      <c r="U66" s="887"/>
      <c r="V66" s="887"/>
      <c r="W66" s="887"/>
      <c r="X66" s="887"/>
      <c r="Y66" s="887"/>
      <c r="Z66" s="887"/>
      <c r="AA66" s="887"/>
      <c r="AB66" s="887"/>
      <c r="AC66" s="887"/>
      <c r="AD66" s="887"/>
      <c r="AE66" s="887"/>
      <c r="AF66" s="887"/>
      <c r="AG66" s="887"/>
      <c r="AH66" s="887"/>
      <c r="AI66" s="887"/>
      <c r="AJ66" s="887"/>
      <c r="AK66" s="887"/>
      <c r="AL66" s="887"/>
      <c r="AM66" s="887"/>
      <c r="AN66" s="887"/>
      <c r="AO66" s="887"/>
      <c r="AP66" s="887"/>
    </row>
    <row r="67" spans="1:42" s="888" customFormat="1" ht="19.5" customHeight="1">
      <c r="A67" s="882">
        <v>50</v>
      </c>
      <c r="B67" s="833" t="str">
        <f>'TH KẾ TOÁN'!C57</f>
        <v>Frit A528</v>
      </c>
      <c r="C67" s="833" t="str">
        <f>'TH KẾ TOÁN'!B57</f>
        <v>NVLKM01.079</v>
      </c>
      <c r="D67" s="882" t="s">
        <v>193</v>
      </c>
      <c r="E67" s="858">
        <f>'TH KẾ TOÁN'!K57</f>
        <v>0</v>
      </c>
      <c r="F67" s="883">
        <f>10*1250</f>
        <v>12500</v>
      </c>
      <c r="G67" s="883">
        <f>F67-(F67*K67)</f>
        <v>12375</v>
      </c>
      <c r="H67" s="883">
        <f t="shared" ref="H67" si="5">F67-E67</f>
        <v>12500</v>
      </c>
      <c r="I67" s="884"/>
      <c r="J67" s="885"/>
      <c r="K67" s="892">
        <v>0.01</v>
      </c>
      <c r="L67" s="1361"/>
      <c r="M67" s="887"/>
      <c r="N67" s="887"/>
      <c r="O67" s="887"/>
      <c r="P67" s="887"/>
      <c r="Q67" s="887"/>
      <c r="R67" s="887"/>
      <c r="S67" s="887"/>
      <c r="T67" s="887"/>
      <c r="U67" s="887"/>
      <c r="V67" s="887"/>
      <c r="W67" s="887"/>
      <c r="X67" s="887"/>
      <c r="Y67" s="887"/>
      <c r="Z67" s="887"/>
      <c r="AA67" s="887"/>
      <c r="AB67" s="887"/>
      <c r="AC67" s="887"/>
      <c r="AD67" s="887"/>
      <c r="AE67" s="887"/>
      <c r="AF67" s="887"/>
      <c r="AG67" s="887"/>
      <c r="AH67" s="887"/>
      <c r="AI67" s="887"/>
      <c r="AJ67" s="887"/>
      <c r="AK67" s="887"/>
      <c r="AL67" s="887"/>
      <c r="AM67" s="887"/>
      <c r="AN67" s="887"/>
      <c r="AO67" s="887"/>
      <c r="AP67" s="887"/>
    </row>
    <row r="68" spans="1:42" s="888" customFormat="1" ht="19.5" customHeight="1">
      <c r="A68" s="882">
        <v>51</v>
      </c>
      <c r="B68" s="833" t="str">
        <f>'TH KẾ TOÁN'!C58</f>
        <v>Frit bán đục FS-459 M1</v>
      </c>
      <c r="C68" s="833" t="str">
        <f>'TH KẾ TOÁN'!B58</f>
        <v>NVLKM01.080</v>
      </c>
      <c r="D68" s="882" t="s">
        <v>193</v>
      </c>
      <c r="E68" s="858">
        <f>'TH KẾ TOÁN'!K58</f>
        <v>0</v>
      </c>
      <c r="F68" s="883">
        <v>0</v>
      </c>
      <c r="G68" s="883">
        <f t="shared" si="1"/>
        <v>0</v>
      </c>
      <c r="H68" s="883">
        <f t="shared" si="2"/>
        <v>0</v>
      </c>
      <c r="I68" s="884"/>
      <c r="J68" s="885"/>
      <c r="K68" s="892">
        <v>0</v>
      </c>
      <c r="L68" s="1361"/>
      <c r="M68" s="887"/>
      <c r="N68" s="887"/>
      <c r="O68" s="887"/>
      <c r="P68" s="887"/>
      <c r="Q68" s="887"/>
      <c r="R68" s="887"/>
      <c r="S68" s="887"/>
      <c r="T68" s="887"/>
      <c r="U68" s="887"/>
      <c r="V68" s="887"/>
      <c r="W68" s="887"/>
      <c r="X68" s="887"/>
      <c r="Y68" s="887"/>
      <c r="Z68" s="887"/>
      <c r="AA68" s="887"/>
      <c r="AB68" s="887"/>
      <c r="AC68" s="887"/>
      <c r="AD68" s="887"/>
      <c r="AE68" s="887"/>
      <c r="AF68" s="887"/>
      <c r="AG68" s="887"/>
      <c r="AH68" s="887"/>
      <c r="AI68" s="887"/>
      <c r="AJ68" s="887"/>
      <c r="AK68" s="887"/>
      <c r="AL68" s="887"/>
      <c r="AM68" s="887"/>
      <c r="AN68" s="887"/>
      <c r="AO68" s="887"/>
      <c r="AP68" s="887"/>
    </row>
    <row r="69" spans="1:42" s="888" customFormat="1" ht="19.5" customHeight="1">
      <c r="A69" s="882">
        <v>52</v>
      </c>
      <c r="B69" s="833" t="str">
        <f>'TH KẾ TOÁN'!C59</f>
        <v>Frit matt VFM41</v>
      </c>
      <c r="C69" s="833" t="str">
        <f>'TH KẾ TOÁN'!B59</f>
        <v>NVLKM01.082</v>
      </c>
      <c r="D69" s="882" t="s">
        <v>193</v>
      </c>
      <c r="E69" s="858">
        <f>'TH KẾ TOÁN'!K59</f>
        <v>0</v>
      </c>
      <c r="F69" s="883">
        <v>0</v>
      </c>
      <c r="G69" s="883">
        <f t="shared" si="1"/>
        <v>0</v>
      </c>
      <c r="H69" s="883">
        <f t="shared" si="2"/>
        <v>0</v>
      </c>
      <c r="I69" s="884"/>
      <c r="J69" s="885"/>
      <c r="K69" s="892">
        <v>0</v>
      </c>
      <c r="L69" s="1361"/>
      <c r="M69" s="887"/>
      <c r="N69" s="887"/>
      <c r="O69" s="887"/>
      <c r="P69" s="887"/>
      <c r="Q69" s="887"/>
      <c r="R69" s="887"/>
      <c r="S69" s="887"/>
      <c r="T69" s="887"/>
      <c r="U69" s="887"/>
      <c r="V69" s="887"/>
      <c r="W69" s="887"/>
      <c r="X69" s="887"/>
      <c r="Y69" s="887"/>
      <c r="Z69" s="887"/>
      <c r="AA69" s="887"/>
      <c r="AB69" s="887"/>
      <c r="AC69" s="887"/>
      <c r="AD69" s="887"/>
      <c r="AE69" s="887"/>
      <c r="AF69" s="887"/>
      <c r="AG69" s="887"/>
      <c r="AH69" s="887"/>
      <c r="AI69" s="887"/>
      <c r="AJ69" s="887"/>
      <c r="AK69" s="887"/>
      <c r="AL69" s="887"/>
      <c r="AM69" s="887"/>
      <c r="AN69" s="887"/>
      <c r="AO69" s="887"/>
      <c r="AP69" s="887"/>
    </row>
    <row r="70" spans="1:42" s="888" customFormat="1" ht="19.5" customHeight="1">
      <c r="A70" s="882">
        <v>53</v>
      </c>
      <c r="B70" s="833" t="str">
        <f>'TH KẾ TOÁN'!C60</f>
        <v>Frit VF1205</v>
      </c>
      <c r="C70" s="833" t="str">
        <f>'TH KẾ TOÁN'!B60</f>
        <v>NVLKM01.083</v>
      </c>
      <c r="D70" s="882" t="s">
        <v>193</v>
      </c>
      <c r="E70" s="858">
        <f>'TH KẾ TOÁN'!K60</f>
        <v>0</v>
      </c>
      <c r="F70" s="883">
        <v>0</v>
      </c>
      <c r="G70" s="883">
        <f t="shared" ref="G70:G73" si="6">F70-(F70*K70)</f>
        <v>0</v>
      </c>
      <c r="H70" s="883">
        <f t="shared" ref="H70:H73" si="7">F70-E70</f>
        <v>0</v>
      </c>
      <c r="I70" s="884"/>
      <c r="J70" s="885"/>
      <c r="K70" s="892">
        <v>0</v>
      </c>
      <c r="L70" s="1361"/>
      <c r="M70" s="887"/>
      <c r="N70" s="887"/>
      <c r="O70" s="887"/>
      <c r="P70" s="887"/>
      <c r="Q70" s="887"/>
      <c r="R70" s="887"/>
      <c r="S70" s="887"/>
      <c r="T70" s="887"/>
      <c r="U70" s="887"/>
      <c r="V70" s="887"/>
      <c r="W70" s="887"/>
      <c r="X70" s="887"/>
      <c r="Y70" s="887"/>
      <c r="Z70" s="887"/>
      <c r="AA70" s="887"/>
      <c r="AB70" s="887"/>
      <c r="AC70" s="887"/>
      <c r="AD70" s="887"/>
      <c r="AE70" s="887"/>
      <c r="AF70" s="887"/>
      <c r="AG70" s="887"/>
      <c r="AH70" s="887"/>
      <c r="AI70" s="887"/>
      <c r="AJ70" s="887"/>
      <c r="AK70" s="887"/>
      <c r="AL70" s="887"/>
      <c r="AM70" s="887"/>
      <c r="AN70" s="887"/>
      <c r="AO70" s="887"/>
      <c r="AP70" s="887"/>
    </row>
    <row r="71" spans="1:42" s="888" customFormat="1" ht="19.5" customHeight="1">
      <c r="A71" s="882">
        <v>54</v>
      </c>
      <c r="B71" s="833" t="str">
        <f>'TH KẾ TOÁN'!C61</f>
        <v>Men Sugar PNSG-02 (01)</v>
      </c>
      <c r="C71" s="833" t="str">
        <f>'TH KẾ TOÁN'!B61</f>
        <v>NVLKM01.094</v>
      </c>
      <c r="D71" s="882" t="s">
        <v>193</v>
      </c>
      <c r="E71" s="858">
        <f>'TH KẾ TOÁN'!K61</f>
        <v>35684</v>
      </c>
      <c r="F71" s="883">
        <f>11*1300+891</f>
        <v>15191</v>
      </c>
      <c r="G71" s="883">
        <f t="shared" si="6"/>
        <v>15039.09</v>
      </c>
      <c r="H71" s="883">
        <f t="shared" si="7"/>
        <v>-20493</v>
      </c>
      <c r="I71" s="884"/>
      <c r="J71" s="885"/>
      <c r="K71" s="892">
        <v>0.01</v>
      </c>
      <c r="L71" s="1361"/>
      <c r="M71" s="887"/>
      <c r="N71" s="887"/>
      <c r="O71" s="887"/>
      <c r="P71" s="887"/>
      <c r="Q71" s="887"/>
      <c r="R71" s="887"/>
      <c r="S71" s="887"/>
      <c r="T71" s="887"/>
      <c r="U71" s="887"/>
      <c r="V71" s="887"/>
      <c r="W71" s="887"/>
      <c r="X71" s="887"/>
      <c r="Y71" s="887"/>
      <c r="Z71" s="887"/>
      <c r="AA71" s="887"/>
      <c r="AB71" s="887"/>
      <c r="AC71" s="887"/>
      <c r="AD71" s="887"/>
      <c r="AE71" s="887"/>
      <c r="AF71" s="887"/>
      <c r="AG71" s="887"/>
      <c r="AH71" s="887"/>
      <c r="AI71" s="887"/>
      <c r="AJ71" s="887"/>
      <c r="AK71" s="887"/>
      <c r="AL71" s="887"/>
      <c r="AM71" s="887"/>
      <c r="AN71" s="887"/>
      <c r="AO71" s="887"/>
      <c r="AP71" s="887"/>
    </row>
    <row r="72" spans="1:42" s="888" customFormat="1" ht="19.5" customHeight="1">
      <c r="A72" s="882">
        <v>55</v>
      </c>
      <c r="B72" s="833" t="str">
        <f>'TH KẾ TOÁN'!C62</f>
        <v>Men Sugar PNSG-02 (05)</v>
      </c>
      <c r="C72" s="833" t="str">
        <f>'TH KẾ TOÁN'!B62</f>
        <v>NVLKM01.093</v>
      </c>
      <c r="D72" s="882" t="s">
        <v>193</v>
      </c>
      <c r="E72" s="858">
        <f>'TH KẾ TOÁN'!K62</f>
        <v>7952</v>
      </c>
      <c r="F72" s="883">
        <f>1395+153</f>
        <v>1548</v>
      </c>
      <c r="G72" s="883">
        <f t="shared" si="6"/>
        <v>1513.944</v>
      </c>
      <c r="H72" s="883">
        <f t="shared" si="7"/>
        <v>-6404</v>
      </c>
      <c r="I72" s="884"/>
      <c r="J72" s="885"/>
      <c r="K72" s="892">
        <v>2.1999999999999999E-2</v>
      </c>
      <c r="L72" s="1361"/>
      <c r="M72" s="887"/>
      <c r="N72" s="887"/>
      <c r="O72" s="887"/>
      <c r="P72" s="887"/>
      <c r="Q72" s="887"/>
      <c r="R72" s="887"/>
      <c r="S72" s="887"/>
      <c r="T72" s="887"/>
      <c r="U72" s="887"/>
      <c r="V72" s="887"/>
      <c r="W72" s="887"/>
      <c r="X72" s="887"/>
      <c r="Y72" s="887"/>
      <c r="Z72" s="887"/>
      <c r="AA72" s="887"/>
      <c r="AB72" s="887"/>
      <c r="AC72" s="887"/>
      <c r="AD72" s="887"/>
      <c r="AE72" s="887"/>
      <c r="AF72" s="887"/>
      <c r="AG72" s="887"/>
      <c r="AH72" s="887"/>
      <c r="AI72" s="887"/>
      <c r="AJ72" s="887"/>
      <c r="AK72" s="887"/>
      <c r="AL72" s="887"/>
      <c r="AM72" s="887"/>
      <c r="AN72" s="887"/>
      <c r="AO72" s="887"/>
      <c r="AP72" s="887"/>
    </row>
    <row r="73" spans="1:42" s="895" customFormat="1" ht="19.5" customHeight="1">
      <c r="A73" s="889">
        <v>56</v>
      </c>
      <c r="B73" s="856" t="str">
        <f>'TH KẾ TOÁN'!C63</f>
        <v>Frit VO22</v>
      </c>
      <c r="C73" s="856" t="str">
        <f>'TH KẾ TOÁN'!B63</f>
        <v>NVLKM01.090</v>
      </c>
      <c r="D73" s="889" t="s">
        <v>193</v>
      </c>
      <c r="E73" s="858">
        <f>'TH KẾ TOÁN'!K63</f>
        <v>262</v>
      </c>
      <c r="F73" s="883">
        <f>8*1250+386</f>
        <v>10386</v>
      </c>
      <c r="G73" s="883">
        <f t="shared" si="6"/>
        <v>10282.14</v>
      </c>
      <c r="H73" s="883">
        <f t="shared" si="7"/>
        <v>10124</v>
      </c>
      <c r="I73" s="890"/>
      <c r="J73" s="891"/>
      <c r="K73" s="892">
        <v>0.01</v>
      </c>
      <c r="L73" s="1368"/>
      <c r="M73" s="1362"/>
      <c r="N73" s="1362"/>
      <c r="O73" s="1362"/>
      <c r="P73" s="1362"/>
      <c r="Q73" s="1362"/>
      <c r="R73" s="1362"/>
      <c r="S73" s="1362"/>
      <c r="T73" s="1362"/>
      <c r="U73" s="1362"/>
      <c r="V73" s="1362"/>
      <c r="W73" s="1362"/>
      <c r="X73" s="1362"/>
      <c r="Y73" s="1362"/>
      <c r="Z73" s="1362"/>
      <c r="AA73" s="1362"/>
      <c r="AB73" s="1362"/>
      <c r="AC73" s="1362"/>
      <c r="AD73" s="1362"/>
      <c r="AE73" s="1362"/>
      <c r="AF73" s="1362"/>
      <c r="AG73" s="1362"/>
      <c r="AH73" s="1362"/>
      <c r="AI73" s="1362"/>
      <c r="AJ73" s="1362"/>
      <c r="AK73" s="1362"/>
      <c r="AL73" s="1362"/>
      <c r="AM73" s="1362"/>
      <c r="AN73" s="1362"/>
      <c r="AO73" s="1362"/>
      <c r="AP73" s="1362"/>
    </row>
    <row r="74" spans="1:42" s="888" customFormat="1" ht="19.5" customHeight="1">
      <c r="A74" s="882">
        <v>57</v>
      </c>
      <c r="B74" s="833" t="str">
        <f>'TH KẾ TOÁN'!C64</f>
        <v>Frit VS55</v>
      </c>
      <c r="C74" s="833" t="str">
        <f>'TH KẾ TOÁN'!B64</f>
        <v>NVLKM01.091</v>
      </c>
      <c r="D74" s="882" t="s">
        <v>193</v>
      </c>
      <c r="E74" s="858">
        <f>'TH KẾ TOÁN'!K64</f>
        <v>-359</v>
      </c>
      <c r="F74" s="883">
        <v>7853</v>
      </c>
      <c r="G74" s="883">
        <f>F74-(F74*K74)</f>
        <v>7798.0290000000005</v>
      </c>
      <c r="H74" s="883">
        <f>F74-E74</f>
        <v>8212</v>
      </c>
      <c r="I74" s="884"/>
      <c r="J74" s="885"/>
      <c r="K74" s="892">
        <v>7.0000000000000001E-3</v>
      </c>
      <c r="L74" s="1361"/>
      <c r="M74" s="887"/>
      <c r="N74" s="887"/>
      <c r="O74" s="887"/>
      <c r="P74" s="887"/>
      <c r="Q74" s="887"/>
      <c r="R74" s="887"/>
      <c r="S74" s="887"/>
      <c r="T74" s="887"/>
      <c r="U74" s="887"/>
      <c r="V74" s="887"/>
      <c r="W74" s="887"/>
      <c r="X74" s="887"/>
      <c r="Y74" s="887"/>
      <c r="Z74" s="887"/>
      <c r="AA74" s="887"/>
      <c r="AB74" s="887"/>
      <c r="AC74" s="887"/>
      <c r="AD74" s="887"/>
      <c r="AE74" s="887"/>
      <c r="AF74" s="887"/>
      <c r="AG74" s="887"/>
      <c r="AH74" s="887"/>
      <c r="AI74" s="887"/>
      <c r="AJ74" s="887"/>
      <c r="AK74" s="887"/>
      <c r="AL74" s="887"/>
      <c r="AM74" s="887"/>
      <c r="AN74" s="887"/>
      <c r="AO74" s="887"/>
      <c r="AP74" s="887"/>
    </row>
    <row r="75" spans="1:42" s="888" customFormat="1" ht="19.5" customHeight="1">
      <c r="A75" s="882">
        <v>58</v>
      </c>
      <c r="B75" s="833" t="str">
        <f>'TH KẾ TOÁN'!C65</f>
        <v xml:space="preserve"> FT3</v>
      </c>
      <c r="C75" s="833" t="str">
        <f>'TH KẾ TOÁN'!B65</f>
        <v>NVLKM01.092</v>
      </c>
      <c r="D75" s="882" t="s">
        <v>193</v>
      </c>
      <c r="E75" s="858">
        <f>'TH KẾ TOÁN'!K65</f>
        <v>44447</v>
      </c>
      <c r="F75" s="883">
        <f>E75</f>
        <v>44447</v>
      </c>
      <c r="G75" s="883">
        <f t="shared" si="1"/>
        <v>44447</v>
      </c>
      <c r="H75" s="883">
        <f t="shared" si="2"/>
        <v>0</v>
      </c>
      <c r="I75" s="884"/>
      <c r="J75" s="885"/>
      <c r="K75" s="892">
        <v>0</v>
      </c>
      <c r="L75" s="1361"/>
      <c r="M75" s="887"/>
      <c r="N75" s="887"/>
      <c r="O75" s="887"/>
      <c r="P75" s="887"/>
      <c r="Q75" s="887"/>
      <c r="R75" s="887"/>
      <c r="S75" s="887"/>
      <c r="T75" s="887"/>
      <c r="U75" s="887"/>
      <c r="V75" s="887"/>
      <c r="W75" s="887"/>
      <c r="X75" s="887"/>
      <c r="Y75" s="887"/>
      <c r="Z75" s="887"/>
      <c r="AA75" s="887"/>
      <c r="AB75" s="887"/>
      <c r="AC75" s="887"/>
      <c r="AD75" s="887"/>
      <c r="AE75" s="887"/>
      <c r="AF75" s="887"/>
      <c r="AG75" s="887"/>
      <c r="AH75" s="887"/>
      <c r="AI75" s="887"/>
      <c r="AJ75" s="887"/>
      <c r="AK75" s="887"/>
      <c r="AL75" s="887"/>
      <c r="AM75" s="887"/>
      <c r="AN75" s="887"/>
      <c r="AO75" s="887"/>
      <c r="AP75" s="887"/>
    </row>
    <row r="76" spans="1:42" s="888" customFormat="1" ht="19.5" customHeight="1">
      <c r="A76" s="882">
        <v>59</v>
      </c>
      <c r="B76" s="833" t="str">
        <f>'TH KẾ TOÁN'!C66</f>
        <v>Frit A103</v>
      </c>
      <c r="C76" s="833" t="str">
        <f>'TH KẾ TOÁN'!B66</f>
        <v>NVLKM01.095</v>
      </c>
      <c r="D76" s="882" t="s">
        <v>193</v>
      </c>
      <c r="E76" s="858">
        <f>'TH KẾ TOÁN'!K66</f>
        <v>0</v>
      </c>
      <c r="F76" s="883">
        <v>0</v>
      </c>
      <c r="G76" s="883">
        <f t="shared" si="1"/>
        <v>0</v>
      </c>
      <c r="H76" s="883">
        <f t="shared" si="2"/>
        <v>0</v>
      </c>
      <c r="I76" s="884"/>
      <c r="J76" s="885"/>
      <c r="K76" s="892">
        <v>0</v>
      </c>
      <c r="L76" s="1361"/>
      <c r="M76" s="887"/>
      <c r="N76" s="887"/>
      <c r="O76" s="887"/>
      <c r="P76" s="887"/>
      <c r="Q76" s="887"/>
      <c r="R76" s="887"/>
      <c r="S76" s="887"/>
      <c r="T76" s="887"/>
      <c r="U76" s="887"/>
      <c r="V76" s="887"/>
      <c r="W76" s="887"/>
      <c r="X76" s="887"/>
      <c r="Y76" s="887"/>
      <c r="Z76" s="887"/>
      <c r="AA76" s="887"/>
      <c r="AB76" s="887"/>
      <c r="AC76" s="887"/>
      <c r="AD76" s="887"/>
      <c r="AE76" s="887"/>
      <c r="AF76" s="887"/>
      <c r="AG76" s="887"/>
      <c r="AH76" s="887"/>
      <c r="AI76" s="887"/>
      <c r="AJ76" s="887"/>
      <c r="AK76" s="887"/>
      <c r="AL76" s="887"/>
      <c r="AM76" s="887"/>
      <c r="AN76" s="887"/>
      <c r="AO76" s="887"/>
      <c r="AP76" s="887"/>
    </row>
    <row r="77" spans="1:42" s="888" customFormat="1" ht="19.5" customHeight="1">
      <c r="A77" s="882">
        <v>60</v>
      </c>
      <c r="B77" s="833" t="str">
        <f>'TH KẾ TOÁN'!C67</f>
        <v>Frit A609</v>
      </c>
      <c r="C77" s="833" t="str">
        <f>'TH KẾ TOÁN'!B67</f>
        <v>NVLKM01.096</v>
      </c>
      <c r="D77" s="882" t="s">
        <v>193</v>
      </c>
      <c r="E77" s="858">
        <f>'TH KẾ TOÁN'!K67</f>
        <v>57836</v>
      </c>
      <c r="F77" s="883">
        <f>E77</f>
        <v>57836</v>
      </c>
      <c r="G77" s="883">
        <f t="shared" si="1"/>
        <v>57257.64</v>
      </c>
      <c r="H77" s="883">
        <f t="shared" si="2"/>
        <v>0</v>
      </c>
      <c r="I77" s="884"/>
      <c r="J77" s="885"/>
      <c r="K77" s="892">
        <v>0.01</v>
      </c>
      <c r="L77" s="1361"/>
      <c r="M77" s="887"/>
      <c r="N77" s="887"/>
      <c r="O77" s="887"/>
      <c r="P77" s="887"/>
      <c r="Q77" s="887"/>
      <c r="R77" s="887"/>
      <c r="S77" s="887"/>
      <c r="T77" s="887"/>
      <c r="U77" s="887"/>
      <c r="V77" s="887"/>
      <c r="W77" s="887"/>
      <c r="X77" s="887"/>
      <c r="Y77" s="887"/>
      <c r="Z77" s="887"/>
      <c r="AA77" s="887"/>
      <c r="AB77" s="887"/>
      <c r="AC77" s="887"/>
      <c r="AD77" s="887"/>
      <c r="AE77" s="887"/>
      <c r="AF77" s="887"/>
      <c r="AG77" s="887"/>
      <c r="AH77" s="887"/>
      <c r="AI77" s="887"/>
      <c r="AJ77" s="887"/>
      <c r="AK77" s="887"/>
      <c r="AL77" s="887"/>
      <c r="AM77" s="887"/>
      <c r="AN77" s="887"/>
      <c r="AO77" s="887"/>
      <c r="AP77" s="887"/>
    </row>
    <row r="78" spans="1:42" s="888" customFormat="1" ht="19.5" customHeight="1">
      <c r="A78" s="882">
        <v>61</v>
      </c>
      <c r="B78" s="833" t="str">
        <f>'TH KẾ TOÁN'!C68</f>
        <v>Frit 502</v>
      </c>
      <c r="C78" s="833" t="str">
        <f>'TH KẾ TOÁN'!B68</f>
        <v>NVLKM01.097</v>
      </c>
      <c r="D78" s="882" t="s">
        <v>193</v>
      </c>
      <c r="E78" s="858">
        <f>'TH KẾ TOÁN'!K68</f>
        <v>27110</v>
      </c>
      <c r="F78" s="883">
        <f>E78</f>
        <v>27110</v>
      </c>
      <c r="G78" s="883">
        <f t="shared" si="1"/>
        <v>26838.9</v>
      </c>
      <c r="H78" s="883">
        <f t="shared" si="2"/>
        <v>0</v>
      </c>
      <c r="I78" s="884"/>
      <c r="J78" s="885"/>
      <c r="K78" s="892">
        <v>0.01</v>
      </c>
      <c r="L78" s="1361"/>
      <c r="M78" s="887"/>
      <c r="N78" s="887"/>
      <c r="O78" s="887"/>
      <c r="P78" s="887"/>
      <c r="Q78" s="887"/>
      <c r="R78" s="887"/>
      <c r="S78" s="887"/>
      <c r="T78" s="887"/>
      <c r="U78" s="887"/>
      <c r="V78" s="887"/>
      <c r="W78" s="887"/>
      <c r="X78" s="887"/>
      <c r="Y78" s="887"/>
      <c r="Z78" s="887"/>
      <c r="AA78" s="887"/>
      <c r="AB78" s="887"/>
      <c r="AC78" s="887"/>
      <c r="AD78" s="887"/>
      <c r="AE78" s="887"/>
      <c r="AF78" s="887"/>
      <c r="AG78" s="887"/>
      <c r="AH78" s="887"/>
      <c r="AI78" s="887"/>
      <c r="AJ78" s="887"/>
      <c r="AK78" s="887"/>
      <c r="AL78" s="887"/>
      <c r="AM78" s="887"/>
      <c r="AN78" s="887"/>
      <c r="AO78" s="887"/>
      <c r="AP78" s="887"/>
    </row>
    <row r="79" spans="1:42" s="888" customFormat="1" ht="19.5" customHeight="1">
      <c r="A79" s="882">
        <v>62</v>
      </c>
      <c r="B79" s="833" t="str">
        <f>'TH KẾ TOÁN'!C70</f>
        <v>Men STPP (trung quốc)</v>
      </c>
      <c r="C79" s="833" t="str">
        <f>'TH KẾ TOÁN'!B70</f>
        <v>NVLKM02.001</v>
      </c>
      <c r="D79" s="882" t="s">
        <v>193</v>
      </c>
      <c r="E79" s="858">
        <f>'TH KẾ TOÁN'!K70</f>
        <v>5293.4</v>
      </c>
      <c r="F79" s="883">
        <v>3540.8</v>
      </c>
      <c r="G79" s="883">
        <f t="shared" si="1"/>
        <v>3540.8</v>
      </c>
      <c r="H79" s="883">
        <f t="shared" si="2"/>
        <v>-1752.5999999999995</v>
      </c>
      <c r="I79" s="884"/>
      <c r="J79" s="885"/>
      <c r="K79" s="892">
        <v>0</v>
      </c>
      <c r="L79" s="1361"/>
      <c r="M79" s="887"/>
      <c r="N79" s="887"/>
      <c r="O79" s="887"/>
      <c r="P79" s="887"/>
      <c r="Q79" s="887"/>
      <c r="R79" s="887"/>
      <c r="S79" s="887"/>
      <c r="T79" s="887"/>
      <c r="U79" s="887"/>
      <c r="V79" s="887"/>
      <c r="W79" s="887"/>
      <c r="X79" s="887"/>
      <c r="Y79" s="887"/>
      <c r="Z79" s="887"/>
      <c r="AA79" s="887"/>
      <c r="AB79" s="887"/>
      <c r="AC79" s="887"/>
      <c r="AD79" s="887"/>
      <c r="AE79" s="887"/>
      <c r="AF79" s="887"/>
      <c r="AG79" s="887"/>
      <c r="AH79" s="887"/>
      <c r="AI79" s="887"/>
      <c r="AJ79" s="887"/>
      <c r="AK79" s="887"/>
      <c r="AL79" s="887"/>
      <c r="AM79" s="887"/>
      <c r="AN79" s="887"/>
      <c r="AO79" s="887"/>
      <c r="AP79" s="887"/>
    </row>
    <row r="80" spans="1:42" s="895" customFormat="1" ht="19.5" customHeight="1">
      <c r="A80" s="889">
        <v>63</v>
      </c>
      <c r="B80" s="856" t="str">
        <f>'TH KẾ TOÁN'!C71</f>
        <v>Rocima 623</v>
      </c>
      <c r="C80" s="856" t="str">
        <f>'TH KẾ TOÁN'!B71</f>
        <v>NVLKM02.005</v>
      </c>
      <c r="D80" s="889" t="s">
        <v>193</v>
      </c>
      <c r="E80" s="858">
        <f>'TH KẾ TOÁN'!K71</f>
        <v>0</v>
      </c>
      <c r="F80" s="883">
        <f>120*20</f>
        <v>2400</v>
      </c>
      <c r="G80" s="883">
        <f>F80-(F80*K80)</f>
        <v>2400</v>
      </c>
      <c r="H80" s="883">
        <f>F80-E80</f>
        <v>2400</v>
      </c>
      <c r="I80" s="890"/>
      <c r="J80" s="891"/>
      <c r="K80" s="892">
        <v>0</v>
      </c>
      <c r="L80" s="1368"/>
      <c r="M80" s="1362"/>
      <c r="N80" s="1362"/>
      <c r="O80" s="1362"/>
      <c r="P80" s="1362"/>
      <c r="Q80" s="1362"/>
      <c r="R80" s="1362"/>
      <c r="S80" s="1362"/>
      <c r="T80" s="1362"/>
      <c r="U80" s="1362"/>
      <c r="V80" s="1362"/>
      <c r="W80" s="1362"/>
      <c r="X80" s="1362"/>
      <c r="Y80" s="1362"/>
      <c r="Z80" s="1362"/>
      <c r="AA80" s="1362"/>
      <c r="AB80" s="1362"/>
      <c r="AC80" s="1362"/>
      <c r="AD80" s="1362"/>
      <c r="AE80" s="1362"/>
      <c r="AF80" s="1362"/>
      <c r="AG80" s="1362"/>
      <c r="AH80" s="1362"/>
      <c r="AI80" s="1362"/>
      <c r="AJ80" s="1362"/>
      <c r="AK80" s="1362"/>
      <c r="AL80" s="1362"/>
      <c r="AM80" s="1362"/>
      <c r="AN80" s="1362"/>
      <c r="AO80" s="1362"/>
      <c r="AP80" s="1362"/>
    </row>
    <row r="81" spans="1:42" s="888" customFormat="1" ht="19.5" customHeight="1">
      <c r="A81" s="882">
        <v>64</v>
      </c>
      <c r="B81" s="833" t="str">
        <f>'TH KẾ TOÁN'!C72</f>
        <v>Zircon Silicate ZS-012 (Zircone 5)</v>
      </c>
      <c r="C81" s="833" t="str">
        <f>'TH KẾ TOÁN'!B72</f>
        <v>NVLKM02.006</v>
      </c>
      <c r="D81" s="882" t="s">
        <v>193</v>
      </c>
      <c r="E81" s="858">
        <f>'TH KẾ TOÁN'!K72</f>
        <v>0</v>
      </c>
      <c r="F81" s="883">
        <v>0</v>
      </c>
      <c r="G81" s="883">
        <f>F81-(F81*K81)</f>
        <v>0</v>
      </c>
      <c r="H81" s="883">
        <f>F81-E81</f>
        <v>0</v>
      </c>
      <c r="I81" s="884"/>
      <c r="J81" s="885"/>
      <c r="K81" s="892">
        <v>0</v>
      </c>
      <c r="L81" s="1361"/>
      <c r="M81" s="887"/>
      <c r="N81" s="887"/>
      <c r="O81" s="887"/>
      <c r="P81" s="887"/>
      <c r="Q81" s="887"/>
      <c r="R81" s="887"/>
      <c r="S81" s="887"/>
      <c r="T81" s="887"/>
      <c r="U81" s="887"/>
      <c r="V81" s="887"/>
      <c r="W81" s="887"/>
      <c r="X81" s="887"/>
      <c r="Y81" s="887"/>
      <c r="Z81" s="887"/>
      <c r="AA81" s="887"/>
      <c r="AB81" s="887"/>
      <c r="AC81" s="887"/>
      <c r="AD81" s="887"/>
      <c r="AE81" s="887"/>
      <c r="AF81" s="887"/>
      <c r="AG81" s="887"/>
      <c r="AH81" s="887"/>
      <c r="AI81" s="887"/>
      <c r="AJ81" s="887"/>
      <c r="AK81" s="887"/>
      <c r="AL81" s="887"/>
      <c r="AM81" s="887"/>
      <c r="AN81" s="887"/>
      <c r="AO81" s="887"/>
      <c r="AP81" s="887"/>
    </row>
    <row r="82" spans="1:42" s="888" customFormat="1" ht="19.5" customHeight="1">
      <c r="A82" s="882">
        <v>65</v>
      </c>
      <c r="B82" s="833" t="str">
        <f>'TH KẾ TOÁN'!C73</f>
        <v>Frit HGT 03</v>
      </c>
      <c r="C82" s="833" t="str">
        <f>'TH KẾ TOÁN'!B73</f>
        <v>NVLKM02.009</v>
      </c>
      <c r="D82" s="882" t="s">
        <v>193</v>
      </c>
      <c r="E82" s="858">
        <f>'TH KẾ TOÁN'!K73</f>
        <v>0</v>
      </c>
      <c r="F82" s="883">
        <v>0</v>
      </c>
      <c r="G82" s="883">
        <f t="shared" ref="G82:G84" si="8">F82-(F82*K82)</f>
        <v>0</v>
      </c>
      <c r="H82" s="883">
        <f t="shared" ref="H82:H84" si="9">F82-E82</f>
        <v>0</v>
      </c>
      <c r="I82" s="884"/>
      <c r="J82" s="885"/>
      <c r="K82" s="892">
        <v>0</v>
      </c>
      <c r="L82" s="1361"/>
      <c r="M82" s="887"/>
      <c r="N82" s="887"/>
      <c r="O82" s="887"/>
      <c r="P82" s="887"/>
      <c r="Q82" s="887"/>
      <c r="R82" s="887"/>
      <c r="S82" s="887"/>
      <c r="T82" s="887"/>
      <c r="U82" s="887"/>
      <c r="V82" s="887"/>
      <c r="W82" s="887"/>
      <c r="X82" s="887"/>
      <c r="Y82" s="887"/>
      <c r="Z82" s="887"/>
      <c r="AA82" s="887"/>
      <c r="AB82" s="887"/>
      <c r="AC82" s="887"/>
      <c r="AD82" s="887"/>
      <c r="AE82" s="887"/>
      <c r="AF82" s="887"/>
      <c r="AG82" s="887"/>
      <c r="AH82" s="887"/>
      <c r="AI82" s="887"/>
      <c r="AJ82" s="887"/>
      <c r="AK82" s="887"/>
      <c r="AL82" s="887"/>
      <c r="AM82" s="887"/>
      <c r="AN82" s="887"/>
      <c r="AO82" s="887"/>
      <c r="AP82" s="887"/>
    </row>
    <row r="83" spans="1:42" s="888" customFormat="1" ht="19.5" customHeight="1">
      <c r="A83" s="882">
        <v>66</v>
      </c>
      <c r="B83" s="1242" t="s">
        <v>1180</v>
      </c>
      <c r="C83" s="1369" t="s">
        <v>1179</v>
      </c>
      <c r="D83" s="882" t="s">
        <v>193</v>
      </c>
      <c r="E83" s="858">
        <f>'TỔNG HỢP THÁNG'!K75</f>
        <v>584</v>
      </c>
      <c r="F83" s="883">
        <v>690</v>
      </c>
      <c r="G83" s="883">
        <f t="shared" si="8"/>
        <v>690</v>
      </c>
      <c r="H83" s="883">
        <f t="shared" si="9"/>
        <v>106</v>
      </c>
      <c r="I83" s="884"/>
      <c r="J83" s="885"/>
      <c r="K83" s="892">
        <v>0</v>
      </c>
      <c r="L83" s="1361"/>
      <c r="M83" s="887"/>
      <c r="N83" s="887"/>
      <c r="O83" s="887"/>
      <c r="P83" s="887"/>
      <c r="Q83" s="887"/>
      <c r="R83" s="887"/>
      <c r="S83" s="887"/>
      <c r="T83" s="887"/>
      <c r="U83" s="887"/>
      <c r="V83" s="887"/>
      <c r="W83" s="887"/>
      <c r="X83" s="887"/>
      <c r="Y83" s="887"/>
      <c r="Z83" s="887"/>
      <c r="AA83" s="887"/>
      <c r="AB83" s="887"/>
      <c r="AC83" s="887"/>
      <c r="AD83" s="887"/>
      <c r="AE83" s="887"/>
      <c r="AF83" s="887"/>
      <c r="AG83" s="887"/>
      <c r="AH83" s="887"/>
      <c r="AI83" s="887"/>
      <c r="AJ83" s="887"/>
      <c r="AK83" s="887"/>
      <c r="AL83" s="887"/>
      <c r="AM83" s="887"/>
      <c r="AN83" s="887"/>
      <c r="AO83" s="887"/>
      <c r="AP83" s="887"/>
    </row>
    <row r="84" spans="1:42" s="888" customFormat="1" ht="19.5" customHeight="1">
      <c r="A84" s="882">
        <v>67</v>
      </c>
      <c r="B84" s="833" t="str">
        <f>'TH KẾ TOÁN'!C76</f>
        <v>CMC T26</v>
      </c>
      <c r="C84" s="833" t="str">
        <f>'TH KẾ TOÁN'!B76</f>
        <v>NVLKM02.015</v>
      </c>
      <c r="D84" s="882" t="s">
        <v>193</v>
      </c>
      <c r="E84" s="858">
        <f>'TH KẾ TOÁN'!K76</f>
        <v>0</v>
      </c>
      <c r="F84" s="883">
        <v>0</v>
      </c>
      <c r="G84" s="883">
        <f t="shared" si="8"/>
        <v>0</v>
      </c>
      <c r="H84" s="883">
        <f t="shared" si="9"/>
        <v>0</v>
      </c>
      <c r="I84" s="884"/>
      <c r="J84" s="885"/>
      <c r="K84" s="892">
        <v>0</v>
      </c>
      <c r="L84" s="1361"/>
      <c r="M84" s="887"/>
      <c r="N84" s="887"/>
      <c r="O84" s="887"/>
      <c r="P84" s="887"/>
      <c r="Q84" s="887"/>
      <c r="R84" s="887"/>
      <c r="S84" s="887"/>
      <c r="T84" s="887"/>
      <c r="U84" s="887"/>
      <c r="V84" s="887"/>
      <c r="W84" s="887"/>
      <c r="X84" s="887"/>
      <c r="Y84" s="887"/>
      <c r="Z84" s="887"/>
      <c r="AA84" s="887"/>
      <c r="AB84" s="887"/>
      <c r="AC84" s="887"/>
      <c r="AD84" s="887"/>
      <c r="AE84" s="887"/>
      <c r="AF84" s="887"/>
      <c r="AG84" s="887"/>
      <c r="AH84" s="887"/>
      <c r="AI84" s="887"/>
      <c r="AJ84" s="887"/>
      <c r="AK84" s="887"/>
      <c r="AL84" s="887"/>
      <c r="AM84" s="887"/>
      <c r="AN84" s="887"/>
      <c r="AO84" s="887"/>
      <c r="AP84" s="887"/>
    </row>
    <row r="85" spans="1:42" s="888" customFormat="1" ht="19.5" customHeight="1">
      <c r="A85" s="882">
        <v>68</v>
      </c>
      <c r="B85" s="833" t="str">
        <f>'TH KẾ TOÁN'!C77</f>
        <v>Frit HGT 05</v>
      </c>
      <c r="C85" s="833" t="str">
        <f>'TH KẾ TOÁN'!B77</f>
        <v>NVLKM02.018</v>
      </c>
      <c r="D85" s="882" t="s">
        <v>193</v>
      </c>
      <c r="E85" s="858">
        <f>'TH KẾ TOÁN'!K77</f>
        <v>46125</v>
      </c>
      <c r="F85" s="883">
        <f>33*1400</f>
        <v>46200</v>
      </c>
      <c r="G85" s="883">
        <f t="shared" ref="G85:G87" si="10">F85-(F85*K85)</f>
        <v>45691.8</v>
      </c>
      <c r="H85" s="883">
        <f t="shared" ref="H85:H87" si="11">F85-E85</f>
        <v>75</v>
      </c>
      <c r="I85" s="884"/>
      <c r="J85" s="885"/>
      <c r="K85" s="892">
        <v>1.0999999999999999E-2</v>
      </c>
      <c r="L85" s="1361"/>
      <c r="M85" s="887"/>
      <c r="N85" s="887"/>
      <c r="O85" s="887"/>
      <c r="P85" s="887"/>
      <c r="Q85" s="887"/>
      <c r="R85" s="887"/>
      <c r="S85" s="887"/>
      <c r="T85" s="887"/>
      <c r="U85" s="887"/>
      <c r="V85" s="887"/>
      <c r="W85" s="887"/>
      <c r="X85" s="887"/>
      <c r="Y85" s="887"/>
      <c r="Z85" s="887"/>
      <c r="AA85" s="887"/>
      <c r="AB85" s="887"/>
      <c r="AC85" s="887"/>
      <c r="AD85" s="887"/>
      <c r="AE85" s="887"/>
      <c r="AF85" s="887"/>
      <c r="AG85" s="887"/>
      <c r="AH85" s="887"/>
      <c r="AI85" s="887"/>
      <c r="AJ85" s="887"/>
      <c r="AK85" s="887"/>
      <c r="AL85" s="887"/>
      <c r="AM85" s="887"/>
      <c r="AN85" s="887"/>
      <c r="AO85" s="887"/>
      <c r="AP85" s="887"/>
    </row>
    <row r="86" spans="1:42" s="895" customFormat="1" ht="19.5" customHeight="1">
      <c r="A86" s="882">
        <v>69</v>
      </c>
      <c r="B86" s="856" t="str">
        <f>'TH KẾ TOÁN'!C78</f>
        <v>Men chống dính con lăn</v>
      </c>
      <c r="C86" s="856" t="str">
        <f>'TH KẾ TOÁN'!B78</f>
        <v>NVLKM02.019</v>
      </c>
      <c r="D86" s="889" t="s">
        <v>193</v>
      </c>
      <c r="E86" s="858">
        <f>'TH KẾ TOÁN'!K78</f>
        <v>15895</v>
      </c>
      <c r="F86" s="883">
        <f>600*30</f>
        <v>18000</v>
      </c>
      <c r="G86" s="883">
        <f t="shared" si="10"/>
        <v>16200</v>
      </c>
      <c r="H86" s="883">
        <f t="shared" si="11"/>
        <v>2105</v>
      </c>
      <c r="I86" s="890"/>
      <c r="J86" s="891"/>
      <c r="K86" s="892">
        <v>0.1</v>
      </c>
      <c r="L86" s="1368"/>
      <c r="M86" s="1362"/>
      <c r="N86" s="1362"/>
      <c r="O86" s="1362"/>
      <c r="P86" s="1362"/>
      <c r="Q86" s="1362"/>
      <c r="R86" s="1362"/>
      <c r="S86" s="1362"/>
      <c r="T86" s="1362"/>
      <c r="U86" s="1362"/>
      <c r="V86" s="1362"/>
      <c r="W86" s="1362"/>
      <c r="X86" s="1362"/>
      <c r="Y86" s="1362"/>
      <c r="Z86" s="1362"/>
      <c r="AA86" s="1362"/>
      <c r="AB86" s="1362"/>
      <c r="AC86" s="1362"/>
      <c r="AD86" s="1362"/>
      <c r="AE86" s="1362"/>
      <c r="AF86" s="1362"/>
      <c r="AG86" s="1362"/>
      <c r="AH86" s="1362"/>
      <c r="AI86" s="1362"/>
      <c r="AJ86" s="1362"/>
      <c r="AK86" s="1362"/>
      <c r="AL86" s="1362"/>
      <c r="AM86" s="1362"/>
      <c r="AN86" s="1362"/>
      <c r="AO86" s="1362"/>
      <c r="AP86" s="1362"/>
    </row>
    <row r="87" spans="1:42" s="888" customFormat="1" ht="19.5" customHeight="1">
      <c r="A87" s="882">
        <v>70</v>
      </c>
      <c r="B87" s="833" t="str">
        <f>'TH KẾ TOÁN'!C79</f>
        <v>CMC USK 60 THT</v>
      </c>
      <c r="C87" s="833" t="str">
        <f>'TH KẾ TOÁN'!B79</f>
        <v>NVLKM02.020</v>
      </c>
      <c r="D87" s="882" t="s">
        <v>193</v>
      </c>
      <c r="E87" s="858">
        <f>'TH KẾ TOÁN'!K79</f>
        <v>1600.1000000000001</v>
      </c>
      <c r="F87" s="883">
        <v>1191.0999999999999</v>
      </c>
      <c r="G87" s="883">
        <f t="shared" si="10"/>
        <v>1191.0999999999999</v>
      </c>
      <c r="H87" s="883">
        <f t="shared" si="11"/>
        <v>-409.00000000000023</v>
      </c>
      <c r="I87" s="884"/>
      <c r="J87" s="885"/>
      <c r="K87" s="892">
        <v>0</v>
      </c>
      <c r="L87" s="1361"/>
      <c r="M87" s="887"/>
      <c r="N87" s="887"/>
      <c r="O87" s="887"/>
      <c r="P87" s="887"/>
      <c r="Q87" s="887"/>
      <c r="R87" s="887"/>
      <c r="S87" s="887"/>
      <c r="T87" s="887"/>
      <c r="U87" s="887"/>
      <c r="V87" s="887"/>
      <c r="W87" s="887"/>
      <c r="X87" s="887"/>
      <c r="Y87" s="887"/>
      <c r="Z87" s="887"/>
      <c r="AA87" s="887"/>
      <c r="AB87" s="887"/>
      <c r="AC87" s="887"/>
      <c r="AD87" s="887"/>
      <c r="AE87" s="887"/>
      <c r="AF87" s="887"/>
      <c r="AG87" s="887"/>
      <c r="AH87" s="887"/>
      <c r="AI87" s="887"/>
      <c r="AJ87" s="887"/>
      <c r="AK87" s="887"/>
      <c r="AL87" s="887"/>
      <c r="AM87" s="887"/>
      <c r="AN87" s="887"/>
      <c r="AO87" s="887"/>
      <c r="AP87" s="887"/>
    </row>
    <row r="88" spans="1:42" s="888" customFormat="1" ht="19.5" customHeight="1">
      <c r="A88" s="882">
        <v>71</v>
      </c>
      <c r="B88" s="833" t="str">
        <f>'TH KẾ TOÁN'!C80</f>
        <v>ZIRCON ZS08 (0016)</v>
      </c>
      <c r="C88" s="833" t="str">
        <f>'TH KẾ TOÁN'!B80</f>
        <v>NVLKM02.021</v>
      </c>
      <c r="D88" s="882" t="s">
        <v>193</v>
      </c>
      <c r="E88" s="858">
        <f>'TH KẾ TOÁN'!K80</f>
        <v>5814</v>
      </c>
      <c r="F88" s="883">
        <v>3341</v>
      </c>
      <c r="G88" s="883">
        <f t="shared" si="1"/>
        <v>3320.9540000000002</v>
      </c>
      <c r="H88" s="883">
        <f t="shared" si="2"/>
        <v>-2473</v>
      </c>
      <c r="I88" s="884"/>
      <c r="J88" s="885"/>
      <c r="K88" s="892">
        <v>6.0000000000000001E-3</v>
      </c>
      <c r="L88" s="1361"/>
      <c r="M88" s="887"/>
      <c r="N88" s="887"/>
      <c r="O88" s="887"/>
      <c r="P88" s="887"/>
      <c r="Q88" s="887"/>
      <c r="R88" s="887"/>
      <c r="S88" s="887"/>
      <c r="T88" s="887"/>
      <c r="U88" s="887"/>
      <c r="V88" s="887"/>
      <c r="W88" s="887"/>
      <c r="X88" s="887"/>
      <c r="Y88" s="887"/>
      <c r="Z88" s="887"/>
      <c r="AA88" s="887"/>
      <c r="AB88" s="887"/>
      <c r="AC88" s="887"/>
      <c r="AD88" s="887"/>
      <c r="AE88" s="887"/>
      <c r="AF88" s="887"/>
      <c r="AG88" s="887"/>
      <c r="AH88" s="887"/>
      <c r="AI88" s="887"/>
      <c r="AJ88" s="887"/>
      <c r="AK88" s="887"/>
      <c r="AL88" s="887"/>
      <c r="AM88" s="887"/>
      <c r="AN88" s="887"/>
      <c r="AO88" s="887"/>
      <c r="AP88" s="887"/>
    </row>
    <row r="89" spans="1:42" s="888" customFormat="1" ht="19.5" customHeight="1">
      <c r="A89" s="882">
        <v>72</v>
      </c>
      <c r="B89" s="833" t="str">
        <f>'TH KẾ TOÁN'!C81</f>
        <v>E. KAO LANH VCT04A</v>
      </c>
      <c r="C89" s="833" t="str">
        <f>'TH KẾ TOÁN'!B81</f>
        <v>NVLKM02.024</v>
      </c>
      <c r="D89" s="882" t="s">
        <v>193</v>
      </c>
      <c r="E89" s="858">
        <f>'TH KẾ TOÁN'!K81</f>
        <v>0</v>
      </c>
      <c r="F89" s="883">
        <v>0</v>
      </c>
      <c r="G89" s="883">
        <f t="shared" si="1"/>
        <v>0</v>
      </c>
      <c r="H89" s="883">
        <f t="shared" si="2"/>
        <v>0</v>
      </c>
      <c r="I89" s="884"/>
      <c r="J89" s="885"/>
      <c r="K89" s="892">
        <v>0</v>
      </c>
      <c r="L89" s="1361"/>
      <c r="M89" s="887"/>
      <c r="N89" s="887"/>
      <c r="O89" s="887"/>
      <c r="P89" s="887"/>
      <c r="Q89" s="887"/>
      <c r="R89" s="887"/>
      <c r="S89" s="887"/>
      <c r="T89" s="887"/>
      <c r="U89" s="887"/>
      <c r="V89" s="887"/>
      <c r="W89" s="887"/>
      <c r="X89" s="887"/>
      <c r="Y89" s="887"/>
      <c r="Z89" s="887"/>
      <c r="AA89" s="887"/>
      <c r="AB89" s="887"/>
      <c r="AC89" s="887"/>
      <c r="AD89" s="887"/>
      <c r="AE89" s="887"/>
      <c r="AF89" s="887"/>
      <c r="AG89" s="887"/>
      <c r="AH89" s="887"/>
      <c r="AI89" s="887"/>
      <c r="AJ89" s="887"/>
      <c r="AK89" s="887"/>
      <c r="AL89" s="887"/>
      <c r="AM89" s="887"/>
      <c r="AN89" s="887"/>
      <c r="AO89" s="887"/>
      <c r="AP89" s="887"/>
    </row>
    <row r="90" spans="1:42" s="888" customFormat="1" ht="19.5" customHeight="1">
      <c r="A90" s="882">
        <v>73</v>
      </c>
      <c r="B90" s="833" t="str">
        <f>'TH KẾ TOÁN'!C82</f>
        <v>Cao lanh men BF043 PV</v>
      </c>
      <c r="C90" s="833" t="str">
        <f>'TH KẾ TOÁN'!B82</f>
        <v>NVLKM02.027</v>
      </c>
      <c r="D90" s="882" t="s">
        <v>193</v>
      </c>
      <c r="E90" s="858">
        <f>'TH KẾ TOÁN'!K82</f>
        <v>0</v>
      </c>
      <c r="F90" s="883">
        <v>0</v>
      </c>
      <c r="G90" s="883">
        <f t="shared" si="1"/>
        <v>0</v>
      </c>
      <c r="H90" s="883">
        <f t="shared" si="2"/>
        <v>0</v>
      </c>
      <c r="I90" s="884"/>
      <c r="J90" s="885"/>
      <c r="K90" s="892">
        <v>0</v>
      </c>
      <c r="L90" s="1361"/>
      <c r="M90" s="887"/>
      <c r="N90" s="887"/>
      <c r="O90" s="887"/>
      <c r="P90" s="887"/>
      <c r="Q90" s="887"/>
      <c r="R90" s="887"/>
      <c r="S90" s="887"/>
      <c r="T90" s="887"/>
      <c r="U90" s="887"/>
      <c r="V90" s="887"/>
      <c r="W90" s="887"/>
      <c r="X90" s="887"/>
      <c r="Y90" s="887"/>
      <c r="Z90" s="887"/>
      <c r="AA90" s="887"/>
      <c r="AB90" s="887"/>
      <c r="AC90" s="887"/>
      <c r="AD90" s="887"/>
      <c r="AE90" s="887"/>
      <c r="AF90" s="887"/>
      <c r="AG90" s="887"/>
      <c r="AH90" s="887"/>
      <c r="AI90" s="887"/>
      <c r="AJ90" s="887"/>
      <c r="AK90" s="887"/>
      <c r="AL90" s="887"/>
      <c r="AM90" s="887"/>
      <c r="AN90" s="887"/>
      <c r="AO90" s="887"/>
      <c r="AP90" s="887"/>
    </row>
    <row r="91" spans="1:42" s="888" customFormat="1" ht="19.5" customHeight="1">
      <c r="A91" s="882">
        <v>74</v>
      </c>
      <c r="B91" s="833" t="str">
        <f>'TH KẾ TOÁN'!C83</f>
        <v>Đất sét BC03</v>
      </c>
      <c r="C91" s="833" t="str">
        <f>'TH KẾ TOÁN'!B83</f>
        <v>NVLKM02.029</v>
      </c>
      <c r="D91" s="882" t="s">
        <v>193</v>
      </c>
      <c r="E91" s="858">
        <f>'TH KẾ TOÁN'!K83</f>
        <v>12132.5</v>
      </c>
      <c r="F91" s="883">
        <v>12132.5</v>
      </c>
      <c r="G91" s="883">
        <f t="shared" si="1"/>
        <v>12132.5</v>
      </c>
      <c r="H91" s="883">
        <f t="shared" si="2"/>
        <v>0</v>
      </c>
      <c r="I91" s="884"/>
      <c r="J91" s="885"/>
      <c r="K91" s="892">
        <v>0</v>
      </c>
      <c r="L91" s="1361"/>
      <c r="M91" s="887"/>
      <c r="N91" s="887"/>
      <c r="O91" s="887"/>
      <c r="P91" s="887"/>
      <c r="Q91" s="887"/>
      <c r="R91" s="887"/>
      <c r="S91" s="887"/>
      <c r="T91" s="887"/>
      <c r="U91" s="887"/>
      <c r="V91" s="887"/>
      <c r="W91" s="887"/>
      <c r="X91" s="887"/>
      <c r="Y91" s="887"/>
      <c r="Z91" s="887"/>
      <c r="AA91" s="887"/>
      <c r="AB91" s="887"/>
      <c r="AC91" s="887"/>
      <c r="AD91" s="887"/>
      <c r="AE91" s="887"/>
      <c r="AF91" s="887"/>
      <c r="AG91" s="887"/>
      <c r="AH91" s="887"/>
      <c r="AI91" s="887"/>
      <c r="AJ91" s="887"/>
      <c r="AK91" s="887"/>
      <c r="AL91" s="887"/>
      <c r="AM91" s="887"/>
      <c r="AN91" s="887"/>
      <c r="AO91" s="887"/>
      <c r="AP91" s="887"/>
    </row>
    <row r="92" spans="1:42" s="888" customFormat="1" ht="19.5" customHeight="1">
      <c r="A92" s="882">
        <v>75</v>
      </c>
      <c r="B92" s="833" t="str">
        <f>'TH KẾ TOÁN'!C84</f>
        <v>Đất sét YS09</v>
      </c>
      <c r="C92" s="833" t="str">
        <f>'TH KẾ TOÁN'!B84</f>
        <v>NVLKM02.030</v>
      </c>
      <c r="D92" s="882" t="s">
        <v>193</v>
      </c>
      <c r="E92" s="858">
        <f>'TH KẾ TOÁN'!K84</f>
        <v>500</v>
      </c>
      <c r="F92" s="883">
        <v>500</v>
      </c>
      <c r="G92" s="883">
        <f t="shared" si="1"/>
        <v>500</v>
      </c>
      <c r="H92" s="883">
        <f t="shared" si="2"/>
        <v>0</v>
      </c>
      <c r="I92" s="884"/>
      <c r="J92" s="885"/>
      <c r="K92" s="892">
        <v>0</v>
      </c>
      <c r="L92" s="1361"/>
      <c r="M92" s="887"/>
      <c r="N92" s="887"/>
      <c r="O92" s="887"/>
      <c r="P92" s="887"/>
      <c r="Q92" s="887"/>
      <c r="R92" s="887"/>
      <c r="S92" s="887"/>
      <c r="T92" s="887"/>
      <c r="U92" s="887"/>
      <c r="V92" s="887"/>
      <c r="W92" s="887"/>
      <c r="X92" s="887"/>
      <c r="Y92" s="887"/>
      <c r="Z92" s="887"/>
      <c r="AA92" s="887"/>
      <c r="AB92" s="887"/>
      <c r="AC92" s="887"/>
      <c r="AD92" s="887"/>
      <c r="AE92" s="887"/>
      <c r="AF92" s="887"/>
      <c r="AG92" s="887"/>
      <c r="AH92" s="887"/>
      <c r="AI92" s="887"/>
      <c r="AJ92" s="887"/>
      <c r="AK92" s="887"/>
      <c r="AL92" s="887"/>
      <c r="AM92" s="887"/>
      <c r="AN92" s="887"/>
      <c r="AO92" s="887"/>
      <c r="AP92" s="887"/>
    </row>
    <row r="93" spans="1:42" s="895" customFormat="1" ht="19.5" customHeight="1">
      <c r="A93" s="882">
        <v>76</v>
      </c>
      <c r="B93" s="856" t="str">
        <f>'TH KẾ TOÁN'!C85</f>
        <v>Cao lanh AA Indo</v>
      </c>
      <c r="C93" s="856" t="str">
        <f>'TH KẾ TOÁN'!B85</f>
        <v>NVLKM02.053</v>
      </c>
      <c r="D93" s="889" t="s">
        <v>193</v>
      </c>
      <c r="E93" s="858">
        <f>'TH KẾ TOÁN'!K85</f>
        <v>99395</v>
      </c>
      <c r="F93" s="883">
        <f>961+990+(55*1200)</f>
        <v>67951</v>
      </c>
      <c r="G93" s="883">
        <f t="shared" si="1"/>
        <v>51642.76</v>
      </c>
      <c r="H93" s="883">
        <f t="shared" ref="H93:H117" si="12">F93-E93</f>
        <v>-31444</v>
      </c>
      <c r="I93" s="890"/>
      <c r="J93" s="891"/>
      <c r="K93" s="892">
        <v>0.24</v>
      </c>
      <c r="L93" s="1368"/>
      <c r="M93" s="1363"/>
      <c r="N93" s="1363"/>
      <c r="O93" s="1363"/>
      <c r="P93" s="1363"/>
      <c r="Q93" s="1363"/>
      <c r="R93" s="1363"/>
      <c r="S93" s="1363"/>
      <c r="T93" s="1363"/>
      <c r="U93" s="1363"/>
      <c r="V93" s="1363"/>
      <c r="W93" s="1363"/>
      <c r="X93" s="1363"/>
      <c r="Y93" s="1363"/>
      <c r="Z93" s="1363"/>
      <c r="AA93" s="1363"/>
      <c r="AB93" s="1363"/>
      <c r="AC93" s="1363"/>
      <c r="AD93" s="1363"/>
      <c r="AE93" s="1363"/>
      <c r="AF93" s="1363"/>
      <c r="AG93" s="1363"/>
      <c r="AH93" s="1363"/>
      <c r="AI93" s="1363"/>
      <c r="AJ93" s="1363"/>
      <c r="AK93" s="1363"/>
      <c r="AL93" s="1363"/>
      <c r="AM93" s="1363"/>
      <c r="AN93" s="1363"/>
      <c r="AO93" s="1363"/>
      <c r="AP93" s="1363"/>
    </row>
    <row r="94" spans="1:42" s="888" customFormat="1" ht="19.5" customHeight="1">
      <c r="A94" s="882">
        <v>77</v>
      </c>
      <c r="B94" s="833" t="str">
        <f>'TH KẾ TOÁN'!C86</f>
        <v>Kao lanh 168</v>
      </c>
      <c r="C94" s="833" t="str">
        <f>'TH KẾ TOÁN'!B86</f>
        <v>NVLKM02.060</v>
      </c>
      <c r="D94" s="882" t="s">
        <v>193</v>
      </c>
      <c r="E94" s="858">
        <f>'TH KẾ TOÁN'!K86</f>
        <v>0</v>
      </c>
      <c r="F94" s="883">
        <v>0</v>
      </c>
      <c r="G94" s="883">
        <f t="shared" si="1"/>
        <v>0</v>
      </c>
      <c r="H94" s="883">
        <f t="shared" si="12"/>
        <v>0</v>
      </c>
      <c r="I94" s="884"/>
      <c r="J94" s="885"/>
      <c r="K94" s="892">
        <v>0</v>
      </c>
      <c r="L94" s="1361"/>
      <c r="M94" s="887"/>
      <c r="N94" s="887"/>
      <c r="O94" s="887"/>
      <c r="P94" s="887"/>
      <c r="Q94" s="887"/>
      <c r="R94" s="887"/>
      <c r="S94" s="887"/>
      <c r="T94" s="887"/>
      <c r="U94" s="887"/>
      <c r="V94" s="887"/>
      <c r="W94" s="887"/>
      <c r="X94" s="887"/>
      <c r="Y94" s="887"/>
      <c r="Z94" s="887"/>
      <c r="AA94" s="887"/>
      <c r="AB94" s="887"/>
      <c r="AC94" s="887"/>
      <c r="AD94" s="887"/>
      <c r="AE94" s="887"/>
      <c r="AF94" s="887"/>
      <c r="AG94" s="887"/>
      <c r="AH94" s="887"/>
      <c r="AI94" s="887"/>
      <c r="AJ94" s="887"/>
      <c r="AK94" s="887"/>
      <c r="AL94" s="887"/>
      <c r="AM94" s="887"/>
      <c r="AN94" s="887"/>
      <c r="AO94" s="887"/>
      <c r="AP94" s="887"/>
    </row>
    <row r="95" spans="1:42" s="888" customFormat="1" ht="19.5" customHeight="1">
      <c r="A95" s="882">
        <v>78</v>
      </c>
      <c r="B95" s="833" t="str">
        <f>'TH KẾ TOÁN'!C87</f>
        <v>Frit trong VFT03</v>
      </c>
      <c r="C95" s="833" t="str">
        <f>'TH KẾ TOÁN'!B87</f>
        <v>NVLKM02.069</v>
      </c>
      <c r="D95" s="882" t="s">
        <v>193</v>
      </c>
      <c r="E95" s="858">
        <f>'TH KẾ TOÁN'!K87</f>
        <v>0</v>
      </c>
      <c r="F95" s="883">
        <v>0</v>
      </c>
      <c r="G95" s="883">
        <f t="shared" ref="G95:G97" si="13">F95-(F95*K95)</f>
        <v>0</v>
      </c>
      <c r="H95" s="883">
        <f t="shared" ref="H95:H97" si="14">F95-E95</f>
        <v>0</v>
      </c>
      <c r="I95" s="884"/>
      <c r="J95" s="885"/>
      <c r="K95" s="892">
        <v>0</v>
      </c>
      <c r="L95" s="1361"/>
      <c r="M95" s="887"/>
      <c r="N95" s="887"/>
      <c r="O95" s="887"/>
      <c r="P95" s="887"/>
      <c r="Q95" s="887"/>
      <c r="R95" s="887"/>
      <c r="S95" s="887"/>
      <c r="T95" s="887"/>
      <c r="U95" s="887"/>
      <c r="V95" s="887"/>
      <c r="W95" s="887"/>
      <c r="X95" s="887"/>
      <c r="Y95" s="887"/>
      <c r="Z95" s="887"/>
      <c r="AA95" s="887"/>
      <c r="AB95" s="887"/>
      <c r="AC95" s="887"/>
      <c r="AD95" s="887"/>
      <c r="AE95" s="887"/>
      <c r="AF95" s="887"/>
      <c r="AG95" s="887"/>
      <c r="AH95" s="887"/>
      <c r="AI95" s="887"/>
      <c r="AJ95" s="887"/>
      <c r="AK95" s="887"/>
      <c r="AL95" s="887"/>
      <c r="AM95" s="887"/>
      <c r="AN95" s="887"/>
      <c r="AO95" s="887"/>
      <c r="AP95" s="887"/>
    </row>
    <row r="96" spans="1:42" s="888" customFormat="1" ht="19.5" customHeight="1">
      <c r="A96" s="882">
        <v>79</v>
      </c>
      <c r="B96" s="833" t="str">
        <f>'TH KẾ TOÁN'!C88</f>
        <v>Frit 320</v>
      </c>
      <c r="C96" s="833" t="str">
        <f>'TH KẾ TOÁN'!B88</f>
        <v>NVLKM02.083</v>
      </c>
      <c r="D96" s="882" t="s">
        <v>193</v>
      </c>
      <c r="E96" s="858">
        <f>'TH KẾ TOÁN'!K88</f>
        <v>0</v>
      </c>
      <c r="F96" s="883">
        <v>0</v>
      </c>
      <c r="G96" s="883">
        <f t="shared" si="13"/>
        <v>0</v>
      </c>
      <c r="H96" s="883">
        <f t="shared" si="14"/>
        <v>0</v>
      </c>
      <c r="I96" s="884"/>
      <c r="J96" s="885"/>
      <c r="K96" s="892">
        <v>0</v>
      </c>
      <c r="L96" s="1361"/>
      <c r="M96" s="887"/>
      <c r="N96" s="887"/>
      <c r="O96" s="887"/>
      <c r="P96" s="887"/>
      <c r="Q96" s="887"/>
      <c r="R96" s="887"/>
      <c r="S96" s="887"/>
      <c r="T96" s="887"/>
      <c r="U96" s="887"/>
      <c r="V96" s="887"/>
      <c r="W96" s="887"/>
      <c r="X96" s="887"/>
      <c r="Y96" s="887"/>
      <c r="Z96" s="887"/>
      <c r="AA96" s="887"/>
      <c r="AB96" s="887"/>
      <c r="AC96" s="887"/>
      <c r="AD96" s="887"/>
      <c r="AE96" s="887"/>
      <c r="AF96" s="887"/>
      <c r="AG96" s="887"/>
      <c r="AH96" s="887"/>
      <c r="AI96" s="887"/>
      <c r="AJ96" s="887"/>
      <c r="AK96" s="887"/>
      <c r="AL96" s="887"/>
      <c r="AM96" s="887"/>
      <c r="AN96" s="887"/>
      <c r="AO96" s="887"/>
      <c r="AP96" s="887"/>
    </row>
    <row r="97" spans="1:42" s="888" customFormat="1" ht="19.5" customHeight="1">
      <c r="A97" s="882">
        <v>80</v>
      </c>
      <c r="B97" s="833" t="str">
        <f>'TH KẾ TOÁN'!C89</f>
        <v>Frit 515</v>
      </c>
      <c r="C97" s="833" t="str">
        <f>'TH KẾ TOÁN'!B89</f>
        <v>NVLKM02.084</v>
      </c>
      <c r="D97" s="882" t="s">
        <v>193</v>
      </c>
      <c r="E97" s="858">
        <f>'TH KẾ TOÁN'!K89</f>
        <v>50</v>
      </c>
      <c r="F97" s="883">
        <v>50</v>
      </c>
      <c r="G97" s="883">
        <f t="shared" si="13"/>
        <v>50</v>
      </c>
      <c r="H97" s="883">
        <f t="shared" si="14"/>
        <v>0</v>
      </c>
      <c r="I97" s="884"/>
      <c r="J97" s="885"/>
      <c r="K97" s="892">
        <v>0</v>
      </c>
      <c r="L97" s="1361"/>
      <c r="M97" s="887"/>
      <c r="N97" s="887"/>
      <c r="O97" s="887"/>
      <c r="P97" s="887"/>
      <c r="Q97" s="887"/>
      <c r="R97" s="887"/>
      <c r="S97" s="887"/>
      <c r="T97" s="887"/>
      <c r="U97" s="887"/>
      <c r="V97" s="887"/>
      <c r="W97" s="887"/>
      <c r="X97" s="887"/>
      <c r="Y97" s="887"/>
      <c r="Z97" s="887"/>
      <c r="AA97" s="887"/>
      <c r="AB97" s="887"/>
      <c r="AC97" s="887"/>
      <c r="AD97" s="887"/>
      <c r="AE97" s="887"/>
      <c r="AF97" s="887"/>
      <c r="AG97" s="887"/>
      <c r="AH97" s="887"/>
      <c r="AI97" s="887"/>
      <c r="AJ97" s="887"/>
      <c r="AK97" s="887"/>
      <c r="AL97" s="887"/>
      <c r="AM97" s="887"/>
      <c r="AN97" s="887"/>
      <c r="AO97" s="887"/>
      <c r="AP97" s="887"/>
    </row>
    <row r="98" spans="1:42" s="895" customFormat="1" ht="19.5" customHeight="1">
      <c r="A98" s="882">
        <v>81</v>
      </c>
      <c r="B98" s="856" t="str">
        <f>'TH KẾ TOÁN'!C90</f>
        <v>Frit 856</v>
      </c>
      <c r="C98" s="856" t="str">
        <f>'TH KẾ TOÁN'!B90</f>
        <v>NVLKM01.089</v>
      </c>
      <c r="D98" s="889" t="s">
        <v>193</v>
      </c>
      <c r="E98" s="858">
        <f>'TH KẾ TOÁN'!K90</f>
        <v>36014</v>
      </c>
      <c r="F98" s="883">
        <f>(23+15)*1250</f>
        <v>47500</v>
      </c>
      <c r="G98" s="883">
        <f t="shared" si="1"/>
        <v>46930</v>
      </c>
      <c r="H98" s="883">
        <f t="shared" si="12"/>
        <v>11486</v>
      </c>
      <c r="I98" s="890"/>
      <c r="J98" s="891"/>
      <c r="K98" s="892">
        <v>1.2E-2</v>
      </c>
      <c r="L98" s="1368"/>
      <c r="M98" s="1362"/>
      <c r="N98" s="1362"/>
      <c r="O98" s="1362"/>
      <c r="P98" s="1362"/>
      <c r="Q98" s="1362"/>
      <c r="R98" s="1362"/>
      <c r="S98" s="1362"/>
      <c r="T98" s="1362"/>
      <c r="U98" s="1362"/>
      <c r="V98" s="1362"/>
      <c r="W98" s="1362"/>
      <c r="X98" s="1362"/>
      <c r="Y98" s="1362"/>
      <c r="Z98" s="1362"/>
      <c r="AA98" s="1362"/>
      <c r="AB98" s="1362"/>
      <c r="AC98" s="1362"/>
      <c r="AD98" s="1362"/>
      <c r="AE98" s="1362"/>
      <c r="AF98" s="1362"/>
      <c r="AG98" s="1362"/>
      <c r="AH98" s="1362"/>
      <c r="AI98" s="1362"/>
      <c r="AJ98" s="1362"/>
      <c r="AK98" s="1362"/>
      <c r="AL98" s="1362"/>
      <c r="AM98" s="1362"/>
      <c r="AN98" s="1362"/>
      <c r="AO98" s="1362"/>
      <c r="AP98" s="1362"/>
    </row>
    <row r="99" spans="1:42" s="888" customFormat="1" ht="19.5" customHeight="1">
      <c r="A99" s="882">
        <v>82</v>
      </c>
      <c r="B99" s="833" t="str">
        <f>'TH KẾ TOÁN'!C91</f>
        <v>Frit 089</v>
      </c>
      <c r="C99" s="833" t="str">
        <f>'TH KẾ TOÁN'!B91</f>
        <v>NVLKM02.086</v>
      </c>
      <c r="D99" s="882" t="s">
        <v>193</v>
      </c>
      <c r="E99" s="858">
        <f>'TH KẾ TOÁN'!K91</f>
        <v>50</v>
      </c>
      <c r="F99" s="883">
        <f>E99</f>
        <v>50</v>
      </c>
      <c r="G99" s="883">
        <f t="shared" si="1"/>
        <v>50</v>
      </c>
      <c r="H99" s="883">
        <f t="shared" si="12"/>
        <v>0</v>
      </c>
      <c r="I99" s="884"/>
      <c r="J99" s="885"/>
      <c r="K99" s="892">
        <v>0</v>
      </c>
      <c r="L99" s="1361"/>
      <c r="M99" s="887"/>
      <c r="N99" s="887"/>
      <c r="O99" s="887"/>
      <c r="P99" s="887"/>
      <c r="Q99" s="887"/>
      <c r="R99" s="887"/>
      <c r="S99" s="887"/>
      <c r="T99" s="887"/>
      <c r="U99" s="887"/>
      <c r="V99" s="887"/>
      <c r="W99" s="887"/>
      <c r="X99" s="887"/>
      <c r="Y99" s="887"/>
      <c r="Z99" s="887"/>
      <c r="AA99" s="887"/>
      <c r="AB99" s="887"/>
      <c r="AC99" s="887"/>
      <c r="AD99" s="887"/>
      <c r="AE99" s="887"/>
      <c r="AF99" s="887"/>
      <c r="AG99" s="887"/>
      <c r="AH99" s="887"/>
      <c r="AI99" s="887"/>
      <c r="AJ99" s="887"/>
      <c r="AK99" s="887"/>
      <c r="AL99" s="887"/>
      <c r="AM99" s="887"/>
      <c r="AN99" s="887"/>
      <c r="AO99" s="887"/>
      <c r="AP99" s="887"/>
    </row>
    <row r="100" spans="1:42" s="888" customFormat="1" ht="19.5" customHeight="1">
      <c r="A100" s="882">
        <v>83</v>
      </c>
      <c r="B100" s="833" t="str">
        <f>'TH KẾ TOÁN'!C92</f>
        <v>Frit 356</v>
      </c>
      <c r="C100" s="833" t="str">
        <f>'TH KẾ TOÁN'!B92</f>
        <v>NVLKM02.087</v>
      </c>
      <c r="D100" s="882" t="s">
        <v>193</v>
      </c>
      <c r="E100" s="858">
        <f>'TH KẾ TOÁN'!K92</f>
        <v>3750</v>
      </c>
      <c r="F100" s="883">
        <f>15*5*50</f>
        <v>3750</v>
      </c>
      <c r="G100" s="883">
        <f t="shared" si="1"/>
        <v>3731.25</v>
      </c>
      <c r="H100" s="883">
        <f t="shared" si="12"/>
        <v>0</v>
      </c>
      <c r="I100" s="884"/>
      <c r="J100" s="885"/>
      <c r="K100" s="892">
        <v>5.0000000000000001E-3</v>
      </c>
      <c r="L100" s="1361"/>
      <c r="M100" s="887"/>
      <c r="N100" s="887"/>
      <c r="O100" s="887"/>
      <c r="P100" s="887"/>
      <c r="Q100" s="887"/>
      <c r="R100" s="887"/>
      <c r="S100" s="887"/>
      <c r="T100" s="887"/>
      <c r="U100" s="887"/>
      <c r="V100" s="887"/>
      <c r="W100" s="887"/>
      <c r="X100" s="887"/>
      <c r="Y100" s="887"/>
      <c r="Z100" s="887"/>
      <c r="AA100" s="887"/>
      <c r="AB100" s="887"/>
      <c r="AC100" s="887"/>
      <c r="AD100" s="887"/>
      <c r="AE100" s="887"/>
      <c r="AF100" s="887"/>
      <c r="AG100" s="887"/>
      <c r="AH100" s="887"/>
      <c r="AI100" s="887"/>
      <c r="AJ100" s="887"/>
      <c r="AK100" s="887"/>
      <c r="AL100" s="887"/>
      <c r="AM100" s="887"/>
      <c r="AN100" s="887"/>
      <c r="AO100" s="887"/>
      <c r="AP100" s="887"/>
    </row>
    <row r="101" spans="1:42" s="888" customFormat="1" ht="19.5" customHeight="1">
      <c r="A101" s="882">
        <v>84</v>
      </c>
      <c r="B101" s="833" t="str">
        <f>'TH KẾ TOÁN'!C93</f>
        <v>Frit 356 L</v>
      </c>
      <c r="C101" s="833" t="str">
        <f>'TH KẾ TOÁN'!B93</f>
        <v>NVLKM02.088</v>
      </c>
      <c r="D101" s="882" t="s">
        <v>193</v>
      </c>
      <c r="E101" s="858">
        <f>'TH KẾ TOÁN'!K93</f>
        <v>40900</v>
      </c>
      <c r="F101" s="883">
        <f>E101</f>
        <v>40900</v>
      </c>
      <c r="G101" s="883">
        <f t="shared" si="1"/>
        <v>40695.5</v>
      </c>
      <c r="H101" s="883">
        <f t="shared" si="12"/>
        <v>0</v>
      </c>
      <c r="I101" s="884"/>
      <c r="J101" s="885"/>
      <c r="K101" s="892">
        <v>5.0000000000000001E-3</v>
      </c>
      <c r="L101" s="1361"/>
      <c r="M101" s="887"/>
      <c r="N101" s="887"/>
      <c r="O101" s="887"/>
      <c r="P101" s="887"/>
      <c r="Q101" s="887"/>
      <c r="R101" s="887"/>
      <c r="S101" s="887"/>
      <c r="T101" s="887"/>
      <c r="U101" s="887"/>
      <c r="V101" s="887"/>
      <c r="W101" s="887"/>
      <c r="X101" s="887"/>
      <c r="Y101" s="887"/>
      <c r="Z101" s="887"/>
      <c r="AA101" s="887"/>
      <c r="AB101" s="887"/>
      <c r="AC101" s="887"/>
      <c r="AD101" s="887"/>
      <c r="AE101" s="887"/>
      <c r="AF101" s="887"/>
      <c r="AG101" s="887"/>
      <c r="AH101" s="887"/>
      <c r="AI101" s="887"/>
      <c r="AJ101" s="887"/>
      <c r="AK101" s="887"/>
      <c r="AL101" s="887"/>
      <c r="AM101" s="887"/>
      <c r="AN101" s="887"/>
      <c r="AO101" s="887"/>
      <c r="AP101" s="887"/>
    </row>
    <row r="102" spans="1:42" s="888" customFormat="1" ht="19.5" customHeight="1">
      <c r="A102" s="882">
        <v>85</v>
      </c>
      <c r="B102" s="833" t="str">
        <f>'TH KẾ TOÁN'!C94</f>
        <v>Mực màu be</v>
      </c>
      <c r="C102" s="833" t="str">
        <f>'TH KẾ TOÁN'!B94</f>
        <v>NVLKM03.008</v>
      </c>
      <c r="D102" s="889" t="s">
        <v>193</v>
      </c>
      <c r="E102" s="858">
        <f>'TH KẾ TOÁN'!K94</f>
        <v>225</v>
      </c>
      <c r="F102" s="883">
        <v>95</v>
      </c>
      <c r="G102" s="883">
        <f t="shared" si="1"/>
        <v>95</v>
      </c>
      <c r="H102" s="883">
        <f t="shared" si="12"/>
        <v>-130</v>
      </c>
      <c r="I102" s="890"/>
      <c r="J102" s="891"/>
      <c r="K102" s="892">
        <v>0</v>
      </c>
      <c r="L102" s="1361"/>
      <c r="M102" s="887"/>
      <c r="N102" s="887"/>
      <c r="O102" s="887"/>
      <c r="P102" s="887"/>
      <c r="Q102" s="887"/>
      <c r="R102" s="887"/>
      <c r="S102" s="887"/>
      <c r="T102" s="887"/>
      <c r="U102" s="887"/>
      <c r="V102" s="887"/>
      <c r="W102" s="887"/>
      <c r="X102" s="887"/>
      <c r="Y102" s="887"/>
      <c r="Z102" s="887"/>
      <c r="AA102" s="887"/>
      <c r="AB102" s="887"/>
      <c r="AC102" s="887"/>
      <c r="AD102" s="887"/>
      <c r="AE102" s="887"/>
      <c r="AF102" s="887"/>
      <c r="AG102" s="887"/>
      <c r="AH102" s="887"/>
      <c r="AI102" s="887"/>
      <c r="AJ102" s="887"/>
      <c r="AK102" s="887"/>
      <c r="AL102" s="887"/>
      <c r="AM102" s="887"/>
      <c r="AN102" s="887"/>
      <c r="AO102" s="887"/>
      <c r="AP102" s="887"/>
    </row>
    <row r="103" spans="1:42" s="888" customFormat="1" ht="19.5" customHeight="1">
      <c r="A103" s="882">
        <v>86</v>
      </c>
      <c r="B103" s="833" t="str">
        <f>'TH KẾ TOÁN'!C95</f>
        <v>Dung dịch rửa đầu in</v>
      </c>
      <c r="C103" s="833" t="str">
        <f>'TH KẾ TOÁN'!B95</f>
        <v>NVLKM03.009</v>
      </c>
      <c r="D103" s="882" t="s">
        <v>193</v>
      </c>
      <c r="E103" s="858">
        <f>'TH KẾ TOÁN'!K95</f>
        <v>4</v>
      </c>
      <c r="F103" s="883">
        <v>8</v>
      </c>
      <c r="G103" s="883">
        <f t="shared" si="1"/>
        <v>8</v>
      </c>
      <c r="H103" s="883">
        <f t="shared" si="12"/>
        <v>4</v>
      </c>
      <c r="I103" s="884"/>
      <c r="J103" s="885"/>
      <c r="K103" s="892">
        <v>0</v>
      </c>
      <c r="L103" s="1361"/>
      <c r="M103" s="887"/>
      <c r="N103" s="887"/>
      <c r="O103" s="887"/>
      <c r="P103" s="887"/>
      <c r="Q103" s="887"/>
      <c r="R103" s="887"/>
      <c r="S103" s="887"/>
      <c r="T103" s="887"/>
      <c r="U103" s="887"/>
      <c r="V103" s="887"/>
      <c r="W103" s="887"/>
      <c r="X103" s="887"/>
      <c r="Y103" s="887"/>
      <c r="Z103" s="887"/>
      <c r="AA103" s="887"/>
      <c r="AB103" s="887"/>
      <c r="AC103" s="887"/>
      <c r="AD103" s="887"/>
      <c r="AE103" s="887"/>
      <c r="AF103" s="887"/>
      <c r="AG103" s="887"/>
      <c r="AH103" s="887"/>
      <c r="AI103" s="887"/>
      <c r="AJ103" s="887"/>
      <c r="AK103" s="887"/>
      <c r="AL103" s="887"/>
      <c r="AM103" s="887"/>
      <c r="AN103" s="887"/>
      <c r="AO103" s="887"/>
      <c r="AP103" s="887"/>
    </row>
    <row r="104" spans="1:42" s="888" customFormat="1" ht="19.5" customHeight="1">
      <c r="A104" s="882">
        <v>87</v>
      </c>
      <c r="B104" s="833" t="str">
        <f>'TH KẾ TOÁN'!C96</f>
        <v>Dung dịch rửa máy in</v>
      </c>
      <c r="C104" s="833" t="str">
        <f>'TH KẾ TOÁN'!B96</f>
        <v>NVLKM03.010</v>
      </c>
      <c r="D104" s="882" t="s">
        <v>193</v>
      </c>
      <c r="E104" s="858">
        <f>'TH KẾ TOÁN'!K96</f>
        <v>32</v>
      </c>
      <c r="F104" s="883">
        <v>24</v>
      </c>
      <c r="G104" s="883">
        <f t="shared" si="1"/>
        <v>24</v>
      </c>
      <c r="H104" s="883">
        <f t="shared" si="12"/>
        <v>-8</v>
      </c>
      <c r="I104" s="884"/>
      <c r="J104" s="885"/>
      <c r="K104" s="892">
        <v>0</v>
      </c>
      <c r="L104" s="1361"/>
      <c r="M104" s="887"/>
      <c r="N104" s="887"/>
      <c r="O104" s="887"/>
      <c r="P104" s="887"/>
      <c r="Q104" s="887"/>
      <c r="R104" s="887"/>
      <c r="S104" s="887"/>
      <c r="T104" s="887"/>
      <c r="U104" s="887"/>
      <c r="V104" s="887"/>
      <c r="W104" s="887"/>
      <c r="X104" s="887"/>
      <c r="Y104" s="887"/>
      <c r="Z104" s="887"/>
      <c r="AA104" s="887"/>
      <c r="AB104" s="887"/>
      <c r="AC104" s="887"/>
      <c r="AD104" s="887"/>
      <c r="AE104" s="887"/>
      <c r="AF104" s="887"/>
      <c r="AG104" s="887"/>
      <c r="AH104" s="887"/>
      <c r="AI104" s="887"/>
      <c r="AJ104" s="887"/>
      <c r="AK104" s="887"/>
      <c r="AL104" s="887"/>
      <c r="AM104" s="887"/>
      <c r="AN104" s="887"/>
      <c r="AO104" s="887"/>
      <c r="AP104" s="887"/>
    </row>
    <row r="105" spans="1:42" s="888" customFormat="1" ht="19.5" customHeight="1">
      <c r="A105" s="882">
        <v>88</v>
      </c>
      <c r="B105" s="833" t="str">
        <f>'TH KẾ TOÁN'!C97</f>
        <v>Mực xanh dương ESM</v>
      </c>
      <c r="C105" s="833" t="str">
        <f>'TH KẾ TOÁN'!B97</f>
        <v>NVLKM03.011</v>
      </c>
      <c r="D105" s="882" t="s">
        <v>193</v>
      </c>
      <c r="E105" s="858">
        <f>'TH KẾ TOÁN'!K97</f>
        <v>390</v>
      </c>
      <c r="F105" s="883">
        <v>185</v>
      </c>
      <c r="G105" s="883">
        <f t="shared" si="1"/>
        <v>185</v>
      </c>
      <c r="H105" s="883">
        <f t="shared" si="12"/>
        <v>-205</v>
      </c>
      <c r="I105" s="884"/>
      <c r="J105" s="885"/>
      <c r="K105" s="892">
        <v>0</v>
      </c>
      <c r="L105" s="1361"/>
      <c r="M105" s="887"/>
      <c r="N105" s="887"/>
      <c r="O105" s="887"/>
      <c r="P105" s="887"/>
      <c r="Q105" s="887"/>
      <c r="R105" s="887"/>
      <c r="S105" s="887"/>
      <c r="T105" s="887"/>
      <c r="U105" s="887"/>
      <c r="V105" s="887"/>
      <c r="W105" s="887"/>
      <c r="X105" s="887"/>
      <c r="Y105" s="887"/>
      <c r="Z105" s="887"/>
      <c r="AA105" s="887"/>
      <c r="AB105" s="887"/>
      <c r="AC105" s="887"/>
      <c r="AD105" s="887"/>
      <c r="AE105" s="887"/>
      <c r="AF105" s="887"/>
      <c r="AG105" s="887"/>
      <c r="AH105" s="887"/>
      <c r="AI105" s="887"/>
      <c r="AJ105" s="887"/>
      <c r="AK105" s="887"/>
      <c r="AL105" s="887"/>
      <c r="AM105" s="887"/>
      <c r="AN105" s="887"/>
      <c r="AO105" s="887"/>
      <c r="AP105" s="887"/>
    </row>
    <row r="106" spans="1:42" s="888" customFormat="1" ht="19.5" customHeight="1">
      <c r="A106" s="882">
        <v>89</v>
      </c>
      <c r="B106" s="833" t="str">
        <f>'TH KẾ TOÁN'!C98</f>
        <v>Mực màu vàng ESM</v>
      </c>
      <c r="C106" s="833" t="str">
        <f>'TH KẾ TOÁN'!B98</f>
        <v>NVLKM03.012</v>
      </c>
      <c r="D106" s="882" t="s">
        <v>193</v>
      </c>
      <c r="E106" s="858">
        <f>'TH KẾ TOÁN'!K98</f>
        <v>480</v>
      </c>
      <c r="F106" s="883">
        <v>102</v>
      </c>
      <c r="G106" s="883">
        <f>F106-(F106*K106)</f>
        <v>102</v>
      </c>
      <c r="H106" s="883">
        <f>F106-E106</f>
        <v>-378</v>
      </c>
      <c r="I106" s="884"/>
      <c r="J106" s="885"/>
      <c r="K106" s="892">
        <v>0</v>
      </c>
      <c r="L106" s="1361"/>
      <c r="M106" s="887"/>
      <c r="N106" s="887"/>
      <c r="O106" s="887"/>
      <c r="P106" s="887"/>
      <c r="Q106" s="887"/>
      <c r="R106" s="887"/>
      <c r="S106" s="887"/>
      <c r="T106" s="887"/>
      <c r="U106" s="887"/>
      <c r="V106" s="887"/>
      <c r="W106" s="887"/>
      <c r="X106" s="887"/>
      <c r="Y106" s="887"/>
      <c r="Z106" s="887"/>
      <c r="AA106" s="887"/>
      <c r="AB106" s="887"/>
      <c r="AC106" s="887"/>
      <c r="AD106" s="887"/>
      <c r="AE106" s="887"/>
      <c r="AF106" s="887"/>
      <c r="AG106" s="887"/>
      <c r="AH106" s="887"/>
      <c r="AI106" s="887"/>
      <c r="AJ106" s="887"/>
      <c r="AK106" s="887"/>
      <c r="AL106" s="887"/>
      <c r="AM106" s="887"/>
      <c r="AN106" s="887"/>
      <c r="AO106" s="887"/>
      <c r="AP106" s="887"/>
    </row>
    <row r="107" spans="1:42" s="888" customFormat="1" ht="19.5" customHeight="1">
      <c r="A107" s="882">
        <v>90</v>
      </c>
      <c r="B107" s="833" t="str">
        <f>'TH KẾ TOÁN'!C99</f>
        <v>Mực nâu đỏ ESM</v>
      </c>
      <c r="C107" s="833" t="str">
        <f>'TH KẾ TOÁN'!B99</f>
        <v>NVLKM03.013</v>
      </c>
      <c r="D107" s="882" t="s">
        <v>193</v>
      </c>
      <c r="E107" s="858">
        <f>'TH KẾ TOÁN'!K99</f>
        <v>198</v>
      </c>
      <c r="F107" s="883">
        <v>108</v>
      </c>
      <c r="G107" s="883">
        <f>F107-(F107*K107)</f>
        <v>108</v>
      </c>
      <c r="H107" s="883">
        <f>F107-E107</f>
        <v>-90</v>
      </c>
      <c r="I107" s="884"/>
      <c r="J107" s="885"/>
      <c r="K107" s="892">
        <v>0</v>
      </c>
      <c r="L107" s="1361"/>
      <c r="M107" s="887"/>
      <c r="N107" s="887"/>
      <c r="O107" s="887"/>
      <c r="P107" s="887"/>
      <c r="Q107" s="887"/>
      <c r="R107" s="887"/>
      <c r="S107" s="887"/>
      <c r="T107" s="887"/>
      <c r="U107" s="887"/>
      <c r="V107" s="887"/>
      <c r="W107" s="887"/>
      <c r="X107" s="887"/>
      <c r="Y107" s="887"/>
      <c r="Z107" s="887"/>
      <c r="AA107" s="887"/>
      <c r="AB107" s="887"/>
      <c r="AC107" s="887"/>
      <c r="AD107" s="887"/>
      <c r="AE107" s="887"/>
      <c r="AF107" s="887"/>
      <c r="AG107" s="887"/>
      <c r="AH107" s="887"/>
      <c r="AI107" s="887"/>
      <c r="AJ107" s="887"/>
      <c r="AK107" s="887"/>
      <c r="AL107" s="887"/>
      <c r="AM107" s="887"/>
      <c r="AN107" s="887"/>
      <c r="AO107" s="887"/>
      <c r="AP107" s="887"/>
    </row>
    <row r="108" spans="1:42" s="888" customFormat="1" ht="19.5" customHeight="1">
      <c r="A108" s="882">
        <v>91</v>
      </c>
      <c r="B108" s="833" t="str">
        <f>'TH KẾ TOÁN'!C100</f>
        <v>Men in chìm ESM</v>
      </c>
      <c r="C108" s="833" t="str">
        <f>'TH KẾ TOÁN'!B100</f>
        <v>NVLKM03.014</v>
      </c>
      <c r="D108" s="889" t="s">
        <v>193</v>
      </c>
      <c r="E108" s="858">
        <f>'TH KẾ TOÁN'!K100</f>
        <v>126</v>
      </c>
      <c r="F108" s="883">
        <f>E108</f>
        <v>126</v>
      </c>
      <c r="G108" s="883">
        <f>F108-(F108*K108)</f>
        <v>126</v>
      </c>
      <c r="H108" s="883">
        <f>F108-E108</f>
        <v>0</v>
      </c>
      <c r="I108" s="890"/>
      <c r="J108" s="891"/>
      <c r="K108" s="892">
        <v>0</v>
      </c>
      <c r="L108" s="1361"/>
      <c r="M108" s="887"/>
      <c r="N108" s="887"/>
      <c r="O108" s="887"/>
      <c r="P108" s="887"/>
      <c r="Q108" s="887"/>
      <c r="R108" s="887"/>
      <c r="S108" s="887"/>
      <c r="T108" s="887"/>
      <c r="U108" s="887"/>
      <c r="V108" s="887"/>
      <c r="W108" s="887"/>
      <c r="X108" s="887"/>
      <c r="Y108" s="887"/>
      <c r="Z108" s="887"/>
      <c r="AA108" s="887"/>
      <c r="AB108" s="887"/>
      <c r="AC108" s="887"/>
      <c r="AD108" s="887"/>
      <c r="AE108" s="887"/>
      <c r="AF108" s="887"/>
      <c r="AG108" s="887"/>
      <c r="AH108" s="887"/>
      <c r="AI108" s="887"/>
      <c r="AJ108" s="887"/>
      <c r="AK108" s="887"/>
      <c r="AL108" s="887"/>
      <c r="AM108" s="887"/>
      <c r="AN108" s="887"/>
      <c r="AO108" s="887"/>
      <c r="AP108" s="887"/>
    </row>
    <row r="109" spans="1:42" s="888" customFormat="1" ht="19.5" customHeight="1">
      <c r="A109" s="882">
        <v>92</v>
      </c>
      <c r="B109" s="833" t="str">
        <f>'TH KẾ TOÁN'!C101</f>
        <v>Mực hồng ESM</v>
      </c>
      <c r="C109" s="833" t="str">
        <f>'TH KẾ TOÁN'!B101</f>
        <v>NVLKM03.015</v>
      </c>
      <c r="D109" s="889" t="s">
        <v>193</v>
      </c>
      <c r="E109" s="858">
        <f>'TH KẾ TOÁN'!K101</f>
        <v>0</v>
      </c>
      <c r="F109" s="883">
        <f t="shared" ref="F109:F117" si="15">E109</f>
        <v>0</v>
      </c>
      <c r="G109" s="883">
        <f t="shared" ref="G109:G117" si="16">F109-(F109*K109)</f>
        <v>0</v>
      </c>
      <c r="H109" s="883">
        <f t="shared" si="12"/>
        <v>0</v>
      </c>
      <c r="I109" s="890"/>
      <c r="J109" s="891"/>
      <c r="K109" s="892">
        <v>0</v>
      </c>
      <c r="L109" s="1361"/>
      <c r="M109" s="887"/>
      <c r="N109" s="887"/>
      <c r="O109" s="887"/>
      <c r="P109" s="887"/>
      <c r="Q109" s="887"/>
      <c r="R109" s="887"/>
      <c r="S109" s="887"/>
      <c r="T109" s="887"/>
      <c r="U109" s="887"/>
      <c r="V109" s="887"/>
      <c r="W109" s="887"/>
      <c r="X109" s="887"/>
      <c r="Y109" s="887"/>
      <c r="Z109" s="887"/>
      <c r="AA109" s="887"/>
      <c r="AB109" s="887"/>
      <c r="AC109" s="887"/>
      <c r="AD109" s="887"/>
      <c r="AE109" s="887"/>
      <c r="AF109" s="887"/>
      <c r="AG109" s="887"/>
      <c r="AH109" s="887"/>
      <c r="AI109" s="887"/>
      <c r="AJ109" s="887"/>
      <c r="AK109" s="887"/>
      <c r="AL109" s="887"/>
      <c r="AM109" s="887"/>
      <c r="AN109" s="887"/>
      <c r="AO109" s="887"/>
      <c r="AP109" s="887"/>
    </row>
    <row r="110" spans="1:42" s="888" customFormat="1" ht="19.5" customHeight="1">
      <c r="A110" s="882">
        <v>93</v>
      </c>
      <c r="B110" s="833" t="str">
        <f>'TH KẾ TOÁN'!C102</f>
        <v>Mực đen ESM</v>
      </c>
      <c r="C110" s="833" t="str">
        <f>'TH KẾ TOÁN'!B102</f>
        <v>NVLKM03.016</v>
      </c>
      <c r="D110" s="889" t="s">
        <v>193</v>
      </c>
      <c r="E110" s="858">
        <f>'TH KẾ TOÁN'!K102</f>
        <v>48</v>
      </c>
      <c r="F110" s="883">
        <f t="shared" si="15"/>
        <v>48</v>
      </c>
      <c r="G110" s="883">
        <f t="shared" si="16"/>
        <v>48</v>
      </c>
      <c r="H110" s="883">
        <f t="shared" si="12"/>
        <v>0</v>
      </c>
      <c r="I110" s="890"/>
      <c r="J110" s="891"/>
      <c r="K110" s="892">
        <v>0</v>
      </c>
      <c r="L110" s="1361"/>
      <c r="M110" s="887"/>
      <c r="N110" s="887"/>
      <c r="O110" s="887"/>
      <c r="P110" s="887"/>
      <c r="Q110" s="887"/>
      <c r="R110" s="887"/>
      <c r="S110" s="887"/>
      <c r="T110" s="887"/>
      <c r="U110" s="887"/>
      <c r="V110" s="887"/>
      <c r="W110" s="887"/>
      <c r="X110" s="887"/>
      <c r="Y110" s="887"/>
      <c r="Z110" s="887"/>
      <c r="AA110" s="887"/>
      <c r="AB110" s="887"/>
      <c r="AC110" s="887"/>
      <c r="AD110" s="887"/>
      <c r="AE110" s="887"/>
      <c r="AF110" s="887"/>
      <c r="AG110" s="887"/>
      <c r="AH110" s="887"/>
      <c r="AI110" s="887"/>
      <c r="AJ110" s="887"/>
      <c r="AK110" s="887"/>
      <c r="AL110" s="887"/>
      <c r="AM110" s="887"/>
      <c r="AN110" s="887"/>
      <c r="AO110" s="887"/>
      <c r="AP110" s="887"/>
    </row>
    <row r="111" spans="1:42" s="888" customFormat="1" ht="19.5" customHeight="1">
      <c r="A111" s="882">
        <v>94</v>
      </c>
      <c r="B111" s="833" t="str">
        <f>'TH KẾ TOÁN'!C103</f>
        <v>Men in nổi - LU</v>
      </c>
      <c r="C111" s="833" t="str">
        <f>'TH KẾ TOÁN'!B103</f>
        <v>NVLKM03.018</v>
      </c>
      <c r="D111" s="889" t="s">
        <v>193</v>
      </c>
      <c r="E111" s="858">
        <f>'TH KẾ TOÁN'!K103</f>
        <v>150</v>
      </c>
      <c r="F111" s="883">
        <f t="shared" si="15"/>
        <v>150</v>
      </c>
      <c r="G111" s="883">
        <f>F111-(F111*K111)</f>
        <v>150</v>
      </c>
      <c r="H111" s="883">
        <f t="shared" si="12"/>
        <v>0</v>
      </c>
      <c r="I111" s="890"/>
      <c r="J111" s="891"/>
      <c r="K111" s="892">
        <v>0</v>
      </c>
      <c r="L111" s="1361"/>
      <c r="M111" s="887"/>
      <c r="N111" s="887"/>
      <c r="O111" s="887"/>
      <c r="P111" s="887"/>
      <c r="Q111" s="887"/>
      <c r="R111" s="887"/>
      <c r="S111" s="887"/>
      <c r="T111" s="887"/>
      <c r="U111" s="887"/>
      <c r="V111" s="887"/>
      <c r="W111" s="887"/>
      <c r="X111" s="887"/>
      <c r="Y111" s="887"/>
      <c r="Z111" s="887"/>
      <c r="AA111" s="887"/>
      <c r="AB111" s="887"/>
      <c r="AC111" s="887"/>
      <c r="AD111" s="887"/>
      <c r="AE111" s="887"/>
      <c r="AF111" s="887"/>
      <c r="AG111" s="887"/>
      <c r="AH111" s="887"/>
      <c r="AI111" s="887"/>
      <c r="AJ111" s="887"/>
      <c r="AK111" s="887"/>
      <c r="AL111" s="887"/>
      <c r="AM111" s="887"/>
      <c r="AN111" s="887"/>
      <c r="AO111" s="887"/>
      <c r="AP111" s="887"/>
    </row>
    <row r="112" spans="1:42" s="888" customFormat="1" ht="19.5" customHeight="1">
      <c r="A112" s="882">
        <v>95</v>
      </c>
      <c r="B112" s="833" t="str">
        <f>'TH KẾ TOÁN'!C104</f>
        <v>Mực xanh lá ESM</v>
      </c>
      <c r="C112" s="833" t="str">
        <f>'TH KẾ TOÁN'!B104</f>
        <v>NVLKM03.019</v>
      </c>
      <c r="D112" s="889" t="s">
        <v>193</v>
      </c>
      <c r="E112" s="858">
        <f>'TH KẾ TOÁN'!K104</f>
        <v>96</v>
      </c>
      <c r="F112" s="883">
        <f t="shared" si="15"/>
        <v>96</v>
      </c>
      <c r="G112" s="883">
        <f t="shared" si="16"/>
        <v>96</v>
      </c>
      <c r="H112" s="883">
        <f t="shared" si="12"/>
        <v>0</v>
      </c>
      <c r="I112" s="890"/>
      <c r="J112" s="891"/>
      <c r="K112" s="892">
        <v>0</v>
      </c>
      <c r="L112" s="1361"/>
      <c r="M112" s="887"/>
      <c r="N112" s="887"/>
      <c r="O112" s="887"/>
      <c r="P112" s="887"/>
      <c r="Q112" s="887"/>
      <c r="R112" s="887"/>
      <c r="S112" s="887"/>
      <c r="T112" s="887"/>
      <c r="U112" s="887"/>
      <c r="V112" s="887"/>
      <c r="W112" s="887"/>
      <c r="X112" s="887"/>
      <c r="Y112" s="887"/>
      <c r="Z112" s="887"/>
      <c r="AA112" s="887"/>
      <c r="AB112" s="887"/>
      <c r="AC112" s="887"/>
      <c r="AD112" s="887"/>
      <c r="AE112" s="887"/>
      <c r="AF112" s="887"/>
      <c r="AG112" s="887"/>
      <c r="AH112" s="887"/>
      <c r="AI112" s="887"/>
      <c r="AJ112" s="887"/>
      <c r="AK112" s="887"/>
      <c r="AL112" s="887"/>
      <c r="AM112" s="887"/>
      <c r="AN112" s="887"/>
      <c r="AO112" s="887"/>
      <c r="AP112" s="887"/>
    </row>
    <row r="113" spans="1:42" s="888" customFormat="1" ht="19.5" customHeight="1">
      <c r="A113" s="882">
        <v>96</v>
      </c>
      <c r="B113" s="833" t="str">
        <f>'TH KẾ TOÁN'!C107</f>
        <v>Bi cao nhôm 60mmx92</v>
      </c>
      <c r="C113" s="856" t="str">
        <f>'TH KẾ TOÁN'!B107</f>
        <v>NVLKM04.014</v>
      </c>
      <c r="D113" s="889" t="s">
        <v>193</v>
      </c>
      <c r="E113" s="858">
        <f>'TH KẾ TOÁN'!K107</f>
        <v>7220</v>
      </c>
      <c r="F113" s="883">
        <f t="shared" si="15"/>
        <v>7220</v>
      </c>
      <c r="G113" s="883">
        <f t="shared" si="16"/>
        <v>7220</v>
      </c>
      <c r="H113" s="883">
        <f t="shared" si="12"/>
        <v>0</v>
      </c>
      <c r="I113" s="890"/>
      <c r="J113" s="891"/>
      <c r="K113" s="892">
        <v>0</v>
      </c>
      <c r="L113" s="1361"/>
      <c r="M113" s="887"/>
      <c r="N113" s="887"/>
      <c r="O113" s="887"/>
      <c r="P113" s="887"/>
      <c r="Q113" s="887"/>
      <c r="R113" s="887"/>
      <c r="S113" s="887"/>
      <c r="T113" s="887"/>
      <c r="U113" s="887"/>
      <c r="V113" s="887"/>
      <c r="W113" s="887"/>
      <c r="X113" s="887"/>
      <c r="Y113" s="887"/>
      <c r="Z113" s="887"/>
      <c r="AA113" s="887"/>
      <c r="AB113" s="887"/>
      <c r="AC113" s="887"/>
      <c r="AD113" s="887"/>
      <c r="AE113" s="887"/>
      <c r="AF113" s="887"/>
      <c r="AG113" s="887"/>
      <c r="AH113" s="887"/>
      <c r="AI113" s="887"/>
      <c r="AJ113" s="887"/>
      <c r="AK113" s="887"/>
      <c r="AL113" s="887"/>
      <c r="AM113" s="887"/>
      <c r="AN113" s="887"/>
      <c r="AO113" s="887"/>
      <c r="AP113" s="887"/>
    </row>
    <row r="114" spans="1:42" s="888" customFormat="1" ht="19.5" customHeight="1">
      <c r="A114" s="882">
        <v>97</v>
      </c>
      <c r="B114" s="833" t="str">
        <f>'TH KẾ TOÁN'!C111</f>
        <v>Tăng cứng xương T100</v>
      </c>
      <c r="C114" s="856" t="str">
        <f>'TH KẾ TOÁN'!B111</f>
        <v>NVLKM04.028</v>
      </c>
      <c r="D114" s="889" t="s">
        <v>193</v>
      </c>
      <c r="E114" s="858">
        <f>'TH KẾ TOÁN'!K111</f>
        <v>1000</v>
      </c>
      <c r="F114" s="883">
        <f t="shared" si="15"/>
        <v>1000</v>
      </c>
      <c r="G114" s="883">
        <f t="shared" si="16"/>
        <v>1000</v>
      </c>
      <c r="H114" s="883">
        <f t="shared" si="12"/>
        <v>0</v>
      </c>
      <c r="I114" s="890"/>
      <c r="J114" s="891"/>
      <c r="K114" s="892">
        <v>0</v>
      </c>
      <c r="L114" s="1361"/>
      <c r="M114" s="887"/>
      <c r="N114" s="887"/>
      <c r="O114" s="887"/>
      <c r="P114" s="887"/>
      <c r="Q114" s="887"/>
      <c r="R114" s="887"/>
      <c r="S114" s="887"/>
      <c r="T114" s="887"/>
      <c r="U114" s="887"/>
      <c r="V114" s="887"/>
      <c r="W114" s="887"/>
      <c r="X114" s="887"/>
      <c r="Y114" s="887"/>
      <c r="Z114" s="887"/>
      <c r="AA114" s="887"/>
      <c r="AB114" s="887"/>
      <c r="AC114" s="887"/>
      <c r="AD114" s="887"/>
      <c r="AE114" s="887"/>
      <c r="AF114" s="887"/>
      <c r="AG114" s="887"/>
      <c r="AH114" s="887"/>
      <c r="AI114" s="887"/>
      <c r="AJ114" s="887"/>
      <c r="AK114" s="887"/>
      <c r="AL114" s="887"/>
      <c r="AM114" s="887"/>
      <c r="AN114" s="887"/>
      <c r="AO114" s="887"/>
      <c r="AP114" s="887"/>
    </row>
    <row r="115" spans="1:42" s="888" customFormat="1" ht="19.5" customHeight="1">
      <c r="A115" s="882">
        <v>98</v>
      </c>
      <c r="B115" s="833" t="str">
        <f>'TH KẾ TOÁN'!C112</f>
        <v>Vữa xây lò nung nhiệt độ cao (chất bảo hộ con lăn trên)</v>
      </c>
      <c r="C115" s="856" t="str">
        <f>'TH KẾ TOÁN'!B112</f>
        <v>NVLKM04.030</v>
      </c>
      <c r="D115" s="889" t="s">
        <v>193</v>
      </c>
      <c r="E115" s="858">
        <f>'TH KẾ TOÁN'!K112</f>
        <v>100</v>
      </c>
      <c r="F115" s="883">
        <f t="shared" si="15"/>
        <v>100</v>
      </c>
      <c r="G115" s="883">
        <f t="shared" si="16"/>
        <v>100</v>
      </c>
      <c r="H115" s="883">
        <f t="shared" si="12"/>
        <v>0</v>
      </c>
      <c r="I115" s="890"/>
      <c r="J115" s="891"/>
      <c r="K115" s="892">
        <v>0</v>
      </c>
      <c r="L115" s="1361"/>
      <c r="M115" s="887"/>
      <c r="N115" s="887"/>
      <c r="O115" s="887"/>
      <c r="P115" s="887"/>
      <c r="Q115" s="887"/>
      <c r="R115" s="887"/>
      <c r="S115" s="887"/>
      <c r="T115" s="887"/>
      <c r="U115" s="887"/>
      <c r="V115" s="887"/>
      <c r="W115" s="887"/>
      <c r="X115" s="887"/>
      <c r="Y115" s="887"/>
      <c r="Z115" s="887"/>
      <c r="AA115" s="887"/>
      <c r="AB115" s="887"/>
      <c r="AC115" s="887"/>
      <c r="AD115" s="887"/>
      <c r="AE115" s="887"/>
      <c r="AF115" s="887"/>
      <c r="AG115" s="887"/>
      <c r="AH115" s="887"/>
      <c r="AI115" s="887"/>
      <c r="AJ115" s="887"/>
      <c r="AK115" s="887"/>
      <c r="AL115" s="887"/>
      <c r="AM115" s="887"/>
      <c r="AN115" s="887"/>
      <c r="AO115" s="887"/>
      <c r="AP115" s="887"/>
    </row>
    <row r="116" spans="1:42" s="888" customFormat="1" ht="19.5" customHeight="1">
      <c r="A116" s="882">
        <v>99</v>
      </c>
      <c r="B116" s="833" t="str">
        <f>'TH KẾ TOÁN'!C113</f>
        <v>Vữa xây lò nung nhiệt độ cao (chất bảo hộ con lăn dưới)</v>
      </c>
      <c r="C116" s="856" t="str">
        <f>'TH KẾ TOÁN'!B113</f>
        <v>NVLKM04.031</v>
      </c>
      <c r="D116" s="889" t="s">
        <v>193</v>
      </c>
      <c r="E116" s="858">
        <f>'TH KẾ TOÁN'!K113</f>
        <v>800</v>
      </c>
      <c r="F116" s="883">
        <f t="shared" si="15"/>
        <v>800</v>
      </c>
      <c r="G116" s="883">
        <f t="shared" si="16"/>
        <v>800</v>
      </c>
      <c r="H116" s="883">
        <f t="shared" si="12"/>
        <v>0</v>
      </c>
      <c r="I116" s="890"/>
      <c r="J116" s="891"/>
      <c r="K116" s="892">
        <v>0</v>
      </c>
      <c r="L116" s="1361"/>
      <c r="M116" s="887"/>
      <c r="N116" s="887"/>
      <c r="O116" s="887"/>
      <c r="P116" s="887"/>
      <c r="Q116" s="887"/>
      <c r="R116" s="887"/>
      <c r="S116" s="887"/>
      <c r="T116" s="887"/>
      <c r="U116" s="887"/>
      <c r="V116" s="887"/>
      <c r="W116" s="887"/>
      <c r="X116" s="887"/>
      <c r="Y116" s="887"/>
      <c r="Z116" s="887"/>
      <c r="AA116" s="887"/>
      <c r="AB116" s="887"/>
      <c r="AC116" s="887"/>
      <c r="AD116" s="887"/>
      <c r="AE116" s="887"/>
      <c r="AF116" s="887"/>
      <c r="AG116" s="887"/>
      <c r="AH116" s="887"/>
      <c r="AI116" s="887"/>
      <c r="AJ116" s="887"/>
      <c r="AK116" s="887"/>
      <c r="AL116" s="887"/>
      <c r="AM116" s="887"/>
      <c r="AN116" s="887"/>
      <c r="AO116" s="887"/>
      <c r="AP116" s="887"/>
    </row>
    <row r="117" spans="1:42" s="888" customFormat="1" ht="19.5" customHeight="1">
      <c r="A117" s="882">
        <v>100</v>
      </c>
      <c r="B117" s="833" t="str">
        <f>'TH KẾ TOÁN'!C117</f>
        <v>Bi trung nhôm D60</v>
      </c>
      <c r="C117" s="856" t="str">
        <f>'TH KẾ TOÁN'!B117</f>
        <v>NVLKM04.038</v>
      </c>
      <c r="D117" s="889" t="s">
        <v>193</v>
      </c>
      <c r="E117" s="858">
        <f>'TH KẾ TOÁN'!K117</f>
        <v>73036</v>
      </c>
      <c r="F117" s="883">
        <f t="shared" si="15"/>
        <v>73036</v>
      </c>
      <c r="G117" s="883">
        <f t="shared" si="16"/>
        <v>73036</v>
      </c>
      <c r="H117" s="883">
        <f t="shared" si="12"/>
        <v>0</v>
      </c>
      <c r="I117" s="890"/>
      <c r="J117" s="891"/>
      <c r="K117" s="892">
        <v>0</v>
      </c>
      <c r="L117" s="1361"/>
      <c r="M117" s="887"/>
      <c r="N117" s="887"/>
      <c r="O117" s="887"/>
      <c r="P117" s="887"/>
      <c r="Q117" s="887"/>
      <c r="R117" s="887"/>
      <c r="S117" s="887"/>
      <c r="T117" s="887"/>
      <c r="U117" s="887"/>
      <c r="V117" s="887"/>
      <c r="W117" s="887"/>
      <c r="X117" s="887"/>
      <c r="Y117" s="887"/>
      <c r="Z117" s="887"/>
      <c r="AA117" s="887"/>
      <c r="AB117" s="887"/>
      <c r="AC117" s="887"/>
      <c r="AD117" s="887"/>
      <c r="AE117" s="887"/>
      <c r="AF117" s="887"/>
      <c r="AG117" s="887"/>
      <c r="AH117" s="887"/>
      <c r="AI117" s="887"/>
      <c r="AJ117" s="887"/>
      <c r="AK117" s="887"/>
      <c r="AL117" s="887"/>
      <c r="AM117" s="887"/>
      <c r="AN117" s="887"/>
      <c r="AO117" s="887"/>
      <c r="AP117" s="887"/>
    </row>
    <row r="118" spans="1:42">
      <c r="A118" s="1219"/>
      <c r="B118" s="876"/>
      <c r="C118" s="876"/>
      <c r="D118" s="876"/>
      <c r="E118" s="876"/>
      <c r="F118" s="876"/>
      <c r="G118" s="1571" t="s">
        <v>1173</v>
      </c>
      <c r="H118" s="1571"/>
      <c r="I118" s="1571"/>
      <c r="J118" s="1571"/>
      <c r="K118" s="1571"/>
      <c r="L118" s="1571"/>
      <c r="M118" s="876"/>
      <c r="N118" s="876"/>
      <c r="O118" s="876"/>
      <c r="P118" s="876"/>
      <c r="Q118" s="876"/>
      <c r="R118" s="876"/>
      <c r="S118" s="876"/>
      <c r="T118" s="876"/>
      <c r="U118" s="876"/>
      <c r="V118" s="876"/>
      <c r="W118" s="876"/>
      <c r="X118" s="876"/>
      <c r="Y118" s="876"/>
      <c r="Z118" s="876"/>
      <c r="AA118" s="876"/>
      <c r="AB118" s="876"/>
      <c r="AC118" s="876"/>
      <c r="AD118" s="876"/>
      <c r="AE118" s="876"/>
      <c r="AF118" s="876"/>
      <c r="AG118" s="876"/>
      <c r="AH118" s="876"/>
      <c r="AI118" s="876"/>
      <c r="AJ118" s="876"/>
      <c r="AK118" s="876"/>
      <c r="AL118" s="876"/>
      <c r="AM118" s="876"/>
      <c r="AN118" s="876"/>
      <c r="AO118" s="876"/>
      <c r="AP118" s="876"/>
    </row>
    <row r="119" spans="1:42">
      <c r="A119" s="876"/>
      <c r="B119" s="896" t="s">
        <v>1169</v>
      </c>
      <c r="C119" s="1569" t="s">
        <v>1020</v>
      </c>
      <c r="D119" s="1569"/>
      <c r="E119" s="1569"/>
      <c r="F119" s="897"/>
      <c r="G119" s="1569" t="s">
        <v>728</v>
      </c>
      <c r="H119" s="1569"/>
      <c r="I119" s="1569"/>
      <c r="J119" s="1569"/>
      <c r="K119" s="1569"/>
      <c r="L119" s="1569"/>
      <c r="M119" s="897"/>
      <c r="N119" s="876"/>
      <c r="O119" s="876"/>
      <c r="P119" s="876"/>
      <c r="Q119" s="876"/>
      <c r="R119" s="876"/>
      <c r="S119" s="876"/>
      <c r="T119" s="876"/>
      <c r="U119" s="876"/>
      <c r="V119" s="876"/>
      <c r="W119" s="876"/>
      <c r="X119" s="876"/>
      <c r="Y119" s="876"/>
      <c r="Z119" s="876"/>
      <c r="AA119" s="876"/>
      <c r="AB119" s="876"/>
      <c r="AC119" s="876"/>
      <c r="AD119" s="876"/>
      <c r="AE119" s="876"/>
      <c r="AF119" s="876"/>
      <c r="AG119" s="876"/>
      <c r="AH119" s="876"/>
      <c r="AI119" s="876"/>
      <c r="AJ119" s="876"/>
      <c r="AK119" s="876"/>
      <c r="AL119" s="876"/>
      <c r="AM119" s="876"/>
      <c r="AN119" s="876"/>
      <c r="AO119" s="876"/>
      <c r="AP119" s="876"/>
    </row>
    <row r="120" spans="1:42" s="900" customFormat="1">
      <c r="A120" s="898"/>
      <c r="B120" s="899" t="s">
        <v>729</v>
      </c>
      <c r="C120" s="1572" t="s">
        <v>729</v>
      </c>
      <c r="D120" s="1572"/>
      <c r="E120" s="1572"/>
      <c r="F120" s="901"/>
      <c r="G120" s="1572" t="s">
        <v>729</v>
      </c>
      <c r="H120" s="1572"/>
      <c r="I120" s="1572"/>
      <c r="J120" s="1572"/>
      <c r="K120" s="1572"/>
      <c r="L120" s="1572"/>
      <c r="M120" s="901"/>
      <c r="N120" s="901"/>
      <c r="O120" s="898"/>
      <c r="P120" s="898"/>
      <c r="Q120" s="898"/>
      <c r="R120" s="898"/>
      <c r="S120" s="898"/>
      <c r="T120" s="898"/>
      <c r="U120" s="898"/>
      <c r="V120" s="898"/>
      <c r="W120" s="898"/>
      <c r="X120" s="898"/>
      <c r="Y120" s="898"/>
      <c r="Z120" s="898"/>
      <c r="AA120" s="898"/>
      <c r="AB120" s="898"/>
      <c r="AC120" s="898"/>
      <c r="AD120" s="898"/>
      <c r="AE120" s="898"/>
      <c r="AF120" s="898"/>
      <c r="AG120" s="898"/>
      <c r="AH120" s="898"/>
      <c r="AI120" s="898"/>
      <c r="AJ120" s="898"/>
      <c r="AK120" s="898"/>
      <c r="AL120" s="898"/>
      <c r="AM120" s="898"/>
      <c r="AN120" s="898"/>
      <c r="AO120" s="898"/>
      <c r="AP120" s="898"/>
    </row>
    <row r="121" spans="1:42">
      <c r="A121" s="876"/>
      <c r="B121" s="876"/>
      <c r="C121" s="876"/>
      <c r="D121" s="876"/>
      <c r="E121" s="876"/>
      <c r="F121" s="876"/>
      <c r="G121" s="876"/>
      <c r="H121" s="876"/>
      <c r="I121" s="876"/>
      <c r="J121" s="876"/>
      <c r="K121" s="877"/>
      <c r="L121" s="876"/>
      <c r="M121" s="876"/>
      <c r="N121" s="876"/>
      <c r="O121" s="876"/>
      <c r="P121" s="876"/>
      <c r="Q121" s="876"/>
      <c r="R121" s="876"/>
      <c r="S121" s="876"/>
      <c r="T121" s="876"/>
      <c r="U121" s="876"/>
      <c r="V121" s="876"/>
      <c r="W121" s="876"/>
      <c r="X121" s="876"/>
      <c r="Y121" s="876"/>
      <c r="Z121" s="876"/>
      <c r="AA121" s="876"/>
      <c r="AB121" s="876"/>
      <c r="AC121" s="876"/>
      <c r="AD121" s="876"/>
      <c r="AE121" s="876"/>
      <c r="AF121" s="876"/>
      <c r="AG121" s="876"/>
      <c r="AH121" s="876"/>
      <c r="AI121" s="876"/>
      <c r="AJ121" s="876"/>
      <c r="AK121" s="876"/>
      <c r="AL121" s="876"/>
      <c r="AM121" s="876"/>
      <c r="AN121" s="876"/>
      <c r="AO121" s="876"/>
      <c r="AP121" s="876"/>
    </row>
    <row r="122" spans="1:42">
      <c r="A122" s="876"/>
      <c r="B122" s="876"/>
      <c r="C122" s="876"/>
      <c r="D122" s="876"/>
      <c r="E122" s="876"/>
      <c r="F122" s="876"/>
      <c r="G122" s="876"/>
      <c r="H122" s="876"/>
      <c r="I122" s="876"/>
      <c r="J122" s="876"/>
      <c r="K122" s="877"/>
      <c r="L122" s="876"/>
      <c r="M122" s="876"/>
      <c r="O122" s="897"/>
      <c r="P122" s="897"/>
      <c r="Q122" s="876"/>
      <c r="R122" s="876"/>
      <c r="S122" s="876"/>
      <c r="T122" s="876"/>
      <c r="U122" s="876"/>
      <c r="V122" s="876"/>
      <c r="W122" s="876"/>
      <c r="X122" s="876"/>
      <c r="Y122" s="876"/>
      <c r="Z122" s="876"/>
      <c r="AA122" s="876"/>
      <c r="AB122" s="876"/>
      <c r="AC122" s="876"/>
      <c r="AD122" s="876"/>
      <c r="AE122" s="876"/>
      <c r="AF122" s="876"/>
      <c r="AG122" s="876"/>
      <c r="AH122" s="876"/>
      <c r="AI122" s="876"/>
      <c r="AJ122" s="876"/>
      <c r="AK122" s="876"/>
      <c r="AL122" s="876"/>
      <c r="AM122" s="876"/>
      <c r="AN122" s="876"/>
      <c r="AO122" s="876"/>
      <c r="AP122" s="876"/>
    </row>
    <row r="123" spans="1:42">
      <c r="A123" s="876"/>
      <c r="B123" s="876"/>
      <c r="C123" s="876"/>
      <c r="D123" s="876"/>
      <c r="E123" s="876"/>
      <c r="F123" s="876"/>
      <c r="G123" s="876"/>
      <c r="H123" s="876"/>
      <c r="I123" s="876"/>
      <c r="J123" s="876"/>
      <c r="K123" s="877"/>
      <c r="L123" s="876"/>
      <c r="M123" s="876"/>
      <c r="N123" s="876"/>
      <c r="O123" s="876"/>
      <c r="P123" s="876"/>
      <c r="Q123" s="876"/>
      <c r="R123" s="876"/>
      <c r="S123" s="876"/>
      <c r="T123" s="876"/>
      <c r="U123" s="876"/>
      <c r="V123" s="876"/>
      <c r="W123" s="876"/>
      <c r="X123" s="876"/>
      <c r="Y123" s="876"/>
      <c r="Z123" s="876"/>
      <c r="AA123" s="876"/>
      <c r="AB123" s="876"/>
      <c r="AC123" s="876"/>
      <c r="AD123" s="876"/>
      <c r="AE123" s="876"/>
      <c r="AF123" s="876"/>
      <c r="AG123" s="876"/>
      <c r="AH123" s="876"/>
      <c r="AI123" s="876"/>
      <c r="AJ123" s="876"/>
      <c r="AK123" s="876"/>
      <c r="AL123" s="876"/>
      <c r="AM123" s="876"/>
      <c r="AN123" s="876"/>
      <c r="AO123" s="876"/>
      <c r="AP123" s="876"/>
    </row>
    <row r="124" spans="1:42" s="835" customFormat="1" ht="14.25">
      <c r="A124" s="902"/>
      <c r="B124" s="902"/>
      <c r="C124" s="902"/>
      <c r="D124" s="902"/>
      <c r="E124" s="902"/>
      <c r="F124" s="902"/>
      <c r="G124" s="902"/>
      <c r="H124" s="902"/>
      <c r="I124" s="902"/>
      <c r="J124" s="902"/>
      <c r="K124" s="903"/>
      <c r="L124" s="902"/>
      <c r="M124" s="902"/>
      <c r="N124" s="902"/>
      <c r="O124" s="902"/>
      <c r="P124" s="902"/>
      <c r="Q124" s="902"/>
      <c r="R124" s="902"/>
      <c r="S124" s="902"/>
      <c r="T124" s="902"/>
      <c r="U124" s="902"/>
      <c r="V124" s="902"/>
      <c r="W124" s="902"/>
      <c r="X124" s="902"/>
      <c r="Y124" s="902"/>
      <c r="Z124" s="902"/>
      <c r="AA124" s="902"/>
      <c r="AB124" s="902"/>
      <c r="AC124" s="902"/>
      <c r="AD124" s="902"/>
      <c r="AE124" s="902"/>
      <c r="AF124" s="902"/>
      <c r="AG124" s="902"/>
      <c r="AH124" s="902"/>
      <c r="AI124" s="902"/>
      <c r="AJ124" s="902"/>
      <c r="AK124" s="902"/>
      <c r="AL124" s="902"/>
      <c r="AM124" s="902"/>
      <c r="AN124" s="902"/>
      <c r="AO124" s="902"/>
      <c r="AP124" s="902"/>
    </row>
    <row r="125" spans="1:42" s="835" customFormat="1" ht="15" customHeight="1">
      <c r="A125" s="902"/>
      <c r="B125" s="904" t="s">
        <v>730</v>
      </c>
      <c r="C125" s="1569" t="s">
        <v>1174</v>
      </c>
      <c r="D125" s="1569"/>
      <c r="E125" s="1569"/>
      <c r="F125" s="1556" t="s">
        <v>732</v>
      </c>
      <c r="G125" s="1556"/>
      <c r="H125" s="897"/>
      <c r="I125" s="897"/>
      <c r="J125" s="1569" t="s">
        <v>731</v>
      </c>
      <c r="K125" s="1569"/>
      <c r="L125" s="1569"/>
      <c r="M125" s="902"/>
      <c r="N125" s="902"/>
      <c r="O125" s="902"/>
      <c r="P125" s="902"/>
      <c r="Q125" s="902"/>
      <c r="R125" s="902"/>
      <c r="S125" s="902"/>
      <c r="T125" s="902"/>
      <c r="U125" s="902"/>
      <c r="V125" s="902"/>
      <c r="W125" s="902"/>
      <c r="X125" s="902"/>
      <c r="Y125" s="902"/>
      <c r="Z125" s="902"/>
      <c r="AA125" s="902"/>
      <c r="AB125" s="902"/>
      <c r="AC125" s="902"/>
      <c r="AD125" s="902"/>
      <c r="AE125" s="902"/>
      <c r="AF125" s="902"/>
      <c r="AG125" s="902"/>
      <c r="AH125" s="902"/>
      <c r="AI125" s="902"/>
      <c r="AJ125" s="902"/>
      <c r="AK125" s="902"/>
      <c r="AL125" s="902"/>
      <c r="AM125" s="902"/>
      <c r="AN125" s="902"/>
      <c r="AO125" s="902"/>
      <c r="AP125" s="902"/>
    </row>
    <row r="126" spans="1:42" s="835" customFormat="1" ht="14.25">
      <c r="A126" s="897"/>
      <c r="B126" s="904"/>
      <c r="C126" s="1567"/>
      <c r="D126" s="1567"/>
      <c r="E126" s="902"/>
      <c r="F126" s="904"/>
      <c r="G126" s="905"/>
      <c r="H126" s="905"/>
      <c r="I126" s="902"/>
      <c r="J126" s="1568"/>
      <c r="K126" s="1568"/>
      <c r="L126" s="1568"/>
      <c r="M126" s="902"/>
      <c r="N126" s="902"/>
      <c r="O126" s="902"/>
      <c r="P126" s="902"/>
      <c r="Q126" s="902"/>
      <c r="R126" s="902"/>
      <c r="S126" s="902"/>
      <c r="T126" s="902"/>
      <c r="U126" s="902"/>
      <c r="V126" s="902"/>
      <c r="W126" s="902"/>
      <c r="X126" s="902"/>
      <c r="Y126" s="902"/>
      <c r="Z126" s="902"/>
      <c r="AA126" s="902"/>
      <c r="AB126" s="902"/>
      <c r="AC126" s="902"/>
      <c r="AD126" s="902"/>
      <c r="AE126" s="902"/>
      <c r="AF126" s="902"/>
      <c r="AG126" s="902"/>
      <c r="AH126" s="902"/>
      <c r="AI126" s="902"/>
      <c r="AJ126" s="902"/>
      <c r="AK126" s="902"/>
      <c r="AL126" s="902"/>
      <c r="AM126" s="902"/>
      <c r="AN126" s="902"/>
      <c r="AO126" s="902"/>
      <c r="AP126" s="902"/>
    </row>
    <row r="127" spans="1:42" s="835" customFormat="1" ht="14.25">
      <c r="E127" s="902"/>
      <c r="K127" s="906"/>
    </row>
    <row r="128" spans="1:42" s="835" customFormat="1" ht="14.25">
      <c r="K128" s="906"/>
    </row>
    <row r="129" spans="3:13" s="835" customFormat="1" ht="14.25">
      <c r="K129" s="906"/>
    </row>
    <row r="130" spans="3:13" s="835" customFormat="1" ht="15" customHeight="1">
      <c r="F130" s="840" t="s">
        <v>735</v>
      </c>
      <c r="I130" s="840"/>
      <c r="J130" s="840"/>
      <c r="K130" s="840" t="s">
        <v>733</v>
      </c>
      <c r="L130" s="840"/>
    </row>
    <row r="131" spans="3:13" s="835" customFormat="1" ht="14.25">
      <c r="K131" s="906"/>
    </row>
    <row r="132" spans="3:13" s="835" customFormat="1" ht="14.25">
      <c r="K132" s="906"/>
    </row>
    <row r="133" spans="3:13" s="835" customFormat="1" ht="14.25">
      <c r="K133" s="906"/>
    </row>
    <row r="134" spans="3:13" s="835" customFormat="1" ht="14.25">
      <c r="K134" s="906"/>
    </row>
    <row r="135" spans="3:13" s="835" customFormat="1" ht="14.25">
      <c r="C135" s="840"/>
      <c r="E135" s="840"/>
      <c r="F135" s="840"/>
      <c r="G135" s="840" t="s">
        <v>736</v>
      </c>
      <c r="I135" s="840"/>
      <c r="M135" s="840"/>
    </row>
    <row r="136" spans="3:13" s="835" customFormat="1" ht="14.25">
      <c r="K136" s="906"/>
    </row>
    <row r="137" spans="3:13" s="835" customFormat="1" ht="14.25">
      <c r="K137" s="906"/>
    </row>
    <row r="138" spans="3:13" s="835" customFormat="1" ht="14.25">
      <c r="K138" s="906"/>
    </row>
    <row r="139" spans="3:13" s="835" customFormat="1" ht="14.25">
      <c r="H139" s="840"/>
      <c r="I139" s="840"/>
      <c r="J139" s="840"/>
      <c r="K139" s="906"/>
    </row>
    <row r="140" spans="3:13" s="835" customFormat="1" ht="14.25">
      <c r="K140" s="906"/>
    </row>
    <row r="141" spans="3:13" s="835" customFormat="1" ht="14.25">
      <c r="K141" s="906"/>
    </row>
  </sheetData>
  <mergeCells count="51">
    <mergeCell ref="A3:L3"/>
    <mergeCell ref="A14:A17"/>
    <mergeCell ref="B14:B17"/>
    <mergeCell ref="C14:C17"/>
    <mergeCell ref="D14:D17"/>
    <mergeCell ref="E14:E17"/>
    <mergeCell ref="F12:G12"/>
    <mergeCell ref="A7:E7"/>
    <mergeCell ref="F7:G7"/>
    <mergeCell ref="A8:E8"/>
    <mergeCell ref="F8:G8"/>
    <mergeCell ref="A13:E13"/>
    <mergeCell ref="L13:M13"/>
    <mergeCell ref="A5:E5"/>
    <mergeCell ref="F5:G5"/>
    <mergeCell ref="A6:E6"/>
    <mergeCell ref="S7:U12"/>
    <mergeCell ref="A9:E9"/>
    <mergeCell ref="F9:G9"/>
    <mergeCell ref="A10:E10"/>
    <mergeCell ref="F10:G10"/>
    <mergeCell ref="A11:E11"/>
    <mergeCell ref="F11:G11"/>
    <mergeCell ref="R7:R13"/>
    <mergeCell ref="Q7:Q13"/>
    <mergeCell ref="A12:E12"/>
    <mergeCell ref="J10:K10"/>
    <mergeCell ref="J11:K11"/>
    <mergeCell ref="J12:K12"/>
    <mergeCell ref="J9:K9"/>
    <mergeCell ref="C126:D126"/>
    <mergeCell ref="J126:L126"/>
    <mergeCell ref="J125:L125"/>
    <mergeCell ref="L14:L17"/>
    <mergeCell ref="G118:L118"/>
    <mergeCell ref="G119:L119"/>
    <mergeCell ref="G120:L120"/>
    <mergeCell ref="K14:K17"/>
    <mergeCell ref="F14:G16"/>
    <mergeCell ref="H14:H17"/>
    <mergeCell ref="I14:I17"/>
    <mergeCell ref="J14:J17"/>
    <mergeCell ref="C119:E119"/>
    <mergeCell ref="C120:E120"/>
    <mergeCell ref="C125:E125"/>
    <mergeCell ref="F125:G125"/>
    <mergeCell ref="F6:G6"/>
    <mergeCell ref="J5:K5"/>
    <mergeCell ref="J6:K6"/>
    <mergeCell ref="J7:K7"/>
    <mergeCell ref="J8:K8"/>
  </mergeCells>
  <conditionalFormatting sqref="B83">
    <cfRule type="duplicateValues" dxfId="12356" priority="1"/>
  </conditionalFormatting>
  <pageMargins left="0.39370078740157499" right="0" top="0.63" bottom="0" header="0.31" footer="0.16"/>
  <pageSetup paperSize="9" orientation="landscape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AO139"/>
  <sheetViews>
    <sheetView topLeftCell="A7" workbookViewId="0">
      <selection activeCell="T16" sqref="T16"/>
    </sheetView>
  </sheetViews>
  <sheetFormatPr defaultColWidth="9" defaultRowHeight="15"/>
  <cols>
    <col min="1" max="1" width="4.28515625" style="829" customWidth="1"/>
    <col min="2" max="2" width="33.42578125" style="829" customWidth="1"/>
    <col min="3" max="3" width="14.140625" style="829" customWidth="1"/>
    <col min="4" max="4" width="5.28515625" style="829" customWidth="1"/>
    <col min="5" max="5" width="15.140625" style="829" customWidth="1"/>
    <col min="6" max="7" width="12.42578125" style="829" customWidth="1"/>
    <col min="8" max="8" width="13.28515625" style="829" hidden="1" customWidth="1"/>
    <col min="9" max="9" width="7.140625" style="829" hidden="1" customWidth="1"/>
    <col min="10" max="10" width="10.42578125" style="829" hidden="1" customWidth="1"/>
    <col min="11" max="11" width="4.28515625" style="907" hidden="1" customWidth="1"/>
    <col min="12" max="12" width="16.5703125" style="829" customWidth="1"/>
    <col min="13" max="13" width="11.85546875" style="829" hidden="1" customWidth="1"/>
    <col min="14" max="14" width="11.7109375" style="829" hidden="1" customWidth="1"/>
    <col min="15" max="15" width="13.140625" style="829" customWidth="1"/>
    <col min="16" max="16" width="13.85546875" style="829" customWidth="1"/>
    <col min="17" max="16384" width="9" style="829"/>
  </cols>
  <sheetData>
    <row r="1" spans="1:41" s="867" customFormat="1" ht="18.75">
      <c r="A1" s="860" t="s">
        <v>704</v>
      </c>
      <c r="B1" s="860"/>
      <c r="C1" s="860"/>
      <c r="D1" s="861"/>
      <c r="E1" s="862"/>
      <c r="F1" s="863"/>
      <c r="G1" s="863"/>
      <c r="H1" s="863"/>
      <c r="I1" s="863"/>
      <c r="J1" s="864"/>
      <c r="K1" s="865"/>
      <c r="L1" s="863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6"/>
      <c r="AL1" s="866"/>
      <c r="AM1" s="866"/>
      <c r="AN1" s="866"/>
      <c r="AO1" s="866"/>
    </row>
    <row r="2" spans="1:41" s="867" customFormat="1" ht="18.75">
      <c r="A2" s="863"/>
      <c r="B2" s="868"/>
      <c r="C2" s="868"/>
      <c r="D2" s="863"/>
      <c r="E2" s="869"/>
      <c r="F2" s="863"/>
      <c r="G2" s="863"/>
      <c r="H2" s="863"/>
      <c r="I2" s="863"/>
      <c r="J2" s="864"/>
      <c r="K2" s="865"/>
      <c r="L2" s="863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866"/>
      <c r="AD2" s="866"/>
      <c r="AE2" s="866"/>
      <c r="AF2" s="866"/>
      <c r="AG2" s="866"/>
      <c r="AH2" s="866"/>
      <c r="AI2" s="866"/>
      <c r="AJ2" s="866"/>
      <c r="AK2" s="866"/>
      <c r="AL2" s="866"/>
      <c r="AM2" s="866"/>
      <c r="AN2" s="866"/>
      <c r="AO2" s="866"/>
    </row>
    <row r="3" spans="1:41" s="867" customFormat="1" ht="18.75">
      <c r="A3" s="870"/>
      <c r="B3" s="1581" t="s">
        <v>1025</v>
      </c>
      <c r="C3" s="1581"/>
      <c r="D3" s="1581"/>
      <c r="E3" s="1581"/>
      <c r="F3" s="1581"/>
      <c r="G3" s="1581"/>
      <c r="H3" s="1581"/>
      <c r="I3" s="1581"/>
      <c r="J3" s="1581"/>
      <c r="K3" s="1581"/>
      <c r="L3" s="1581"/>
      <c r="M3" s="871"/>
      <c r="N3" s="871"/>
      <c r="O3" s="871"/>
      <c r="P3" s="871"/>
      <c r="Q3" s="871"/>
      <c r="R3" s="871"/>
      <c r="S3" s="871"/>
      <c r="T3" s="871"/>
      <c r="U3" s="871"/>
      <c r="V3" s="871"/>
      <c r="W3" s="871"/>
      <c r="X3" s="871"/>
      <c r="Y3" s="871"/>
      <c r="Z3" s="871"/>
      <c r="AA3" s="871"/>
      <c r="AB3" s="871"/>
      <c r="AC3" s="871"/>
      <c r="AD3" s="871"/>
      <c r="AE3" s="871"/>
      <c r="AF3" s="871"/>
      <c r="AG3" s="871"/>
      <c r="AH3" s="871"/>
      <c r="AI3" s="871"/>
      <c r="AJ3" s="871"/>
      <c r="AK3" s="871"/>
      <c r="AL3" s="871"/>
      <c r="AM3" s="871"/>
      <c r="AN3" s="871"/>
      <c r="AO3" s="871"/>
    </row>
    <row r="4" spans="1:41" s="875" customFormat="1">
      <c r="A4" s="872" t="s">
        <v>1162</v>
      </c>
      <c r="B4" s="872"/>
      <c r="C4" s="872"/>
      <c r="D4" s="872"/>
      <c r="E4" s="872"/>
      <c r="F4" s="872"/>
      <c r="G4" s="872"/>
      <c r="H4" s="872"/>
      <c r="I4" s="872"/>
      <c r="J4" s="872"/>
      <c r="K4" s="873"/>
      <c r="L4" s="874"/>
      <c r="M4" s="872"/>
      <c r="N4" s="872"/>
      <c r="O4" s="872"/>
      <c r="P4" s="872"/>
      <c r="Q4" s="872"/>
      <c r="R4" s="872"/>
      <c r="S4" s="872"/>
      <c r="T4" s="872"/>
      <c r="U4" s="872"/>
      <c r="V4" s="872"/>
      <c r="W4" s="872"/>
      <c r="X4" s="872"/>
      <c r="Y4" s="872"/>
      <c r="Z4" s="872"/>
      <c r="AA4" s="872"/>
      <c r="AB4" s="872"/>
      <c r="AC4" s="872"/>
      <c r="AD4" s="872"/>
      <c r="AE4" s="872"/>
      <c r="AF4" s="872"/>
      <c r="AG4" s="872"/>
      <c r="AH4" s="872"/>
      <c r="AI4" s="872"/>
      <c r="AJ4" s="872"/>
      <c r="AK4" s="872"/>
      <c r="AL4" s="872"/>
      <c r="AM4" s="872"/>
      <c r="AN4" s="872"/>
      <c r="AO4" s="872"/>
    </row>
    <row r="5" spans="1:41" ht="15" customHeight="1">
      <c r="A5" s="1565" t="s">
        <v>815</v>
      </c>
      <c r="B5" s="1565"/>
      <c r="C5" s="1565"/>
      <c r="D5" s="1565"/>
      <c r="E5" s="1565"/>
      <c r="F5" s="1565" t="s">
        <v>1024</v>
      </c>
      <c r="G5" s="1565"/>
      <c r="J5" s="876"/>
      <c r="K5" s="1587" t="s">
        <v>727</v>
      </c>
      <c r="L5" s="1587"/>
      <c r="M5" s="878"/>
      <c r="N5" s="878"/>
      <c r="O5" s="878"/>
      <c r="P5" s="878"/>
      <c r="Q5" s="878"/>
      <c r="R5" s="878"/>
      <c r="S5" s="878"/>
      <c r="T5" s="878"/>
      <c r="U5" s="876"/>
      <c r="V5" s="876"/>
      <c r="W5" s="876"/>
      <c r="X5" s="876"/>
      <c r="Y5" s="876"/>
      <c r="Z5" s="876"/>
      <c r="AA5" s="876"/>
      <c r="AB5" s="876"/>
      <c r="AC5" s="876"/>
      <c r="AD5" s="876"/>
      <c r="AE5" s="876"/>
      <c r="AF5" s="876"/>
      <c r="AG5" s="876"/>
      <c r="AH5" s="876"/>
      <c r="AI5" s="876"/>
      <c r="AJ5" s="876"/>
      <c r="AK5" s="876"/>
      <c r="AL5" s="876"/>
      <c r="AM5" s="876"/>
      <c r="AN5" s="876"/>
      <c r="AO5" s="876"/>
    </row>
    <row r="6" spans="1:41">
      <c r="A6" s="1565" t="s">
        <v>1023</v>
      </c>
      <c r="B6" s="1565"/>
      <c r="C6" s="1565"/>
      <c r="D6" s="1565"/>
      <c r="E6" s="1565"/>
      <c r="F6" s="1565" t="s">
        <v>709</v>
      </c>
      <c r="G6" s="1565"/>
      <c r="J6" s="876"/>
      <c r="K6" s="1587" t="s">
        <v>707</v>
      </c>
      <c r="L6" s="1587"/>
      <c r="M6" s="878"/>
      <c r="N6" s="878"/>
      <c r="O6" s="878"/>
      <c r="P6" s="878"/>
      <c r="Q6" s="1579"/>
      <c r="R6" s="1578"/>
      <c r="S6" s="1578"/>
      <c r="T6" s="1578"/>
      <c r="U6" s="876"/>
      <c r="V6" s="876"/>
      <c r="W6" s="876"/>
      <c r="X6" s="876"/>
      <c r="Y6" s="876"/>
      <c r="Z6" s="876"/>
      <c r="AA6" s="876"/>
      <c r="AB6" s="876"/>
      <c r="AC6" s="876"/>
      <c r="AD6" s="876"/>
      <c r="AE6" s="876"/>
      <c r="AF6" s="876"/>
      <c r="AG6" s="876"/>
      <c r="AH6" s="876"/>
      <c r="AI6" s="876"/>
      <c r="AJ6" s="876"/>
      <c r="AK6" s="876"/>
      <c r="AL6" s="876"/>
      <c r="AM6" s="876"/>
      <c r="AN6" s="876"/>
      <c r="AO6" s="876"/>
    </row>
    <row r="7" spans="1:41">
      <c r="A7" s="1565" t="s">
        <v>710</v>
      </c>
      <c r="B7" s="1565"/>
      <c r="C7" s="1565"/>
      <c r="D7" s="1565"/>
      <c r="E7" s="1565"/>
      <c r="F7" s="1565" t="s">
        <v>706</v>
      </c>
      <c r="G7" s="1565"/>
      <c r="J7" s="876"/>
      <c r="K7" s="1587" t="s">
        <v>707</v>
      </c>
      <c r="L7" s="1587"/>
      <c r="M7" s="878"/>
      <c r="N7" s="878"/>
      <c r="O7" s="878"/>
      <c r="P7" s="878"/>
      <c r="Q7" s="1579"/>
      <c r="R7" s="1578"/>
      <c r="S7" s="1578"/>
      <c r="T7" s="1578"/>
      <c r="U7" s="876"/>
      <c r="V7" s="876"/>
      <c r="W7" s="876"/>
      <c r="X7" s="876"/>
      <c r="Y7" s="876"/>
      <c r="Z7" s="876"/>
      <c r="AA7" s="876"/>
      <c r="AB7" s="876"/>
      <c r="AC7" s="876"/>
      <c r="AD7" s="876"/>
      <c r="AE7" s="876"/>
      <c r="AF7" s="876"/>
      <c r="AG7" s="876"/>
      <c r="AH7" s="876"/>
      <c r="AI7" s="876"/>
      <c r="AJ7" s="876"/>
      <c r="AK7" s="876"/>
      <c r="AL7" s="876"/>
      <c r="AM7" s="876"/>
      <c r="AN7" s="876"/>
      <c r="AO7" s="876"/>
    </row>
    <row r="8" spans="1:41">
      <c r="A8" s="1565" t="s">
        <v>711</v>
      </c>
      <c r="B8" s="1565"/>
      <c r="C8" s="1565"/>
      <c r="D8" s="1565"/>
      <c r="E8" s="1565"/>
      <c r="F8" s="1565" t="s">
        <v>712</v>
      </c>
      <c r="G8" s="1565"/>
      <c r="J8" s="876"/>
      <c r="K8" s="1587" t="s">
        <v>707</v>
      </c>
      <c r="L8" s="1587"/>
      <c r="M8" s="878"/>
      <c r="N8" s="878"/>
      <c r="O8" s="878"/>
      <c r="P8" s="878"/>
      <c r="Q8" s="1579"/>
      <c r="R8" s="1578"/>
      <c r="S8" s="1578"/>
      <c r="T8" s="1578"/>
      <c r="U8" s="876"/>
      <c r="V8" s="876"/>
      <c r="W8" s="876"/>
      <c r="X8" s="876"/>
      <c r="Y8" s="876"/>
      <c r="Z8" s="876"/>
      <c r="AA8" s="876"/>
      <c r="AB8" s="876"/>
      <c r="AC8" s="876"/>
      <c r="AD8" s="876"/>
      <c r="AE8" s="876"/>
      <c r="AF8" s="876"/>
      <c r="AG8" s="876"/>
      <c r="AH8" s="876"/>
      <c r="AI8" s="876"/>
      <c r="AJ8" s="876"/>
      <c r="AK8" s="876"/>
      <c r="AL8" s="876"/>
      <c r="AM8" s="876"/>
      <c r="AN8" s="876"/>
      <c r="AO8" s="876"/>
    </row>
    <row r="9" spans="1:41">
      <c r="A9" s="1565" t="s">
        <v>714</v>
      </c>
      <c r="B9" s="1565"/>
      <c r="C9" s="1565"/>
      <c r="D9" s="1565"/>
      <c r="E9" s="1565"/>
      <c r="F9" s="1565" t="s">
        <v>1021</v>
      </c>
      <c r="G9" s="1565"/>
      <c r="J9" s="876"/>
      <c r="K9" s="1587" t="s">
        <v>707</v>
      </c>
      <c r="L9" s="1587"/>
      <c r="M9" s="878"/>
      <c r="N9" s="878"/>
      <c r="O9" s="878"/>
      <c r="P9" s="878"/>
      <c r="Q9" s="1579"/>
      <c r="R9" s="1578"/>
      <c r="S9" s="1578"/>
      <c r="T9" s="1578"/>
      <c r="U9" s="876"/>
      <c r="V9" s="876"/>
      <c r="W9" s="876"/>
      <c r="X9" s="876"/>
      <c r="Y9" s="876"/>
      <c r="Z9" s="876"/>
      <c r="AA9" s="876"/>
      <c r="AB9" s="876"/>
      <c r="AC9" s="876"/>
      <c r="AD9" s="876"/>
      <c r="AE9" s="876"/>
      <c r="AF9" s="876"/>
      <c r="AG9" s="876"/>
      <c r="AH9" s="876"/>
      <c r="AI9" s="876"/>
      <c r="AJ9" s="876"/>
      <c r="AK9" s="876"/>
      <c r="AL9" s="876"/>
      <c r="AM9" s="876"/>
      <c r="AN9" s="876"/>
      <c r="AO9" s="876"/>
    </row>
    <row r="10" spans="1:41" ht="15" customHeight="1">
      <c r="A10" s="1565" t="s">
        <v>715</v>
      </c>
      <c r="B10" s="1565"/>
      <c r="C10" s="1565"/>
      <c r="D10" s="1565"/>
      <c r="E10" s="1565"/>
      <c r="F10" s="1565" t="s">
        <v>1021</v>
      </c>
      <c r="G10" s="1565"/>
      <c r="J10" s="876"/>
      <c r="K10" s="1587" t="s">
        <v>707</v>
      </c>
      <c r="L10" s="1587"/>
      <c r="M10" s="878"/>
      <c r="N10" s="878"/>
      <c r="O10" s="878"/>
      <c r="P10" s="878"/>
      <c r="Q10" s="1579"/>
      <c r="R10" s="1578"/>
      <c r="S10" s="1578"/>
      <c r="T10" s="1578"/>
      <c r="U10" s="876"/>
      <c r="V10" s="876"/>
      <c r="W10" s="876"/>
      <c r="X10" s="876"/>
      <c r="Y10" s="876"/>
      <c r="Z10" s="876"/>
      <c r="AA10" s="876"/>
      <c r="AB10" s="876"/>
      <c r="AC10" s="876"/>
      <c r="AD10" s="876"/>
      <c r="AE10" s="876"/>
      <c r="AF10" s="876"/>
      <c r="AG10" s="876"/>
      <c r="AH10" s="876"/>
      <c r="AI10" s="876"/>
      <c r="AJ10" s="876"/>
      <c r="AK10" s="876"/>
      <c r="AL10" s="876"/>
      <c r="AM10" s="876"/>
      <c r="AN10" s="876"/>
      <c r="AO10" s="876"/>
    </row>
    <row r="11" spans="1:41" ht="15" customHeight="1">
      <c r="A11" s="1565" t="s">
        <v>716</v>
      </c>
      <c r="B11" s="1565"/>
      <c r="C11" s="1565"/>
      <c r="D11" s="1565"/>
      <c r="E11" s="1565"/>
      <c r="F11" s="1565" t="s">
        <v>1021</v>
      </c>
      <c r="G11" s="1565"/>
      <c r="J11" s="876"/>
      <c r="K11" s="1587" t="s">
        <v>707</v>
      </c>
      <c r="L11" s="1587"/>
      <c r="M11" s="878"/>
      <c r="N11" s="878"/>
      <c r="O11" s="878"/>
      <c r="P11" s="878"/>
      <c r="Q11" s="1579"/>
      <c r="R11" s="1578"/>
      <c r="S11" s="1578"/>
      <c r="T11" s="1578"/>
      <c r="U11" s="876"/>
      <c r="V11" s="876"/>
      <c r="W11" s="876"/>
      <c r="X11" s="876"/>
      <c r="Y11" s="876"/>
      <c r="Z11" s="876"/>
      <c r="AA11" s="876"/>
      <c r="AB11" s="876"/>
      <c r="AC11" s="876"/>
      <c r="AD11" s="876"/>
      <c r="AE11" s="876"/>
      <c r="AF11" s="876"/>
      <c r="AG11" s="876"/>
      <c r="AH11" s="876"/>
      <c r="AI11" s="876"/>
      <c r="AJ11" s="876"/>
      <c r="AK11" s="876"/>
      <c r="AL11" s="876"/>
      <c r="AM11" s="876"/>
      <c r="AN11" s="876"/>
      <c r="AO11" s="876"/>
    </row>
    <row r="12" spans="1:41">
      <c r="A12" s="1585" t="s">
        <v>1164</v>
      </c>
      <c r="B12" s="1585"/>
      <c r="C12" s="1585"/>
      <c r="D12" s="1585"/>
      <c r="E12" s="1585"/>
      <c r="F12" s="876"/>
      <c r="G12" s="876"/>
      <c r="H12" s="876"/>
      <c r="I12" s="876"/>
      <c r="J12" s="876"/>
      <c r="K12" s="877"/>
      <c r="L12" s="1586"/>
      <c r="M12" s="1586"/>
      <c r="N12" s="879"/>
      <c r="O12" s="878"/>
      <c r="P12" s="878"/>
      <c r="Q12" s="1579"/>
      <c r="R12" s="878"/>
      <c r="S12" s="878"/>
      <c r="T12" s="878"/>
      <c r="U12" s="876"/>
      <c r="V12" s="876"/>
      <c r="W12" s="876"/>
      <c r="X12" s="876"/>
      <c r="Y12" s="876"/>
      <c r="Z12" s="876"/>
      <c r="AA12" s="876"/>
      <c r="AB12" s="876"/>
      <c r="AC12" s="876"/>
      <c r="AD12" s="876"/>
      <c r="AE12" s="876"/>
      <c r="AF12" s="876"/>
      <c r="AG12" s="876"/>
      <c r="AH12" s="876"/>
      <c r="AI12" s="876"/>
      <c r="AJ12" s="876"/>
      <c r="AK12" s="876"/>
      <c r="AL12" s="876"/>
      <c r="AM12" s="876"/>
      <c r="AN12" s="876"/>
      <c r="AO12" s="876"/>
    </row>
    <row r="13" spans="1:41">
      <c r="A13" s="1582" t="s">
        <v>717</v>
      </c>
      <c r="B13" s="1574" t="s">
        <v>718</v>
      </c>
      <c r="C13" s="1574" t="s">
        <v>719</v>
      </c>
      <c r="D13" s="1574" t="s">
        <v>720</v>
      </c>
      <c r="E13" s="1583" t="s">
        <v>721</v>
      </c>
      <c r="F13" s="1574" t="s">
        <v>722</v>
      </c>
      <c r="G13" s="1574"/>
      <c r="H13" s="1575" t="s">
        <v>723</v>
      </c>
      <c r="I13" s="1574" t="s">
        <v>724</v>
      </c>
      <c r="J13" s="1577" t="s">
        <v>725</v>
      </c>
      <c r="K13" s="1573" t="s">
        <v>726</v>
      </c>
      <c r="L13" s="1570" t="s">
        <v>16</v>
      </c>
      <c r="M13" s="880"/>
      <c r="N13" s="880"/>
      <c r="O13" s="880"/>
      <c r="P13" s="880"/>
      <c r="Q13" s="880"/>
      <c r="R13" s="880"/>
      <c r="S13" s="880"/>
      <c r="T13" s="880"/>
      <c r="U13" s="880"/>
      <c r="V13" s="880"/>
      <c r="W13" s="880"/>
      <c r="X13" s="880"/>
      <c r="Y13" s="880"/>
      <c r="Z13" s="880"/>
      <c r="AA13" s="880"/>
      <c r="AB13" s="880"/>
      <c r="AC13" s="880"/>
      <c r="AD13" s="880"/>
      <c r="AE13" s="880"/>
      <c r="AF13" s="880"/>
      <c r="AG13" s="880"/>
      <c r="AH13" s="880"/>
      <c r="AI13" s="880"/>
      <c r="AJ13" s="880"/>
      <c r="AK13" s="880"/>
      <c r="AL13" s="880"/>
      <c r="AM13" s="880"/>
      <c r="AN13" s="880"/>
      <c r="AO13" s="880"/>
    </row>
    <row r="14" spans="1:41">
      <c r="A14" s="1582"/>
      <c r="B14" s="1574"/>
      <c r="C14" s="1574"/>
      <c r="D14" s="1574"/>
      <c r="E14" s="1584"/>
      <c r="F14" s="1574"/>
      <c r="G14" s="1574"/>
      <c r="H14" s="1576"/>
      <c r="I14" s="1574"/>
      <c r="J14" s="1577"/>
      <c r="K14" s="1573"/>
      <c r="L14" s="1570"/>
      <c r="M14" s="880"/>
      <c r="N14" s="880"/>
      <c r="O14" s="880"/>
      <c r="P14" s="880"/>
      <c r="Q14" s="880"/>
      <c r="R14" s="880"/>
      <c r="S14" s="880"/>
      <c r="T14" s="880"/>
      <c r="U14" s="880"/>
      <c r="V14" s="880"/>
      <c r="W14" s="880"/>
      <c r="X14" s="880"/>
      <c r="Y14" s="880"/>
      <c r="Z14" s="880"/>
      <c r="AA14" s="880"/>
      <c r="AB14" s="880"/>
      <c r="AC14" s="880"/>
      <c r="AD14" s="880"/>
      <c r="AE14" s="880"/>
      <c r="AF14" s="880"/>
      <c r="AG14" s="880"/>
      <c r="AH14" s="880"/>
      <c r="AI14" s="880"/>
      <c r="AJ14" s="880"/>
      <c r="AK14" s="880"/>
      <c r="AL14" s="880"/>
      <c r="AM14" s="880"/>
      <c r="AN14" s="880"/>
      <c r="AO14" s="880"/>
    </row>
    <row r="15" spans="1:41">
      <c r="A15" s="1582"/>
      <c r="B15" s="1574"/>
      <c r="C15" s="1574"/>
      <c r="D15" s="1574"/>
      <c r="E15" s="1584"/>
      <c r="F15" s="1574"/>
      <c r="G15" s="1574"/>
      <c r="H15" s="1576"/>
      <c r="I15" s="1574"/>
      <c r="J15" s="1577"/>
      <c r="K15" s="1573"/>
      <c r="L15" s="1570"/>
      <c r="M15" s="880"/>
      <c r="N15" s="880"/>
      <c r="O15" s="880"/>
      <c r="P15" s="880"/>
      <c r="Q15" s="880"/>
      <c r="R15" s="880"/>
      <c r="S15" s="880"/>
      <c r="T15" s="880"/>
      <c r="U15" s="880"/>
      <c r="V15" s="880"/>
      <c r="W15" s="880"/>
      <c r="X15" s="880"/>
      <c r="Y15" s="880"/>
      <c r="Z15" s="880"/>
      <c r="AA15" s="880"/>
      <c r="AB15" s="880"/>
      <c r="AC15" s="880"/>
      <c r="AD15" s="880"/>
      <c r="AE15" s="880"/>
      <c r="AF15" s="880"/>
      <c r="AG15" s="880"/>
      <c r="AH15" s="880"/>
      <c r="AI15" s="880"/>
      <c r="AJ15" s="880"/>
      <c r="AK15" s="880"/>
      <c r="AL15" s="880"/>
      <c r="AM15" s="880"/>
      <c r="AN15" s="880"/>
      <c r="AO15" s="880"/>
    </row>
    <row r="16" spans="1:41">
      <c r="A16" s="1582"/>
      <c r="B16" s="1574"/>
      <c r="C16" s="1574"/>
      <c r="D16" s="1574"/>
      <c r="E16" s="1584"/>
      <c r="F16" s="1220" t="s">
        <v>12</v>
      </c>
      <c r="G16" s="1220" t="s">
        <v>6</v>
      </c>
      <c r="H16" s="1576"/>
      <c r="I16" s="1574"/>
      <c r="J16" s="1577"/>
      <c r="K16" s="1573"/>
      <c r="L16" s="1570"/>
      <c r="M16" s="880"/>
      <c r="N16" s="880"/>
      <c r="O16" s="1360" t="s">
        <v>1175</v>
      </c>
      <c r="P16" s="1360" t="s">
        <v>1176</v>
      </c>
      <c r="Q16" s="880"/>
      <c r="R16" s="880"/>
      <c r="S16" s="880"/>
      <c r="T16" s="880"/>
      <c r="U16" s="880"/>
      <c r="V16" s="880"/>
      <c r="W16" s="880"/>
      <c r="X16" s="880"/>
      <c r="Y16" s="880"/>
      <c r="Z16" s="880"/>
      <c r="AA16" s="880"/>
      <c r="AB16" s="880"/>
      <c r="AC16" s="880"/>
      <c r="AD16" s="880"/>
      <c r="AE16" s="880"/>
      <c r="AF16" s="880"/>
      <c r="AG16" s="880"/>
      <c r="AH16" s="880"/>
      <c r="AI16" s="880"/>
      <c r="AJ16" s="880"/>
      <c r="AK16" s="880"/>
      <c r="AL16" s="880"/>
      <c r="AM16" s="880"/>
      <c r="AN16" s="880"/>
      <c r="AO16" s="880"/>
    </row>
    <row r="17" spans="1:41" s="888" customFormat="1" ht="23.25" customHeight="1">
      <c r="A17" s="882">
        <v>1</v>
      </c>
      <c r="B17" s="856" t="str">
        <f>'TH KẾ TOÁN'!C105</f>
        <v>Vỏ thùng gạch phế 30x60 (nâu)</v>
      </c>
      <c r="C17" s="856" t="str">
        <f>'TH KẾ TOÁN'!B105</f>
        <v>NVLKM04.005</v>
      </c>
      <c r="D17" s="889" t="s">
        <v>194</v>
      </c>
      <c r="E17" s="858">
        <f>'[2]TH KẾ TOÁN'!K102</f>
        <v>4000</v>
      </c>
      <c r="F17" s="883">
        <f>'[2]TH KẾ TOÁN'!K102</f>
        <v>4000</v>
      </c>
      <c r="G17" s="883">
        <f>F17-(F17*K17)</f>
        <v>4000</v>
      </c>
      <c r="H17" s="883">
        <f t="shared" ref="H17:H75" si="0">F17-E17</f>
        <v>0</v>
      </c>
      <c r="I17" s="890"/>
      <c r="J17" s="891"/>
      <c r="K17" s="892"/>
      <c r="L17" s="886"/>
      <c r="M17" s="858">
        <v>4000</v>
      </c>
      <c r="N17" s="1357">
        <f>F17-M17</f>
        <v>0</v>
      </c>
      <c r="O17" s="1359">
        <v>4000</v>
      </c>
      <c r="P17" s="1358">
        <f>G17-O17</f>
        <v>0</v>
      </c>
      <c r="Q17" s="887"/>
      <c r="R17" s="887"/>
      <c r="S17" s="887"/>
      <c r="T17" s="887"/>
      <c r="U17" s="887"/>
      <c r="V17" s="887"/>
      <c r="W17" s="887"/>
      <c r="X17" s="887"/>
      <c r="Y17" s="887"/>
      <c r="Z17" s="887"/>
      <c r="AA17" s="887"/>
      <c r="AB17" s="887"/>
      <c r="AC17" s="887"/>
      <c r="AD17" s="887"/>
      <c r="AE17" s="887"/>
      <c r="AF17" s="887"/>
      <c r="AG17" s="887"/>
      <c r="AH17" s="887"/>
      <c r="AI17" s="887"/>
      <c r="AJ17" s="887"/>
      <c r="AK17" s="887"/>
      <c r="AL17" s="887"/>
      <c r="AM17" s="887"/>
      <c r="AN17" s="887"/>
      <c r="AO17" s="887"/>
    </row>
    <row r="18" spans="1:41" s="888" customFormat="1" ht="23.25" customHeight="1">
      <c r="A18" s="882">
        <v>2</v>
      </c>
      <c r="B18" s="856" t="str">
        <f>'TH KẾ TOÁN'!C106</f>
        <v>Băng keo trong 5P 80Ya (TQ) BBL</v>
      </c>
      <c r="C18" s="856" t="str">
        <f>'TH KẾ TOÁN'!B106</f>
        <v>NVLKM04.011</v>
      </c>
      <c r="D18" s="889" t="str">
        <f>'TH KẾ TOÁN'!D106</f>
        <v>Cuộn</v>
      </c>
      <c r="E18" s="858">
        <f>'[2]TH KẾ TOÁN'!K103</f>
        <v>576</v>
      </c>
      <c r="F18" s="883">
        <v>720</v>
      </c>
      <c r="G18" s="883">
        <f t="shared" ref="G18:G88" si="1">F18-(F18*K18)</f>
        <v>720</v>
      </c>
      <c r="H18" s="883">
        <f t="shared" si="0"/>
        <v>144</v>
      </c>
      <c r="I18" s="890"/>
      <c r="J18" s="891"/>
      <c r="K18" s="892"/>
      <c r="L18" s="886"/>
      <c r="M18" s="858">
        <v>576</v>
      </c>
      <c r="N18" s="1357">
        <f t="shared" ref="N18:N81" si="2">F18-M18</f>
        <v>144</v>
      </c>
      <c r="O18" s="858">
        <v>576</v>
      </c>
      <c r="P18" s="1358">
        <f t="shared" ref="P18:P81" si="3">G18-O18</f>
        <v>144</v>
      </c>
      <c r="Q18" s="887"/>
      <c r="R18" s="887"/>
      <c r="S18" s="887"/>
      <c r="T18" s="887"/>
      <c r="U18" s="887"/>
      <c r="V18" s="887"/>
      <c r="W18" s="887"/>
      <c r="X18" s="887"/>
      <c r="Y18" s="887"/>
      <c r="Z18" s="887"/>
      <c r="AA18" s="887"/>
      <c r="AB18" s="887"/>
      <c r="AC18" s="887"/>
      <c r="AD18" s="887"/>
      <c r="AE18" s="887"/>
      <c r="AF18" s="887"/>
      <c r="AG18" s="887"/>
      <c r="AH18" s="887"/>
      <c r="AI18" s="887"/>
      <c r="AJ18" s="887"/>
      <c r="AK18" s="887"/>
      <c r="AL18" s="887"/>
      <c r="AM18" s="887"/>
      <c r="AN18" s="887"/>
      <c r="AO18" s="887"/>
    </row>
    <row r="19" spans="1:41" s="888" customFormat="1" ht="23.25" customHeight="1">
      <c r="A19" s="882">
        <v>3</v>
      </c>
      <c r="B19" s="856" t="str">
        <f>'TH KẾ TOÁN'!C108</f>
        <v>Dây đai PET</v>
      </c>
      <c r="C19" s="856" t="str">
        <f>'TH KẾ TOÁN'!B108</f>
        <v>NVLKM04.023</v>
      </c>
      <c r="D19" s="889" t="str">
        <f>'TH KẾ TOÁN'!D108</f>
        <v>kg</v>
      </c>
      <c r="E19" s="858">
        <v>2040</v>
      </c>
      <c r="F19" s="883">
        <f>'[2]TH KẾ TOÁN'!K105</f>
        <v>2040</v>
      </c>
      <c r="G19" s="883">
        <f t="shared" si="1"/>
        <v>2040</v>
      </c>
      <c r="H19" s="883">
        <f t="shared" si="0"/>
        <v>0</v>
      </c>
      <c r="I19" s="890"/>
      <c r="J19" s="891"/>
      <c r="K19" s="892"/>
      <c r="L19" s="886"/>
      <c r="M19" s="858">
        <v>2040</v>
      </c>
      <c r="N19" s="1357">
        <f t="shared" si="2"/>
        <v>0</v>
      </c>
      <c r="O19" s="858">
        <v>2040</v>
      </c>
      <c r="P19" s="1358">
        <f t="shared" si="3"/>
        <v>0</v>
      </c>
      <c r="Q19" s="887"/>
      <c r="R19" s="887"/>
      <c r="S19" s="887"/>
      <c r="T19" s="887"/>
      <c r="U19" s="887"/>
      <c r="V19" s="887"/>
      <c r="W19" s="887"/>
      <c r="X19" s="887"/>
      <c r="Y19" s="887"/>
      <c r="Z19" s="887"/>
      <c r="AA19" s="887"/>
      <c r="AB19" s="887"/>
      <c r="AC19" s="887"/>
      <c r="AD19" s="887"/>
      <c r="AE19" s="887"/>
      <c r="AF19" s="887"/>
      <c r="AG19" s="887"/>
      <c r="AH19" s="887"/>
      <c r="AI19" s="887"/>
      <c r="AJ19" s="887"/>
      <c r="AK19" s="887"/>
      <c r="AL19" s="887"/>
      <c r="AM19" s="887"/>
      <c r="AN19" s="887"/>
      <c r="AO19" s="887"/>
    </row>
    <row r="20" spans="1:41" s="888" customFormat="1" ht="23.25" customHeight="1">
      <c r="A20" s="882">
        <v>4</v>
      </c>
      <c r="B20" s="856" t="str">
        <f>'TH KẾ TOÁN'!C109</f>
        <v>Bọ sắt PET</v>
      </c>
      <c r="C20" s="856" t="str">
        <f>'TH KẾ TOÁN'!B109</f>
        <v>NVLKM04.025</v>
      </c>
      <c r="D20" s="889" t="str">
        <f>'TH KẾ TOÁN'!D109</f>
        <v>kg</v>
      </c>
      <c r="E20" s="858">
        <v>200</v>
      </c>
      <c r="F20" s="883">
        <f>'[2]TH KẾ TOÁN'!K106</f>
        <v>200</v>
      </c>
      <c r="G20" s="883">
        <f t="shared" si="1"/>
        <v>200</v>
      </c>
      <c r="H20" s="883">
        <f t="shared" si="0"/>
        <v>0</v>
      </c>
      <c r="I20" s="890"/>
      <c r="J20" s="891"/>
      <c r="K20" s="892"/>
      <c r="L20" s="886"/>
      <c r="M20" s="858">
        <v>200</v>
      </c>
      <c r="N20" s="1357">
        <f t="shared" si="2"/>
        <v>0</v>
      </c>
      <c r="O20" s="858">
        <v>200</v>
      </c>
      <c r="P20" s="1358">
        <f t="shared" si="3"/>
        <v>0</v>
      </c>
      <c r="Q20" s="887"/>
      <c r="R20" s="887"/>
      <c r="S20" s="887"/>
      <c r="T20" s="887"/>
      <c r="U20" s="887"/>
      <c r="V20" s="887"/>
      <c r="W20" s="887"/>
      <c r="X20" s="887"/>
      <c r="Y20" s="887"/>
      <c r="Z20" s="887"/>
      <c r="AA20" s="887"/>
      <c r="AB20" s="887"/>
      <c r="AC20" s="887"/>
      <c r="AD20" s="887"/>
      <c r="AE20" s="887"/>
      <c r="AF20" s="887"/>
      <c r="AG20" s="887"/>
      <c r="AH20" s="887"/>
      <c r="AI20" s="887"/>
      <c r="AJ20" s="887"/>
      <c r="AK20" s="887"/>
      <c r="AL20" s="887"/>
      <c r="AM20" s="887"/>
      <c r="AN20" s="887"/>
      <c r="AO20" s="887"/>
    </row>
    <row r="21" spans="1:41" s="888" customFormat="1" ht="23.25" customHeight="1">
      <c r="A21" s="882">
        <v>5</v>
      </c>
      <c r="B21" s="856" t="str">
        <f>'TH KẾ TOÁN'!C110</f>
        <v>Pallet 1100x1100 cũ loại 1</v>
      </c>
      <c r="C21" s="856" t="str">
        <f>'TH KẾ TOÁN'!B110</f>
        <v>NVLKM04.026</v>
      </c>
      <c r="D21" s="889" t="str">
        <f>'TH KẾ TOÁN'!D110</f>
        <v>Cái</v>
      </c>
      <c r="E21" s="858">
        <v>0</v>
      </c>
      <c r="F21" s="883">
        <f>'[2]TH KẾ TOÁN'!K107</f>
        <v>0</v>
      </c>
      <c r="G21" s="883">
        <f t="shared" si="1"/>
        <v>0</v>
      </c>
      <c r="H21" s="883">
        <f t="shared" si="0"/>
        <v>0</v>
      </c>
      <c r="I21" s="890"/>
      <c r="J21" s="891"/>
      <c r="K21" s="892"/>
      <c r="L21" s="886"/>
      <c r="M21" s="858">
        <v>0</v>
      </c>
      <c r="N21" s="1357">
        <f t="shared" si="2"/>
        <v>0</v>
      </c>
      <c r="O21" s="858">
        <v>0</v>
      </c>
      <c r="P21" s="1358">
        <f t="shared" si="3"/>
        <v>0</v>
      </c>
      <c r="Q21" s="887"/>
      <c r="R21" s="887"/>
      <c r="S21" s="887"/>
      <c r="T21" s="887"/>
      <c r="U21" s="887"/>
      <c r="V21" s="887"/>
      <c r="W21" s="887"/>
      <c r="X21" s="887"/>
      <c r="Y21" s="887"/>
      <c r="Z21" s="887"/>
      <c r="AA21" s="887"/>
      <c r="AB21" s="887"/>
      <c r="AC21" s="887"/>
      <c r="AD21" s="887"/>
      <c r="AE21" s="887"/>
      <c r="AF21" s="887"/>
      <c r="AG21" s="887"/>
      <c r="AH21" s="887"/>
      <c r="AI21" s="887"/>
      <c r="AJ21" s="887"/>
      <c r="AK21" s="887"/>
      <c r="AL21" s="887"/>
      <c r="AM21" s="887"/>
      <c r="AN21" s="887"/>
      <c r="AO21" s="887"/>
    </row>
    <row r="22" spans="1:41" s="888" customFormat="1" ht="23.25" customHeight="1">
      <c r="A22" s="882">
        <v>6</v>
      </c>
      <c r="B22" s="856" t="str">
        <f>'TH KẾ TOÁN'!C114</f>
        <v>Dao cắt dân hoa(size 5cm)</v>
      </c>
      <c r="C22" s="856" t="str">
        <f>'TH KẾ TOÁN'!B114</f>
        <v>NVLKM04.032</v>
      </c>
      <c r="D22" s="889" t="str">
        <f>'TH KẾ TOÁN'!D114</f>
        <v>Cái</v>
      </c>
      <c r="E22" s="858">
        <v>23</v>
      </c>
      <c r="F22" s="883">
        <f>'[2]TH KẾ TOÁN'!K111</f>
        <v>23</v>
      </c>
      <c r="G22" s="883">
        <f t="shared" si="1"/>
        <v>23</v>
      </c>
      <c r="H22" s="883">
        <f t="shared" si="0"/>
        <v>0</v>
      </c>
      <c r="I22" s="890"/>
      <c r="J22" s="891"/>
      <c r="K22" s="892"/>
      <c r="L22" s="886"/>
      <c r="M22" s="858">
        <v>23</v>
      </c>
      <c r="N22" s="1357">
        <f t="shared" si="2"/>
        <v>0</v>
      </c>
      <c r="O22" s="858">
        <v>23</v>
      </c>
      <c r="P22" s="1358">
        <f t="shared" si="3"/>
        <v>0</v>
      </c>
      <c r="Q22" s="887"/>
      <c r="R22" s="887"/>
      <c r="S22" s="887"/>
      <c r="T22" s="887"/>
      <c r="U22" s="887"/>
      <c r="V22" s="887"/>
      <c r="W22" s="887"/>
      <c r="X22" s="887"/>
      <c r="Y22" s="887"/>
      <c r="Z22" s="887"/>
      <c r="AA22" s="887"/>
      <c r="AB22" s="887"/>
      <c r="AC22" s="887"/>
      <c r="AD22" s="887"/>
      <c r="AE22" s="887"/>
      <c r="AF22" s="887"/>
      <c r="AG22" s="887"/>
      <c r="AH22" s="887"/>
      <c r="AI22" s="887"/>
      <c r="AJ22" s="887"/>
      <c r="AK22" s="887"/>
      <c r="AL22" s="887"/>
      <c r="AM22" s="887"/>
      <c r="AN22" s="887"/>
      <c r="AO22" s="887"/>
    </row>
    <row r="23" spans="1:41" s="888" customFormat="1" ht="23.25" customHeight="1">
      <c r="A23" s="882">
        <v>7</v>
      </c>
      <c r="B23" s="856" t="str">
        <f>'TH KẾ TOÁN'!C115</f>
        <v>Kìm bấm dây đai</v>
      </c>
      <c r="C23" s="856" t="str">
        <f>'TH KẾ TOÁN'!B115</f>
        <v>NVLKM04.034</v>
      </c>
      <c r="D23" s="889" t="str">
        <f>'TH KẾ TOÁN'!D115</f>
        <v>Cái</v>
      </c>
      <c r="E23" s="858">
        <v>0</v>
      </c>
      <c r="F23" s="883">
        <f>'[2]TH KẾ TOÁN'!K112</f>
        <v>0</v>
      </c>
      <c r="G23" s="883">
        <f t="shared" si="1"/>
        <v>0</v>
      </c>
      <c r="H23" s="883">
        <f t="shared" si="0"/>
        <v>0</v>
      </c>
      <c r="I23" s="890"/>
      <c r="J23" s="891"/>
      <c r="K23" s="892"/>
      <c r="L23" s="886"/>
      <c r="M23" s="858">
        <v>0</v>
      </c>
      <c r="N23" s="1357">
        <f t="shared" si="2"/>
        <v>0</v>
      </c>
      <c r="O23" s="858">
        <v>0</v>
      </c>
      <c r="P23" s="1358">
        <f t="shared" si="3"/>
        <v>0</v>
      </c>
      <c r="Q23" s="887"/>
      <c r="R23" s="887"/>
      <c r="S23" s="887"/>
      <c r="T23" s="887"/>
      <c r="U23" s="887"/>
      <c r="V23" s="887"/>
      <c r="W23" s="887"/>
      <c r="X23" s="887"/>
      <c r="Y23" s="887"/>
      <c r="Z23" s="887"/>
      <c r="AA23" s="887"/>
      <c r="AB23" s="887"/>
      <c r="AC23" s="887"/>
      <c r="AD23" s="887"/>
      <c r="AE23" s="887"/>
      <c r="AF23" s="887"/>
      <c r="AG23" s="887"/>
      <c r="AH23" s="887"/>
      <c r="AI23" s="887"/>
      <c r="AJ23" s="887"/>
      <c r="AK23" s="887"/>
      <c r="AL23" s="887"/>
      <c r="AM23" s="887"/>
      <c r="AN23" s="887"/>
      <c r="AO23" s="887"/>
    </row>
    <row r="24" spans="1:41" s="888" customFormat="1" ht="23.25" customHeight="1">
      <c r="A24" s="882">
        <v>8</v>
      </c>
      <c r="B24" s="856" t="str">
        <f>'TH KẾ TOÁN'!C116</f>
        <v>Thanh nẹp góc gỗ</v>
      </c>
      <c r="C24" s="856" t="str">
        <f>'TH KẾ TOÁN'!B116</f>
        <v>NVLKM04.037</v>
      </c>
      <c r="D24" s="889" t="str">
        <f>'TH KẾ TOÁN'!D116</f>
        <v>Cái</v>
      </c>
      <c r="E24" s="858">
        <v>0</v>
      </c>
      <c r="F24" s="883">
        <v>320</v>
      </c>
      <c r="G24" s="883">
        <f t="shared" si="1"/>
        <v>320</v>
      </c>
      <c r="H24" s="883">
        <f t="shared" si="0"/>
        <v>320</v>
      </c>
      <c r="I24" s="890"/>
      <c r="J24" s="891"/>
      <c r="K24" s="892"/>
      <c r="L24" s="886"/>
      <c r="M24" s="858">
        <v>0</v>
      </c>
      <c r="N24" s="1357">
        <f t="shared" si="2"/>
        <v>320</v>
      </c>
      <c r="O24" s="858">
        <v>0</v>
      </c>
      <c r="P24" s="1358">
        <f t="shared" si="3"/>
        <v>320</v>
      </c>
      <c r="Q24" s="887"/>
      <c r="R24" s="887"/>
      <c r="S24" s="887"/>
      <c r="T24" s="887"/>
      <c r="U24" s="887"/>
      <c r="V24" s="887"/>
      <c r="W24" s="887"/>
      <c r="X24" s="887"/>
      <c r="Y24" s="887"/>
      <c r="Z24" s="887"/>
      <c r="AA24" s="887"/>
      <c r="AB24" s="887"/>
      <c r="AC24" s="887"/>
      <c r="AD24" s="887"/>
      <c r="AE24" s="887"/>
      <c r="AF24" s="887"/>
      <c r="AG24" s="887"/>
      <c r="AH24" s="887"/>
      <c r="AI24" s="887"/>
      <c r="AJ24" s="887"/>
      <c r="AK24" s="887"/>
      <c r="AL24" s="887"/>
      <c r="AM24" s="887"/>
      <c r="AN24" s="887"/>
      <c r="AO24" s="887"/>
    </row>
    <row r="25" spans="1:41" s="888" customFormat="1" ht="23.25" customHeight="1">
      <c r="A25" s="882">
        <v>9</v>
      </c>
      <c r="B25" s="856" t="str">
        <f>'TH KẾ TOÁN'!C118</f>
        <v>Pallet 145x145x100cm</v>
      </c>
      <c r="C25" s="856" t="str">
        <f>'TH KẾ TOÁN'!B118</f>
        <v>NVLKM04.045</v>
      </c>
      <c r="D25" s="889" t="str">
        <f>'TH KẾ TOÁN'!D118</f>
        <v>Cái</v>
      </c>
      <c r="E25" s="858">
        <v>0</v>
      </c>
      <c r="F25" s="883">
        <f>'[2]TH KẾ TOÁN'!K115</f>
        <v>0</v>
      </c>
      <c r="G25" s="883">
        <f t="shared" si="1"/>
        <v>0</v>
      </c>
      <c r="H25" s="883">
        <f>F25-E25</f>
        <v>0</v>
      </c>
      <c r="I25" s="890"/>
      <c r="J25" s="891"/>
      <c r="K25" s="892"/>
      <c r="L25" s="886"/>
      <c r="M25" s="858">
        <v>0</v>
      </c>
      <c r="N25" s="1357">
        <f t="shared" si="2"/>
        <v>0</v>
      </c>
      <c r="O25" s="858">
        <v>0</v>
      </c>
      <c r="P25" s="1358">
        <f t="shared" si="3"/>
        <v>0</v>
      </c>
      <c r="Q25" s="887"/>
      <c r="R25" s="887"/>
      <c r="S25" s="887"/>
      <c r="T25" s="887"/>
      <c r="U25" s="887"/>
      <c r="V25" s="887"/>
      <c r="W25" s="887"/>
      <c r="X25" s="887"/>
      <c r="Y25" s="887"/>
      <c r="Z25" s="887"/>
      <c r="AA25" s="887"/>
      <c r="AB25" s="887"/>
      <c r="AC25" s="887"/>
      <c r="AD25" s="887"/>
      <c r="AE25" s="887"/>
      <c r="AF25" s="887"/>
      <c r="AG25" s="887"/>
      <c r="AH25" s="887"/>
      <c r="AI25" s="887"/>
      <c r="AJ25" s="887"/>
      <c r="AK25" s="887"/>
      <c r="AL25" s="887"/>
      <c r="AM25" s="887"/>
      <c r="AN25" s="887"/>
      <c r="AO25" s="887"/>
    </row>
    <row r="26" spans="1:41" s="895" customFormat="1" ht="23.25" customHeight="1">
      <c r="A26" s="882">
        <v>10</v>
      </c>
      <c r="B26" s="856" t="str">
        <f>'TH KẾ TOÁN'!C119</f>
        <v>Đồ tăng dây đai - Tốt</v>
      </c>
      <c r="C26" s="856" t="str">
        <f>'TH KẾ TOÁN'!B119</f>
        <v>NVLKM04.048</v>
      </c>
      <c r="D26" s="889" t="str">
        <f>'TH KẾ TOÁN'!D119</f>
        <v>Cái</v>
      </c>
      <c r="E26" s="858">
        <v>0</v>
      </c>
      <c r="F26" s="883">
        <f>'[2]TH KẾ TOÁN'!K116</f>
        <v>0</v>
      </c>
      <c r="G26" s="883">
        <f t="shared" si="1"/>
        <v>0</v>
      </c>
      <c r="H26" s="883">
        <f t="shared" si="0"/>
        <v>0</v>
      </c>
      <c r="I26" s="890"/>
      <c r="J26" s="891"/>
      <c r="K26" s="892"/>
      <c r="L26" s="886"/>
      <c r="M26" s="858">
        <v>0</v>
      </c>
      <c r="N26" s="1357">
        <f t="shared" si="2"/>
        <v>0</v>
      </c>
      <c r="O26" s="858">
        <v>0</v>
      </c>
      <c r="P26" s="1358">
        <f t="shared" si="3"/>
        <v>0</v>
      </c>
      <c r="Q26" s="1221"/>
      <c r="R26" s="1221"/>
      <c r="S26" s="1221"/>
      <c r="T26" s="1221"/>
      <c r="U26" s="1221"/>
      <c r="V26" s="1221"/>
      <c r="W26" s="1221"/>
      <c r="X26" s="1221"/>
      <c r="Y26" s="1221"/>
      <c r="Z26" s="1221"/>
      <c r="AA26" s="1221"/>
      <c r="AB26" s="1221"/>
      <c r="AC26" s="1221"/>
      <c r="AD26" s="1221"/>
      <c r="AE26" s="1221"/>
      <c r="AF26" s="1221"/>
      <c r="AG26" s="1221"/>
      <c r="AH26" s="1221"/>
      <c r="AI26" s="1221"/>
      <c r="AJ26" s="1221"/>
      <c r="AK26" s="1221"/>
      <c r="AL26" s="1221"/>
      <c r="AM26" s="1221"/>
      <c r="AN26" s="1221"/>
      <c r="AO26" s="1221"/>
    </row>
    <row r="27" spans="1:41" s="888" customFormat="1" ht="23.25" customHeight="1">
      <c r="A27" s="882">
        <v>11</v>
      </c>
      <c r="B27" s="856" t="str">
        <f>'TH KẾ TOÁN'!C120</f>
        <v>Ke góc nhựa 30x60x8v</v>
      </c>
      <c r="C27" s="856" t="str">
        <f>'TH KẾ TOÁN'!B120</f>
        <v>NVLKM04.051</v>
      </c>
      <c r="D27" s="889" t="str">
        <f>'TH KẾ TOÁN'!D120</f>
        <v>kg</v>
      </c>
      <c r="E27" s="858">
        <v>0</v>
      </c>
      <c r="F27" s="883">
        <f>'[2]TH KẾ TOÁN'!K117</f>
        <v>0</v>
      </c>
      <c r="G27" s="883">
        <f t="shared" si="1"/>
        <v>0</v>
      </c>
      <c r="H27" s="883">
        <f t="shared" si="0"/>
        <v>0</v>
      </c>
      <c r="I27" s="890"/>
      <c r="J27" s="891"/>
      <c r="K27" s="892"/>
      <c r="L27" s="886"/>
      <c r="M27" s="858">
        <v>0</v>
      </c>
      <c r="N27" s="1357">
        <f t="shared" si="2"/>
        <v>0</v>
      </c>
      <c r="O27" s="858">
        <v>0</v>
      </c>
      <c r="P27" s="1358">
        <f t="shared" si="3"/>
        <v>0</v>
      </c>
      <c r="Q27" s="887"/>
      <c r="R27" s="887"/>
      <c r="S27" s="887"/>
      <c r="T27" s="887"/>
      <c r="U27" s="887"/>
      <c r="V27" s="887"/>
      <c r="W27" s="887"/>
      <c r="X27" s="887"/>
      <c r="Y27" s="887"/>
      <c r="Z27" s="887"/>
      <c r="AA27" s="887"/>
      <c r="AB27" s="887"/>
      <c r="AC27" s="887"/>
      <c r="AD27" s="887"/>
      <c r="AE27" s="887"/>
      <c r="AF27" s="887"/>
      <c r="AG27" s="887"/>
      <c r="AH27" s="887"/>
      <c r="AI27" s="887"/>
      <c r="AJ27" s="887"/>
      <c r="AK27" s="887"/>
      <c r="AL27" s="887"/>
      <c r="AM27" s="887"/>
      <c r="AN27" s="887"/>
      <c r="AO27" s="887"/>
    </row>
    <row r="28" spans="1:41" s="888" customFormat="1" ht="23.25" customHeight="1">
      <c r="A28" s="882">
        <v>12</v>
      </c>
      <c r="B28" s="856" t="str">
        <f>'TH KẾ TOÁN'!C121</f>
        <v>Pallet 1100x1100x85</v>
      </c>
      <c r="C28" s="856" t="str">
        <f>'TH KẾ TOÁN'!B121</f>
        <v>NVLKM04.052</v>
      </c>
      <c r="D28" s="889" t="str">
        <f>'TH KẾ TOÁN'!D121</f>
        <v>Cái</v>
      </c>
      <c r="E28" s="858">
        <v>165</v>
      </c>
      <c r="F28" s="883">
        <v>392</v>
      </c>
      <c r="G28" s="883">
        <f t="shared" si="1"/>
        <v>392</v>
      </c>
      <c r="H28" s="883">
        <f t="shared" si="0"/>
        <v>227</v>
      </c>
      <c r="I28" s="890"/>
      <c r="J28" s="891"/>
      <c r="K28" s="892"/>
      <c r="L28" s="886"/>
      <c r="M28" s="858">
        <v>165</v>
      </c>
      <c r="N28" s="1357">
        <f t="shared" si="2"/>
        <v>227</v>
      </c>
      <c r="O28" s="858">
        <v>165</v>
      </c>
      <c r="P28" s="1358">
        <f t="shared" si="3"/>
        <v>227</v>
      </c>
      <c r="Q28" s="887"/>
      <c r="R28" s="887"/>
      <c r="S28" s="887"/>
      <c r="T28" s="887"/>
      <c r="U28" s="887"/>
      <c r="V28" s="887"/>
      <c r="W28" s="887"/>
      <c r="X28" s="887"/>
      <c r="Y28" s="887"/>
      <c r="Z28" s="887"/>
      <c r="AA28" s="887"/>
      <c r="AB28" s="887"/>
      <c r="AC28" s="887"/>
      <c r="AD28" s="887"/>
      <c r="AE28" s="887"/>
      <c r="AF28" s="887"/>
      <c r="AG28" s="887"/>
      <c r="AH28" s="887"/>
      <c r="AI28" s="887"/>
      <c r="AJ28" s="887"/>
      <c r="AK28" s="887"/>
      <c r="AL28" s="887"/>
      <c r="AM28" s="887"/>
      <c r="AN28" s="887"/>
      <c r="AO28" s="887"/>
    </row>
    <row r="29" spans="1:41" s="888" customFormat="1" ht="23.25" customHeight="1">
      <c r="A29" s="882">
        <v>13</v>
      </c>
      <c r="B29" s="856" t="str">
        <f>'TH KẾ TOÁN'!C122</f>
        <v>Vỏ hộp Grandcera màu tím (t/8v)</v>
      </c>
      <c r="C29" s="856" t="str">
        <f>'TH KẾ TOÁN'!B122</f>
        <v>NVLKM04.053</v>
      </c>
      <c r="D29" s="889" t="str">
        <f>'TH KẾ TOÁN'!D122</f>
        <v>Cái</v>
      </c>
      <c r="E29" s="858">
        <v>0</v>
      </c>
      <c r="F29" s="883">
        <f>'[2]TH KẾ TOÁN'!K119</f>
        <v>0</v>
      </c>
      <c r="G29" s="883">
        <f t="shared" si="1"/>
        <v>0</v>
      </c>
      <c r="H29" s="883">
        <f t="shared" si="0"/>
        <v>0</v>
      </c>
      <c r="I29" s="890"/>
      <c r="J29" s="891"/>
      <c r="K29" s="892"/>
      <c r="L29" s="886"/>
      <c r="M29" s="858">
        <v>0</v>
      </c>
      <c r="N29" s="1357">
        <f t="shared" si="2"/>
        <v>0</v>
      </c>
      <c r="O29" s="858">
        <v>0</v>
      </c>
      <c r="P29" s="1358">
        <f t="shared" si="3"/>
        <v>0</v>
      </c>
      <c r="Q29" s="887"/>
      <c r="R29" s="887"/>
      <c r="S29" s="887"/>
      <c r="T29" s="887"/>
      <c r="U29" s="887"/>
      <c r="V29" s="887"/>
      <c r="W29" s="887"/>
      <c r="X29" s="887"/>
      <c r="Y29" s="887"/>
      <c r="Z29" s="887"/>
      <c r="AA29" s="887"/>
      <c r="AB29" s="887"/>
      <c r="AC29" s="887"/>
      <c r="AD29" s="887"/>
      <c r="AE29" s="887"/>
      <c r="AF29" s="887"/>
      <c r="AG29" s="887"/>
      <c r="AH29" s="887"/>
      <c r="AI29" s="887"/>
      <c r="AJ29" s="887"/>
      <c r="AK29" s="887"/>
      <c r="AL29" s="887"/>
      <c r="AM29" s="887"/>
      <c r="AN29" s="887"/>
      <c r="AO29" s="887"/>
    </row>
    <row r="30" spans="1:41" s="888" customFormat="1" ht="23.25" customHeight="1">
      <c r="A30" s="882">
        <v>14</v>
      </c>
      <c r="B30" s="856" t="str">
        <f>'TH KẾ TOÁN'!C123</f>
        <v>Vỏ hộp Grandcera xanh lá (8v)</v>
      </c>
      <c r="C30" s="856" t="str">
        <f>'TH KẾ TOÁN'!B123</f>
        <v>NVLKM04.054</v>
      </c>
      <c r="D30" s="889" t="str">
        <f>'TH KẾ TOÁN'!D123</f>
        <v>Cái</v>
      </c>
      <c r="E30" s="858">
        <v>0</v>
      </c>
      <c r="F30" s="883">
        <f>'[2]TH KẾ TOÁN'!K120</f>
        <v>0</v>
      </c>
      <c r="G30" s="883">
        <f t="shared" si="1"/>
        <v>0</v>
      </c>
      <c r="H30" s="883">
        <f t="shared" si="0"/>
        <v>0</v>
      </c>
      <c r="I30" s="890"/>
      <c r="J30" s="891"/>
      <c r="K30" s="892"/>
      <c r="L30" s="886"/>
      <c r="M30" s="858">
        <v>0</v>
      </c>
      <c r="N30" s="1357">
        <f t="shared" si="2"/>
        <v>0</v>
      </c>
      <c r="O30" s="858">
        <v>0</v>
      </c>
      <c r="P30" s="1358">
        <f t="shared" si="3"/>
        <v>0</v>
      </c>
      <c r="Q30" s="887"/>
      <c r="R30" s="887"/>
      <c r="S30" s="887"/>
      <c r="T30" s="887"/>
      <c r="U30" s="887"/>
      <c r="V30" s="887"/>
      <c r="W30" s="887"/>
      <c r="X30" s="887"/>
      <c r="Y30" s="887"/>
      <c r="Z30" s="887"/>
      <c r="AA30" s="887"/>
      <c r="AB30" s="887"/>
      <c r="AC30" s="887"/>
      <c r="AD30" s="887"/>
      <c r="AE30" s="887"/>
      <c r="AF30" s="887"/>
      <c r="AG30" s="887"/>
      <c r="AH30" s="887"/>
      <c r="AI30" s="887"/>
      <c r="AJ30" s="887"/>
      <c r="AK30" s="887"/>
      <c r="AL30" s="887"/>
      <c r="AM30" s="887"/>
      <c r="AN30" s="887"/>
      <c r="AO30" s="887"/>
    </row>
    <row r="31" spans="1:41" s="888" customFormat="1" ht="23.25" customHeight="1">
      <c r="A31" s="882">
        <v>15</v>
      </c>
      <c r="B31" s="856" t="str">
        <f>'TH KẾ TOÁN'!C124</f>
        <v>Dây đai máy (8v)</v>
      </c>
      <c r="C31" s="856" t="str">
        <f>'TH KẾ TOÁN'!B124</f>
        <v>NVLKM04.055</v>
      </c>
      <c r="D31" s="889" t="str">
        <f>'TH KẾ TOÁN'!D124</f>
        <v>kg</v>
      </c>
      <c r="E31" s="858">
        <v>3150</v>
      </c>
      <c r="F31" s="883">
        <f>'[2]TH KẾ TOÁN'!K121</f>
        <v>3150</v>
      </c>
      <c r="G31" s="883">
        <f t="shared" si="1"/>
        <v>3150</v>
      </c>
      <c r="H31" s="883">
        <f t="shared" si="0"/>
        <v>0</v>
      </c>
      <c r="I31" s="890"/>
      <c r="J31" s="891"/>
      <c r="K31" s="892"/>
      <c r="L31" s="886"/>
      <c r="M31" s="858">
        <v>3150</v>
      </c>
      <c r="N31" s="1357">
        <f t="shared" si="2"/>
        <v>0</v>
      </c>
      <c r="O31" s="858">
        <v>3150</v>
      </c>
      <c r="P31" s="1358">
        <f t="shared" si="3"/>
        <v>0</v>
      </c>
      <c r="Q31" s="887"/>
      <c r="R31" s="887"/>
      <c r="S31" s="887"/>
      <c r="T31" s="887"/>
      <c r="U31" s="887"/>
      <c r="V31" s="887"/>
      <c r="W31" s="887"/>
      <c r="X31" s="887"/>
      <c r="Y31" s="887"/>
      <c r="Z31" s="887"/>
      <c r="AA31" s="887"/>
      <c r="AB31" s="887"/>
      <c r="AC31" s="887"/>
      <c r="AD31" s="887"/>
      <c r="AE31" s="887"/>
      <c r="AF31" s="887"/>
      <c r="AG31" s="887"/>
      <c r="AH31" s="887"/>
      <c r="AI31" s="887"/>
      <c r="AJ31" s="887"/>
      <c r="AK31" s="887"/>
      <c r="AL31" s="887"/>
      <c r="AM31" s="887"/>
      <c r="AN31" s="887"/>
      <c r="AO31" s="887"/>
    </row>
    <row r="32" spans="1:41" s="888" customFormat="1" ht="23.25" customHeight="1">
      <c r="A32" s="882">
        <v>16</v>
      </c>
      <c r="B32" s="856" t="str">
        <f>'TH KẾ TOÁN'!C125</f>
        <v>Pallet (sửa)</v>
      </c>
      <c r="C32" s="856" t="str">
        <f>'TH KẾ TOÁN'!B125</f>
        <v>NVLKM04.060</v>
      </c>
      <c r="D32" s="889" t="str">
        <f>'TH KẾ TOÁN'!D125</f>
        <v>Cái</v>
      </c>
      <c r="E32" s="858">
        <v>0</v>
      </c>
      <c r="F32" s="883">
        <f>'[2]TH KẾ TOÁN'!K122</f>
        <v>0</v>
      </c>
      <c r="G32" s="883">
        <f t="shared" si="1"/>
        <v>0</v>
      </c>
      <c r="H32" s="883">
        <f t="shared" si="0"/>
        <v>0</v>
      </c>
      <c r="I32" s="890"/>
      <c r="J32" s="891"/>
      <c r="K32" s="892"/>
      <c r="L32" s="886"/>
      <c r="M32" s="858">
        <v>0</v>
      </c>
      <c r="N32" s="1357">
        <f t="shared" si="2"/>
        <v>0</v>
      </c>
      <c r="O32" s="858">
        <v>0</v>
      </c>
      <c r="P32" s="1358">
        <f t="shared" si="3"/>
        <v>0</v>
      </c>
      <c r="Q32" s="887"/>
      <c r="R32" s="887"/>
      <c r="S32" s="887"/>
      <c r="T32" s="887"/>
      <c r="U32" s="887"/>
      <c r="V32" s="887"/>
      <c r="W32" s="887"/>
      <c r="X32" s="887"/>
      <c r="Y32" s="887"/>
      <c r="Z32" s="887"/>
      <c r="AA32" s="887"/>
      <c r="AB32" s="887"/>
      <c r="AC32" s="887"/>
      <c r="AD32" s="887"/>
      <c r="AE32" s="887"/>
      <c r="AF32" s="887"/>
      <c r="AG32" s="887"/>
      <c r="AH32" s="887"/>
      <c r="AI32" s="887"/>
      <c r="AJ32" s="887"/>
      <c r="AK32" s="887"/>
      <c r="AL32" s="887"/>
      <c r="AM32" s="887"/>
      <c r="AN32" s="887"/>
      <c r="AO32" s="887"/>
    </row>
    <row r="33" spans="1:41" s="888" customFormat="1" ht="23.25" customHeight="1">
      <c r="A33" s="882">
        <v>17</v>
      </c>
      <c r="B33" s="856" t="str">
        <f>'TH KẾ TOÁN'!C126</f>
        <v>Vỏ hộp Grandcera Luxury Xanh Vàng (8v)</v>
      </c>
      <c r="C33" s="856" t="str">
        <f>'TH KẾ TOÁN'!B126</f>
        <v>NVLKM04.066</v>
      </c>
      <c r="D33" s="889" t="str">
        <f>'TH KẾ TOÁN'!D126</f>
        <v>Cái</v>
      </c>
      <c r="E33" s="858">
        <v>0</v>
      </c>
      <c r="F33" s="883">
        <f>'[2]TH KẾ TOÁN'!K123</f>
        <v>0</v>
      </c>
      <c r="G33" s="883">
        <f t="shared" si="1"/>
        <v>0</v>
      </c>
      <c r="H33" s="883">
        <f t="shared" si="0"/>
        <v>0</v>
      </c>
      <c r="I33" s="890"/>
      <c r="J33" s="891"/>
      <c r="K33" s="892"/>
      <c r="L33" s="886"/>
      <c r="M33" s="858">
        <v>0</v>
      </c>
      <c r="N33" s="1357">
        <f t="shared" si="2"/>
        <v>0</v>
      </c>
      <c r="O33" s="858">
        <v>0</v>
      </c>
      <c r="P33" s="1358">
        <f t="shared" si="3"/>
        <v>0</v>
      </c>
      <c r="Q33" s="887"/>
      <c r="R33" s="887"/>
      <c r="S33" s="887"/>
      <c r="T33" s="887"/>
      <c r="U33" s="887"/>
      <c r="V33" s="887"/>
      <c r="W33" s="887"/>
      <c r="X33" s="887"/>
      <c r="Y33" s="887"/>
      <c r="Z33" s="887"/>
      <c r="AA33" s="887"/>
      <c r="AB33" s="887"/>
      <c r="AC33" s="887"/>
      <c r="AD33" s="887"/>
      <c r="AE33" s="887"/>
      <c r="AF33" s="887"/>
      <c r="AG33" s="887"/>
      <c r="AH33" s="887"/>
      <c r="AI33" s="887"/>
      <c r="AJ33" s="887"/>
      <c r="AK33" s="887"/>
      <c r="AL33" s="887"/>
      <c r="AM33" s="887"/>
      <c r="AN33" s="887"/>
      <c r="AO33" s="887"/>
    </row>
    <row r="34" spans="1:41" s="888" customFormat="1" ht="23.25" customHeight="1">
      <c r="A34" s="882">
        <v>18</v>
      </c>
      <c r="B34" s="856" t="str">
        <f>'TH KẾ TOÁN'!C127</f>
        <v>Vỏ hộp Sahado xanh dương nhạt (8v)</v>
      </c>
      <c r="C34" s="856" t="str">
        <f>'TH KẾ TOÁN'!B127</f>
        <v>NVLKM04.068</v>
      </c>
      <c r="D34" s="889" t="str">
        <f>'TH KẾ TOÁN'!D127</f>
        <v>Cái</v>
      </c>
      <c r="E34" s="858">
        <v>0</v>
      </c>
      <c r="F34" s="883">
        <f>'[2]TH KẾ TOÁN'!K124</f>
        <v>0</v>
      </c>
      <c r="G34" s="883">
        <f t="shared" ref="G34:G62" si="4">F34-(F34*K34)</f>
        <v>0</v>
      </c>
      <c r="H34" s="883"/>
      <c r="I34" s="890"/>
      <c r="J34" s="891"/>
      <c r="K34" s="892"/>
      <c r="L34" s="886"/>
      <c r="M34" s="858">
        <v>0</v>
      </c>
      <c r="N34" s="1357">
        <f t="shared" si="2"/>
        <v>0</v>
      </c>
      <c r="O34" s="858">
        <v>0</v>
      </c>
      <c r="P34" s="1358">
        <f t="shared" si="3"/>
        <v>0</v>
      </c>
      <c r="Q34" s="887"/>
      <c r="R34" s="887"/>
      <c r="S34" s="887"/>
      <c r="T34" s="887"/>
      <c r="U34" s="887"/>
      <c r="V34" s="887"/>
      <c r="W34" s="887"/>
      <c r="X34" s="887"/>
      <c r="Y34" s="887"/>
      <c r="Z34" s="887"/>
      <c r="AA34" s="887"/>
      <c r="AB34" s="887"/>
      <c r="AC34" s="887"/>
      <c r="AD34" s="887"/>
      <c r="AE34" s="887"/>
      <c r="AF34" s="887"/>
      <c r="AG34" s="887"/>
      <c r="AH34" s="887"/>
      <c r="AI34" s="887"/>
      <c r="AJ34" s="887"/>
      <c r="AK34" s="887"/>
      <c r="AL34" s="887"/>
      <c r="AM34" s="887"/>
      <c r="AN34" s="887"/>
      <c r="AO34" s="887"/>
    </row>
    <row r="35" spans="1:41" s="888" customFormat="1" ht="23.25" customHeight="1">
      <c r="A35" s="882">
        <v>19</v>
      </c>
      <c r="B35" s="856" t="str">
        <f>'TH KẾ TOÁN'!C128</f>
        <v>Vỏ hộp ESP (8v)</v>
      </c>
      <c r="C35" s="856" t="str">
        <f>'TH KẾ TOÁN'!B128</f>
        <v>NVLKM04.069</v>
      </c>
      <c r="D35" s="889" t="str">
        <f>'TH KẾ TOÁN'!D128</f>
        <v>Cái</v>
      </c>
      <c r="E35" s="858">
        <v>5660</v>
      </c>
      <c r="F35" s="883">
        <v>6000</v>
      </c>
      <c r="G35" s="883">
        <f t="shared" si="4"/>
        <v>6000</v>
      </c>
      <c r="H35" s="883"/>
      <c r="I35" s="890"/>
      <c r="J35" s="891"/>
      <c r="K35" s="892"/>
      <c r="L35" s="886"/>
      <c r="M35" s="858">
        <v>5660</v>
      </c>
      <c r="N35" s="1357">
        <f t="shared" si="2"/>
        <v>340</v>
      </c>
      <c r="O35" s="858">
        <v>5660</v>
      </c>
      <c r="P35" s="1358">
        <f t="shared" si="3"/>
        <v>340</v>
      </c>
      <c r="Q35" s="887"/>
      <c r="R35" s="887"/>
      <c r="S35" s="887"/>
      <c r="T35" s="887"/>
      <c r="U35" s="887"/>
      <c r="V35" s="887"/>
      <c r="W35" s="887"/>
      <c r="X35" s="887"/>
      <c r="Y35" s="887"/>
      <c r="Z35" s="887"/>
      <c r="AA35" s="887"/>
      <c r="AB35" s="887"/>
      <c r="AC35" s="887"/>
      <c r="AD35" s="887"/>
      <c r="AE35" s="887"/>
      <c r="AF35" s="887"/>
      <c r="AG35" s="887"/>
      <c r="AH35" s="887"/>
      <c r="AI35" s="887"/>
      <c r="AJ35" s="887"/>
      <c r="AK35" s="887"/>
      <c r="AL35" s="887"/>
      <c r="AM35" s="887"/>
      <c r="AN35" s="887"/>
      <c r="AO35" s="887"/>
    </row>
    <row r="36" spans="1:41" s="888" customFormat="1" ht="23.25" customHeight="1">
      <c r="A36" s="882">
        <v>20</v>
      </c>
      <c r="B36" s="856" t="str">
        <f>'TH KẾ TOÁN'!C129</f>
        <v>Vỏ hộp Crown (8v)</v>
      </c>
      <c r="C36" s="856" t="str">
        <f>'TH KẾ TOÁN'!B129</f>
        <v>NVLKM04.070</v>
      </c>
      <c r="D36" s="889" t="str">
        <f>'TH KẾ TOÁN'!D129</f>
        <v>Cái</v>
      </c>
      <c r="E36" s="858">
        <v>0</v>
      </c>
      <c r="F36" s="883">
        <f>'[2]TH KẾ TOÁN'!K126</f>
        <v>0</v>
      </c>
      <c r="G36" s="883">
        <f t="shared" si="4"/>
        <v>0</v>
      </c>
      <c r="H36" s="883"/>
      <c r="I36" s="890"/>
      <c r="J36" s="891"/>
      <c r="K36" s="892"/>
      <c r="L36" s="886"/>
      <c r="M36" s="858">
        <v>0</v>
      </c>
      <c r="N36" s="1357">
        <f t="shared" si="2"/>
        <v>0</v>
      </c>
      <c r="O36" s="858">
        <v>0</v>
      </c>
      <c r="P36" s="1358">
        <f t="shared" si="3"/>
        <v>0</v>
      </c>
      <c r="Q36" s="887"/>
      <c r="R36" s="887"/>
      <c r="S36" s="887"/>
      <c r="T36" s="887"/>
      <c r="U36" s="887"/>
      <c r="V36" s="887"/>
      <c r="W36" s="887"/>
      <c r="X36" s="887"/>
      <c r="Y36" s="887"/>
      <c r="Z36" s="887"/>
      <c r="AA36" s="887"/>
      <c r="AB36" s="887"/>
      <c r="AC36" s="887"/>
      <c r="AD36" s="887"/>
      <c r="AE36" s="887"/>
      <c r="AF36" s="887"/>
      <c r="AG36" s="887"/>
      <c r="AH36" s="887"/>
      <c r="AI36" s="887"/>
      <c r="AJ36" s="887"/>
      <c r="AK36" s="887"/>
      <c r="AL36" s="887"/>
      <c r="AM36" s="887"/>
      <c r="AN36" s="887"/>
      <c r="AO36" s="887"/>
    </row>
    <row r="37" spans="1:41" s="888" customFormat="1" ht="23.25" customHeight="1">
      <c r="A37" s="882">
        <v>21</v>
      </c>
      <c r="B37" s="856" t="str">
        <f>'TH KẾ TOÁN'!C130</f>
        <v>Vỏ thùng gạch phế 500*500</v>
      </c>
      <c r="C37" s="856" t="str">
        <f>'TH KẾ TOÁN'!B130</f>
        <v>NVLKM04.071</v>
      </c>
      <c r="D37" s="889" t="str">
        <f>'TH KẾ TOÁN'!D130</f>
        <v>Cái</v>
      </c>
      <c r="E37" s="858">
        <v>5600</v>
      </c>
      <c r="F37" s="883">
        <f>'[2]TH KẾ TOÁN'!K127</f>
        <v>5600</v>
      </c>
      <c r="G37" s="883">
        <f t="shared" si="4"/>
        <v>5600</v>
      </c>
      <c r="H37" s="883"/>
      <c r="I37" s="890"/>
      <c r="J37" s="891"/>
      <c r="K37" s="892"/>
      <c r="L37" s="886"/>
      <c r="M37" s="858">
        <v>5600</v>
      </c>
      <c r="N37" s="1357">
        <f t="shared" si="2"/>
        <v>0</v>
      </c>
      <c r="O37" s="858">
        <v>5600</v>
      </c>
      <c r="P37" s="1358">
        <f t="shared" si="3"/>
        <v>0</v>
      </c>
      <c r="Q37" s="887"/>
      <c r="R37" s="887"/>
      <c r="S37" s="887"/>
      <c r="T37" s="887"/>
      <c r="U37" s="887"/>
      <c r="V37" s="887"/>
      <c r="W37" s="887"/>
      <c r="X37" s="887"/>
      <c r="Y37" s="887"/>
      <c r="Z37" s="887"/>
      <c r="AA37" s="887"/>
      <c r="AB37" s="887"/>
      <c r="AC37" s="887"/>
      <c r="AD37" s="887"/>
      <c r="AE37" s="887"/>
      <c r="AF37" s="887"/>
      <c r="AG37" s="887"/>
      <c r="AH37" s="887"/>
      <c r="AI37" s="887"/>
      <c r="AJ37" s="887"/>
      <c r="AK37" s="887"/>
      <c r="AL37" s="887"/>
      <c r="AM37" s="887"/>
      <c r="AN37" s="887"/>
      <c r="AO37" s="887"/>
    </row>
    <row r="38" spans="1:41" s="888" customFormat="1" ht="23.25" customHeight="1">
      <c r="A38" s="882">
        <v>22</v>
      </c>
      <c r="B38" s="856" t="str">
        <f>'TH KẾ TOÁN'!C131</f>
        <v>Vỏ thùng gạch phế 400*600</v>
      </c>
      <c r="C38" s="856" t="str">
        <f>'TH KẾ TOÁN'!B131</f>
        <v>NVLKM04.072</v>
      </c>
      <c r="D38" s="889" t="str">
        <f>'TH KẾ TOÁN'!D131</f>
        <v>Cái</v>
      </c>
      <c r="E38" s="858">
        <v>9080</v>
      </c>
      <c r="F38" s="883">
        <f>'[2]TH KẾ TOÁN'!K128</f>
        <v>9080</v>
      </c>
      <c r="G38" s="883">
        <f t="shared" si="4"/>
        <v>9080</v>
      </c>
      <c r="H38" s="883"/>
      <c r="I38" s="890"/>
      <c r="J38" s="891"/>
      <c r="K38" s="892"/>
      <c r="L38" s="886"/>
      <c r="M38" s="858">
        <v>9080</v>
      </c>
      <c r="N38" s="1357">
        <f t="shared" si="2"/>
        <v>0</v>
      </c>
      <c r="O38" s="858">
        <v>9080</v>
      </c>
      <c r="P38" s="1358">
        <f t="shared" si="3"/>
        <v>0</v>
      </c>
      <c r="Q38" s="887"/>
      <c r="R38" s="887"/>
      <c r="S38" s="887"/>
      <c r="T38" s="887"/>
      <c r="U38" s="887"/>
      <c r="V38" s="887"/>
      <c r="W38" s="887"/>
      <c r="X38" s="887"/>
      <c r="Y38" s="887"/>
      <c r="Z38" s="887"/>
      <c r="AA38" s="887"/>
      <c r="AB38" s="887"/>
      <c r="AC38" s="887"/>
      <c r="AD38" s="887"/>
      <c r="AE38" s="887"/>
      <c r="AF38" s="887"/>
      <c r="AG38" s="887"/>
      <c r="AH38" s="887"/>
      <c r="AI38" s="887"/>
      <c r="AJ38" s="887"/>
      <c r="AK38" s="887"/>
      <c r="AL38" s="887"/>
      <c r="AM38" s="887"/>
      <c r="AN38" s="887"/>
      <c r="AO38" s="887"/>
    </row>
    <row r="39" spans="1:41" s="888" customFormat="1" ht="23.25" customHeight="1">
      <c r="A39" s="882">
        <v>23</v>
      </c>
      <c r="B39" s="856" t="str">
        <f>'TH KẾ TOÁN'!C132</f>
        <v>Vỏ hộp màu xanh tím 50x50 (6v)</v>
      </c>
      <c r="C39" s="856" t="str">
        <f>'TH KẾ TOÁN'!B132</f>
        <v>NVLKM04.073</v>
      </c>
      <c r="D39" s="889" t="str">
        <f>'TH KẾ TOÁN'!D132</f>
        <v>Cái</v>
      </c>
      <c r="E39" s="858">
        <v>0</v>
      </c>
      <c r="F39" s="883">
        <f>'[2]TH KẾ TOÁN'!K129</f>
        <v>0</v>
      </c>
      <c r="G39" s="883">
        <f t="shared" si="4"/>
        <v>0</v>
      </c>
      <c r="H39" s="883"/>
      <c r="I39" s="890"/>
      <c r="J39" s="891"/>
      <c r="K39" s="892"/>
      <c r="L39" s="886"/>
      <c r="M39" s="858">
        <v>0</v>
      </c>
      <c r="N39" s="1357">
        <f t="shared" si="2"/>
        <v>0</v>
      </c>
      <c r="O39" s="858">
        <v>0</v>
      </c>
      <c r="P39" s="1358">
        <f t="shared" si="3"/>
        <v>0</v>
      </c>
      <c r="Q39" s="887"/>
      <c r="R39" s="887"/>
      <c r="S39" s="887"/>
      <c r="T39" s="887"/>
      <c r="U39" s="887"/>
      <c r="V39" s="887"/>
      <c r="W39" s="887"/>
      <c r="X39" s="887"/>
      <c r="Y39" s="887"/>
      <c r="Z39" s="887"/>
      <c r="AA39" s="887"/>
      <c r="AB39" s="887"/>
      <c r="AC39" s="887"/>
      <c r="AD39" s="887"/>
      <c r="AE39" s="887"/>
      <c r="AF39" s="887"/>
      <c r="AG39" s="887"/>
      <c r="AH39" s="887"/>
      <c r="AI39" s="887"/>
      <c r="AJ39" s="887"/>
      <c r="AK39" s="887"/>
      <c r="AL39" s="887"/>
      <c r="AM39" s="887"/>
      <c r="AN39" s="887"/>
      <c r="AO39" s="887"/>
    </row>
    <row r="40" spans="1:41" s="888" customFormat="1" ht="23.25" customHeight="1">
      <c r="A40" s="882">
        <v>24</v>
      </c>
      <c r="B40" s="856" t="str">
        <f>'TH KẾ TOÁN'!C133</f>
        <v>Vỏ hộp Luxury 50x50 (6v)</v>
      </c>
      <c r="C40" s="856" t="str">
        <f>'TH KẾ TOÁN'!B133</f>
        <v>NVLKM04.074</v>
      </c>
      <c r="D40" s="889" t="str">
        <f>'TH KẾ TOÁN'!D133</f>
        <v>Cái</v>
      </c>
      <c r="E40" s="858">
        <v>0</v>
      </c>
      <c r="F40" s="883">
        <f>'[2]TH KẾ TOÁN'!K130</f>
        <v>0</v>
      </c>
      <c r="G40" s="883">
        <f t="shared" si="4"/>
        <v>0</v>
      </c>
      <c r="H40" s="883"/>
      <c r="I40" s="890"/>
      <c r="J40" s="891"/>
      <c r="K40" s="892"/>
      <c r="L40" s="886"/>
      <c r="M40" s="858">
        <v>0</v>
      </c>
      <c r="N40" s="1357">
        <f t="shared" si="2"/>
        <v>0</v>
      </c>
      <c r="O40" s="858">
        <v>0</v>
      </c>
      <c r="P40" s="1358">
        <f t="shared" si="3"/>
        <v>0</v>
      </c>
      <c r="Q40" s="887"/>
      <c r="R40" s="887"/>
      <c r="S40" s="887"/>
      <c r="T40" s="887"/>
      <c r="U40" s="887"/>
      <c r="V40" s="887"/>
      <c r="W40" s="887"/>
      <c r="X40" s="887"/>
      <c r="Y40" s="887"/>
      <c r="Z40" s="887"/>
      <c r="AA40" s="887"/>
      <c r="AB40" s="887"/>
      <c r="AC40" s="887"/>
      <c r="AD40" s="887"/>
      <c r="AE40" s="887"/>
      <c r="AF40" s="887"/>
      <c r="AG40" s="887"/>
      <c r="AH40" s="887"/>
      <c r="AI40" s="887"/>
      <c r="AJ40" s="887"/>
      <c r="AK40" s="887"/>
      <c r="AL40" s="887"/>
      <c r="AM40" s="887"/>
      <c r="AN40" s="887"/>
      <c r="AO40" s="887"/>
    </row>
    <row r="41" spans="1:41" s="888" customFormat="1" ht="23.25" customHeight="1">
      <c r="A41" s="882">
        <v>25</v>
      </c>
      <c r="B41" s="856" t="str">
        <f>'TH KẾ TOÁN'!C134</f>
        <v>Vỏ hộp Havira 30x60 (8v)</v>
      </c>
      <c r="C41" s="856" t="str">
        <f>'TH KẾ TOÁN'!B134</f>
        <v>NVLKM04.075</v>
      </c>
      <c r="D41" s="889" t="str">
        <f>'TH KẾ TOÁN'!D134</f>
        <v>Cái</v>
      </c>
      <c r="E41" s="858">
        <v>1985</v>
      </c>
      <c r="F41" s="883">
        <v>2500</v>
      </c>
      <c r="G41" s="883">
        <f t="shared" si="4"/>
        <v>2500</v>
      </c>
      <c r="H41" s="883"/>
      <c r="I41" s="890"/>
      <c r="J41" s="891"/>
      <c r="K41" s="892"/>
      <c r="L41" s="886"/>
      <c r="M41" s="858">
        <v>1985</v>
      </c>
      <c r="N41" s="1357">
        <f t="shared" si="2"/>
        <v>515</v>
      </c>
      <c r="O41" s="858">
        <v>1985</v>
      </c>
      <c r="P41" s="1358">
        <f t="shared" si="3"/>
        <v>515</v>
      </c>
      <c r="Q41" s="887"/>
      <c r="R41" s="887"/>
      <c r="S41" s="887"/>
      <c r="T41" s="887"/>
      <c r="U41" s="887"/>
      <c r="V41" s="887"/>
      <c r="W41" s="887"/>
      <c r="X41" s="887"/>
      <c r="Y41" s="887"/>
      <c r="Z41" s="887"/>
      <c r="AA41" s="887"/>
      <c r="AB41" s="887"/>
      <c r="AC41" s="887"/>
      <c r="AD41" s="887"/>
      <c r="AE41" s="887"/>
      <c r="AF41" s="887"/>
      <c r="AG41" s="887"/>
      <c r="AH41" s="887"/>
      <c r="AI41" s="887"/>
      <c r="AJ41" s="887"/>
      <c r="AK41" s="887"/>
      <c r="AL41" s="887"/>
      <c r="AM41" s="887"/>
      <c r="AN41" s="887"/>
      <c r="AO41" s="887"/>
    </row>
    <row r="42" spans="1:41" s="888" customFormat="1" ht="23.25" customHeight="1">
      <c r="A42" s="882">
        <v>26</v>
      </c>
      <c r="B42" s="856" t="str">
        <f>'TH KẾ TOÁN'!C135</f>
        <v>Vỏ hộp Crown 50x50 (6v)</v>
      </c>
      <c r="C42" s="856" t="str">
        <f>'TH KẾ TOÁN'!B135</f>
        <v>NVLKM04.076</v>
      </c>
      <c r="D42" s="889" t="str">
        <f>'TH KẾ TOÁN'!D135</f>
        <v>Cái</v>
      </c>
      <c r="E42" s="858">
        <v>0</v>
      </c>
      <c r="F42" s="883">
        <f>'[2]TH KẾ TOÁN'!K132</f>
        <v>0</v>
      </c>
      <c r="G42" s="883">
        <f t="shared" si="4"/>
        <v>0</v>
      </c>
      <c r="H42" s="883"/>
      <c r="I42" s="890"/>
      <c r="J42" s="891"/>
      <c r="K42" s="892"/>
      <c r="L42" s="886"/>
      <c r="M42" s="858">
        <v>0</v>
      </c>
      <c r="N42" s="1357">
        <f t="shared" si="2"/>
        <v>0</v>
      </c>
      <c r="O42" s="858">
        <v>0</v>
      </c>
      <c r="P42" s="1358">
        <f t="shared" si="3"/>
        <v>0</v>
      </c>
      <c r="Q42" s="887"/>
      <c r="R42" s="887"/>
      <c r="S42" s="887"/>
      <c r="T42" s="887"/>
      <c r="U42" s="887"/>
      <c r="V42" s="887"/>
      <c r="W42" s="887"/>
      <c r="X42" s="887"/>
      <c r="Y42" s="887"/>
      <c r="Z42" s="887"/>
      <c r="AA42" s="887"/>
      <c r="AB42" s="887"/>
      <c r="AC42" s="887"/>
      <c r="AD42" s="887"/>
      <c r="AE42" s="887"/>
      <c r="AF42" s="887"/>
      <c r="AG42" s="887"/>
      <c r="AH42" s="887"/>
      <c r="AI42" s="887"/>
      <c r="AJ42" s="887"/>
      <c r="AK42" s="887"/>
      <c r="AL42" s="887"/>
      <c r="AM42" s="887"/>
      <c r="AN42" s="887"/>
      <c r="AO42" s="887"/>
    </row>
    <row r="43" spans="1:41" s="888" customFormat="1" ht="23.25" customHeight="1">
      <c r="A43" s="882">
        <v>27</v>
      </c>
      <c r="B43" s="856" t="str">
        <f>'TH KẾ TOÁN'!C136</f>
        <v>Vỏ hộp Havira 50x50 (6v)</v>
      </c>
      <c r="C43" s="856" t="str">
        <f>'TH KẾ TOÁN'!B136</f>
        <v>NVLKM04.077</v>
      </c>
      <c r="D43" s="889" t="str">
        <f>'TH KẾ TOÁN'!D136</f>
        <v>Cái</v>
      </c>
      <c r="E43" s="858">
        <v>0</v>
      </c>
      <c r="F43" s="883">
        <f>'[2]TH KẾ TOÁN'!K133</f>
        <v>0</v>
      </c>
      <c r="G43" s="883">
        <f t="shared" si="4"/>
        <v>0</v>
      </c>
      <c r="H43" s="883"/>
      <c r="I43" s="890"/>
      <c r="J43" s="891"/>
      <c r="K43" s="892"/>
      <c r="L43" s="886"/>
      <c r="M43" s="858">
        <v>0</v>
      </c>
      <c r="N43" s="1357">
        <f t="shared" si="2"/>
        <v>0</v>
      </c>
      <c r="O43" s="858">
        <v>0</v>
      </c>
      <c r="P43" s="1358">
        <f t="shared" si="3"/>
        <v>0</v>
      </c>
      <c r="Q43" s="887"/>
      <c r="R43" s="887"/>
      <c r="S43" s="887"/>
      <c r="T43" s="887"/>
      <c r="U43" s="887"/>
      <c r="V43" s="887"/>
      <c r="W43" s="887"/>
      <c r="X43" s="887"/>
      <c r="Y43" s="887"/>
      <c r="Z43" s="887"/>
      <c r="AA43" s="887"/>
      <c r="AB43" s="887"/>
      <c r="AC43" s="887"/>
      <c r="AD43" s="887"/>
      <c r="AE43" s="887"/>
      <c r="AF43" s="887"/>
      <c r="AG43" s="887"/>
      <c r="AH43" s="887"/>
      <c r="AI43" s="887"/>
      <c r="AJ43" s="887"/>
      <c r="AK43" s="887"/>
      <c r="AL43" s="887"/>
      <c r="AM43" s="887"/>
      <c r="AN43" s="887"/>
      <c r="AO43" s="887"/>
    </row>
    <row r="44" spans="1:41" s="888" customFormat="1" ht="23.25" customHeight="1">
      <c r="A44" s="882">
        <v>28</v>
      </c>
      <c r="B44" s="856" t="str">
        <f>'TH KẾ TOÁN'!C137</f>
        <v>Vỏ hộp Luxury 40x80 (4v)</v>
      </c>
      <c r="C44" s="856" t="str">
        <f>'TH KẾ TOÁN'!B137</f>
        <v>NVLKM04.078</v>
      </c>
      <c r="D44" s="889" t="str">
        <f>'TH KẾ TOÁN'!D137</f>
        <v>Cái</v>
      </c>
      <c r="E44" s="858">
        <v>9070</v>
      </c>
      <c r="F44" s="883">
        <v>9070</v>
      </c>
      <c r="G44" s="883">
        <f t="shared" si="4"/>
        <v>9070</v>
      </c>
      <c r="H44" s="883"/>
      <c r="I44" s="890"/>
      <c r="J44" s="891"/>
      <c r="K44" s="892"/>
      <c r="L44" s="886"/>
      <c r="M44" s="858">
        <v>9070</v>
      </c>
      <c r="N44" s="1357">
        <f t="shared" si="2"/>
        <v>0</v>
      </c>
      <c r="O44" s="858">
        <v>9070</v>
      </c>
      <c r="P44" s="1358">
        <f t="shared" si="3"/>
        <v>0</v>
      </c>
      <c r="Q44" s="887"/>
      <c r="R44" s="887"/>
      <c r="S44" s="887"/>
      <c r="T44" s="887"/>
      <c r="U44" s="887"/>
      <c r="V44" s="887"/>
      <c r="W44" s="887"/>
      <c r="X44" s="887"/>
      <c r="Y44" s="887"/>
      <c r="Z44" s="887"/>
      <c r="AA44" s="887"/>
      <c r="AB44" s="887"/>
      <c r="AC44" s="887"/>
      <c r="AD44" s="887"/>
      <c r="AE44" s="887"/>
      <c r="AF44" s="887"/>
      <c r="AG44" s="887"/>
      <c r="AH44" s="887"/>
      <c r="AI44" s="887"/>
      <c r="AJ44" s="887"/>
      <c r="AK44" s="887"/>
      <c r="AL44" s="887"/>
      <c r="AM44" s="887"/>
      <c r="AN44" s="887"/>
      <c r="AO44" s="887"/>
    </row>
    <row r="45" spans="1:41" s="888" customFormat="1" ht="23.25" customHeight="1">
      <c r="A45" s="882">
        <v>29</v>
      </c>
      <c r="B45" s="856" t="str">
        <f>'TH KẾ TOÁN'!C138</f>
        <v>Ke góc nhựa 40x80</v>
      </c>
      <c r="C45" s="856" t="str">
        <f>'TH KẾ TOÁN'!B138</f>
        <v>NVLKM04.079</v>
      </c>
      <c r="D45" s="889" t="str">
        <f>'TH KẾ TOÁN'!D138</f>
        <v>kg</v>
      </c>
      <c r="E45" s="858">
        <v>215</v>
      </c>
      <c r="F45" s="883">
        <f>'[2]TH KẾ TOÁN'!K135</f>
        <v>215</v>
      </c>
      <c r="G45" s="883">
        <f t="shared" si="4"/>
        <v>215</v>
      </c>
      <c r="H45" s="883"/>
      <c r="I45" s="890"/>
      <c r="J45" s="891"/>
      <c r="K45" s="892"/>
      <c r="L45" s="886"/>
      <c r="M45" s="858">
        <v>215</v>
      </c>
      <c r="N45" s="1357">
        <f t="shared" si="2"/>
        <v>0</v>
      </c>
      <c r="O45" s="858">
        <v>215</v>
      </c>
      <c r="P45" s="1358">
        <f t="shared" si="3"/>
        <v>0</v>
      </c>
      <c r="Q45" s="887"/>
      <c r="R45" s="887"/>
      <c r="S45" s="887"/>
      <c r="T45" s="887"/>
      <c r="U45" s="887"/>
      <c r="V45" s="887"/>
      <c r="W45" s="887"/>
      <c r="X45" s="887"/>
      <c r="Y45" s="887"/>
      <c r="Z45" s="887"/>
      <c r="AA45" s="887"/>
      <c r="AB45" s="887"/>
      <c r="AC45" s="887"/>
      <c r="AD45" s="887"/>
      <c r="AE45" s="887"/>
      <c r="AF45" s="887"/>
      <c r="AG45" s="887"/>
      <c r="AH45" s="887"/>
      <c r="AI45" s="887"/>
      <c r="AJ45" s="887"/>
      <c r="AK45" s="887"/>
      <c r="AL45" s="887"/>
      <c r="AM45" s="887"/>
      <c r="AN45" s="887"/>
      <c r="AO45" s="887"/>
    </row>
    <row r="46" spans="1:41" s="888" customFormat="1" ht="23.25" customHeight="1">
      <c r="A46" s="882">
        <v>30</v>
      </c>
      <c r="B46" s="856" t="str">
        <f>'TH KẾ TOÁN'!C139</f>
        <v>Thanh nẹp góc gỗ 40x80</v>
      </c>
      <c r="C46" s="856" t="str">
        <f>'TH KẾ TOÁN'!B139</f>
        <v>NVLKM04.080</v>
      </c>
      <c r="D46" s="889" t="str">
        <f>'TH KẾ TOÁN'!D139</f>
        <v>Cái</v>
      </c>
      <c r="E46" s="858">
        <v>0</v>
      </c>
      <c r="F46" s="883">
        <v>320</v>
      </c>
      <c r="G46" s="883">
        <f t="shared" si="4"/>
        <v>320</v>
      </c>
      <c r="H46" s="883"/>
      <c r="I46" s="890"/>
      <c r="J46" s="891"/>
      <c r="K46" s="892"/>
      <c r="L46" s="886"/>
      <c r="M46" s="858">
        <v>0</v>
      </c>
      <c r="N46" s="1357">
        <f t="shared" si="2"/>
        <v>320</v>
      </c>
      <c r="O46" s="858">
        <v>0</v>
      </c>
      <c r="P46" s="1358">
        <f>G46-O46</f>
        <v>320</v>
      </c>
      <c r="Q46" s="887"/>
      <c r="R46" s="887"/>
      <c r="S46" s="887"/>
      <c r="T46" s="887"/>
      <c r="U46" s="887"/>
      <c r="V46" s="887"/>
      <c r="W46" s="887"/>
      <c r="X46" s="887"/>
      <c r="Y46" s="887"/>
      <c r="Z46" s="887"/>
      <c r="AA46" s="887"/>
      <c r="AB46" s="887"/>
      <c r="AC46" s="887"/>
      <c r="AD46" s="887"/>
      <c r="AE46" s="887"/>
      <c r="AF46" s="887"/>
      <c r="AG46" s="887"/>
      <c r="AH46" s="887"/>
      <c r="AI46" s="887"/>
      <c r="AJ46" s="887"/>
      <c r="AK46" s="887"/>
      <c r="AL46" s="887"/>
      <c r="AM46" s="887"/>
      <c r="AN46" s="887"/>
      <c r="AO46" s="887"/>
    </row>
    <row r="47" spans="1:41" s="888" customFormat="1" ht="23.25" customHeight="1">
      <c r="A47" s="882">
        <v>31</v>
      </c>
      <c r="B47" s="856" t="str">
        <f>'TH KẾ TOÁN'!C140</f>
        <v>Vỏ thùng gạch phế 40x80</v>
      </c>
      <c r="C47" s="856" t="str">
        <f>'TH KẾ TOÁN'!B140</f>
        <v>NVLKM04.081</v>
      </c>
      <c r="D47" s="889" t="str">
        <f>'TH KẾ TOÁN'!D140</f>
        <v>Cái</v>
      </c>
      <c r="E47" s="858">
        <v>10140</v>
      </c>
      <c r="F47" s="883">
        <v>11000</v>
      </c>
      <c r="G47" s="883">
        <f t="shared" si="4"/>
        <v>11000</v>
      </c>
      <c r="H47" s="883"/>
      <c r="I47" s="890"/>
      <c r="J47" s="891"/>
      <c r="K47" s="892"/>
      <c r="L47" s="886"/>
      <c r="M47" s="858">
        <v>10140</v>
      </c>
      <c r="N47" s="1357">
        <f t="shared" si="2"/>
        <v>860</v>
      </c>
      <c r="O47" s="858">
        <v>10140</v>
      </c>
      <c r="P47" s="1358">
        <f>G47-O47</f>
        <v>860</v>
      </c>
      <c r="Q47" s="887"/>
      <c r="R47" s="887"/>
      <c r="S47" s="887"/>
      <c r="T47" s="887"/>
      <c r="U47" s="887"/>
      <c r="V47" s="887"/>
      <c r="W47" s="887"/>
      <c r="X47" s="887"/>
      <c r="Y47" s="887"/>
      <c r="Z47" s="887"/>
      <c r="AA47" s="887"/>
      <c r="AB47" s="887"/>
      <c r="AC47" s="887"/>
      <c r="AD47" s="887"/>
      <c r="AE47" s="887"/>
      <c r="AF47" s="887"/>
      <c r="AG47" s="887"/>
      <c r="AH47" s="887"/>
      <c r="AI47" s="887"/>
      <c r="AJ47" s="887"/>
      <c r="AK47" s="887"/>
      <c r="AL47" s="887"/>
      <c r="AM47" s="887"/>
      <c r="AN47" s="887"/>
      <c r="AO47" s="887"/>
    </row>
    <row r="48" spans="1:41" s="888" customFormat="1" ht="23.25" customHeight="1">
      <c r="A48" s="882">
        <v>32</v>
      </c>
      <c r="B48" s="856" t="str">
        <f>'TH KẾ TOÁN'!C141</f>
        <v>Vỏ hộp Sahado 40x80 (4v)</v>
      </c>
      <c r="C48" s="856" t="str">
        <f>'TH KẾ TOÁN'!B141</f>
        <v>NVLKM04.082</v>
      </c>
      <c r="D48" s="889" t="str">
        <f>'TH KẾ TOÁN'!D141</f>
        <v>Cái</v>
      </c>
      <c r="E48" s="858">
        <v>2105</v>
      </c>
      <c r="F48" s="883">
        <f>'[2]TH KẾ TOÁN'!K138</f>
        <v>2105</v>
      </c>
      <c r="G48" s="883">
        <f>F48-(F48*K48)</f>
        <v>2105</v>
      </c>
      <c r="H48" s="883"/>
      <c r="I48" s="890"/>
      <c r="J48" s="891"/>
      <c r="K48" s="892"/>
      <c r="L48" s="886"/>
      <c r="M48" s="858">
        <v>2105</v>
      </c>
      <c r="N48" s="1357">
        <f t="shared" si="2"/>
        <v>0</v>
      </c>
      <c r="O48" s="858">
        <v>2105</v>
      </c>
      <c r="P48" s="1358">
        <f t="shared" si="3"/>
        <v>0</v>
      </c>
      <c r="Q48" s="887"/>
      <c r="R48" s="887"/>
      <c r="S48" s="887"/>
      <c r="T48" s="887"/>
      <c r="U48" s="887"/>
      <c r="V48" s="887"/>
      <c r="W48" s="887"/>
      <c r="X48" s="887"/>
      <c r="Y48" s="887"/>
      <c r="Z48" s="887"/>
      <c r="AA48" s="887"/>
      <c r="AB48" s="887"/>
      <c r="AC48" s="887"/>
      <c r="AD48" s="887"/>
      <c r="AE48" s="887"/>
      <c r="AF48" s="887"/>
      <c r="AG48" s="887"/>
      <c r="AH48" s="887"/>
      <c r="AI48" s="887"/>
      <c r="AJ48" s="887"/>
      <c r="AK48" s="887"/>
      <c r="AL48" s="887"/>
      <c r="AM48" s="887"/>
      <c r="AN48" s="887"/>
      <c r="AO48" s="887"/>
    </row>
    <row r="49" spans="1:41" s="888" customFormat="1" ht="23.25" customHeight="1">
      <c r="A49" s="882">
        <v>33</v>
      </c>
      <c r="B49" s="856" t="str">
        <f>'TH KẾ TOÁN'!C142</f>
        <v>Vỏ hộp Crown 40x80 (4v)</v>
      </c>
      <c r="C49" s="856" t="str">
        <f>'TH KẾ TOÁN'!B142</f>
        <v>NVLKM04.083</v>
      </c>
      <c r="D49" s="889" t="str">
        <f>'TH KẾ TOÁN'!D142</f>
        <v>Cái</v>
      </c>
      <c r="E49" s="858">
        <v>4642</v>
      </c>
      <c r="F49" s="883">
        <v>4642</v>
      </c>
      <c r="G49" s="883">
        <f t="shared" si="4"/>
        <v>4642</v>
      </c>
      <c r="H49" s="883"/>
      <c r="I49" s="890"/>
      <c r="J49" s="891"/>
      <c r="K49" s="892"/>
      <c r="L49" s="886"/>
      <c r="M49" s="858">
        <v>4642</v>
      </c>
      <c r="N49" s="1357">
        <f t="shared" si="2"/>
        <v>0</v>
      </c>
      <c r="O49" s="858">
        <v>4642</v>
      </c>
      <c r="P49" s="1358">
        <f t="shared" si="3"/>
        <v>0</v>
      </c>
      <c r="Q49" s="887"/>
      <c r="R49" s="887"/>
      <c r="S49" s="887"/>
      <c r="T49" s="887"/>
      <c r="U49" s="887"/>
      <c r="V49" s="887"/>
      <c r="W49" s="887"/>
      <c r="X49" s="887"/>
      <c r="Y49" s="887"/>
      <c r="Z49" s="887"/>
      <c r="AA49" s="887"/>
      <c r="AB49" s="887"/>
      <c r="AC49" s="887"/>
      <c r="AD49" s="887"/>
      <c r="AE49" s="887"/>
      <c r="AF49" s="887"/>
      <c r="AG49" s="887"/>
      <c r="AH49" s="887"/>
      <c r="AI49" s="887"/>
      <c r="AJ49" s="887"/>
      <c r="AK49" s="887"/>
      <c r="AL49" s="887"/>
      <c r="AM49" s="887"/>
      <c r="AN49" s="887"/>
      <c r="AO49" s="887"/>
    </row>
    <row r="50" spans="1:41" s="888" customFormat="1" ht="23.25" customHeight="1">
      <c r="A50" s="882">
        <v>34</v>
      </c>
      <c r="B50" s="856" t="str">
        <f>'TH KẾ TOÁN'!C143</f>
        <v>Vỏ hộp Green Era (8v)</v>
      </c>
      <c r="C50" s="856" t="str">
        <f>'TH KẾ TOÁN'!B143</f>
        <v>NVLKM04.084</v>
      </c>
      <c r="D50" s="889" t="str">
        <f>'TH KẾ TOÁN'!D143</f>
        <v>Cái</v>
      </c>
      <c r="E50" s="858">
        <v>0</v>
      </c>
      <c r="F50" s="883">
        <f>'[2]TH KẾ TOÁN'!K140</f>
        <v>0</v>
      </c>
      <c r="G50" s="883">
        <f t="shared" si="4"/>
        <v>0</v>
      </c>
      <c r="H50" s="883"/>
      <c r="I50" s="890"/>
      <c r="J50" s="891"/>
      <c r="K50" s="892"/>
      <c r="L50" s="886"/>
      <c r="M50" s="858">
        <v>0</v>
      </c>
      <c r="N50" s="1357">
        <f t="shared" si="2"/>
        <v>0</v>
      </c>
      <c r="O50" s="858">
        <v>0</v>
      </c>
      <c r="P50" s="1358">
        <f t="shared" si="3"/>
        <v>0</v>
      </c>
      <c r="Q50" s="887"/>
      <c r="R50" s="887"/>
      <c r="S50" s="887"/>
      <c r="T50" s="887"/>
      <c r="U50" s="887"/>
      <c r="V50" s="887"/>
      <c r="W50" s="887"/>
      <c r="X50" s="887"/>
      <c r="Y50" s="887"/>
      <c r="Z50" s="887"/>
      <c r="AA50" s="887"/>
      <c r="AB50" s="887"/>
      <c r="AC50" s="887"/>
      <c r="AD50" s="887"/>
      <c r="AE50" s="887"/>
      <c r="AF50" s="887"/>
      <c r="AG50" s="887"/>
      <c r="AH50" s="887"/>
      <c r="AI50" s="887"/>
      <c r="AJ50" s="887"/>
      <c r="AK50" s="887"/>
      <c r="AL50" s="887"/>
      <c r="AM50" s="887"/>
      <c r="AN50" s="887"/>
      <c r="AO50" s="887"/>
    </row>
    <row r="51" spans="1:41" s="888" customFormat="1" ht="23.25" customHeight="1">
      <c r="A51" s="882">
        <v>35</v>
      </c>
      <c r="B51" s="856" t="str">
        <f>'TH KẾ TOÁN'!C144</f>
        <v>Vỏ hộp Espana 50x50 (6v)</v>
      </c>
      <c r="C51" s="856" t="str">
        <f>'TH KẾ TOÁN'!B144</f>
        <v>NVLKM04.085</v>
      </c>
      <c r="D51" s="889" t="str">
        <f>'TH KẾ TOÁN'!D144</f>
        <v>Cái</v>
      </c>
      <c r="E51" s="858">
        <v>1040</v>
      </c>
      <c r="F51" s="883">
        <f>'[2]TH KẾ TOÁN'!K141</f>
        <v>1040</v>
      </c>
      <c r="G51" s="883">
        <f t="shared" si="4"/>
        <v>1040</v>
      </c>
      <c r="H51" s="883"/>
      <c r="I51" s="890"/>
      <c r="J51" s="891"/>
      <c r="K51" s="892"/>
      <c r="L51" s="886"/>
      <c r="M51" s="858">
        <v>1040</v>
      </c>
      <c r="N51" s="1357">
        <f t="shared" si="2"/>
        <v>0</v>
      </c>
      <c r="O51" s="858">
        <v>1040</v>
      </c>
      <c r="P51" s="1358">
        <f t="shared" si="3"/>
        <v>0</v>
      </c>
      <c r="Q51" s="887"/>
      <c r="R51" s="887"/>
      <c r="S51" s="887"/>
      <c r="T51" s="887"/>
      <c r="U51" s="887"/>
      <c r="V51" s="887"/>
      <c r="W51" s="887"/>
      <c r="X51" s="887"/>
      <c r="Y51" s="887"/>
      <c r="Z51" s="887"/>
      <c r="AA51" s="887"/>
      <c r="AB51" s="887"/>
      <c r="AC51" s="887"/>
      <c r="AD51" s="887"/>
      <c r="AE51" s="887"/>
      <c r="AF51" s="887"/>
      <c r="AG51" s="887"/>
      <c r="AH51" s="887"/>
      <c r="AI51" s="887"/>
      <c r="AJ51" s="887"/>
      <c r="AK51" s="887"/>
      <c r="AL51" s="887"/>
      <c r="AM51" s="887"/>
      <c r="AN51" s="887"/>
      <c r="AO51" s="887"/>
    </row>
    <row r="52" spans="1:41" s="888" customFormat="1" ht="23.25" customHeight="1">
      <c r="A52" s="882">
        <v>36</v>
      </c>
      <c r="B52" s="856" t="str">
        <f>'TH KẾ TOÁN'!C145</f>
        <v>Vỏ hộp Sahado 30x60 (8v)- Giấy nâu</v>
      </c>
      <c r="C52" s="856" t="str">
        <f>'TH KẾ TOÁN'!B145</f>
        <v>NVLKM04.086</v>
      </c>
      <c r="D52" s="889" t="str">
        <f>'TH KẾ TOÁN'!D145</f>
        <v>Cái</v>
      </c>
      <c r="E52" s="858">
        <v>1305</v>
      </c>
      <c r="F52" s="883">
        <f>'[2]TH KẾ TOÁN'!K142</f>
        <v>1305</v>
      </c>
      <c r="G52" s="883">
        <f t="shared" si="4"/>
        <v>1305</v>
      </c>
      <c r="H52" s="883"/>
      <c r="I52" s="890"/>
      <c r="J52" s="891"/>
      <c r="K52" s="892"/>
      <c r="L52" s="886"/>
      <c r="M52" s="858">
        <v>1305</v>
      </c>
      <c r="N52" s="1357">
        <f t="shared" si="2"/>
        <v>0</v>
      </c>
      <c r="O52" s="858">
        <v>1305</v>
      </c>
      <c r="P52" s="1358">
        <f t="shared" si="3"/>
        <v>0</v>
      </c>
      <c r="Q52" s="887"/>
      <c r="R52" s="887"/>
      <c r="S52" s="887"/>
      <c r="T52" s="887"/>
      <c r="U52" s="887"/>
      <c r="V52" s="887"/>
      <c r="W52" s="887"/>
      <c r="X52" s="887"/>
      <c r="Y52" s="887"/>
      <c r="Z52" s="887"/>
      <c r="AA52" s="887"/>
      <c r="AB52" s="887"/>
      <c r="AC52" s="887"/>
      <c r="AD52" s="887"/>
      <c r="AE52" s="887"/>
      <c r="AF52" s="887"/>
      <c r="AG52" s="887"/>
      <c r="AH52" s="887"/>
      <c r="AI52" s="887"/>
      <c r="AJ52" s="887"/>
      <c r="AK52" s="887"/>
      <c r="AL52" s="887"/>
      <c r="AM52" s="887"/>
      <c r="AN52" s="887"/>
      <c r="AO52" s="887"/>
    </row>
    <row r="53" spans="1:41" s="888" customFormat="1" ht="23.25" customHeight="1">
      <c r="A53" s="882">
        <v>37</v>
      </c>
      <c r="B53" s="856" t="str">
        <f>'TH KẾ TOÁN'!C146</f>
        <v>Vỏ hộp Crown 40x60 (5v)- Giấy nâu</v>
      </c>
      <c r="C53" s="856" t="str">
        <f>'TH KẾ TOÁN'!B146</f>
        <v>NVLKM04.087</v>
      </c>
      <c r="D53" s="889" t="str">
        <f>'TH KẾ TOÁN'!D146</f>
        <v>Cái</v>
      </c>
      <c r="E53" s="858">
        <v>2210</v>
      </c>
      <c r="F53" s="883">
        <f>'[2]TH KẾ TOÁN'!K143</f>
        <v>2210</v>
      </c>
      <c r="G53" s="883">
        <f t="shared" si="4"/>
        <v>2210</v>
      </c>
      <c r="H53" s="883"/>
      <c r="I53" s="890"/>
      <c r="J53" s="891"/>
      <c r="K53" s="892"/>
      <c r="L53" s="886"/>
      <c r="M53" s="858">
        <v>2210</v>
      </c>
      <c r="N53" s="1357">
        <f t="shared" si="2"/>
        <v>0</v>
      </c>
      <c r="O53" s="858">
        <v>2210</v>
      </c>
      <c r="P53" s="1358">
        <f t="shared" si="3"/>
        <v>0</v>
      </c>
      <c r="Q53" s="887"/>
      <c r="R53" s="887"/>
      <c r="S53" s="887"/>
      <c r="T53" s="887"/>
      <c r="U53" s="887"/>
      <c r="V53" s="887"/>
      <c r="W53" s="887"/>
      <c r="X53" s="887"/>
      <c r="Y53" s="887"/>
      <c r="Z53" s="887"/>
      <c r="AA53" s="887"/>
      <c r="AB53" s="887"/>
      <c r="AC53" s="887"/>
      <c r="AD53" s="887"/>
      <c r="AE53" s="887"/>
      <c r="AF53" s="887"/>
      <c r="AG53" s="887"/>
      <c r="AH53" s="887"/>
      <c r="AI53" s="887"/>
      <c r="AJ53" s="887"/>
      <c r="AK53" s="887"/>
      <c r="AL53" s="887"/>
      <c r="AM53" s="887"/>
      <c r="AN53" s="887"/>
      <c r="AO53" s="887"/>
    </row>
    <row r="54" spans="1:41" s="888" customFormat="1" ht="23.25" customHeight="1">
      <c r="A54" s="882">
        <v>38</v>
      </c>
      <c r="B54" s="856" t="str">
        <f>'TH KẾ TOÁN'!C147</f>
        <v>Vỏ hộp ESP 40x80 (4v)</v>
      </c>
      <c r="C54" s="856" t="str">
        <f>'TH KẾ TOÁN'!B147</f>
        <v>NVLKM04.088</v>
      </c>
      <c r="D54" s="889" t="str">
        <f>'TH KẾ TOÁN'!D147</f>
        <v>Cái</v>
      </c>
      <c r="E54" s="858">
        <v>14340</v>
      </c>
      <c r="F54" s="883">
        <f>'[2]TH KẾ TOÁN'!K144</f>
        <v>14340</v>
      </c>
      <c r="G54" s="883">
        <f t="shared" si="4"/>
        <v>14340</v>
      </c>
      <c r="H54" s="883"/>
      <c r="I54" s="890"/>
      <c r="J54" s="891"/>
      <c r="K54" s="892"/>
      <c r="L54" s="886"/>
      <c r="M54" s="858">
        <v>14340</v>
      </c>
      <c r="N54" s="1357">
        <f t="shared" si="2"/>
        <v>0</v>
      </c>
      <c r="O54" s="858">
        <v>14340</v>
      </c>
      <c r="P54" s="1358">
        <f t="shared" si="3"/>
        <v>0</v>
      </c>
      <c r="Q54" s="887"/>
      <c r="R54" s="887"/>
      <c r="S54" s="887"/>
      <c r="T54" s="887"/>
      <c r="U54" s="887"/>
      <c r="V54" s="887"/>
      <c r="W54" s="887"/>
      <c r="X54" s="887"/>
      <c r="Y54" s="887"/>
      <c r="Z54" s="887"/>
      <c r="AA54" s="887"/>
      <c r="AB54" s="887"/>
      <c r="AC54" s="887"/>
      <c r="AD54" s="887"/>
      <c r="AE54" s="887"/>
      <c r="AF54" s="887"/>
      <c r="AG54" s="887"/>
      <c r="AH54" s="887"/>
      <c r="AI54" s="887"/>
      <c r="AJ54" s="887"/>
      <c r="AK54" s="887"/>
      <c r="AL54" s="887"/>
      <c r="AM54" s="887"/>
      <c r="AN54" s="887"/>
      <c r="AO54" s="887"/>
    </row>
    <row r="55" spans="1:41" s="888" customFormat="1" ht="23.25" customHeight="1">
      <c r="A55" s="882">
        <v>39</v>
      </c>
      <c r="B55" s="856" t="str">
        <f>'TH KẾ TOÁN'!C148</f>
        <v>Vỏ hộp Grand Ceramic 8v 30x60</v>
      </c>
      <c r="C55" s="856" t="str">
        <f>'TH KẾ TOÁN'!B148</f>
        <v>NVLKM04.089</v>
      </c>
      <c r="D55" s="889" t="str">
        <f>'TH KẾ TOÁN'!D148</f>
        <v>Cái</v>
      </c>
      <c r="E55" s="858">
        <v>6700</v>
      </c>
      <c r="F55" s="883">
        <f>'[2]TH KẾ TOÁN'!K145</f>
        <v>6700</v>
      </c>
      <c r="G55" s="883">
        <f t="shared" si="4"/>
        <v>6700</v>
      </c>
      <c r="H55" s="883"/>
      <c r="I55" s="890"/>
      <c r="J55" s="891"/>
      <c r="K55" s="892"/>
      <c r="L55" s="886"/>
      <c r="M55" s="858">
        <v>6700</v>
      </c>
      <c r="N55" s="1357">
        <f t="shared" si="2"/>
        <v>0</v>
      </c>
      <c r="O55" s="858">
        <v>6700</v>
      </c>
      <c r="P55" s="1358">
        <f t="shared" si="3"/>
        <v>0</v>
      </c>
      <c r="Q55" s="887"/>
      <c r="R55" s="887"/>
      <c r="S55" s="887"/>
      <c r="T55" s="887"/>
      <c r="U55" s="887"/>
      <c r="V55" s="887"/>
      <c r="W55" s="887"/>
      <c r="X55" s="887"/>
      <c r="Y55" s="887"/>
      <c r="Z55" s="887"/>
      <c r="AA55" s="887"/>
      <c r="AB55" s="887"/>
      <c r="AC55" s="887"/>
      <c r="AD55" s="887"/>
      <c r="AE55" s="887"/>
      <c r="AF55" s="887"/>
      <c r="AG55" s="887"/>
      <c r="AH55" s="887"/>
      <c r="AI55" s="887"/>
      <c r="AJ55" s="887"/>
      <c r="AK55" s="887"/>
      <c r="AL55" s="887"/>
      <c r="AM55" s="887"/>
      <c r="AN55" s="887"/>
      <c r="AO55" s="887"/>
    </row>
    <row r="56" spans="1:41" s="888" customFormat="1" ht="23.25" customHeight="1">
      <c r="A56" s="882">
        <v>40</v>
      </c>
      <c r="B56" s="856" t="str">
        <f>'TH KẾ TOÁN'!C149</f>
        <v>Vỏ hộp Adonis 30x60 (8v)</v>
      </c>
      <c r="C56" s="856" t="str">
        <f>'TH KẾ TOÁN'!B149</f>
        <v>NVLKM04.090</v>
      </c>
      <c r="D56" s="889" t="str">
        <f>'TH KẾ TOÁN'!D149</f>
        <v>Cái</v>
      </c>
      <c r="E56" s="858">
        <v>2060</v>
      </c>
      <c r="F56" s="883">
        <f>'[2]TH KẾ TOÁN'!K146</f>
        <v>2060</v>
      </c>
      <c r="G56" s="883">
        <f t="shared" si="4"/>
        <v>2060</v>
      </c>
      <c r="H56" s="883"/>
      <c r="I56" s="890"/>
      <c r="J56" s="891"/>
      <c r="K56" s="892"/>
      <c r="L56" s="886"/>
      <c r="M56" s="858">
        <v>2060</v>
      </c>
      <c r="N56" s="1357">
        <f t="shared" si="2"/>
        <v>0</v>
      </c>
      <c r="O56" s="858">
        <v>2060</v>
      </c>
      <c r="P56" s="1358">
        <f t="shared" si="3"/>
        <v>0</v>
      </c>
      <c r="Q56" s="887"/>
      <c r="R56" s="887"/>
      <c r="S56" s="887"/>
      <c r="T56" s="887"/>
      <c r="U56" s="887"/>
      <c r="V56" s="887"/>
      <c r="W56" s="887"/>
      <c r="X56" s="887"/>
      <c r="Y56" s="887"/>
      <c r="Z56" s="887"/>
      <c r="AA56" s="887"/>
      <c r="AB56" s="887"/>
      <c r="AC56" s="887"/>
      <c r="AD56" s="887"/>
      <c r="AE56" s="887"/>
      <c r="AF56" s="887"/>
      <c r="AG56" s="887"/>
      <c r="AH56" s="887"/>
      <c r="AI56" s="887"/>
      <c r="AJ56" s="887"/>
      <c r="AK56" s="887"/>
      <c r="AL56" s="887"/>
      <c r="AM56" s="887"/>
      <c r="AN56" s="887"/>
      <c r="AO56" s="887"/>
    </row>
    <row r="57" spans="1:41" s="888" customFormat="1" ht="23.25" customHeight="1">
      <c r="A57" s="882">
        <v>41</v>
      </c>
      <c r="B57" s="856" t="str">
        <f>'TH KẾ TOÁN'!C150</f>
        <v>Vỏ hộp Adonis 40x80 (4v)</v>
      </c>
      <c r="C57" s="856" t="str">
        <f>'TH KẾ TOÁN'!B150</f>
        <v>NVLKM04.091</v>
      </c>
      <c r="D57" s="889" t="str">
        <f>'TH KẾ TOÁN'!D150</f>
        <v>Cái</v>
      </c>
      <c r="E57" s="858">
        <v>848</v>
      </c>
      <c r="F57" s="883">
        <v>1200</v>
      </c>
      <c r="G57" s="883">
        <f t="shared" si="4"/>
        <v>1200</v>
      </c>
      <c r="H57" s="883"/>
      <c r="I57" s="890"/>
      <c r="J57" s="891"/>
      <c r="K57" s="892"/>
      <c r="L57" s="886"/>
      <c r="M57" s="858">
        <v>848</v>
      </c>
      <c r="N57" s="1357">
        <f t="shared" si="2"/>
        <v>352</v>
      </c>
      <c r="O57" s="858">
        <v>848</v>
      </c>
      <c r="P57" s="1358">
        <f t="shared" si="3"/>
        <v>352</v>
      </c>
      <c r="Q57" s="887"/>
      <c r="R57" s="887"/>
      <c r="S57" s="887"/>
      <c r="T57" s="887"/>
      <c r="U57" s="887"/>
      <c r="V57" s="887"/>
      <c r="W57" s="887"/>
      <c r="X57" s="887"/>
      <c r="Y57" s="887"/>
      <c r="Z57" s="887"/>
      <c r="AA57" s="887"/>
      <c r="AB57" s="887"/>
      <c r="AC57" s="887"/>
      <c r="AD57" s="887"/>
      <c r="AE57" s="887"/>
      <c r="AF57" s="887"/>
      <c r="AG57" s="887"/>
      <c r="AH57" s="887"/>
      <c r="AI57" s="887"/>
      <c r="AJ57" s="887"/>
      <c r="AK57" s="887"/>
      <c r="AL57" s="887"/>
      <c r="AM57" s="887"/>
      <c r="AN57" s="887"/>
      <c r="AO57" s="887"/>
    </row>
    <row r="58" spans="1:41" s="888" customFormat="1" ht="23.25" customHeight="1">
      <c r="A58" s="882">
        <v>42</v>
      </c>
      <c r="B58" s="856" t="str">
        <f>'TH KẾ TOÁN'!C151</f>
        <v>Vỏ hộp Green Era 40x80 (4v)</v>
      </c>
      <c r="C58" s="856" t="str">
        <f>'TH KẾ TOÁN'!B151</f>
        <v>NVLKM04.092</v>
      </c>
      <c r="D58" s="889" t="str">
        <f>'TH KẾ TOÁN'!D151</f>
        <v>Cái</v>
      </c>
      <c r="E58" s="858">
        <v>0</v>
      </c>
      <c r="F58" s="883">
        <f>'[2]TH KẾ TOÁN'!K148</f>
        <v>0</v>
      </c>
      <c r="G58" s="883">
        <f t="shared" si="4"/>
        <v>0</v>
      </c>
      <c r="H58" s="883"/>
      <c r="I58" s="890"/>
      <c r="J58" s="891"/>
      <c r="K58" s="892"/>
      <c r="L58" s="886"/>
      <c r="M58" s="858">
        <v>0</v>
      </c>
      <c r="N58" s="1357">
        <f t="shared" si="2"/>
        <v>0</v>
      </c>
      <c r="O58" s="858">
        <v>0</v>
      </c>
      <c r="P58" s="1358">
        <f t="shared" si="3"/>
        <v>0</v>
      </c>
      <c r="Q58" s="887"/>
      <c r="R58" s="887"/>
      <c r="S58" s="887"/>
      <c r="T58" s="887"/>
      <c r="U58" s="887"/>
      <c r="V58" s="887"/>
      <c r="W58" s="887"/>
      <c r="X58" s="887"/>
      <c r="Y58" s="887"/>
      <c r="Z58" s="887"/>
      <c r="AA58" s="887"/>
      <c r="AB58" s="887"/>
      <c r="AC58" s="887"/>
      <c r="AD58" s="887"/>
      <c r="AE58" s="887"/>
      <c r="AF58" s="887"/>
      <c r="AG58" s="887"/>
      <c r="AH58" s="887"/>
      <c r="AI58" s="887"/>
      <c r="AJ58" s="887"/>
      <c r="AK58" s="887"/>
      <c r="AL58" s="887"/>
      <c r="AM58" s="887"/>
      <c r="AN58" s="887"/>
      <c r="AO58" s="887"/>
    </row>
    <row r="59" spans="1:41" s="888" customFormat="1" ht="23.25" customHeight="1">
      <c r="A59" s="882">
        <v>43</v>
      </c>
      <c r="B59" s="856" t="str">
        <f>'TH KẾ TOÁN'!C152</f>
        <v>Ke góc nhựa 50x50 -40x60</v>
      </c>
      <c r="C59" s="856" t="str">
        <f>'TH KẾ TOÁN'!B152</f>
        <v>NVLKM04.093</v>
      </c>
      <c r="D59" s="889" t="str">
        <f>'TH KẾ TOÁN'!D152</f>
        <v>kg</v>
      </c>
      <c r="E59" s="858">
        <v>0</v>
      </c>
      <c r="F59" s="883">
        <f>'[2]TH KẾ TOÁN'!K149</f>
        <v>0</v>
      </c>
      <c r="G59" s="883">
        <f t="shared" si="4"/>
        <v>0</v>
      </c>
      <c r="H59" s="883"/>
      <c r="I59" s="890"/>
      <c r="J59" s="891"/>
      <c r="K59" s="892"/>
      <c r="L59" s="886"/>
      <c r="M59" s="858">
        <v>0</v>
      </c>
      <c r="N59" s="1357">
        <f t="shared" si="2"/>
        <v>0</v>
      </c>
      <c r="O59" s="858">
        <v>0</v>
      </c>
      <c r="P59" s="1358">
        <f t="shared" si="3"/>
        <v>0</v>
      </c>
      <c r="Q59" s="887"/>
      <c r="R59" s="887"/>
      <c r="S59" s="887"/>
      <c r="T59" s="887"/>
      <c r="U59" s="887"/>
      <c r="V59" s="887"/>
      <c r="W59" s="887"/>
      <c r="X59" s="887"/>
      <c r="Y59" s="887"/>
      <c r="Z59" s="887"/>
      <c r="AA59" s="887"/>
      <c r="AB59" s="887"/>
      <c r="AC59" s="887"/>
      <c r="AD59" s="887"/>
      <c r="AE59" s="887"/>
      <c r="AF59" s="887"/>
      <c r="AG59" s="887"/>
      <c r="AH59" s="887"/>
      <c r="AI59" s="887"/>
      <c r="AJ59" s="887"/>
      <c r="AK59" s="887"/>
      <c r="AL59" s="887"/>
      <c r="AM59" s="887"/>
      <c r="AN59" s="887"/>
      <c r="AO59" s="887"/>
    </row>
    <row r="60" spans="1:41" s="888" customFormat="1" ht="23.25" customHeight="1">
      <c r="A60" s="882">
        <v>44</v>
      </c>
      <c r="B60" s="856" t="str">
        <f>'TH KẾ TOÁN'!C153</f>
        <v>Vỏ hộp Havira 30x60 (8v)- Giấy nâu</v>
      </c>
      <c r="C60" s="856" t="str">
        <f>'TH KẾ TOÁN'!B153</f>
        <v>NVLKM04.094</v>
      </c>
      <c r="D60" s="889" t="str">
        <f>'TH KẾ TOÁN'!D153</f>
        <v>Cái</v>
      </c>
      <c r="E60" s="858">
        <v>0</v>
      </c>
      <c r="F60" s="883">
        <f>'[2]TH KẾ TOÁN'!K150</f>
        <v>0</v>
      </c>
      <c r="G60" s="883">
        <f t="shared" si="4"/>
        <v>0</v>
      </c>
      <c r="H60" s="883"/>
      <c r="I60" s="890"/>
      <c r="J60" s="891"/>
      <c r="K60" s="892"/>
      <c r="L60" s="886"/>
      <c r="M60" s="858">
        <v>0</v>
      </c>
      <c r="N60" s="1357">
        <f t="shared" si="2"/>
        <v>0</v>
      </c>
      <c r="O60" s="858">
        <v>0</v>
      </c>
      <c r="P60" s="1358">
        <f t="shared" si="3"/>
        <v>0</v>
      </c>
      <c r="Q60" s="887"/>
      <c r="R60" s="887"/>
      <c r="S60" s="887"/>
      <c r="T60" s="887"/>
      <c r="U60" s="887"/>
      <c r="V60" s="887"/>
      <c r="W60" s="887"/>
      <c r="X60" s="887"/>
      <c r="Y60" s="887"/>
      <c r="Z60" s="887"/>
      <c r="AA60" s="887"/>
      <c r="AB60" s="887"/>
      <c r="AC60" s="887"/>
      <c r="AD60" s="887"/>
      <c r="AE60" s="887"/>
      <c r="AF60" s="887"/>
      <c r="AG60" s="887"/>
      <c r="AH60" s="887"/>
      <c r="AI60" s="887"/>
      <c r="AJ60" s="887"/>
      <c r="AK60" s="887"/>
      <c r="AL60" s="887"/>
      <c r="AM60" s="887"/>
      <c r="AN60" s="887"/>
      <c r="AO60" s="887"/>
    </row>
    <row r="61" spans="1:41" s="888" customFormat="1" ht="23.25" customHeight="1">
      <c r="A61" s="882">
        <v>45</v>
      </c>
      <c r="B61" s="856" t="str">
        <f>'TH KẾ TOÁN'!C154</f>
        <v>Vỏ hộp Grandcera xanh lá 30x60 (8v)- Giấy nâu</v>
      </c>
      <c r="C61" s="856" t="str">
        <f>'TH KẾ TOÁN'!B154</f>
        <v>NVLKM04.095</v>
      </c>
      <c r="D61" s="889" t="str">
        <f>'TH KẾ TOÁN'!D154</f>
        <v>Cái</v>
      </c>
      <c r="E61" s="858">
        <v>26815</v>
      </c>
      <c r="F61" s="883">
        <f>'[2]TH KẾ TOÁN'!K151</f>
        <v>26815</v>
      </c>
      <c r="G61" s="883">
        <f t="shared" si="4"/>
        <v>26815</v>
      </c>
      <c r="H61" s="883"/>
      <c r="I61" s="890"/>
      <c r="J61" s="891"/>
      <c r="K61" s="892"/>
      <c r="L61" s="886"/>
      <c r="M61" s="858">
        <v>26815</v>
      </c>
      <c r="N61" s="1357">
        <f t="shared" si="2"/>
        <v>0</v>
      </c>
      <c r="O61" s="858">
        <v>26815</v>
      </c>
      <c r="P61" s="1358">
        <f t="shared" si="3"/>
        <v>0</v>
      </c>
      <c r="Q61" s="887"/>
      <c r="R61" s="887"/>
      <c r="S61" s="887"/>
      <c r="T61" s="887"/>
      <c r="U61" s="887"/>
      <c r="V61" s="887"/>
      <c r="W61" s="887"/>
      <c r="X61" s="887"/>
      <c r="Y61" s="887"/>
      <c r="Z61" s="887"/>
      <c r="AA61" s="887"/>
      <c r="AB61" s="887"/>
      <c r="AC61" s="887"/>
      <c r="AD61" s="887"/>
      <c r="AE61" s="887"/>
      <c r="AF61" s="887"/>
      <c r="AG61" s="887"/>
      <c r="AH61" s="887"/>
      <c r="AI61" s="887"/>
      <c r="AJ61" s="887"/>
      <c r="AK61" s="887"/>
      <c r="AL61" s="887"/>
      <c r="AM61" s="887"/>
      <c r="AN61" s="887"/>
      <c r="AO61" s="887"/>
    </row>
    <row r="62" spans="1:41" s="888" customFormat="1" ht="23.25" customHeight="1">
      <c r="A62" s="882">
        <v>46</v>
      </c>
      <c r="B62" s="856" t="str">
        <f>'TH KẾ TOÁN'!C155</f>
        <v>Vỏ hộp Espana 30x60 (8v)- Giấy nâu</v>
      </c>
      <c r="C62" s="856" t="str">
        <f>'TH KẾ TOÁN'!B155</f>
        <v>NVLKM04.096</v>
      </c>
      <c r="D62" s="889" t="str">
        <f>'TH KẾ TOÁN'!D155</f>
        <v>Cái</v>
      </c>
      <c r="E62" s="858">
        <v>0</v>
      </c>
      <c r="F62" s="883">
        <f>'[2]TH KẾ TOÁN'!K152</f>
        <v>0</v>
      </c>
      <c r="G62" s="883">
        <f t="shared" si="4"/>
        <v>0</v>
      </c>
      <c r="H62" s="883">
        <f t="shared" si="0"/>
        <v>0</v>
      </c>
      <c r="I62" s="890"/>
      <c r="J62" s="891"/>
      <c r="K62" s="892"/>
      <c r="L62" s="886"/>
      <c r="M62" s="858">
        <v>0</v>
      </c>
      <c r="N62" s="1357">
        <f t="shared" si="2"/>
        <v>0</v>
      </c>
      <c r="O62" s="858">
        <v>0</v>
      </c>
      <c r="P62" s="1358">
        <f t="shared" si="3"/>
        <v>0</v>
      </c>
      <c r="Q62" s="887"/>
      <c r="R62" s="887"/>
      <c r="S62" s="887"/>
      <c r="T62" s="887"/>
      <c r="U62" s="887"/>
      <c r="V62" s="887"/>
      <c r="W62" s="887"/>
      <c r="X62" s="887"/>
      <c r="Y62" s="887"/>
      <c r="Z62" s="887"/>
      <c r="AA62" s="887"/>
      <c r="AB62" s="887"/>
      <c r="AC62" s="887"/>
      <c r="AD62" s="887"/>
      <c r="AE62" s="887"/>
      <c r="AF62" s="887"/>
      <c r="AG62" s="887"/>
      <c r="AH62" s="887"/>
      <c r="AI62" s="887"/>
      <c r="AJ62" s="887"/>
      <c r="AK62" s="887"/>
      <c r="AL62" s="887"/>
      <c r="AM62" s="887"/>
      <c r="AN62" s="887"/>
      <c r="AO62" s="887"/>
    </row>
    <row r="63" spans="1:41" s="888" customFormat="1" ht="23.25" customHeight="1">
      <c r="A63" s="882">
        <v>47</v>
      </c>
      <c r="B63" s="856" t="str">
        <f>'TH KẾ TOÁN'!C156</f>
        <v>Vỏ hộp Luxury 50x50 (6v)- Giấy nâu</v>
      </c>
      <c r="C63" s="856" t="str">
        <f>'TH KẾ TOÁN'!B156</f>
        <v>NVLKM04.098</v>
      </c>
      <c r="D63" s="889" t="str">
        <f>'TH KẾ TOÁN'!D156</f>
        <v>Cái</v>
      </c>
      <c r="E63" s="858">
        <v>4800</v>
      </c>
      <c r="F63" s="883">
        <f>'[2]TH KẾ TOÁN'!K153</f>
        <v>4800</v>
      </c>
      <c r="G63" s="883">
        <f t="shared" si="1"/>
        <v>4800</v>
      </c>
      <c r="H63" s="883">
        <f t="shared" si="0"/>
        <v>0</v>
      </c>
      <c r="I63" s="890"/>
      <c r="J63" s="891"/>
      <c r="K63" s="892"/>
      <c r="L63" s="886"/>
      <c r="M63" s="858">
        <v>4800</v>
      </c>
      <c r="N63" s="1357">
        <f t="shared" si="2"/>
        <v>0</v>
      </c>
      <c r="O63" s="858">
        <v>4800</v>
      </c>
      <c r="P63" s="1358">
        <f t="shared" si="3"/>
        <v>0</v>
      </c>
      <c r="Q63" s="887"/>
      <c r="R63" s="887"/>
      <c r="S63" s="887"/>
      <c r="T63" s="887"/>
      <c r="U63" s="887"/>
      <c r="V63" s="887"/>
      <c r="W63" s="887"/>
      <c r="X63" s="887"/>
      <c r="Y63" s="887"/>
      <c r="Z63" s="887"/>
      <c r="AA63" s="887"/>
      <c r="AB63" s="887"/>
      <c r="AC63" s="887"/>
      <c r="AD63" s="887"/>
      <c r="AE63" s="887"/>
      <c r="AF63" s="887"/>
      <c r="AG63" s="887"/>
      <c r="AH63" s="887"/>
      <c r="AI63" s="887"/>
      <c r="AJ63" s="887"/>
      <c r="AK63" s="887"/>
      <c r="AL63" s="887"/>
      <c r="AM63" s="887"/>
      <c r="AN63" s="887"/>
      <c r="AO63" s="887"/>
    </row>
    <row r="64" spans="1:41" s="888" customFormat="1" ht="23.25" customHeight="1">
      <c r="A64" s="882">
        <v>48</v>
      </c>
      <c r="B64" s="856" t="str">
        <f>'TH KẾ TOÁN'!C157</f>
        <v>Vỏ hộp Luxury 40x60 (5v)- Giấy nâu</v>
      </c>
      <c r="C64" s="856" t="str">
        <f>'TH KẾ TOÁN'!B157</f>
        <v>NVLKM04.099</v>
      </c>
      <c r="D64" s="889" t="str">
        <f>'TH KẾ TOÁN'!D157</f>
        <v>Cái</v>
      </c>
      <c r="E64" s="858">
        <v>4200</v>
      </c>
      <c r="F64" s="883">
        <f>'[2]TH KẾ TOÁN'!K154</f>
        <v>4200</v>
      </c>
      <c r="G64" s="883">
        <f t="shared" si="1"/>
        <v>4200</v>
      </c>
      <c r="H64" s="883">
        <f>F64-E64</f>
        <v>0</v>
      </c>
      <c r="I64" s="890"/>
      <c r="J64" s="891"/>
      <c r="K64" s="892"/>
      <c r="L64" s="886"/>
      <c r="M64" s="858">
        <v>4200</v>
      </c>
      <c r="N64" s="1357">
        <f t="shared" si="2"/>
        <v>0</v>
      </c>
      <c r="O64" s="858">
        <v>4200</v>
      </c>
      <c r="P64" s="1358">
        <f t="shared" si="3"/>
        <v>0</v>
      </c>
      <c r="Q64" s="887"/>
      <c r="R64" s="887"/>
      <c r="S64" s="887"/>
      <c r="T64" s="887"/>
      <c r="U64" s="887"/>
      <c r="V64" s="887"/>
      <c r="W64" s="887"/>
      <c r="X64" s="887"/>
      <c r="Y64" s="887"/>
      <c r="Z64" s="887"/>
      <c r="AA64" s="887"/>
      <c r="AB64" s="887"/>
      <c r="AC64" s="887"/>
      <c r="AD64" s="887"/>
      <c r="AE64" s="887"/>
      <c r="AF64" s="887"/>
      <c r="AG64" s="887"/>
      <c r="AH64" s="887"/>
      <c r="AI64" s="887"/>
      <c r="AJ64" s="887"/>
      <c r="AK64" s="887"/>
      <c r="AL64" s="887"/>
      <c r="AM64" s="887"/>
      <c r="AN64" s="887"/>
      <c r="AO64" s="887"/>
    </row>
    <row r="65" spans="1:41" s="888" customFormat="1" ht="23.25" customHeight="1">
      <c r="A65" s="882">
        <v>49</v>
      </c>
      <c r="B65" s="856" t="str">
        <f>'TH KẾ TOÁN'!C158</f>
        <v>Ke góc nhựa 40x80-60x60 (5v)</v>
      </c>
      <c r="C65" s="856" t="str">
        <f>'TH KẾ TOÁN'!B158</f>
        <v>NVLKM04.100</v>
      </c>
      <c r="D65" s="889" t="str">
        <f>'TH KẾ TOÁN'!D158</f>
        <v>kg</v>
      </c>
      <c r="E65" s="858">
        <v>0</v>
      </c>
      <c r="F65" s="883">
        <f>'[2]TH KẾ TOÁN'!K155</f>
        <v>0</v>
      </c>
      <c r="G65" s="883">
        <f t="shared" si="1"/>
        <v>0</v>
      </c>
      <c r="H65" s="883">
        <f t="shared" ref="H65" si="5">F65-E65</f>
        <v>0</v>
      </c>
      <c r="I65" s="890"/>
      <c r="J65" s="891"/>
      <c r="K65" s="892"/>
      <c r="L65" s="886"/>
      <c r="M65" s="858">
        <v>0</v>
      </c>
      <c r="N65" s="1357">
        <f t="shared" si="2"/>
        <v>0</v>
      </c>
      <c r="O65" s="858">
        <v>0</v>
      </c>
      <c r="P65" s="1358">
        <f t="shared" si="3"/>
        <v>0</v>
      </c>
      <c r="Q65" s="887"/>
      <c r="R65" s="887"/>
      <c r="S65" s="887"/>
      <c r="T65" s="887"/>
      <c r="U65" s="887"/>
      <c r="V65" s="887"/>
      <c r="W65" s="887"/>
      <c r="X65" s="887"/>
      <c r="Y65" s="887"/>
      <c r="Z65" s="887"/>
      <c r="AA65" s="887"/>
      <c r="AB65" s="887"/>
      <c r="AC65" s="887"/>
      <c r="AD65" s="887"/>
      <c r="AE65" s="887"/>
      <c r="AF65" s="887"/>
      <c r="AG65" s="887"/>
      <c r="AH65" s="887"/>
      <c r="AI65" s="887"/>
      <c r="AJ65" s="887"/>
      <c r="AK65" s="887"/>
      <c r="AL65" s="887"/>
      <c r="AM65" s="887"/>
      <c r="AN65" s="887"/>
      <c r="AO65" s="887"/>
    </row>
    <row r="66" spans="1:41" s="888" customFormat="1" ht="23.25" customHeight="1">
      <c r="A66" s="882">
        <v>50</v>
      </c>
      <c r="B66" s="856" t="str">
        <f>'TH KẾ TOÁN'!C159</f>
        <v>Vỏ hộp màu xanh tím 30x60 (8v)- Giấy nâu</v>
      </c>
      <c r="C66" s="856" t="str">
        <f>'TH KẾ TOÁN'!B159</f>
        <v>NVLKM04.101</v>
      </c>
      <c r="D66" s="889" t="str">
        <f>'TH KẾ TOÁN'!D159</f>
        <v>Cái</v>
      </c>
      <c r="E66" s="858">
        <v>19245</v>
      </c>
      <c r="F66" s="883">
        <v>24000</v>
      </c>
      <c r="G66" s="883">
        <f t="shared" si="1"/>
        <v>24000</v>
      </c>
      <c r="H66" s="883">
        <f t="shared" si="0"/>
        <v>4755</v>
      </c>
      <c r="I66" s="890"/>
      <c r="J66" s="891"/>
      <c r="K66" s="892"/>
      <c r="L66" s="886"/>
      <c r="M66" s="858">
        <v>19245</v>
      </c>
      <c r="N66" s="1357">
        <f t="shared" si="2"/>
        <v>4755</v>
      </c>
      <c r="O66" s="858">
        <v>19245</v>
      </c>
      <c r="P66" s="1358">
        <f t="shared" si="3"/>
        <v>4755</v>
      </c>
      <c r="Q66" s="887"/>
      <c r="R66" s="887"/>
      <c r="S66" s="887"/>
      <c r="T66" s="887"/>
      <c r="U66" s="887"/>
      <c r="V66" s="887"/>
      <c r="W66" s="887"/>
      <c r="X66" s="887"/>
      <c r="Y66" s="887"/>
      <c r="Z66" s="887"/>
      <c r="AA66" s="887"/>
      <c r="AB66" s="887"/>
      <c r="AC66" s="887"/>
      <c r="AD66" s="887"/>
      <c r="AE66" s="887"/>
      <c r="AF66" s="887"/>
      <c r="AG66" s="887"/>
      <c r="AH66" s="887"/>
      <c r="AI66" s="887"/>
      <c r="AJ66" s="887"/>
      <c r="AK66" s="887"/>
      <c r="AL66" s="887"/>
      <c r="AM66" s="887"/>
      <c r="AN66" s="887"/>
      <c r="AO66" s="887"/>
    </row>
    <row r="67" spans="1:41" s="888" customFormat="1" ht="23.25" customHeight="1">
      <c r="A67" s="882">
        <v>51</v>
      </c>
      <c r="B67" s="856" t="str">
        <f>'TH KẾ TOÁN'!C160</f>
        <v>Vỏ hộp Luxury 30x60 (8v)- Giấy nâu</v>
      </c>
      <c r="C67" s="856" t="str">
        <f>'TH KẾ TOÁN'!B160</f>
        <v>NVLKM04.102</v>
      </c>
      <c r="D67" s="889" t="str">
        <f>'TH KẾ TOÁN'!D160</f>
        <v>Cái</v>
      </c>
      <c r="E67" s="858">
        <v>5903</v>
      </c>
      <c r="F67" s="883">
        <v>6400</v>
      </c>
      <c r="G67" s="883">
        <f t="shared" si="1"/>
        <v>6400</v>
      </c>
      <c r="H67" s="883">
        <f t="shared" si="0"/>
        <v>497</v>
      </c>
      <c r="I67" s="890"/>
      <c r="J67" s="891"/>
      <c r="K67" s="892"/>
      <c r="L67" s="886"/>
      <c r="M67" s="858">
        <v>5903</v>
      </c>
      <c r="N67" s="1357">
        <f t="shared" si="2"/>
        <v>497</v>
      </c>
      <c r="O67" s="858">
        <v>5903</v>
      </c>
      <c r="P67" s="1358">
        <f t="shared" si="3"/>
        <v>497</v>
      </c>
      <c r="Q67" s="887"/>
      <c r="R67" s="887"/>
      <c r="S67" s="887"/>
      <c r="T67" s="887"/>
      <c r="U67" s="887"/>
      <c r="V67" s="887"/>
      <c r="W67" s="887"/>
      <c r="X67" s="887"/>
      <c r="Y67" s="887"/>
      <c r="Z67" s="887"/>
      <c r="AA67" s="887"/>
      <c r="AB67" s="887"/>
      <c r="AC67" s="887"/>
      <c r="AD67" s="887"/>
      <c r="AE67" s="887"/>
      <c r="AF67" s="887"/>
      <c r="AG67" s="887"/>
      <c r="AH67" s="887"/>
      <c r="AI67" s="887"/>
      <c r="AJ67" s="887"/>
      <c r="AK67" s="887"/>
      <c r="AL67" s="887"/>
      <c r="AM67" s="887"/>
      <c r="AN67" s="887"/>
      <c r="AO67" s="887"/>
    </row>
    <row r="68" spans="1:41" s="888" customFormat="1" ht="23.25" customHeight="1">
      <c r="A68" s="882">
        <v>52</v>
      </c>
      <c r="B68" s="856" t="str">
        <f>'TH KẾ TOÁN'!C161</f>
        <v>Vỏ hộp Green Era 30x60 (8v)- Giấy nâu</v>
      </c>
      <c r="C68" s="856" t="str">
        <f>'TH KẾ TOÁN'!B161</f>
        <v>NVLKM04.103</v>
      </c>
      <c r="D68" s="889" t="str">
        <f>'TH KẾ TOÁN'!D161</f>
        <v>Cái</v>
      </c>
      <c r="E68" s="858">
        <v>4570</v>
      </c>
      <c r="F68" s="883">
        <v>5000</v>
      </c>
      <c r="G68" s="883">
        <f t="shared" si="1"/>
        <v>5000</v>
      </c>
      <c r="H68" s="883">
        <f t="shared" si="0"/>
        <v>430</v>
      </c>
      <c r="I68" s="890"/>
      <c r="J68" s="891"/>
      <c r="K68" s="892"/>
      <c r="L68" s="886"/>
      <c r="M68" s="858">
        <v>4570</v>
      </c>
      <c r="N68" s="1357">
        <f t="shared" si="2"/>
        <v>430</v>
      </c>
      <c r="O68" s="858">
        <v>4570</v>
      </c>
      <c r="P68" s="1358">
        <f t="shared" si="3"/>
        <v>430</v>
      </c>
      <c r="Q68" s="887"/>
      <c r="R68" s="887"/>
      <c r="S68" s="887"/>
      <c r="T68" s="887"/>
      <c r="U68" s="887"/>
      <c r="V68" s="887"/>
      <c r="W68" s="887"/>
      <c r="X68" s="887"/>
      <c r="Y68" s="887"/>
      <c r="Z68" s="887"/>
      <c r="AA68" s="887"/>
      <c r="AB68" s="887"/>
      <c r="AC68" s="887"/>
      <c r="AD68" s="887"/>
      <c r="AE68" s="887"/>
      <c r="AF68" s="887"/>
      <c r="AG68" s="887"/>
      <c r="AH68" s="887"/>
      <c r="AI68" s="887"/>
      <c r="AJ68" s="887"/>
      <c r="AK68" s="887"/>
      <c r="AL68" s="887"/>
      <c r="AM68" s="887"/>
      <c r="AN68" s="887"/>
      <c r="AO68" s="887"/>
    </row>
    <row r="69" spans="1:41" s="888" customFormat="1" ht="23.25" customHeight="1">
      <c r="A69" s="882">
        <v>53</v>
      </c>
      <c r="B69" s="856" t="str">
        <f>'TH KẾ TOÁN'!C162</f>
        <v>Vỏ thùng gạch phế 600*600</v>
      </c>
      <c r="C69" s="856" t="str">
        <f>'TH KẾ TOÁN'!B162</f>
        <v>NVLKM04.104</v>
      </c>
      <c r="D69" s="889" t="str">
        <f>'TH KẾ TOÁN'!D162</f>
        <v>Cái</v>
      </c>
      <c r="E69" s="858">
        <v>1530</v>
      </c>
      <c r="F69" s="883">
        <f>'[2]TH KẾ TOÁN'!K159</f>
        <v>1530</v>
      </c>
      <c r="G69" s="883">
        <f t="shared" si="1"/>
        <v>1530</v>
      </c>
      <c r="H69" s="883">
        <f t="shared" si="0"/>
        <v>0</v>
      </c>
      <c r="I69" s="890"/>
      <c r="J69" s="891"/>
      <c r="K69" s="892"/>
      <c r="L69" s="886"/>
      <c r="M69" s="858">
        <v>1530</v>
      </c>
      <c r="N69" s="1357">
        <f t="shared" si="2"/>
        <v>0</v>
      </c>
      <c r="O69" s="858">
        <v>1530</v>
      </c>
      <c r="P69" s="1358">
        <f t="shared" si="3"/>
        <v>0</v>
      </c>
      <c r="Q69" s="887"/>
      <c r="R69" s="887"/>
      <c r="S69" s="887"/>
      <c r="T69" s="887"/>
      <c r="U69" s="887"/>
      <c r="V69" s="887"/>
      <c r="W69" s="887"/>
      <c r="X69" s="887"/>
      <c r="Y69" s="887"/>
      <c r="Z69" s="887"/>
      <c r="AA69" s="887"/>
      <c r="AB69" s="887"/>
      <c r="AC69" s="887"/>
      <c r="AD69" s="887"/>
      <c r="AE69" s="887"/>
      <c r="AF69" s="887"/>
      <c r="AG69" s="887"/>
      <c r="AH69" s="887"/>
      <c r="AI69" s="887"/>
      <c r="AJ69" s="887"/>
      <c r="AK69" s="887"/>
      <c r="AL69" s="887"/>
      <c r="AM69" s="887"/>
      <c r="AN69" s="887"/>
      <c r="AO69" s="887"/>
    </row>
    <row r="70" spans="1:41" s="888" customFormat="1" ht="23.25" customHeight="1">
      <c r="A70" s="882">
        <v>54</v>
      </c>
      <c r="B70" s="856" t="str">
        <f>'TH KẾ TOÁN'!C163</f>
        <v>Vỏ hộp luxury 600*600 (t/6v) nâu</v>
      </c>
      <c r="C70" s="856" t="str">
        <f>'TH KẾ TOÁN'!B163</f>
        <v>NVLKM04.105</v>
      </c>
      <c r="D70" s="889" t="str">
        <f>'TH KẾ TOÁN'!D163</f>
        <v>Cái</v>
      </c>
      <c r="E70" s="858">
        <v>0</v>
      </c>
      <c r="F70" s="883">
        <f>'[2]TH KẾ TOÁN'!K160</f>
        <v>0</v>
      </c>
      <c r="G70" s="883">
        <f t="shared" si="1"/>
        <v>0</v>
      </c>
      <c r="H70" s="883">
        <f t="shared" si="0"/>
        <v>0</v>
      </c>
      <c r="I70" s="890"/>
      <c r="J70" s="891"/>
      <c r="K70" s="892"/>
      <c r="L70" s="886"/>
      <c r="M70" s="858">
        <v>0</v>
      </c>
      <c r="N70" s="1357">
        <f t="shared" si="2"/>
        <v>0</v>
      </c>
      <c r="O70" s="858">
        <v>0</v>
      </c>
      <c r="P70" s="1358">
        <f t="shared" si="3"/>
        <v>0</v>
      </c>
      <c r="Q70" s="887"/>
      <c r="R70" s="887"/>
      <c r="S70" s="887"/>
      <c r="T70" s="887"/>
      <c r="U70" s="887"/>
      <c r="V70" s="887"/>
      <c r="W70" s="887"/>
      <c r="X70" s="887"/>
      <c r="Y70" s="887"/>
      <c r="Z70" s="887"/>
      <c r="AA70" s="887"/>
      <c r="AB70" s="887"/>
      <c r="AC70" s="887"/>
      <c r="AD70" s="887"/>
      <c r="AE70" s="887"/>
      <c r="AF70" s="887"/>
      <c r="AG70" s="887"/>
      <c r="AH70" s="887"/>
      <c r="AI70" s="887"/>
      <c r="AJ70" s="887"/>
      <c r="AK70" s="887"/>
      <c r="AL70" s="887"/>
      <c r="AM70" s="887"/>
      <c r="AN70" s="887"/>
      <c r="AO70" s="887"/>
    </row>
    <row r="71" spans="1:41" s="888" customFormat="1" ht="23.25" customHeight="1">
      <c r="A71" s="882">
        <v>55</v>
      </c>
      <c r="B71" s="856" t="str">
        <f>'TH KẾ TOÁN'!C164</f>
        <v>Vỏ hộp Crown 600*600 (t/5v)</v>
      </c>
      <c r="C71" s="856" t="str">
        <f>'TH KẾ TOÁN'!B164</f>
        <v>NVLKM04.106</v>
      </c>
      <c r="D71" s="889" t="str">
        <f>'TH KẾ TOÁN'!D164</f>
        <v>Cái</v>
      </c>
      <c r="E71" s="858">
        <v>920</v>
      </c>
      <c r="F71" s="883">
        <v>920</v>
      </c>
      <c r="G71" s="883">
        <f t="shared" si="1"/>
        <v>920</v>
      </c>
      <c r="H71" s="883">
        <f t="shared" si="0"/>
        <v>0</v>
      </c>
      <c r="I71" s="890"/>
      <c r="J71" s="891"/>
      <c r="K71" s="892"/>
      <c r="L71" s="886"/>
      <c r="M71" s="858">
        <v>920</v>
      </c>
      <c r="N71" s="1357">
        <f t="shared" si="2"/>
        <v>0</v>
      </c>
      <c r="O71" s="858">
        <v>920</v>
      </c>
      <c r="P71" s="1358">
        <f t="shared" si="3"/>
        <v>0</v>
      </c>
      <c r="Q71" s="887"/>
      <c r="R71" s="887"/>
      <c r="S71" s="887"/>
      <c r="T71" s="887"/>
      <c r="U71" s="887"/>
      <c r="V71" s="887"/>
      <c r="W71" s="887"/>
      <c r="X71" s="887"/>
      <c r="Y71" s="887"/>
      <c r="Z71" s="887"/>
      <c r="AA71" s="887"/>
      <c r="AB71" s="887"/>
      <c r="AC71" s="887"/>
      <c r="AD71" s="887"/>
      <c r="AE71" s="887"/>
      <c r="AF71" s="887"/>
      <c r="AG71" s="887"/>
      <c r="AH71" s="887"/>
      <c r="AI71" s="887"/>
      <c r="AJ71" s="887"/>
      <c r="AK71" s="887"/>
      <c r="AL71" s="887"/>
      <c r="AM71" s="887"/>
      <c r="AN71" s="887"/>
      <c r="AO71" s="887"/>
    </row>
    <row r="72" spans="1:41" s="888" customFormat="1" ht="23.25" customHeight="1">
      <c r="A72" s="882">
        <v>56</v>
      </c>
      <c r="B72" s="856" t="str">
        <f>'TH KẾ TOÁN'!C165</f>
        <v>Vỏ hộp Espana 600*600 (t/5v)</v>
      </c>
      <c r="C72" s="856" t="str">
        <f>'TH KẾ TOÁN'!B165</f>
        <v>NVLKM04.107</v>
      </c>
      <c r="D72" s="889" t="str">
        <f>'TH KẾ TOÁN'!D165</f>
        <v>Cái</v>
      </c>
      <c r="E72" s="858">
        <v>469</v>
      </c>
      <c r="F72" s="883">
        <v>469</v>
      </c>
      <c r="G72" s="883">
        <f t="shared" si="1"/>
        <v>469</v>
      </c>
      <c r="H72" s="883">
        <f t="shared" si="0"/>
        <v>0</v>
      </c>
      <c r="I72" s="890"/>
      <c r="J72" s="891"/>
      <c r="K72" s="892"/>
      <c r="L72" s="886"/>
      <c r="M72" s="858">
        <v>469</v>
      </c>
      <c r="N72" s="1357">
        <f t="shared" si="2"/>
        <v>0</v>
      </c>
      <c r="O72" s="858">
        <v>469</v>
      </c>
      <c r="P72" s="1358">
        <f t="shared" si="3"/>
        <v>0</v>
      </c>
      <c r="Q72" s="887"/>
      <c r="R72" s="887"/>
      <c r="S72" s="887"/>
      <c r="T72" s="887"/>
      <c r="U72" s="887"/>
      <c r="V72" s="887"/>
      <c r="W72" s="887"/>
      <c r="X72" s="887"/>
      <c r="Y72" s="887"/>
      <c r="Z72" s="887"/>
      <c r="AA72" s="887"/>
      <c r="AB72" s="887"/>
      <c r="AC72" s="887"/>
      <c r="AD72" s="887"/>
      <c r="AE72" s="887"/>
      <c r="AF72" s="887"/>
      <c r="AG72" s="887"/>
      <c r="AH72" s="887"/>
      <c r="AI72" s="887"/>
      <c r="AJ72" s="887"/>
      <c r="AK72" s="887"/>
      <c r="AL72" s="887"/>
      <c r="AM72" s="887"/>
      <c r="AN72" s="887"/>
      <c r="AO72" s="887"/>
    </row>
    <row r="73" spans="1:41" s="888" customFormat="1" ht="23.25" customHeight="1">
      <c r="A73" s="882">
        <v>57</v>
      </c>
      <c r="B73" s="856" t="str">
        <f>'TH KẾ TOÁN'!C166</f>
        <v>Vỏ hộp Havira 600*600 (t/5v)</v>
      </c>
      <c r="C73" s="856" t="str">
        <f>'TH KẾ TOÁN'!B166</f>
        <v>NVLKM04.108</v>
      </c>
      <c r="D73" s="889" t="str">
        <f>'TH KẾ TOÁN'!D166</f>
        <v>Cái</v>
      </c>
      <c r="E73" s="858">
        <v>960</v>
      </c>
      <c r="F73" s="883">
        <f>'[2]TH KẾ TOÁN'!K163</f>
        <v>960</v>
      </c>
      <c r="G73" s="883">
        <f t="shared" si="1"/>
        <v>960</v>
      </c>
      <c r="H73" s="883">
        <f t="shared" si="0"/>
        <v>0</v>
      </c>
      <c r="I73" s="890"/>
      <c r="J73" s="891"/>
      <c r="K73" s="892"/>
      <c r="L73" s="886"/>
      <c r="M73" s="858">
        <v>960</v>
      </c>
      <c r="N73" s="1357">
        <f t="shared" si="2"/>
        <v>0</v>
      </c>
      <c r="O73" s="858">
        <v>960</v>
      </c>
      <c r="P73" s="1358">
        <f t="shared" si="3"/>
        <v>0</v>
      </c>
      <c r="Q73" s="887"/>
      <c r="R73" s="887"/>
      <c r="S73" s="887"/>
      <c r="T73" s="887"/>
      <c r="U73" s="887"/>
      <c r="V73" s="887"/>
      <c r="W73" s="887"/>
      <c r="X73" s="887"/>
      <c r="Y73" s="887"/>
      <c r="Z73" s="887"/>
      <c r="AA73" s="887"/>
      <c r="AB73" s="887"/>
      <c r="AC73" s="887"/>
      <c r="AD73" s="887"/>
      <c r="AE73" s="887"/>
      <c r="AF73" s="887"/>
      <c r="AG73" s="887"/>
      <c r="AH73" s="887"/>
      <c r="AI73" s="887"/>
      <c r="AJ73" s="887"/>
      <c r="AK73" s="887"/>
      <c r="AL73" s="887"/>
      <c r="AM73" s="887"/>
      <c r="AN73" s="887"/>
      <c r="AO73" s="887"/>
    </row>
    <row r="74" spans="1:41" s="888" customFormat="1" ht="23.25" customHeight="1">
      <c r="A74" s="882">
        <v>58</v>
      </c>
      <c r="B74" s="856" t="str">
        <f>'TH KẾ TOÁN'!C167</f>
        <v xml:space="preserve">Vỏ hộp Green home 30x60 (8v) </v>
      </c>
      <c r="C74" s="856" t="str">
        <f>'TH KẾ TOÁN'!B167</f>
        <v>NVLKM04.109</v>
      </c>
      <c r="D74" s="889" t="str">
        <f>'TH KẾ TOÁN'!D167</f>
        <v>Cái</v>
      </c>
      <c r="E74" s="858">
        <v>3835</v>
      </c>
      <c r="F74" s="883">
        <v>4800</v>
      </c>
      <c r="G74" s="883">
        <f t="shared" si="1"/>
        <v>4800</v>
      </c>
      <c r="H74" s="883">
        <f t="shared" si="0"/>
        <v>965</v>
      </c>
      <c r="I74" s="890"/>
      <c r="J74" s="891"/>
      <c r="K74" s="892"/>
      <c r="L74" s="886"/>
      <c r="M74" s="858">
        <v>3835</v>
      </c>
      <c r="N74" s="1357">
        <f t="shared" si="2"/>
        <v>965</v>
      </c>
      <c r="O74" s="858">
        <v>3835</v>
      </c>
      <c r="P74" s="1358">
        <f t="shared" si="3"/>
        <v>965</v>
      </c>
      <c r="Q74" s="887"/>
      <c r="R74" s="887"/>
      <c r="S74" s="887"/>
      <c r="T74" s="887"/>
      <c r="U74" s="887"/>
      <c r="V74" s="887"/>
      <c r="W74" s="887"/>
      <c r="X74" s="887"/>
      <c r="Y74" s="887"/>
      <c r="Z74" s="887"/>
      <c r="AA74" s="887"/>
      <c r="AB74" s="887"/>
      <c r="AC74" s="887"/>
      <c r="AD74" s="887"/>
      <c r="AE74" s="887"/>
      <c r="AF74" s="887"/>
      <c r="AG74" s="887"/>
      <c r="AH74" s="887"/>
      <c r="AI74" s="887"/>
      <c r="AJ74" s="887"/>
      <c r="AK74" s="887"/>
      <c r="AL74" s="887"/>
      <c r="AM74" s="887"/>
      <c r="AN74" s="887"/>
      <c r="AO74" s="887"/>
    </row>
    <row r="75" spans="1:41" s="888" customFormat="1" ht="23.25" customHeight="1">
      <c r="A75" s="882">
        <v>59</v>
      </c>
      <c r="B75" s="856" t="str">
        <f>'TH KẾ TOÁN'!C168</f>
        <v>Vỏ hộp Green home 600*600 (t/5v)</v>
      </c>
      <c r="C75" s="856" t="str">
        <f>'TH KẾ TOÁN'!B168</f>
        <v>NVLKM04.110</v>
      </c>
      <c r="D75" s="889" t="str">
        <f>'TH KẾ TOÁN'!D168</f>
        <v>Cái</v>
      </c>
      <c r="E75" s="858">
        <v>2980</v>
      </c>
      <c r="F75" s="883">
        <f>'[2]TH KẾ TOÁN'!K165</f>
        <v>2980</v>
      </c>
      <c r="G75" s="883">
        <f t="shared" si="1"/>
        <v>2980</v>
      </c>
      <c r="H75" s="883">
        <f t="shared" si="0"/>
        <v>0</v>
      </c>
      <c r="I75" s="890"/>
      <c r="J75" s="891"/>
      <c r="K75" s="892"/>
      <c r="L75" s="886"/>
      <c r="M75" s="858">
        <v>2980</v>
      </c>
      <c r="N75" s="1357">
        <f t="shared" si="2"/>
        <v>0</v>
      </c>
      <c r="O75" s="858">
        <v>2980</v>
      </c>
      <c r="P75" s="1358">
        <f t="shared" si="3"/>
        <v>0</v>
      </c>
      <c r="Q75" s="887"/>
      <c r="R75" s="887"/>
      <c r="S75" s="887"/>
      <c r="T75" s="887"/>
      <c r="U75" s="887"/>
      <c r="V75" s="887"/>
      <c r="W75" s="887"/>
      <c r="X75" s="887"/>
      <c r="Y75" s="887"/>
      <c r="Z75" s="887"/>
      <c r="AA75" s="887"/>
      <c r="AB75" s="887"/>
      <c r="AC75" s="887"/>
      <c r="AD75" s="887"/>
      <c r="AE75" s="887"/>
      <c r="AF75" s="887"/>
      <c r="AG75" s="887"/>
      <c r="AH75" s="887"/>
      <c r="AI75" s="887"/>
      <c r="AJ75" s="887"/>
      <c r="AK75" s="887"/>
      <c r="AL75" s="887"/>
      <c r="AM75" s="887"/>
      <c r="AN75" s="887"/>
      <c r="AO75" s="887"/>
    </row>
    <row r="76" spans="1:41" s="888" customFormat="1" ht="23.25" customHeight="1">
      <c r="A76" s="882">
        <v>60</v>
      </c>
      <c r="B76" s="856" t="str">
        <f>'TH KẾ TOÁN'!C169</f>
        <v>Vỏ hộp Green home 500*500 (t/6v)</v>
      </c>
      <c r="C76" s="856" t="str">
        <f>'TH KẾ TOÁN'!B169</f>
        <v>NVLKM04.111</v>
      </c>
      <c r="D76" s="889" t="str">
        <f>'TH KẾ TOÁN'!D169</f>
        <v>Cái</v>
      </c>
      <c r="E76" s="858">
        <v>600</v>
      </c>
      <c r="F76" s="883">
        <f>'[2]TH KẾ TOÁN'!K166</f>
        <v>600</v>
      </c>
      <c r="G76" s="883">
        <f t="shared" si="1"/>
        <v>600</v>
      </c>
      <c r="H76" s="883">
        <f t="shared" ref="H76:H104" si="6">F76-E76</f>
        <v>0</v>
      </c>
      <c r="I76" s="890"/>
      <c r="J76" s="891"/>
      <c r="K76" s="892"/>
      <c r="L76" s="886"/>
      <c r="M76" s="858">
        <v>600</v>
      </c>
      <c r="N76" s="1357">
        <f t="shared" si="2"/>
        <v>0</v>
      </c>
      <c r="O76" s="858">
        <v>600</v>
      </c>
      <c r="P76" s="1358">
        <f t="shared" si="3"/>
        <v>0</v>
      </c>
      <c r="Q76" s="887"/>
      <c r="R76" s="887"/>
      <c r="S76" s="887"/>
      <c r="T76" s="887"/>
      <c r="U76" s="887"/>
      <c r="V76" s="887"/>
      <c r="W76" s="887"/>
      <c r="X76" s="887"/>
      <c r="Y76" s="887"/>
      <c r="Z76" s="887"/>
      <c r="AA76" s="887"/>
      <c r="AB76" s="887"/>
      <c r="AC76" s="887"/>
      <c r="AD76" s="887"/>
      <c r="AE76" s="887"/>
      <c r="AF76" s="887"/>
      <c r="AG76" s="887"/>
      <c r="AH76" s="887"/>
      <c r="AI76" s="887"/>
      <c r="AJ76" s="887"/>
      <c r="AK76" s="887"/>
      <c r="AL76" s="887"/>
      <c r="AM76" s="887"/>
      <c r="AN76" s="887"/>
      <c r="AO76" s="887"/>
    </row>
    <row r="77" spans="1:41" s="888" customFormat="1" ht="23.25" customHeight="1">
      <c r="A77" s="882">
        <v>61</v>
      </c>
      <c r="B77" s="856" t="str">
        <f>'TH KẾ TOÁN'!C170</f>
        <v>Vỏ hộp Lustile 30x60 (8v)</v>
      </c>
      <c r="C77" s="856" t="str">
        <f>'TH KẾ TOÁN'!B170</f>
        <v>NVLKM04.112</v>
      </c>
      <c r="D77" s="889" t="str">
        <f>'TH KẾ TOÁN'!D170</f>
        <v>Cái</v>
      </c>
      <c r="E77" s="858">
        <v>8555</v>
      </c>
      <c r="F77" s="883">
        <f>'[2]TH KẾ TOÁN'!K167</f>
        <v>8555</v>
      </c>
      <c r="G77" s="883">
        <f t="shared" si="1"/>
        <v>8555</v>
      </c>
      <c r="H77" s="883">
        <f t="shared" si="6"/>
        <v>0</v>
      </c>
      <c r="I77" s="890"/>
      <c r="J77" s="891"/>
      <c r="K77" s="892"/>
      <c r="L77" s="886"/>
      <c r="M77" s="858">
        <v>8555</v>
      </c>
      <c r="N77" s="1357">
        <f t="shared" si="2"/>
        <v>0</v>
      </c>
      <c r="O77" s="858">
        <v>8555</v>
      </c>
      <c r="P77" s="1358">
        <f t="shared" si="3"/>
        <v>0</v>
      </c>
      <c r="Q77" s="887"/>
      <c r="R77" s="887"/>
      <c r="S77" s="887"/>
      <c r="T77" s="887"/>
      <c r="U77" s="887"/>
      <c r="V77" s="887"/>
      <c r="W77" s="887"/>
      <c r="X77" s="887"/>
      <c r="Y77" s="887"/>
      <c r="Z77" s="887"/>
      <c r="AA77" s="887"/>
      <c r="AB77" s="887"/>
      <c r="AC77" s="887"/>
      <c r="AD77" s="887"/>
      <c r="AE77" s="887"/>
      <c r="AF77" s="887"/>
      <c r="AG77" s="887"/>
      <c r="AH77" s="887"/>
      <c r="AI77" s="887"/>
      <c r="AJ77" s="887"/>
      <c r="AK77" s="887"/>
      <c r="AL77" s="887"/>
      <c r="AM77" s="887"/>
      <c r="AN77" s="887"/>
      <c r="AO77" s="887"/>
    </row>
    <row r="78" spans="1:41" s="888" customFormat="1" ht="23.25" customHeight="1">
      <c r="A78" s="882">
        <v>62</v>
      </c>
      <c r="B78" s="856" t="str">
        <f>'TH KẾ TOÁN'!C171</f>
        <v>Vỏ hộp Luxury 40x80 (4v) nâu</v>
      </c>
      <c r="C78" s="856" t="str">
        <f>'TH KẾ TOÁN'!B171</f>
        <v>NVLKM04.113</v>
      </c>
      <c r="D78" s="889" t="str">
        <f>'TH KẾ TOÁN'!D171</f>
        <v>Cái</v>
      </c>
      <c r="E78" s="858">
        <v>0</v>
      </c>
      <c r="F78" s="883">
        <f>'[2]TH KẾ TOÁN'!K168</f>
        <v>0</v>
      </c>
      <c r="G78" s="883">
        <f t="shared" si="1"/>
        <v>0</v>
      </c>
      <c r="H78" s="883">
        <f t="shared" si="6"/>
        <v>0</v>
      </c>
      <c r="I78" s="890"/>
      <c r="J78" s="891"/>
      <c r="K78" s="892"/>
      <c r="L78" s="886"/>
      <c r="M78" s="858">
        <v>0</v>
      </c>
      <c r="N78" s="1357">
        <f t="shared" si="2"/>
        <v>0</v>
      </c>
      <c r="O78" s="858">
        <v>0</v>
      </c>
      <c r="P78" s="1358">
        <f t="shared" si="3"/>
        <v>0</v>
      </c>
      <c r="Q78" s="887"/>
      <c r="R78" s="887"/>
      <c r="S78" s="887"/>
      <c r="T78" s="887"/>
      <c r="U78" s="887"/>
      <c r="V78" s="887"/>
      <c r="W78" s="887"/>
      <c r="X78" s="887"/>
      <c r="Y78" s="887"/>
      <c r="Z78" s="887"/>
      <c r="AA78" s="887"/>
      <c r="AB78" s="887"/>
      <c r="AC78" s="887"/>
      <c r="AD78" s="887"/>
      <c r="AE78" s="887"/>
      <c r="AF78" s="887"/>
      <c r="AG78" s="887"/>
      <c r="AH78" s="887"/>
      <c r="AI78" s="887"/>
      <c r="AJ78" s="887"/>
      <c r="AK78" s="887"/>
      <c r="AL78" s="887"/>
      <c r="AM78" s="887"/>
      <c r="AN78" s="887"/>
      <c r="AO78" s="887"/>
    </row>
    <row r="79" spans="1:41" s="888" customFormat="1" ht="23.25" customHeight="1">
      <c r="A79" s="882">
        <v>63</v>
      </c>
      <c r="B79" s="856" t="str">
        <f>'TH KẾ TOÁN'!C172</f>
        <v>Vỏ hộp Green home nâu 40x80 (4v)</v>
      </c>
      <c r="C79" s="856" t="str">
        <f>'TH KẾ TOÁN'!B172</f>
        <v>NVLKM04.114</v>
      </c>
      <c r="D79" s="889" t="str">
        <f>'TH KẾ TOÁN'!D172</f>
        <v>Cái</v>
      </c>
      <c r="E79" s="858">
        <v>0</v>
      </c>
      <c r="F79" s="883">
        <f>'[2]TH KẾ TOÁN'!K169</f>
        <v>0</v>
      </c>
      <c r="G79" s="883">
        <f t="shared" si="1"/>
        <v>0</v>
      </c>
      <c r="H79" s="883">
        <f t="shared" si="6"/>
        <v>0</v>
      </c>
      <c r="I79" s="890"/>
      <c r="J79" s="891"/>
      <c r="K79" s="892"/>
      <c r="L79" s="886"/>
      <c r="M79" s="858">
        <v>0</v>
      </c>
      <c r="N79" s="1357">
        <f t="shared" si="2"/>
        <v>0</v>
      </c>
      <c r="O79" s="858">
        <v>0</v>
      </c>
      <c r="P79" s="1358">
        <f t="shared" si="3"/>
        <v>0</v>
      </c>
      <c r="Q79" s="887"/>
      <c r="R79" s="887"/>
      <c r="S79" s="887"/>
      <c r="T79" s="887"/>
      <c r="U79" s="887"/>
      <c r="V79" s="887"/>
      <c r="W79" s="887"/>
      <c r="X79" s="887"/>
      <c r="Y79" s="887"/>
      <c r="Z79" s="887"/>
      <c r="AA79" s="887"/>
      <c r="AB79" s="887"/>
      <c r="AC79" s="887"/>
      <c r="AD79" s="887"/>
      <c r="AE79" s="887"/>
      <c r="AF79" s="887"/>
      <c r="AG79" s="887"/>
      <c r="AH79" s="887"/>
      <c r="AI79" s="887"/>
      <c r="AJ79" s="887"/>
      <c r="AK79" s="887"/>
      <c r="AL79" s="887"/>
      <c r="AM79" s="887"/>
      <c r="AN79" s="887"/>
      <c r="AO79" s="887"/>
    </row>
    <row r="80" spans="1:41" s="888" customFormat="1" ht="23.25" customHeight="1">
      <c r="A80" s="882">
        <v>64</v>
      </c>
      <c r="B80" s="856" t="str">
        <f>'TH KẾ TOÁN'!C173</f>
        <v>Vỏ hộp Green Era nâu 40x80 (4v)</v>
      </c>
      <c r="C80" s="856" t="str">
        <f>'TH KẾ TOÁN'!B173</f>
        <v>NVLKM04.115</v>
      </c>
      <c r="D80" s="889" t="str">
        <f>'TH KẾ TOÁN'!D173</f>
        <v>Cái</v>
      </c>
      <c r="E80" s="858">
        <v>0</v>
      </c>
      <c r="F80" s="883">
        <f>'[2]TH KẾ TOÁN'!K170</f>
        <v>0</v>
      </c>
      <c r="G80" s="883">
        <f t="shared" si="1"/>
        <v>0</v>
      </c>
      <c r="H80" s="883">
        <f t="shared" si="6"/>
        <v>0</v>
      </c>
      <c r="I80" s="890"/>
      <c r="J80" s="891"/>
      <c r="K80" s="892"/>
      <c r="L80" s="893"/>
      <c r="M80" s="858">
        <v>0</v>
      </c>
      <c r="N80" s="1357">
        <f t="shared" si="2"/>
        <v>0</v>
      </c>
      <c r="O80" s="858">
        <v>0</v>
      </c>
      <c r="P80" s="1358">
        <f t="shared" si="3"/>
        <v>0</v>
      </c>
      <c r="Q80" s="887"/>
      <c r="R80" s="887"/>
      <c r="S80" s="887"/>
      <c r="T80" s="887"/>
      <c r="U80" s="887"/>
      <c r="V80" s="887"/>
      <c r="W80" s="887"/>
      <c r="X80" s="887"/>
      <c r="Y80" s="887"/>
      <c r="Z80" s="887"/>
      <c r="AA80" s="887"/>
      <c r="AB80" s="887"/>
      <c r="AC80" s="887"/>
      <c r="AD80" s="887"/>
      <c r="AE80" s="887"/>
      <c r="AF80" s="887"/>
      <c r="AG80" s="887"/>
      <c r="AH80" s="887"/>
      <c r="AI80" s="887"/>
      <c r="AJ80" s="887"/>
      <c r="AK80" s="887"/>
      <c r="AL80" s="887"/>
      <c r="AM80" s="887"/>
      <c r="AN80" s="887"/>
      <c r="AO80" s="887"/>
    </row>
    <row r="81" spans="1:41" s="888" customFormat="1" ht="23.25" customHeight="1">
      <c r="A81" s="882">
        <v>65</v>
      </c>
      <c r="B81" s="856" t="str">
        <f>'TH KẾ TOÁN'!C174</f>
        <v>Vỏ hộp Lustile nâu 40x80 (4v)</v>
      </c>
      <c r="C81" s="856" t="str">
        <f>'TH KẾ TOÁN'!B174</f>
        <v>NVLKM04.116</v>
      </c>
      <c r="D81" s="889" t="str">
        <f>'TH KẾ TOÁN'!D174</f>
        <v>Cái</v>
      </c>
      <c r="E81" s="858">
        <v>1920</v>
      </c>
      <c r="F81" s="883">
        <f>'[2]TH KẾ TOÁN'!K171</f>
        <v>1920</v>
      </c>
      <c r="G81" s="883">
        <f t="shared" si="1"/>
        <v>1920</v>
      </c>
      <c r="H81" s="883">
        <f t="shared" si="6"/>
        <v>0</v>
      </c>
      <c r="I81" s="890"/>
      <c r="J81" s="891"/>
      <c r="K81" s="892"/>
      <c r="L81" s="893"/>
      <c r="M81" s="858">
        <v>1920</v>
      </c>
      <c r="N81" s="1357">
        <f t="shared" si="2"/>
        <v>0</v>
      </c>
      <c r="O81" s="858">
        <v>1920</v>
      </c>
      <c r="P81" s="1358">
        <f t="shared" si="3"/>
        <v>0</v>
      </c>
      <c r="Q81" s="887"/>
      <c r="R81" s="887"/>
      <c r="S81" s="887"/>
      <c r="T81" s="887"/>
      <c r="U81" s="887"/>
      <c r="V81" s="887"/>
      <c r="W81" s="887"/>
      <c r="X81" s="887"/>
      <c r="Y81" s="887"/>
      <c r="Z81" s="887"/>
      <c r="AA81" s="887"/>
      <c r="AB81" s="887"/>
      <c r="AC81" s="887"/>
      <c r="AD81" s="887"/>
      <c r="AE81" s="887"/>
      <c r="AF81" s="887"/>
      <c r="AG81" s="887"/>
      <c r="AH81" s="887"/>
      <c r="AI81" s="887"/>
      <c r="AJ81" s="887"/>
      <c r="AK81" s="887"/>
      <c r="AL81" s="887"/>
      <c r="AM81" s="887"/>
      <c r="AN81" s="887"/>
      <c r="AO81" s="887"/>
    </row>
    <row r="82" spans="1:41" s="888" customFormat="1" ht="23.25" customHeight="1">
      <c r="A82" s="882">
        <v>66</v>
      </c>
      <c r="B82" s="856" t="str">
        <f>'TH KẾ TOÁN'!C175</f>
        <v>Vỏ hộp Unitile nâu 40x80 (4v)</v>
      </c>
      <c r="C82" s="856" t="str">
        <f>'TH KẾ TOÁN'!B175</f>
        <v>NVLKM04.117</v>
      </c>
      <c r="D82" s="889" t="str">
        <f>'TH KẾ TOÁN'!D175</f>
        <v>Cái</v>
      </c>
      <c r="E82" s="858">
        <v>0</v>
      </c>
      <c r="F82" s="883">
        <f>'[2]TH KẾ TOÁN'!K172</f>
        <v>0</v>
      </c>
      <c r="G82" s="883">
        <f t="shared" si="1"/>
        <v>0</v>
      </c>
      <c r="H82" s="883">
        <f t="shared" si="6"/>
        <v>0</v>
      </c>
      <c r="I82" s="890"/>
      <c r="J82" s="891"/>
      <c r="K82" s="892"/>
      <c r="L82" s="893"/>
      <c r="M82" s="858">
        <v>0</v>
      </c>
      <c r="N82" s="1357">
        <f t="shared" ref="N82:N108" si="7">F82-M82</f>
        <v>0</v>
      </c>
      <c r="O82" s="858">
        <v>0</v>
      </c>
      <c r="P82" s="1358">
        <f t="shared" ref="P82:P108" si="8">G82-O82</f>
        <v>0</v>
      </c>
      <c r="Q82" s="887"/>
      <c r="R82" s="887"/>
      <c r="S82" s="887"/>
      <c r="T82" s="887"/>
      <c r="U82" s="887"/>
      <c r="V82" s="887"/>
      <c r="W82" s="887"/>
      <c r="X82" s="887"/>
      <c r="Y82" s="887"/>
      <c r="Z82" s="887"/>
      <c r="AA82" s="887"/>
      <c r="AB82" s="887"/>
      <c r="AC82" s="887"/>
      <c r="AD82" s="887"/>
      <c r="AE82" s="887"/>
      <c r="AF82" s="887"/>
      <c r="AG82" s="887"/>
      <c r="AH82" s="887"/>
      <c r="AI82" s="887"/>
      <c r="AJ82" s="887"/>
      <c r="AK82" s="887"/>
      <c r="AL82" s="887"/>
      <c r="AM82" s="887"/>
      <c r="AN82" s="887"/>
      <c r="AO82" s="887"/>
    </row>
    <row r="83" spans="1:41" s="888" customFormat="1" ht="23.25" customHeight="1">
      <c r="A83" s="882">
        <v>67</v>
      </c>
      <c r="B83" s="856" t="str">
        <f>'TH KẾ TOÁN'!C176</f>
        <v>Vỏ hộp Havira nâu 40x80 (4v)</v>
      </c>
      <c r="C83" s="856" t="str">
        <f>'TH KẾ TOÁN'!B176</f>
        <v>NVLKM04.118</v>
      </c>
      <c r="D83" s="889" t="str">
        <f>'TH KẾ TOÁN'!D176</f>
        <v>Cái</v>
      </c>
      <c r="E83" s="858">
        <v>0</v>
      </c>
      <c r="F83" s="883">
        <f>'[2]TH KẾ TOÁN'!K173</f>
        <v>0</v>
      </c>
      <c r="G83" s="883">
        <f t="shared" si="1"/>
        <v>0</v>
      </c>
      <c r="H83" s="883">
        <f t="shared" si="6"/>
        <v>0</v>
      </c>
      <c r="I83" s="890"/>
      <c r="J83" s="891"/>
      <c r="K83" s="892"/>
      <c r="L83" s="893"/>
      <c r="M83" s="858">
        <v>0</v>
      </c>
      <c r="N83" s="1357">
        <f t="shared" si="7"/>
        <v>0</v>
      </c>
      <c r="O83" s="858">
        <v>0</v>
      </c>
      <c r="P83" s="1358">
        <f t="shared" si="8"/>
        <v>0</v>
      </c>
      <c r="Q83" s="887"/>
      <c r="R83" s="887"/>
      <c r="S83" s="887"/>
      <c r="T83" s="887"/>
      <c r="U83" s="887"/>
      <c r="V83" s="887"/>
      <c r="W83" s="887"/>
      <c r="X83" s="887"/>
      <c r="Y83" s="887"/>
      <c r="Z83" s="887"/>
      <c r="AA83" s="887"/>
      <c r="AB83" s="887"/>
      <c r="AC83" s="887"/>
      <c r="AD83" s="887"/>
      <c r="AE83" s="887"/>
      <c r="AF83" s="887"/>
      <c r="AG83" s="887"/>
      <c r="AH83" s="887"/>
      <c r="AI83" s="887"/>
      <c r="AJ83" s="887"/>
      <c r="AK83" s="887"/>
      <c r="AL83" s="887"/>
      <c r="AM83" s="887"/>
      <c r="AN83" s="887"/>
      <c r="AO83" s="887"/>
    </row>
    <row r="84" spans="1:41" s="888" customFormat="1" ht="23.25" customHeight="1">
      <c r="A84" s="882">
        <v>68</v>
      </c>
      <c r="B84" s="856" t="str">
        <f>'TH KẾ TOÁN'!C177</f>
        <v>Vỏ hộp Pana tiles nâu 40x80 (4v)</v>
      </c>
      <c r="C84" s="856" t="str">
        <f>'TH KẾ TOÁN'!B177</f>
        <v>NVLKM04.119</v>
      </c>
      <c r="D84" s="889" t="str">
        <f>'TH KẾ TOÁN'!D177</f>
        <v>Cái</v>
      </c>
      <c r="E84" s="858">
        <v>0</v>
      </c>
      <c r="F84" s="883">
        <f>'[2]TH KẾ TOÁN'!K174</f>
        <v>0</v>
      </c>
      <c r="G84" s="883">
        <f t="shared" si="1"/>
        <v>0</v>
      </c>
      <c r="H84" s="883">
        <f t="shared" si="6"/>
        <v>0</v>
      </c>
      <c r="I84" s="890"/>
      <c r="J84" s="891"/>
      <c r="K84" s="892"/>
      <c r="L84" s="893"/>
      <c r="M84" s="858">
        <v>0</v>
      </c>
      <c r="N84" s="1357">
        <f t="shared" si="7"/>
        <v>0</v>
      </c>
      <c r="O84" s="858">
        <v>0</v>
      </c>
      <c r="P84" s="1358">
        <f t="shared" si="8"/>
        <v>0</v>
      </c>
      <c r="Q84" s="887"/>
      <c r="R84" s="887"/>
      <c r="S84" s="887"/>
      <c r="T84" s="887"/>
      <c r="U84" s="887"/>
      <c r="V84" s="887"/>
      <c r="W84" s="887"/>
      <c r="X84" s="887"/>
      <c r="Y84" s="887"/>
      <c r="Z84" s="887"/>
      <c r="AA84" s="887"/>
      <c r="AB84" s="887"/>
      <c r="AC84" s="887"/>
      <c r="AD84" s="887"/>
      <c r="AE84" s="887"/>
      <c r="AF84" s="887"/>
      <c r="AG84" s="887"/>
      <c r="AH84" s="887"/>
      <c r="AI84" s="887"/>
      <c r="AJ84" s="887"/>
      <c r="AK84" s="887"/>
      <c r="AL84" s="887"/>
      <c r="AM84" s="887"/>
      <c r="AN84" s="887"/>
      <c r="AO84" s="887"/>
    </row>
    <row r="85" spans="1:41" s="888" customFormat="1" ht="23.25" customHeight="1">
      <c r="A85" s="882">
        <v>69</v>
      </c>
      <c r="B85" s="856" t="str">
        <f>'TH KẾ TOÁN'!C178</f>
        <v>Vỏ hộp Pana tiles nâu 30x60 (8v)</v>
      </c>
      <c r="C85" s="856" t="str">
        <f>'TH KẾ TOÁN'!B178</f>
        <v>NVLKM04.120</v>
      </c>
      <c r="D85" s="889" t="str">
        <f>'TH KẾ TOÁN'!D178</f>
        <v>Cái</v>
      </c>
      <c r="E85" s="858">
        <v>540</v>
      </c>
      <c r="F85" s="883">
        <v>1000</v>
      </c>
      <c r="G85" s="883">
        <f t="shared" si="1"/>
        <v>1000</v>
      </c>
      <c r="H85" s="883">
        <f t="shared" si="6"/>
        <v>460</v>
      </c>
      <c r="I85" s="890"/>
      <c r="J85" s="891"/>
      <c r="K85" s="892"/>
      <c r="L85" s="893"/>
      <c r="M85" s="858">
        <v>540</v>
      </c>
      <c r="N85" s="1357">
        <f t="shared" si="7"/>
        <v>460</v>
      </c>
      <c r="O85" s="858">
        <v>540</v>
      </c>
      <c r="P85" s="1358">
        <f t="shared" si="8"/>
        <v>460</v>
      </c>
      <c r="Q85" s="887"/>
      <c r="R85" s="887"/>
      <c r="S85" s="887"/>
      <c r="T85" s="887"/>
      <c r="U85" s="887"/>
      <c r="V85" s="887"/>
      <c r="W85" s="887"/>
      <c r="X85" s="887"/>
      <c r="Y85" s="887"/>
      <c r="Z85" s="887"/>
      <c r="AA85" s="887"/>
      <c r="AB85" s="887"/>
      <c r="AC85" s="887"/>
      <c r="AD85" s="887"/>
      <c r="AE85" s="887"/>
      <c r="AF85" s="887"/>
      <c r="AG85" s="887"/>
      <c r="AH85" s="887"/>
      <c r="AI85" s="887"/>
      <c r="AJ85" s="887"/>
      <c r="AK85" s="887"/>
      <c r="AL85" s="887"/>
      <c r="AM85" s="887"/>
      <c r="AN85" s="887"/>
      <c r="AO85" s="887"/>
    </row>
    <row r="86" spans="1:41" s="888" customFormat="1" ht="23.25" customHeight="1">
      <c r="A86" s="882">
        <v>70</v>
      </c>
      <c r="B86" s="856" t="str">
        <f>'TH KẾ TOÁN'!C179</f>
        <v>Vỏ hộp Top One 40x80 (4v)- Giấy nâu</v>
      </c>
      <c r="C86" s="856" t="str">
        <f>'TH KẾ TOÁN'!B179</f>
        <v>NVLKM04.122</v>
      </c>
      <c r="D86" s="889" t="str">
        <f>'TH KẾ TOÁN'!D179</f>
        <v>Cái</v>
      </c>
      <c r="E86" s="858">
        <v>0</v>
      </c>
      <c r="F86" s="883">
        <f>'[2]TH KẾ TOÁN'!K176</f>
        <v>0</v>
      </c>
      <c r="G86" s="883">
        <f t="shared" si="1"/>
        <v>0</v>
      </c>
      <c r="H86" s="883">
        <f t="shared" si="6"/>
        <v>0</v>
      </c>
      <c r="I86" s="890"/>
      <c r="J86" s="891"/>
      <c r="K86" s="892"/>
      <c r="L86" s="893"/>
      <c r="M86" s="858">
        <v>0</v>
      </c>
      <c r="N86" s="1357">
        <f t="shared" si="7"/>
        <v>0</v>
      </c>
      <c r="O86" s="858">
        <v>0</v>
      </c>
      <c r="P86" s="1358">
        <f t="shared" si="8"/>
        <v>0</v>
      </c>
      <c r="Q86" s="887"/>
      <c r="R86" s="887"/>
      <c r="S86" s="887"/>
      <c r="T86" s="887"/>
      <c r="U86" s="887"/>
      <c r="V86" s="887"/>
      <c r="W86" s="887"/>
      <c r="X86" s="887"/>
      <c r="Y86" s="887"/>
      <c r="Z86" s="887"/>
      <c r="AA86" s="887"/>
      <c r="AB86" s="887"/>
      <c r="AC86" s="887"/>
      <c r="AD86" s="887"/>
      <c r="AE86" s="887"/>
      <c r="AF86" s="887"/>
      <c r="AG86" s="887"/>
      <c r="AH86" s="887"/>
      <c r="AI86" s="887"/>
      <c r="AJ86" s="887"/>
      <c r="AK86" s="887"/>
      <c r="AL86" s="887"/>
      <c r="AM86" s="887"/>
      <c r="AN86" s="887"/>
      <c r="AO86" s="887"/>
    </row>
    <row r="87" spans="1:41" s="888" customFormat="1" ht="23.25" customHeight="1">
      <c r="A87" s="882">
        <v>71</v>
      </c>
      <c r="B87" s="856" t="str">
        <f>'TH KẾ TOÁN'!C180</f>
        <v>Vỏ hộp Top One 30x60 (8v)- Giấy nâu</v>
      </c>
      <c r="C87" s="856" t="str">
        <f>'TH KẾ TOÁN'!B180</f>
        <v>NVLKM04.123</v>
      </c>
      <c r="D87" s="889" t="str">
        <f>'TH KẾ TOÁN'!D180</f>
        <v>Cái</v>
      </c>
      <c r="E87" s="858">
        <v>3050</v>
      </c>
      <c r="F87" s="883">
        <v>4800</v>
      </c>
      <c r="G87" s="883">
        <f t="shared" si="1"/>
        <v>4800</v>
      </c>
      <c r="H87" s="883">
        <f t="shared" si="6"/>
        <v>1750</v>
      </c>
      <c r="I87" s="890"/>
      <c r="J87" s="891"/>
      <c r="K87" s="892"/>
      <c r="L87" s="893"/>
      <c r="M87" s="858">
        <v>3050</v>
      </c>
      <c r="N87" s="1357">
        <f t="shared" si="7"/>
        <v>1750</v>
      </c>
      <c r="O87" s="858">
        <v>3050</v>
      </c>
      <c r="P87" s="1358">
        <f t="shared" si="8"/>
        <v>1750</v>
      </c>
      <c r="Q87" s="887"/>
      <c r="R87" s="887"/>
      <c r="S87" s="887"/>
      <c r="T87" s="887"/>
      <c r="U87" s="887"/>
      <c r="V87" s="887"/>
      <c r="W87" s="887"/>
      <c r="X87" s="887"/>
      <c r="Y87" s="887"/>
      <c r="Z87" s="887"/>
      <c r="AA87" s="887"/>
      <c r="AB87" s="887"/>
      <c r="AC87" s="887"/>
      <c r="AD87" s="887"/>
      <c r="AE87" s="887"/>
      <c r="AF87" s="887"/>
      <c r="AG87" s="887"/>
      <c r="AH87" s="887"/>
      <c r="AI87" s="887"/>
      <c r="AJ87" s="887"/>
      <c r="AK87" s="887"/>
      <c r="AL87" s="887"/>
      <c r="AM87" s="887"/>
      <c r="AN87" s="887"/>
      <c r="AO87" s="887"/>
    </row>
    <row r="88" spans="1:41" s="888" customFormat="1" ht="23.25" customHeight="1">
      <c r="A88" s="882">
        <v>72</v>
      </c>
      <c r="B88" s="856" t="str">
        <f>'TH KẾ TOÁN'!C181</f>
        <v>Vỏ hộp ESP 40x80 (4v) nâu</v>
      </c>
      <c r="C88" s="856" t="str">
        <f>'TH KẾ TOÁN'!B181</f>
        <v>NVLKM04.124</v>
      </c>
      <c r="D88" s="889" t="str">
        <f>'TH KẾ TOÁN'!D181</f>
        <v>Cái</v>
      </c>
      <c r="E88" s="858">
        <v>0</v>
      </c>
      <c r="F88" s="883">
        <f>'[2]TH KẾ TOÁN'!K178</f>
        <v>0</v>
      </c>
      <c r="G88" s="883">
        <f t="shared" si="1"/>
        <v>0</v>
      </c>
      <c r="H88" s="883">
        <f t="shared" si="6"/>
        <v>0</v>
      </c>
      <c r="I88" s="890"/>
      <c r="J88" s="891"/>
      <c r="K88" s="892"/>
      <c r="L88" s="893"/>
      <c r="M88" s="858">
        <v>0</v>
      </c>
      <c r="N88" s="1357">
        <f t="shared" si="7"/>
        <v>0</v>
      </c>
      <c r="O88" s="858">
        <v>0</v>
      </c>
      <c r="P88" s="1358">
        <f t="shared" si="8"/>
        <v>0</v>
      </c>
      <c r="Q88" s="887"/>
      <c r="R88" s="887"/>
      <c r="S88" s="887"/>
      <c r="T88" s="887"/>
      <c r="U88" s="887"/>
      <c r="V88" s="887"/>
      <c r="W88" s="887"/>
      <c r="X88" s="887"/>
      <c r="Y88" s="887"/>
      <c r="Z88" s="887"/>
      <c r="AA88" s="887"/>
      <c r="AB88" s="887"/>
      <c r="AC88" s="887"/>
      <c r="AD88" s="887"/>
      <c r="AE88" s="887"/>
      <c r="AF88" s="887"/>
      <c r="AG88" s="887"/>
      <c r="AH88" s="887"/>
      <c r="AI88" s="887"/>
      <c r="AJ88" s="887"/>
      <c r="AK88" s="887"/>
      <c r="AL88" s="887"/>
      <c r="AM88" s="887"/>
      <c r="AN88" s="887"/>
      <c r="AO88" s="887"/>
    </row>
    <row r="89" spans="1:41" s="888" customFormat="1" ht="23.25" customHeight="1">
      <c r="A89" s="882">
        <v>73</v>
      </c>
      <c r="B89" s="856" t="str">
        <f>'TH KẾ TOÁN'!C182</f>
        <v>Vỏ hộp Top one 500*500 (t/6v) nâu</v>
      </c>
      <c r="C89" s="856" t="str">
        <f>'TH KẾ TOÁN'!B182</f>
        <v>NVLKM04.125</v>
      </c>
      <c r="D89" s="889" t="str">
        <f>'TH KẾ TOÁN'!D182</f>
        <v>Cái</v>
      </c>
      <c r="E89" s="858">
        <v>1300</v>
      </c>
      <c r="F89" s="883">
        <f>'[2]TH KẾ TOÁN'!K179</f>
        <v>1300</v>
      </c>
      <c r="G89" s="883">
        <f t="shared" ref="G89:G104" si="9">F89-(F89*K89)</f>
        <v>1300</v>
      </c>
      <c r="H89" s="883">
        <f t="shared" si="6"/>
        <v>0</v>
      </c>
      <c r="I89" s="890"/>
      <c r="J89" s="891"/>
      <c r="K89" s="892"/>
      <c r="L89" s="893"/>
      <c r="M89" s="858">
        <v>1300</v>
      </c>
      <c r="N89" s="1357">
        <f t="shared" si="7"/>
        <v>0</v>
      </c>
      <c r="O89" s="858">
        <v>1300</v>
      </c>
      <c r="P89" s="1358">
        <f t="shared" si="8"/>
        <v>0</v>
      </c>
      <c r="Q89" s="887"/>
      <c r="R89" s="887"/>
      <c r="S89" s="887"/>
      <c r="T89" s="887"/>
      <c r="U89" s="887"/>
      <c r="V89" s="887"/>
      <c r="W89" s="887"/>
      <c r="X89" s="887"/>
      <c r="Y89" s="887"/>
      <c r="Z89" s="887"/>
      <c r="AA89" s="887"/>
      <c r="AB89" s="887"/>
      <c r="AC89" s="887"/>
      <c r="AD89" s="887"/>
      <c r="AE89" s="887"/>
      <c r="AF89" s="887"/>
      <c r="AG89" s="887"/>
      <c r="AH89" s="887"/>
      <c r="AI89" s="887"/>
      <c r="AJ89" s="887"/>
      <c r="AK89" s="887"/>
      <c r="AL89" s="887"/>
      <c r="AM89" s="887"/>
      <c r="AN89" s="887"/>
      <c r="AO89" s="887"/>
    </row>
    <row r="90" spans="1:41" s="888" customFormat="1" ht="23.25" customHeight="1">
      <c r="A90" s="882">
        <v>74</v>
      </c>
      <c r="B90" s="856" t="str">
        <f>'TH KẾ TOÁN'!C183</f>
        <v>Vỏ hộp Green home 60x60 ( 5v) nâu</v>
      </c>
      <c r="C90" s="856" t="str">
        <f>'TH KẾ TOÁN'!B183</f>
        <v>NVLKM04.126</v>
      </c>
      <c r="D90" s="889" t="str">
        <f>'TH KẾ TOÁN'!D183</f>
        <v>Cái</v>
      </c>
      <c r="E90" s="858">
        <v>830</v>
      </c>
      <c r="F90" s="883">
        <f>'[2]TH KẾ TOÁN'!K180</f>
        <v>830</v>
      </c>
      <c r="G90" s="883">
        <f t="shared" si="9"/>
        <v>830</v>
      </c>
      <c r="H90" s="883">
        <f t="shared" si="6"/>
        <v>0</v>
      </c>
      <c r="I90" s="890"/>
      <c r="J90" s="891"/>
      <c r="K90" s="892"/>
      <c r="L90" s="893"/>
      <c r="M90" s="858">
        <v>830</v>
      </c>
      <c r="N90" s="1357">
        <f t="shared" si="7"/>
        <v>0</v>
      </c>
      <c r="O90" s="858">
        <v>830</v>
      </c>
      <c r="P90" s="1358">
        <f t="shared" si="8"/>
        <v>0</v>
      </c>
      <c r="Q90" s="887"/>
      <c r="R90" s="887"/>
      <c r="S90" s="887"/>
      <c r="T90" s="887"/>
      <c r="U90" s="887"/>
      <c r="V90" s="887"/>
      <c r="W90" s="887"/>
      <c r="X90" s="887"/>
      <c r="Y90" s="887"/>
      <c r="Z90" s="887"/>
      <c r="AA90" s="887"/>
      <c r="AB90" s="887"/>
      <c r="AC90" s="887"/>
      <c r="AD90" s="887"/>
      <c r="AE90" s="887"/>
      <c r="AF90" s="887"/>
      <c r="AG90" s="887"/>
      <c r="AH90" s="887"/>
      <c r="AI90" s="887"/>
      <c r="AJ90" s="887"/>
      <c r="AK90" s="887"/>
      <c r="AL90" s="887"/>
      <c r="AM90" s="887"/>
      <c r="AN90" s="887"/>
      <c r="AO90" s="887"/>
    </row>
    <row r="91" spans="1:41" s="888" customFormat="1" ht="23.25" customHeight="1">
      <c r="A91" s="882">
        <v>75</v>
      </c>
      <c r="B91" s="856" t="str">
        <f>'TH KẾ TOÁN'!C184</f>
        <v>Vỏ hộp luxury 60x60 ( 5v) nâu</v>
      </c>
      <c r="C91" s="856" t="str">
        <f>'TH KẾ TOÁN'!B184</f>
        <v>NVLKM04.127</v>
      </c>
      <c r="D91" s="889" t="str">
        <f>'TH KẾ TOÁN'!D184</f>
        <v>Cái</v>
      </c>
      <c r="E91" s="858">
        <v>2070</v>
      </c>
      <c r="F91" s="883">
        <f>'[2]TH KẾ TOÁN'!K181</f>
        <v>2070</v>
      </c>
      <c r="G91" s="883">
        <f t="shared" si="9"/>
        <v>2070</v>
      </c>
      <c r="H91" s="883">
        <f t="shared" si="6"/>
        <v>0</v>
      </c>
      <c r="I91" s="890"/>
      <c r="J91" s="891"/>
      <c r="K91" s="892"/>
      <c r="L91" s="893"/>
      <c r="M91" s="858">
        <v>2070</v>
      </c>
      <c r="N91" s="1357">
        <f t="shared" si="7"/>
        <v>0</v>
      </c>
      <c r="O91" s="858">
        <v>2070</v>
      </c>
      <c r="P91" s="1358">
        <f t="shared" si="8"/>
        <v>0</v>
      </c>
      <c r="Q91" s="887"/>
      <c r="R91" s="887"/>
      <c r="S91" s="887"/>
      <c r="T91" s="887"/>
      <c r="U91" s="887"/>
      <c r="V91" s="887"/>
      <c r="W91" s="887"/>
      <c r="X91" s="887"/>
      <c r="Y91" s="887"/>
      <c r="Z91" s="887"/>
      <c r="AA91" s="887"/>
      <c r="AB91" s="887"/>
      <c r="AC91" s="887"/>
      <c r="AD91" s="887"/>
      <c r="AE91" s="887"/>
      <c r="AF91" s="887"/>
      <c r="AG91" s="887"/>
      <c r="AH91" s="887"/>
      <c r="AI91" s="887"/>
      <c r="AJ91" s="887"/>
      <c r="AK91" s="887"/>
      <c r="AL91" s="887"/>
      <c r="AM91" s="887"/>
      <c r="AN91" s="887"/>
      <c r="AO91" s="887"/>
    </row>
    <row r="92" spans="1:41" s="888" customFormat="1" ht="23.25" customHeight="1">
      <c r="A92" s="882">
        <v>76</v>
      </c>
      <c r="B92" s="856" t="str">
        <f>'TH KẾ TOÁN'!C185</f>
        <v>Vỏ hộp espana 60x60 ( 5v) nâu</v>
      </c>
      <c r="C92" s="856" t="str">
        <f>'TH KẾ TOÁN'!B185</f>
        <v>NVLKM04.128</v>
      </c>
      <c r="D92" s="889" t="str">
        <f>'TH KẾ TOÁN'!D185</f>
        <v>Cái</v>
      </c>
      <c r="E92" s="858">
        <v>1600</v>
      </c>
      <c r="F92" s="883">
        <f>'[2]TH KẾ TOÁN'!K182</f>
        <v>1600</v>
      </c>
      <c r="G92" s="883">
        <f t="shared" si="9"/>
        <v>1600</v>
      </c>
      <c r="H92" s="883">
        <f t="shared" si="6"/>
        <v>0</v>
      </c>
      <c r="I92" s="890"/>
      <c r="J92" s="891"/>
      <c r="K92" s="892"/>
      <c r="L92" s="893"/>
      <c r="M92" s="858">
        <v>1600</v>
      </c>
      <c r="N92" s="1357">
        <f t="shared" si="7"/>
        <v>0</v>
      </c>
      <c r="O92" s="858">
        <v>1600</v>
      </c>
      <c r="P92" s="1358">
        <f t="shared" si="8"/>
        <v>0</v>
      </c>
      <c r="Q92" s="887"/>
      <c r="R92" s="887"/>
      <c r="S92" s="887"/>
      <c r="T92" s="887"/>
      <c r="U92" s="887"/>
      <c r="V92" s="887"/>
      <c r="W92" s="887"/>
      <c r="X92" s="887"/>
      <c r="Y92" s="887"/>
      <c r="Z92" s="887"/>
      <c r="AA92" s="887"/>
      <c r="AB92" s="887"/>
      <c r="AC92" s="887"/>
      <c r="AD92" s="887"/>
      <c r="AE92" s="887"/>
      <c r="AF92" s="887"/>
      <c r="AG92" s="887"/>
      <c r="AH92" s="887"/>
      <c r="AI92" s="887"/>
      <c r="AJ92" s="887"/>
      <c r="AK92" s="887"/>
      <c r="AL92" s="887"/>
      <c r="AM92" s="887"/>
      <c r="AN92" s="887"/>
      <c r="AO92" s="887"/>
    </row>
    <row r="93" spans="1:41" s="888" customFormat="1" ht="23.25" customHeight="1">
      <c r="A93" s="882">
        <v>77</v>
      </c>
      <c r="B93" s="856" t="str">
        <f>'TH KẾ TOÁN'!C186</f>
        <v>Vỏ hộp havira 60x60 ( 5v) nâu</v>
      </c>
      <c r="C93" s="856" t="str">
        <f>'TH KẾ TOÁN'!B186</f>
        <v>NVLKM04.129</v>
      </c>
      <c r="D93" s="889" t="str">
        <f>'TH KẾ TOÁN'!D186</f>
        <v>Cái</v>
      </c>
      <c r="E93" s="858">
        <v>550</v>
      </c>
      <c r="F93" s="883">
        <f>'[2]TH KẾ TOÁN'!K183</f>
        <v>550</v>
      </c>
      <c r="G93" s="883">
        <f t="shared" si="9"/>
        <v>550</v>
      </c>
      <c r="H93" s="883">
        <f t="shared" si="6"/>
        <v>0</v>
      </c>
      <c r="I93" s="890"/>
      <c r="J93" s="891"/>
      <c r="K93" s="892"/>
      <c r="L93" s="893"/>
      <c r="M93" s="858">
        <v>550</v>
      </c>
      <c r="N93" s="1357">
        <f t="shared" si="7"/>
        <v>0</v>
      </c>
      <c r="O93" s="858">
        <v>550</v>
      </c>
      <c r="P93" s="1358">
        <f t="shared" si="8"/>
        <v>0</v>
      </c>
      <c r="Q93" s="887"/>
      <c r="R93" s="887"/>
      <c r="S93" s="887"/>
      <c r="T93" s="887"/>
      <c r="U93" s="887"/>
      <c r="V93" s="887"/>
      <c r="W93" s="887"/>
      <c r="X93" s="887"/>
      <c r="Y93" s="887"/>
      <c r="Z93" s="887"/>
      <c r="AA93" s="887"/>
      <c r="AB93" s="887"/>
      <c r="AC93" s="887"/>
      <c r="AD93" s="887"/>
      <c r="AE93" s="887"/>
      <c r="AF93" s="887"/>
      <c r="AG93" s="887"/>
      <c r="AH93" s="887"/>
      <c r="AI93" s="887"/>
      <c r="AJ93" s="887"/>
      <c r="AK93" s="887"/>
      <c r="AL93" s="887"/>
      <c r="AM93" s="887"/>
      <c r="AN93" s="887"/>
      <c r="AO93" s="887"/>
    </row>
    <row r="94" spans="1:41" s="888" customFormat="1" ht="23.25" customHeight="1">
      <c r="A94" s="882">
        <v>78</v>
      </c>
      <c r="B94" s="856" t="str">
        <f>'TH KẾ TOÁN'!C187</f>
        <v>Vỏ hộp crown 60x60 ( 5v) nâu</v>
      </c>
      <c r="C94" s="856" t="str">
        <f>'TH KẾ TOÁN'!B187</f>
        <v>NVLKM04.130</v>
      </c>
      <c r="D94" s="889" t="str">
        <f>'TH KẾ TOÁN'!D187</f>
        <v>Cái</v>
      </c>
      <c r="E94" s="858">
        <v>0</v>
      </c>
      <c r="F94" s="883">
        <f>'[2]TH KẾ TOÁN'!K184</f>
        <v>0</v>
      </c>
      <c r="G94" s="883">
        <f t="shared" si="9"/>
        <v>0</v>
      </c>
      <c r="H94" s="883">
        <f t="shared" si="6"/>
        <v>0</v>
      </c>
      <c r="I94" s="890"/>
      <c r="J94" s="891"/>
      <c r="K94" s="892"/>
      <c r="L94" s="893"/>
      <c r="M94" s="858">
        <v>0</v>
      </c>
      <c r="N94" s="1357">
        <f t="shared" si="7"/>
        <v>0</v>
      </c>
      <c r="O94" s="858">
        <v>0</v>
      </c>
      <c r="P94" s="1358">
        <f t="shared" si="8"/>
        <v>0</v>
      </c>
      <c r="Q94" s="887"/>
      <c r="R94" s="887"/>
      <c r="S94" s="887"/>
      <c r="T94" s="887"/>
      <c r="U94" s="887"/>
      <c r="V94" s="887"/>
      <c r="W94" s="887"/>
      <c r="X94" s="887"/>
      <c r="Y94" s="887"/>
      <c r="Z94" s="887"/>
      <c r="AA94" s="887"/>
      <c r="AB94" s="887"/>
      <c r="AC94" s="887"/>
      <c r="AD94" s="887"/>
      <c r="AE94" s="887"/>
      <c r="AF94" s="887"/>
      <c r="AG94" s="887"/>
      <c r="AH94" s="887"/>
      <c r="AI94" s="887"/>
      <c r="AJ94" s="887"/>
      <c r="AK94" s="887"/>
      <c r="AL94" s="887"/>
      <c r="AM94" s="887"/>
      <c r="AN94" s="887"/>
      <c r="AO94" s="887"/>
    </row>
    <row r="95" spans="1:41" s="888" customFormat="1" ht="23.25" customHeight="1">
      <c r="A95" s="882">
        <v>79</v>
      </c>
      <c r="B95" s="856" t="str">
        <f>'TH KẾ TOÁN'!C188</f>
        <v>Vỏ hộp Luxury 40x80 (5v) nâu</v>
      </c>
      <c r="C95" s="856" t="str">
        <f>'TH KẾ TOÁN'!B188</f>
        <v>NVLKM04.131</v>
      </c>
      <c r="D95" s="889" t="str">
        <f>'TH KẾ TOÁN'!D188</f>
        <v>Cái</v>
      </c>
      <c r="E95" s="858">
        <v>0</v>
      </c>
      <c r="F95" s="883">
        <f>'[2]TH KẾ TOÁN'!K185</f>
        <v>0</v>
      </c>
      <c r="G95" s="883">
        <f t="shared" si="9"/>
        <v>0</v>
      </c>
      <c r="H95" s="883">
        <f t="shared" si="6"/>
        <v>0</v>
      </c>
      <c r="I95" s="890"/>
      <c r="J95" s="891"/>
      <c r="K95" s="892"/>
      <c r="L95" s="893"/>
      <c r="M95" s="858">
        <v>0</v>
      </c>
      <c r="N95" s="1357">
        <f t="shared" si="7"/>
        <v>0</v>
      </c>
      <c r="O95" s="858">
        <v>0</v>
      </c>
      <c r="P95" s="1358">
        <f t="shared" si="8"/>
        <v>0</v>
      </c>
      <c r="Q95" s="887"/>
      <c r="R95" s="887"/>
      <c r="S95" s="887"/>
      <c r="T95" s="887"/>
      <c r="U95" s="887"/>
      <c r="V95" s="887"/>
      <c r="W95" s="887"/>
      <c r="X95" s="887"/>
      <c r="Y95" s="887"/>
      <c r="Z95" s="887"/>
      <c r="AA95" s="887"/>
      <c r="AB95" s="887"/>
      <c r="AC95" s="887"/>
      <c r="AD95" s="887"/>
      <c r="AE95" s="887"/>
      <c r="AF95" s="887"/>
      <c r="AG95" s="887"/>
      <c r="AH95" s="887"/>
      <c r="AI95" s="887"/>
      <c r="AJ95" s="887"/>
      <c r="AK95" s="887"/>
      <c r="AL95" s="887"/>
      <c r="AM95" s="887"/>
      <c r="AN95" s="887"/>
      <c r="AO95" s="887"/>
    </row>
    <row r="96" spans="1:41" s="888" customFormat="1" ht="23.25" customHeight="1">
      <c r="A96" s="882">
        <v>80</v>
      </c>
      <c r="B96" s="856" t="str">
        <f>'TH KẾ TOÁN'!C189</f>
        <v>Vỏ hộp crown 40x80 (5v) nâu</v>
      </c>
      <c r="C96" s="856" t="str">
        <f>'TH KẾ TOÁN'!B189</f>
        <v>NVLKM04.132</v>
      </c>
      <c r="D96" s="889" t="str">
        <f>'TH KẾ TOÁN'!D189</f>
        <v>Cái</v>
      </c>
      <c r="E96" s="858">
        <v>0</v>
      </c>
      <c r="F96" s="883">
        <f>'[2]TH KẾ TOÁN'!K186</f>
        <v>0</v>
      </c>
      <c r="G96" s="883">
        <f t="shared" si="9"/>
        <v>0</v>
      </c>
      <c r="H96" s="883">
        <f t="shared" si="6"/>
        <v>0</v>
      </c>
      <c r="I96" s="890"/>
      <c r="J96" s="891"/>
      <c r="K96" s="892"/>
      <c r="L96" s="893"/>
      <c r="M96" s="858">
        <v>0</v>
      </c>
      <c r="N96" s="1357">
        <f t="shared" si="7"/>
        <v>0</v>
      </c>
      <c r="O96" s="858">
        <v>0</v>
      </c>
      <c r="P96" s="1358">
        <f t="shared" si="8"/>
        <v>0</v>
      </c>
      <c r="Q96" s="887"/>
      <c r="R96" s="887"/>
      <c r="S96" s="887"/>
      <c r="T96" s="887"/>
      <c r="U96" s="887"/>
      <c r="V96" s="887"/>
      <c r="W96" s="887"/>
      <c r="X96" s="887"/>
      <c r="Y96" s="887"/>
      <c r="Z96" s="887"/>
      <c r="AA96" s="887"/>
      <c r="AB96" s="887"/>
      <c r="AC96" s="887"/>
      <c r="AD96" s="887"/>
      <c r="AE96" s="887"/>
      <c r="AF96" s="887"/>
      <c r="AG96" s="887"/>
      <c r="AH96" s="887"/>
      <c r="AI96" s="887"/>
      <c r="AJ96" s="887"/>
      <c r="AK96" s="887"/>
      <c r="AL96" s="887"/>
      <c r="AM96" s="887"/>
      <c r="AN96" s="887"/>
      <c r="AO96" s="887"/>
    </row>
    <row r="97" spans="1:41" s="888" customFormat="1" ht="23.25" customHeight="1">
      <c r="A97" s="882">
        <v>81</v>
      </c>
      <c r="B97" s="856" t="str">
        <f>'TH KẾ TOÁN'!C190</f>
        <v>Vỏ hộp green era 40x80 (5v) nâu</v>
      </c>
      <c r="C97" s="856" t="str">
        <f>'TH KẾ TOÁN'!B190</f>
        <v>NVLKM04.133</v>
      </c>
      <c r="D97" s="889" t="str">
        <f>'TH KẾ TOÁN'!D190</f>
        <v>Cái</v>
      </c>
      <c r="E97" s="858">
        <v>0</v>
      </c>
      <c r="F97" s="883">
        <f>'[2]TH KẾ TOÁN'!K187</f>
        <v>0</v>
      </c>
      <c r="G97" s="883">
        <f t="shared" si="9"/>
        <v>0</v>
      </c>
      <c r="H97" s="883">
        <f t="shared" si="6"/>
        <v>0</v>
      </c>
      <c r="I97" s="890"/>
      <c r="J97" s="891"/>
      <c r="K97" s="892"/>
      <c r="L97" s="893"/>
      <c r="M97" s="858">
        <v>0</v>
      </c>
      <c r="N97" s="1357">
        <f t="shared" si="7"/>
        <v>0</v>
      </c>
      <c r="O97" s="858">
        <v>0</v>
      </c>
      <c r="P97" s="1358">
        <f t="shared" si="8"/>
        <v>0</v>
      </c>
      <c r="Q97" s="887"/>
      <c r="R97" s="887"/>
      <c r="S97" s="887"/>
      <c r="T97" s="887"/>
      <c r="U97" s="887"/>
      <c r="V97" s="887"/>
      <c r="W97" s="887"/>
      <c r="X97" s="887"/>
      <c r="Y97" s="887"/>
      <c r="Z97" s="887"/>
      <c r="AA97" s="887"/>
      <c r="AB97" s="887"/>
      <c r="AC97" s="887"/>
      <c r="AD97" s="887"/>
      <c r="AE97" s="887"/>
      <c r="AF97" s="887"/>
      <c r="AG97" s="887"/>
      <c r="AH97" s="887"/>
      <c r="AI97" s="887"/>
      <c r="AJ97" s="887"/>
      <c r="AK97" s="887"/>
      <c r="AL97" s="887"/>
      <c r="AM97" s="887"/>
      <c r="AN97" s="887"/>
      <c r="AO97" s="887"/>
    </row>
    <row r="98" spans="1:41" s="888" customFormat="1" ht="23.25" customHeight="1">
      <c r="A98" s="882">
        <v>82</v>
      </c>
      <c r="B98" s="856" t="str">
        <f>'TH KẾ TOÁN'!C191</f>
        <v>Vỏ hộp green home 40x80 (5v) nâu</v>
      </c>
      <c r="C98" s="856" t="str">
        <f>'TH KẾ TOÁN'!B191</f>
        <v>NVLKM04.134</v>
      </c>
      <c r="D98" s="889" t="str">
        <f>'TH KẾ TOÁN'!D191</f>
        <v>Cái</v>
      </c>
      <c r="E98" s="858">
        <v>0</v>
      </c>
      <c r="F98" s="883">
        <f>'[2]TH KẾ TOÁN'!K188</f>
        <v>0</v>
      </c>
      <c r="G98" s="883">
        <f t="shared" si="9"/>
        <v>0</v>
      </c>
      <c r="H98" s="883">
        <f t="shared" si="6"/>
        <v>0</v>
      </c>
      <c r="I98" s="890"/>
      <c r="J98" s="891"/>
      <c r="K98" s="892"/>
      <c r="L98" s="893"/>
      <c r="M98" s="858">
        <v>0</v>
      </c>
      <c r="N98" s="1357">
        <f t="shared" si="7"/>
        <v>0</v>
      </c>
      <c r="O98" s="858">
        <v>0</v>
      </c>
      <c r="P98" s="1358">
        <f t="shared" si="8"/>
        <v>0</v>
      </c>
      <c r="Q98" s="887"/>
      <c r="R98" s="887"/>
      <c r="S98" s="887"/>
      <c r="T98" s="887"/>
      <c r="U98" s="887"/>
      <c r="V98" s="887"/>
      <c r="W98" s="887"/>
      <c r="X98" s="887"/>
      <c r="Y98" s="887"/>
      <c r="Z98" s="887"/>
      <c r="AA98" s="887"/>
      <c r="AB98" s="887"/>
      <c r="AC98" s="887"/>
      <c r="AD98" s="887"/>
      <c r="AE98" s="887"/>
      <c r="AF98" s="887"/>
      <c r="AG98" s="887"/>
      <c r="AH98" s="887"/>
      <c r="AI98" s="887"/>
      <c r="AJ98" s="887"/>
      <c r="AK98" s="887"/>
      <c r="AL98" s="887"/>
      <c r="AM98" s="887"/>
      <c r="AN98" s="887"/>
      <c r="AO98" s="887"/>
    </row>
    <row r="99" spans="1:41" s="888" customFormat="1" ht="23.25" customHeight="1">
      <c r="A99" s="882">
        <v>83</v>
      </c>
      <c r="B99" s="856" t="str">
        <f>'TH KẾ TOÁN'!C192</f>
        <v>Vỏ hộp espana 40x80 (5v) nâu</v>
      </c>
      <c r="C99" s="856" t="str">
        <f>'TH KẾ TOÁN'!B192</f>
        <v>NVLKM04.135</v>
      </c>
      <c r="D99" s="889" t="str">
        <f>'TH KẾ TOÁN'!D192</f>
        <v>Cái</v>
      </c>
      <c r="E99" s="858">
        <v>750</v>
      </c>
      <c r="F99" s="883">
        <f>'[2]TH KẾ TOÁN'!K189</f>
        <v>750</v>
      </c>
      <c r="G99" s="883">
        <f t="shared" si="9"/>
        <v>750</v>
      </c>
      <c r="H99" s="883">
        <f t="shared" si="6"/>
        <v>0</v>
      </c>
      <c r="I99" s="890"/>
      <c r="J99" s="891"/>
      <c r="K99" s="892"/>
      <c r="L99" s="893"/>
      <c r="M99" s="858">
        <v>750</v>
      </c>
      <c r="N99" s="1357">
        <f t="shared" si="7"/>
        <v>0</v>
      </c>
      <c r="O99" s="858">
        <v>750</v>
      </c>
      <c r="P99" s="1358">
        <f t="shared" si="8"/>
        <v>0</v>
      </c>
      <c r="Q99" s="887"/>
      <c r="R99" s="887"/>
      <c r="S99" s="887"/>
      <c r="T99" s="887"/>
      <c r="U99" s="887"/>
      <c r="V99" s="887"/>
      <c r="W99" s="887"/>
      <c r="X99" s="887"/>
      <c r="Y99" s="887"/>
      <c r="Z99" s="887"/>
      <c r="AA99" s="887"/>
      <c r="AB99" s="887"/>
      <c r="AC99" s="887"/>
      <c r="AD99" s="887"/>
      <c r="AE99" s="887"/>
      <c r="AF99" s="887"/>
      <c r="AG99" s="887"/>
      <c r="AH99" s="887"/>
      <c r="AI99" s="887"/>
      <c r="AJ99" s="887"/>
      <c r="AK99" s="887"/>
      <c r="AL99" s="887"/>
      <c r="AM99" s="887"/>
      <c r="AN99" s="887"/>
      <c r="AO99" s="887"/>
    </row>
    <row r="100" spans="1:41" s="888" customFormat="1" ht="23.25" customHeight="1">
      <c r="A100" s="882">
        <v>84</v>
      </c>
      <c r="B100" s="856" t="str">
        <f>'TH KẾ TOÁN'!C193</f>
        <v>Vỏ hộp havira 40x80 (5v) nâu</v>
      </c>
      <c r="C100" s="856" t="str">
        <f>'TH KẾ TOÁN'!B193</f>
        <v>NVLKM04.136</v>
      </c>
      <c r="D100" s="889" t="str">
        <f>'TH KẾ TOÁN'!D193</f>
        <v>Cái</v>
      </c>
      <c r="E100" s="858">
        <v>0</v>
      </c>
      <c r="F100" s="883">
        <f>'[2]TH KẾ TOÁN'!K190</f>
        <v>0</v>
      </c>
      <c r="G100" s="883">
        <f t="shared" si="9"/>
        <v>0</v>
      </c>
      <c r="H100" s="883">
        <f t="shared" si="6"/>
        <v>0</v>
      </c>
      <c r="I100" s="890"/>
      <c r="J100" s="891"/>
      <c r="K100" s="892"/>
      <c r="L100" s="893"/>
      <c r="M100" s="858">
        <v>0</v>
      </c>
      <c r="N100" s="1357">
        <f t="shared" si="7"/>
        <v>0</v>
      </c>
      <c r="O100" s="858">
        <v>0</v>
      </c>
      <c r="P100" s="1358">
        <f t="shared" si="8"/>
        <v>0</v>
      </c>
      <c r="Q100" s="887"/>
      <c r="R100" s="887"/>
      <c r="S100" s="887"/>
      <c r="T100" s="887"/>
      <c r="U100" s="887"/>
      <c r="V100" s="887"/>
      <c r="W100" s="887"/>
      <c r="X100" s="887"/>
      <c r="Y100" s="887"/>
      <c r="Z100" s="887"/>
      <c r="AA100" s="887"/>
      <c r="AB100" s="887"/>
      <c r="AC100" s="887"/>
      <c r="AD100" s="887"/>
      <c r="AE100" s="887"/>
      <c r="AF100" s="887"/>
      <c r="AG100" s="887"/>
      <c r="AH100" s="887"/>
      <c r="AI100" s="887"/>
      <c r="AJ100" s="887"/>
      <c r="AK100" s="887"/>
      <c r="AL100" s="887"/>
      <c r="AM100" s="887"/>
      <c r="AN100" s="887"/>
      <c r="AO100" s="887"/>
    </row>
    <row r="101" spans="1:41" s="888" customFormat="1" ht="23.25" customHeight="1">
      <c r="A101" s="882">
        <v>85</v>
      </c>
      <c r="B101" s="856" t="str">
        <f>'TH KẾ TOÁN'!C194</f>
        <v>Vỏ hộp top one 40x80 (5v) nâu</v>
      </c>
      <c r="C101" s="856" t="str">
        <f>'TH KẾ TOÁN'!B194</f>
        <v>NVLKM04.137</v>
      </c>
      <c r="D101" s="889" t="str">
        <f>'TH KẾ TOÁN'!D194</f>
        <v>Cái</v>
      </c>
      <c r="E101" s="858">
        <v>0</v>
      </c>
      <c r="F101" s="883">
        <f>'[2]TH KẾ TOÁN'!K191</f>
        <v>0</v>
      </c>
      <c r="G101" s="883">
        <f t="shared" si="9"/>
        <v>0</v>
      </c>
      <c r="H101" s="883">
        <f t="shared" si="6"/>
        <v>0</v>
      </c>
      <c r="I101" s="890"/>
      <c r="J101" s="891"/>
      <c r="K101" s="892"/>
      <c r="L101" s="893"/>
      <c r="M101" s="858">
        <v>0</v>
      </c>
      <c r="N101" s="1357">
        <f t="shared" si="7"/>
        <v>0</v>
      </c>
      <c r="O101" s="858">
        <v>0</v>
      </c>
      <c r="P101" s="1358">
        <f t="shared" si="8"/>
        <v>0</v>
      </c>
      <c r="Q101" s="887"/>
      <c r="R101" s="887"/>
      <c r="S101" s="887"/>
      <c r="T101" s="887"/>
      <c r="U101" s="887"/>
      <c r="V101" s="887"/>
      <c r="W101" s="887"/>
      <c r="X101" s="887"/>
      <c r="Y101" s="887"/>
      <c r="Z101" s="887"/>
      <c r="AA101" s="887"/>
      <c r="AB101" s="887"/>
      <c r="AC101" s="887"/>
      <c r="AD101" s="887"/>
      <c r="AE101" s="887"/>
      <c r="AF101" s="887"/>
      <c r="AG101" s="887"/>
      <c r="AH101" s="887"/>
      <c r="AI101" s="887"/>
      <c r="AJ101" s="887"/>
      <c r="AK101" s="887"/>
      <c r="AL101" s="887"/>
      <c r="AM101" s="887"/>
      <c r="AN101" s="887"/>
      <c r="AO101" s="887"/>
    </row>
    <row r="102" spans="1:41" s="888" customFormat="1" ht="23.25" customHeight="1">
      <c r="A102" s="882">
        <v>86</v>
      </c>
      <c r="B102" s="856" t="str">
        <f>'TH KẾ TOÁN'!C195</f>
        <v>Vỏ hộp pana tile 40x80 (5v) nâu</v>
      </c>
      <c r="C102" s="856" t="str">
        <f>'TH KẾ TOÁN'!B195</f>
        <v>NVLKM04.138</v>
      </c>
      <c r="D102" s="889" t="str">
        <f>'TH KẾ TOÁN'!D195</f>
        <v>Cái</v>
      </c>
      <c r="E102" s="858">
        <v>0</v>
      </c>
      <c r="F102" s="883">
        <f>'[2]TH KẾ TOÁN'!K192</f>
        <v>0</v>
      </c>
      <c r="G102" s="883">
        <f t="shared" si="9"/>
        <v>0</v>
      </c>
      <c r="H102" s="883">
        <f t="shared" si="6"/>
        <v>0</v>
      </c>
      <c r="I102" s="890"/>
      <c r="J102" s="891"/>
      <c r="K102" s="892"/>
      <c r="L102" s="893"/>
      <c r="M102" s="858">
        <v>0</v>
      </c>
      <c r="N102" s="1357">
        <f t="shared" si="7"/>
        <v>0</v>
      </c>
      <c r="O102" s="858">
        <v>0</v>
      </c>
      <c r="P102" s="1358">
        <f t="shared" si="8"/>
        <v>0</v>
      </c>
      <c r="Q102" s="887"/>
      <c r="R102" s="887"/>
      <c r="S102" s="887"/>
      <c r="T102" s="887"/>
      <c r="U102" s="887"/>
      <c r="V102" s="887"/>
      <c r="W102" s="887"/>
      <c r="X102" s="887"/>
      <c r="Y102" s="887"/>
      <c r="Z102" s="887"/>
      <c r="AA102" s="887"/>
      <c r="AB102" s="887"/>
      <c r="AC102" s="887"/>
      <c r="AD102" s="887"/>
      <c r="AE102" s="887"/>
      <c r="AF102" s="887"/>
      <c r="AG102" s="887"/>
      <c r="AH102" s="887"/>
      <c r="AI102" s="887"/>
      <c r="AJ102" s="887"/>
      <c r="AK102" s="887"/>
      <c r="AL102" s="887"/>
      <c r="AM102" s="887"/>
      <c r="AN102" s="887"/>
      <c r="AO102" s="887"/>
    </row>
    <row r="103" spans="1:41" s="888" customFormat="1" ht="23.25" customHeight="1">
      <c r="A103" s="882">
        <v>87</v>
      </c>
      <c r="B103" s="856" t="str">
        <f>'TH KẾ TOÁN'!C196</f>
        <v>Vỏ hộp lustile 40x80 (5v) nâu</v>
      </c>
      <c r="C103" s="856" t="str">
        <f>'TH KẾ TOÁN'!B196</f>
        <v>NVLKM04.140</v>
      </c>
      <c r="D103" s="889" t="str">
        <f>'TH KẾ TOÁN'!D196</f>
        <v>Cái</v>
      </c>
      <c r="E103" s="858">
        <v>490</v>
      </c>
      <c r="F103" s="883">
        <v>490</v>
      </c>
      <c r="G103" s="883">
        <f t="shared" si="9"/>
        <v>490</v>
      </c>
      <c r="H103" s="883">
        <f t="shared" si="6"/>
        <v>0</v>
      </c>
      <c r="I103" s="890"/>
      <c r="J103" s="891"/>
      <c r="K103" s="892"/>
      <c r="L103" s="893"/>
      <c r="M103" s="858">
        <v>490</v>
      </c>
      <c r="N103" s="1357">
        <f t="shared" si="7"/>
        <v>0</v>
      </c>
      <c r="O103" s="858">
        <v>490</v>
      </c>
      <c r="P103" s="1358">
        <f t="shared" si="8"/>
        <v>0</v>
      </c>
      <c r="Q103" s="887"/>
      <c r="R103" s="887"/>
      <c r="S103" s="887"/>
      <c r="T103" s="887"/>
      <c r="U103" s="887"/>
      <c r="V103" s="887"/>
      <c r="W103" s="887"/>
      <c r="X103" s="887"/>
      <c r="Y103" s="887"/>
      <c r="Z103" s="887"/>
      <c r="AA103" s="887"/>
      <c r="AB103" s="887"/>
      <c r="AC103" s="887"/>
      <c r="AD103" s="887"/>
      <c r="AE103" s="887"/>
      <c r="AF103" s="887"/>
      <c r="AG103" s="887"/>
      <c r="AH103" s="887"/>
      <c r="AI103" s="887"/>
      <c r="AJ103" s="887"/>
      <c r="AK103" s="887"/>
      <c r="AL103" s="887"/>
      <c r="AM103" s="887"/>
      <c r="AN103" s="887"/>
      <c r="AO103" s="887"/>
    </row>
    <row r="104" spans="1:41" s="888" customFormat="1" ht="23.25" customHeight="1">
      <c r="A104" s="882">
        <v>88</v>
      </c>
      <c r="B104" s="856" t="str">
        <f>'TH KẾ TOÁN'!C197</f>
        <v>Vỏ hộp Crovina 30x60 (8v)</v>
      </c>
      <c r="C104" s="856" t="str">
        <f>'TH KẾ TOÁN'!B197</f>
        <v>NVLKM04.141</v>
      </c>
      <c r="D104" s="889" t="str">
        <f>'TH KẾ TOÁN'!D197</f>
        <v>Cái</v>
      </c>
      <c r="E104" s="858">
        <v>2675</v>
      </c>
      <c r="F104" s="883">
        <f>'[2]TH KẾ TOÁN'!K194</f>
        <v>2675</v>
      </c>
      <c r="G104" s="883">
        <f t="shared" si="9"/>
        <v>2675</v>
      </c>
      <c r="H104" s="883">
        <f t="shared" si="6"/>
        <v>0</v>
      </c>
      <c r="I104" s="890"/>
      <c r="J104" s="891"/>
      <c r="K104" s="892"/>
      <c r="L104" s="893"/>
      <c r="M104" s="858">
        <v>2675</v>
      </c>
      <c r="N104" s="1357">
        <f t="shared" si="7"/>
        <v>0</v>
      </c>
      <c r="O104" s="858">
        <v>2675</v>
      </c>
      <c r="P104" s="1358">
        <f t="shared" si="8"/>
        <v>0</v>
      </c>
      <c r="Q104" s="887"/>
      <c r="R104" s="887"/>
      <c r="S104" s="887"/>
      <c r="T104" s="887"/>
      <c r="U104" s="887"/>
      <c r="V104" s="887"/>
      <c r="W104" s="887"/>
      <c r="X104" s="887"/>
      <c r="Y104" s="887"/>
      <c r="Z104" s="887"/>
      <c r="AA104" s="887"/>
      <c r="AB104" s="887"/>
      <c r="AC104" s="887"/>
      <c r="AD104" s="887"/>
      <c r="AE104" s="887"/>
      <c r="AF104" s="887"/>
      <c r="AG104" s="887"/>
      <c r="AH104" s="887"/>
      <c r="AI104" s="887"/>
      <c r="AJ104" s="887"/>
      <c r="AK104" s="887"/>
      <c r="AL104" s="887"/>
      <c r="AM104" s="887"/>
      <c r="AN104" s="887"/>
      <c r="AO104" s="887"/>
    </row>
    <row r="105" spans="1:41" s="888" customFormat="1" ht="23.25" customHeight="1">
      <c r="A105" s="882">
        <v>89</v>
      </c>
      <c r="B105" s="856" t="str">
        <f>'TH KẾ TOÁN'!C198</f>
        <v>Vỏ hộp Crovina 500*500 (t/6v) nâu</v>
      </c>
      <c r="C105" s="856" t="str">
        <f>'TH KẾ TOÁN'!B198</f>
        <v>NVLKM04.143</v>
      </c>
      <c r="D105" s="889" t="str">
        <f>'TH KẾ TOÁN'!D198</f>
        <v>Cái</v>
      </c>
      <c r="E105" s="858">
        <v>0</v>
      </c>
      <c r="F105" s="883">
        <f>'[2]TH KẾ TOÁN'!K195</f>
        <v>0</v>
      </c>
      <c r="G105" s="883">
        <f t="shared" ref="G105:G108" si="10">F105-(F105*K105)</f>
        <v>0</v>
      </c>
      <c r="H105" s="883">
        <f t="shared" ref="H105:H108" si="11">F105-E105</f>
        <v>0</v>
      </c>
      <c r="I105" s="890"/>
      <c r="J105" s="891"/>
      <c r="K105" s="892"/>
      <c r="L105" s="893"/>
      <c r="M105" s="858">
        <v>0</v>
      </c>
      <c r="N105" s="1357">
        <f t="shared" si="7"/>
        <v>0</v>
      </c>
      <c r="O105" s="858">
        <v>0</v>
      </c>
      <c r="P105" s="1358">
        <f t="shared" si="8"/>
        <v>0</v>
      </c>
      <c r="Q105" s="887"/>
      <c r="R105" s="887"/>
      <c r="S105" s="887"/>
      <c r="T105" s="887"/>
      <c r="U105" s="887"/>
      <c r="V105" s="887"/>
      <c r="W105" s="887"/>
      <c r="X105" s="887"/>
      <c r="Y105" s="887"/>
      <c r="Z105" s="887"/>
      <c r="AA105" s="887"/>
      <c r="AB105" s="887"/>
      <c r="AC105" s="887"/>
      <c r="AD105" s="887"/>
      <c r="AE105" s="887"/>
      <c r="AF105" s="887"/>
      <c r="AG105" s="887"/>
      <c r="AH105" s="887"/>
      <c r="AI105" s="887"/>
      <c r="AJ105" s="887"/>
      <c r="AK105" s="887"/>
      <c r="AL105" s="887"/>
      <c r="AM105" s="887"/>
      <c r="AN105" s="887"/>
      <c r="AO105" s="887"/>
    </row>
    <row r="106" spans="1:41" s="888" customFormat="1" ht="23.25" customHeight="1">
      <c r="A106" s="882">
        <v>90</v>
      </c>
      <c r="B106" s="856" t="str">
        <f>'TH KẾ TOÁN'!C199</f>
        <v>Vỏ hộp Crovina 60x60 (5v)</v>
      </c>
      <c r="C106" s="856" t="str">
        <f>'TH KẾ TOÁN'!B199</f>
        <v>NVLKM04.144</v>
      </c>
      <c r="D106" s="889" t="str">
        <f>'TH KẾ TOÁN'!D199</f>
        <v>Cái</v>
      </c>
      <c r="E106" s="858">
        <v>3150</v>
      </c>
      <c r="F106" s="883">
        <f>'[2]TH KẾ TOÁN'!K196</f>
        <v>3150</v>
      </c>
      <c r="G106" s="883">
        <f t="shared" si="10"/>
        <v>3150</v>
      </c>
      <c r="H106" s="883">
        <f t="shared" si="11"/>
        <v>0</v>
      </c>
      <c r="I106" s="890"/>
      <c r="J106" s="891"/>
      <c r="K106" s="892"/>
      <c r="L106" s="893"/>
      <c r="M106" s="858">
        <v>3150</v>
      </c>
      <c r="N106" s="1357">
        <f t="shared" si="7"/>
        <v>0</v>
      </c>
      <c r="O106" s="858">
        <v>3150</v>
      </c>
      <c r="P106" s="1358">
        <f t="shared" si="8"/>
        <v>0</v>
      </c>
      <c r="Q106" s="887"/>
      <c r="R106" s="887"/>
      <c r="S106" s="887"/>
      <c r="T106" s="887"/>
      <c r="U106" s="887"/>
      <c r="V106" s="887"/>
      <c r="W106" s="887"/>
      <c r="X106" s="887"/>
      <c r="Y106" s="887"/>
      <c r="Z106" s="887"/>
      <c r="AA106" s="887"/>
      <c r="AB106" s="887"/>
      <c r="AC106" s="887"/>
      <c r="AD106" s="887"/>
      <c r="AE106" s="887"/>
      <c r="AF106" s="887"/>
      <c r="AG106" s="887"/>
      <c r="AH106" s="887"/>
      <c r="AI106" s="887"/>
      <c r="AJ106" s="887"/>
      <c r="AK106" s="887"/>
      <c r="AL106" s="887"/>
      <c r="AM106" s="887"/>
      <c r="AN106" s="887"/>
      <c r="AO106" s="887"/>
    </row>
    <row r="107" spans="1:41" s="888" customFormat="1" ht="23.25" customHeight="1">
      <c r="A107" s="882">
        <v>91</v>
      </c>
      <c r="B107" s="856" t="str">
        <f>'TH KẾ TOÁN'!C200</f>
        <v>Vỏ hộp crovina 40x80 (5v) nâu</v>
      </c>
      <c r="C107" s="856" t="str">
        <f>'TH KẾ TOÁN'!B200</f>
        <v>NVLKM04.145</v>
      </c>
      <c r="D107" s="889" t="str">
        <f>'TH KẾ TOÁN'!D200</f>
        <v>Cái</v>
      </c>
      <c r="E107" s="858">
        <v>1300</v>
      </c>
      <c r="F107" s="883">
        <f>'[2]TH KẾ TOÁN'!K197</f>
        <v>1300</v>
      </c>
      <c r="G107" s="883">
        <f t="shared" si="10"/>
        <v>1300</v>
      </c>
      <c r="H107" s="883">
        <f t="shared" si="11"/>
        <v>0</v>
      </c>
      <c r="I107" s="890"/>
      <c r="J107" s="891"/>
      <c r="K107" s="892"/>
      <c r="L107" s="893"/>
      <c r="M107" s="858">
        <v>1300</v>
      </c>
      <c r="N107" s="1357">
        <f t="shared" si="7"/>
        <v>0</v>
      </c>
      <c r="O107" s="858">
        <v>1300</v>
      </c>
      <c r="P107" s="1358">
        <f t="shared" si="8"/>
        <v>0</v>
      </c>
      <c r="Q107" s="887"/>
      <c r="R107" s="887"/>
      <c r="S107" s="887"/>
      <c r="T107" s="887"/>
      <c r="U107" s="887"/>
      <c r="V107" s="887"/>
      <c r="W107" s="887"/>
      <c r="X107" s="887"/>
      <c r="Y107" s="887"/>
      <c r="Z107" s="887"/>
      <c r="AA107" s="887"/>
      <c r="AB107" s="887"/>
      <c r="AC107" s="887"/>
      <c r="AD107" s="887"/>
      <c r="AE107" s="887"/>
      <c r="AF107" s="887"/>
      <c r="AG107" s="887"/>
      <c r="AH107" s="887"/>
      <c r="AI107" s="887"/>
      <c r="AJ107" s="887"/>
      <c r="AK107" s="887"/>
      <c r="AL107" s="887"/>
      <c r="AM107" s="887"/>
      <c r="AN107" s="887"/>
      <c r="AO107" s="887"/>
    </row>
    <row r="108" spans="1:41" s="888" customFormat="1" ht="23.25" customHeight="1">
      <c r="A108" s="882">
        <v>92</v>
      </c>
      <c r="B108" s="856" t="str">
        <f>'TH KẾ TOÁN'!C201</f>
        <v>Vỏ hộp Trang Hoàng Phương nâu  30x60 (8v)</v>
      </c>
      <c r="C108" s="856" t="str">
        <f>'TH KẾ TOÁN'!B201</f>
        <v>NVLKM04.146</v>
      </c>
      <c r="D108" s="889" t="str">
        <f>'TH KẾ TOÁN'!D201</f>
        <v>Cái</v>
      </c>
      <c r="E108" s="858">
        <v>25780</v>
      </c>
      <c r="F108" s="883">
        <f>'[2]TH KẾ TOÁN'!K198</f>
        <v>25780</v>
      </c>
      <c r="G108" s="883">
        <f t="shared" si="10"/>
        <v>25780</v>
      </c>
      <c r="H108" s="883">
        <f t="shared" si="11"/>
        <v>0</v>
      </c>
      <c r="I108" s="890"/>
      <c r="J108" s="891"/>
      <c r="K108" s="892"/>
      <c r="L108" s="893"/>
      <c r="M108" s="858">
        <v>25780</v>
      </c>
      <c r="N108" s="1357">
        <f t="shared" si="7"/>
        <v>0</v>
      </c>
      <c r="O108" s="858">
        <v>25780</v>
      </c>
      <c r="P108" s="1358">
        <f t="shared" si="8"/>
        <v>0</v>
      </c>
      <c r="Q108" s="887"/>
      <c r="R108" s="887"/>
      <c r="S108" s="887"/>
      <c r="T108" s="887"/>
      <c r="U108" s="887"/>
      <c r="V108" s="887"/>
      <c r="W108" s="887"/>
      <c r="X108" s="887"/>
      <c r="Y108" s="887"/>
      <c r="Z108" s="887"/>
      <c r="AA108" s="887"/>
      <c r="AB108" s="887"/>
      <c r="AC108" s="887"/>
      <c r="AD108" s="887"/>
      <c r="AE108" s="887"/>
      <c r="AF108" s="887"/>
      <c r="AG108" s="887"/>
      <c r="AH108" s="887"/>
      <c r="AI108" s="887"/>
      <c r="AJ108" s="887"/>
      <c r="AK108" s="887"/>
      <c r="AL108" s="887"/>
      <c r="AM108" s="887"/>
      <c r="AN108" s="887"/>
      <c r="AO108" s="887"/>
    </row>
    <row r="109" spans="1:41">
      <c r="A109" s="1219"/>
      <c r="B109" s="876"/>
      <c r="C109" s="876"/>
      <c r="D109" s="876"/>
      <c r="E109" s="876"/>
      <c r="F109" s="1588" t="s">
        <v>1163</v>
      </c>
      <c r="G109" s="1588"/>
      <c r="H109" s="1588"/>
      <c r="I109" s="1588"/>
      <c r="J109" s="1588"/>
      <c r="K109" s="1588"/>
      <c r="L109" s="1588"/>
      <c r="M109" s="876"/>
      <c r="N109" s="876"/>
      <c r="O109" s="876"/>
      <c r="P109" s="876"/>
      <c r="Q109" s="876"/>
      <c r="R109" s="876"/>
      <c r="S109" s="876"/>
      <c r="T109" s="876"/>
      <c r="U109" s="876"/>
      <c r="V109" s="876"/>
      <c r="W109" s="876"/>
      <c r="X109" s="876"/>
      <c r="Y109" s="876"/>
      <c r="Z109" s="876"/>
      <c r="AA109" s="876"/>
      <c r="AB109" s="876"/>
      <c r="AC109" s="876"/>
      <c r="AD109" s="876"/>
      <c r="AE109" s="876"/>
      <c r="AF109" s="876"/>
      <c r="AG109" s="876"/>
      <c r="AH109" s="876"/>
      <c r="AI109" s="876"/>
      <c r="AJ109" s="876"/>
      <c r="AK109" s="876"/>
      <c r="AL109" s="876"/>
      <c r="AM109" s="876"/>
      <c r="AN109" s="876"/>
      <c r="AO109" s="876"/>
    </row>
    <row r="110" spans="1:41">
      <c r="A110" s="876"/>
      <c r="B110" s="896" t="s">
        <v>727</v>
      </c>
      <c r="C110" s="876"/>
      <c r="D110" s="876"/>
      <c r="E110" s="876"/>
      <c r="F110" s="1569" t="s">
        <v>728</v>
      </c>
      <c r="G110" s="1569"/>
      <c r="H110" s="1569"/>
      <c r="I110" s="1569"/>
      <c r="J110" s="1569"/>
      <c r="K110" s="1569"/>
      <c r="L110" s="1569"/>
      <c r="M110" s="876"/>
      <c r="N110" s="876"/>
      <c r="O110" s="876"/>
      <c r="P110" s="876"/>
      <c r="Q110" s="876"/>
      <c r="R110" s="876"/>
      <c r="S110" s="876"/>
      <c r="T110" s="876"/>
      <c r="U110" s="876"/>
      <c r="V110" s="876"/>
      <c r="W110" s="876"/>
      <c r="X110" s="876"/>
      <c r="Y110" s="876"/>
      <c r="Z110" s="876"/>
      <c r="AA110" s="876"/>
      <c r="AB110" s="876"/>
      <c r="AC110" s="876"/>
      <c r="AD110" s="876"/>
      <c r="AE110" s="876"/>
      <c r="AF110" s="876"/>
      <c r="AG110" s="876"/>
      <c r="AH110" s="876"/>
      <c r="AI110" s="876"/>
      <c r="AJ110" s="876"/>
      <c r="AK110" s="876"/>
      <c r="AL110" s="876"/>
      <c r="AM110" s="876"/>
      <c r="AN110" s="876"/>
      <c r="AO110" s="876"/>
    </row>
    <row r="111" spans="1:41" s="900" customFormat="1">
      <c r="A111" s="898"/>
      <c r="B111" s="1223" t="s">
        <v>729</v>
      </c>
      <c r="C111" s="898"/>
      <c r="D111" s="898"/>
      <c r="E111" s="898"/>
      <c r="F111" s="1572" t="s">
        <v>729</v>
      </c>
      <c r="G111" s="1572"/>
      <c r="H111" s="1572"/>
      <c r="I111" s="1572"/>
      <c r="J111" s="1572"/>
      <c r="K111" s="1572"/>
      <c r="L111" s="1572"/>
      <c r="M111" s="876"/>
      <c r="N111" s="876"/>
      <c r="O111" s="876"/>
      <c r="P111" s="898"/>
      <c r="Q111" s="898"/>
      <c r="R111" s="898"/>
      <c r="S111" s="898"/>
      <c r="T111" s="898"/>
      <c r="U111" s="898"/>
      <c r="V111" s="898"/>
      <c r="W111" s="898"/>
      <c r="X111" s="898"/>
      <c r="Y111" s="898"/>
      <c r="Z111" s="898"/>
      <c r="AA111" s="898"/>
      <c r="AB111" s="898"/>
      <c r="AC111" s="898"/>
      <c r="AD111" s="898"/>
      <c r="AE111" s="898"/>
      <c r="AF111" s="898"/>
      <c r="AG111" s="898"/>
      <c r="AH111" s="898"/>
      <c r="AI111" s="898"/>
      <c r="AJ111" s="898"/>
      <c r="AK111" s="898"/>
      <c r="AL111" s="898"/>
      <c r="AM111" s="898"/>
      <c r="AN111" s="898"/>
      <c r="AO111" s="898"/>
    </row>
    <row r="112" spans="1:41">
      <c r="A112" s="876"/>
      <c r="B112" s="876"/>
      <c r="C112" s="876"/>
      <c r="D112" s="876"/>
      <c r="E112" s="876"/>
      <c r="F112" s="876"/>
      <c r="G112" s="876"/>
      <c r="H112" s="876"/>
      <c r="I112" s="876"/>
      <c r="J112" s="876"/>
      <c r="K112" s="877"/>
      <c r="L112" s="876"/>
      <c r="M112" s="876"/>
      <c r="N112" s="876"/>
      <c r="O112" s="876"/>
      <c r="P112" s="876"/>
      <c r="Q112" s="876"/>
      <c r="R112" s="876"/>
      <c r="S112" s="876"/>
      <c r="T112" s="876"/>
      <c r="U112" s="876"/>
      <c r="V112" s="876"/>
      <c r="W112" s="876"/>
      <c r="X112" s="876"/>
      <c r="Y112" s="876"/>
      <c r="Z112" s="876"/>
      <c r="AA112" s="876"/>
      <c r="AB112" s="876"/>
      <c r="AC112" s="876"/>
      <c r="AD112" s="876"/>
      <c r="AE112" s="876"/>
      <c r="AF112" s="876"/>
      <c r="AG112" s="876"/>
      <c r="AH112" s="876"/>
      <c r="AI112" s="876"/>
      <c r="AJ112" s="876"/>
      <c r="AK112" s="876"/>
      <c r="AL112" s="876"/>
      <c r="AM112" s="876"/>
      <c r="AN112" s="876"/>
      <c r="AO112" s="876"/>
    </row>
    <row r="113" spans="1:41">
      <c r="A113" s="876"/>
      <c r="B113" s="876"/>
      <c r="C113" s="876"/>
      <c r="D113" s="876"/>
      <c r="E113" s="876"/>
      <c r="F113" s="876"/>
      <c r="G113" s="876"/>
      <c r="H113" s="876"/>
      <c r="I113" s="876"/>
      <c r="J113" s="876"/>
      <c r="K113" s="877"/>
      <c r="L113" s="876"/>
      <c r="M113" s="876"/>
      <c r="N113" s="876"/>
      <c r="O113" s="880"/>
      <c r="P113" s="897"/>
      <c r="Q113" s="876"/>
      <c r="R113" s="876"/>
      <c r="S113" s="876"/>
      <c r="T113" s="876"/>
      <c r="U113" s="876"/>
      <c r="V113" s="876"/>
      <c r="W113" s="876"/>
      <c r="X113" s="876"/>
      <c r="Y113" s="876"/>
      <c r="Z113" s="876"/>
      <c r="AA113" s="876"/>
      <c r="AB113" s="876"/>
      <c r="AC113" s="876"/>
      <c r="AD113" s="876"/>
      <c r="AE113" s="876"/>
      <c r="AF113" s="876"/>
      <c r="AG113" s="876"/>
      <c r="AH113" s="876"/>
      <c r="AI113" s="876"/>
      <c r="AJ113" s="876"/>
      <c r="AK113" s="876"/>
      <c r="AL113" s="876"/>
      <c r="AM113" s="876"/>
      <c r="AN113" s="876"/>
      <c r="AO113" s="876"/>
    </row>
    <row r="114" spans="1:41">
      <c r="A114" s="876"/>
      <c r="B114" s="876"/>
      <c r="C114" s="876"/>
      <c r="D114" s="876"/>
      <c r="E114" s="876"/>
      <c r="F114" s="876"/>
      <c r="G114" s="876"/>
      <c r="H114" s="876"/>
      <c r="I114" s="876"/>
      <c r="J114" s="876"/>
      <c r="K114" s="877"/>
      <c r="L114" s="876"/>
      <c r="M114" s="876"/>
      <c r="N114" s="876"/>
      <c r="O114" s="880"/>
      <c r="P114" s="876"/>
      <c r="Q114" s="876"/>
      <c r="R114" s="876"/>
      <c r="S114" s="876"/>
      <c r="T114" s="876"/>
      <c r="U114" s="876"/>
      <c r="V114" s="876"/>
      <c r="W114" s="876"/>
      <c r="X114" s="876"/>
      <c r="Y114" s="876"/>
      <c r="Z114" s="876"/>
      <c r="AA114" s="876"/>
      <c r="AB114" s="876"/>
      <c r="AC114" s="876"/>
      <c r="AD114" s="876"/>
      <c r="AE114" s="876"/>
      <c r="AF114" s="876"/>
      <c r="AG114" s="876"/>
      <c r="AH114" s="876"/>
      <c r="AI114" s="876"/>
      <c r="AJ114" s="876"/>
      <c r="AK114" s="876"/>
      <c r="AL114" s="876"/>
      <c r="AM114" s="876"/>
      <c r="AN114" s="876"/>
      <c r="AO114" s="876"/>
    </row>
    <row r="115" spans="1:41" s="835" customFormat="1" ht="14.25">
      <c r="A115" s="902"/>
      <c r="B115" s="902"/>
      <c r="C115" s="902"/>
      <c r="D115" s="902"/>
      <c r="F115" s="897"/>
      <c r="G115" s="897"/>
      <c r="H115" s="902"/>
      <c r="I115" s="902"/>
      <c r="J115" s="902"/>
      <c r="K115" s="903"/>
      <c r="L115" s="902"/>
      <c r="M115" s="902"/>
      <c r="N115" s="902"/>
      <c r="O115" s="880"/>
      <c r="P115" s="902"/>
      <c r="Q115" s="902"/>
      <c r="R115" s="902"/>
      <c r="S115" s="902"/>
      <c r="T115" s="902"/>
      <c r="U115" s="902"/>
      <c r="V115" s="902"/>
      <c r="W115" s="902"/>
      <c r="X115" s="902"/>
      <c r="Y115" s="902"/>
      <c r="Z115" s="902"/>
      <c r="AA115" s="902"/>
      <c r="AB115" s="902"/>
      <c r="AC115" s="902"/>
      <c r="AD115" s="902"/>
      <c r="AE115" s="902"/>
      <c r="AF115" s="902"/>
      <c r="AG115" s="902"/>
      <c r="AH115" s="902"/>
      <c r="AI115" s="902"/>
      <c r="AJ115" s="902"/>
      <c r="AK115" s="902"/>
      <c r="AL115" s="902"/>
      <c r="AM115" s="902"/>
      <c r="AN115" s="902"/>
      <c r="AO115" s="902"/>
    </row>
    <row r="116" spans="1:41" s="835" customFormat="1" ht="15" customHeight="1">
      <c r="A116" s="902"/>
      <c r="B116" s="1222" t="s">
        <v>816</v>
      </c>
      <c r="D116" s="897" t="s">
        <v>1026</v>
      </c>
      <c r="G116" s="1556" t="s">
        <v>732</v>
      </c>
      <c r="H116" s="1556"/>
      <c r="I116" s="1556"/>
      <c r="J116" s="1556"/>
      <c r="K116" s="1556"/>
      <c r="L116" s="1556"/>
      <c r="M116" s="902"/>
      <c r="N116" s="902"/>
      <c r="O116" s="880"/>
      <c r="P116" s="902"/>
      <c r="Q116" s="902"/>
      <c r="R116" s="902"/>
      <c r="S116" s="902"/>
      <c r="T116" s="902"/>
      <c r="U116" s="902"/>
      <c r="V116" s="902"/>
      <c r="W116" s="902"/>
      <c r="X116" s="902"/>
      <c r="Y116" s="902"/>
      <c r="Z116" s="902"/>
      <c r="AA116" s="902"/>
      <c r="AB116" s="902"/>
      <c r="AC116" s="902"/>
      <c r="AD116" s="902"/>
      <c r="AE116" s="902"/>
      <c r="AF116" s="902"/>
      <c r="AG116" s="902"/>
      <c r="AH116" s="902"/>
      <c r="AI116" s="902"/>
      <c r="AJ116" s="902"/>
      <c r="AK116" s="902"/>
      <c r="AL116" s="902"/>
      <c r="AM116" s="902"/>
      <c r="AN116" s="902"/>
      <c r="AO116" s="902"/>
    </row>
    <row r="117" spans="1:41" s="835" customFormat="1" ht="14.25">
      <c r="A117" s="897"/>
      <c r="B117" s="1222"/>
      <c r="C117" s="1567"/>
      <c r="D117" s="1567"/>
      <c r="E117" s="902"/>
      <c r="F117" s="1222"/>
      <c r="G117" s="905"/>
      <c r="H117" s="905"/>
      <c r="I117" s="902"/>
      <c r="J117" s="1568"/>
      <c r="K117" s="1568"/>
      <c r="L117" s="1568"/>
      <c r="M117" s="902"/>
      <c r="N117" s="902"/>
      <c r="O117" s="880"/>
      <c r="P117" s="902"/>
      <c r="Q117" s="902"/>
      <c r="R117" s="902"/>
      <c r="S117" s="902"/>
      <c r="T117" s="902"/>
      <c r="U117" s="902"/>
      <c r="V117" s="902"/>
      <c r="W117" s="902"/>
      <c r="X117" s="902"/>
      <c r="Y117" s="902"/>
      <c r="Z117" s="902"/>
      <c r="AA117" s="902"/>
      <c r="AB117" s="902"/>
      <c r="AC117" s="902"/>
      <c r="AD117" s="902"/>
      <c r="AE117" s="902"/>
      <c r="AF117" s="902"/>
      <c r="AG117" s="902"/>
      <c r="AH117" s="902"/>
      <c r="AI117" s="902"/>
      <c r="AJ117" s="902"/>
      <c r="AK117" s="902"/>
      <c r="AL117" s="902"/>
      <c r="AM117" s="902"/>
      <c r="AN117" s="902"/>
      <c r="AO117" s="902"/>
    </row>
    <row r="118" spans="1:41" s="835" customFormat="1" ht="14.25">
      <c r="E118" s="902"/>
      <c r="K118" s="906"/>
      <c r="O118" s="880"/>
    </row>
    <row r="119" spans="1:41" s="835" customFormat="1" ht="14.25">
      <c r="K119" s="906"/>
      <c r="O119" s="880"/>
    </row>
    <row r="120" spans="1:41" s="835" customFormat="1" ht="15" customHeight="1">
      <c r="O120" s="880"/>
    </row>
    <row r="121" spans="1:41" s="835" customFormat="1" ht="14.25">
      <c r="C121" s="840" t="s">
        <v>734</v>
      </c>
      <c r="G121" s="840" t="s">
        <v>736</v>
      </c>
      <c r="I121" s="840"/>
      <c r="J121" s="840"/>
      <c r="K121" s="840"/>
      <c r="O121" s="880"/>
    </row>
    <row r="122" spans="1:41" s="835" customFormat="1" ht="14.25">
      <c r="K122" s="906"/>
      <c r="O122" s="880"/>
    </row>
    <row r="123" spans="1:41" s="835" customFormat="1" ht="14.25">
      <c r="K123" s="906"/>
      <c r="O123" s="880"/>
    </row>
    <row r="124" spans="1:41" s="835" customFormat="1" ht="14.25">
      <c r="K124" s="906"/>
      <c r="O124" s="880"/>
    </row>
    <row r="125" spans="1:41" s="835" customFormat="1" ht="14.25">
      <c r="K125" s="906"/>
      <c r="O125" s="880"/>
    </row>
    <row r="126" spans="1:41" s="835" customFormat="1" ht="15" customHeight="1">
      <c r="D126" s="1556" t="s">
        <v>735</v>
      </c>
      <c r="E126" s="1556"/>
      <c r="F126" s="1556"/>
      <c r="G126" s="1556"/>
      <c r="M126" s="840"/>
      <c r="O126" s="880"/>
    </row>
    <row r="127" spans="1:41" s="835" customFormat="1" ht="14.25">
      <c r="K127" s="906"/>
      <c r="O127" s="880"/>
    </row>
    <row r="128" spans="1:41" s="835" customFormat="1" ht="14.25">
      <c r="K128" s="906"/>
      <c r="O128" s="880"/>
    </row>
    <row r="129" spans="8:15" s="835" customFormat="1" ht="14.25">
      <c r="K129" s="906"/>
      <c r="O129" s="880"/>
    </row>
    <row r="130" spans="8:15" s="835" customFormat="1" ht="14.25">
      <c r="H130" s="840"/>
      <c r="I130" s="840"/>
      <c r="J130" s="840"/>
      <c r="K130" s="906"/>
      <c r="O130" s="880"/>
    </row>
    <row r="131" spans="8:15" s="835" customFormat="1" ht="14.25">
      <c r="K131" s="906"/>
      <c r="O131" s="880"/>
    </row>
    <row r="132" spans="8:15" s="835" customFormat="1" ht="14.25">
      <c r="K132" s="906"/>
      <c r="O132" s="880"/>
    </row>
    <row r="133" spans="8:15">
      <c r="O133" s="880"/>
    </row>
    <row r="134" spans="8:15">
      <c r="O134" s="880"/>
    </row>
    <row r="135" spans="8:15">
      <c r="O135" s="880"/>
    </row>
    <row r="136" spans="8:15">
      <c r="O136" s="880"/>
    </row>
    <row r="137" spans="8:15">
      <c r="O137" s="880"/>
    </row>
    <row r="138" spans="8:15">
      <c r="O138" s="880"/>
    </row>
    <row r="139" spans="8:15">
      <c r="O139" s="880"/>
    </row>
  </sheetData>
  <mergeCells count="44">
    <mergeCell ref="J13:J16"/>
    <mergeCell ref="K13:K16"/>
    <mergeCell ref="C117:D117"/>
    <mergeCell ref="J117:L117"/>
    <mergeCell ref="F109:L109"/>
    <mergeCell ref="F110:L110"/>
    <mergeCell ref="F111:L111"/>
    <mergeCell ref="G116:L116"/>
    <mergeCell ref="D13:D16"/>
    <mergeCell ref="E13:E16"/>
    <mergeCell ref="F13:G15"/>
    <mergeCell ref="H13:H16"/>
    <mergeCell ref="I13:I16"/>
    <mergeCell ref="K10:L10"/>
    <mergeCell ref="Q6:Q12"/>
    <mergeCell ref="R6:T11"/>
    <mergeCell ref="A7:E7"/>
    <mergeCell ref="A6:E6"/>
    <mergeCell ref="F6:G6"/>
    <mergeCell ref="K6:L6"/>
    <mergeCell ref="F7:G7"/>
    <mergeCell ref="K7:L7"/>
    <mergeCell ref="A8:E8"/>
    <mergeCell ref="F8:G8"/>
    <mergeCell ref="K8:L8"/>
    <mergeCell ref="A9:E9"/>
    <mergeCell ref="F9:G9"/>
    <mergeCell ref="K9:L9"/>
    <mergeCell ref="D126:G126"/>
    <mergeCell ref="B3:L3"/>
    <mergeCell ref="A5:E5"/>
    <mergeCell ref="F5:G5"/>
    <mergeCell ref="K5:L5"/>
    <mergeCell ref="A10:E10"/>
    <mergeCell ref="F10:G10"/>
    <mergeCell ref="L13:L16"/>
    <mergeCell ref="A11:E11"/>
    <mergeCell ref="F11:G11"/>
    <mergeCell ref="K11:L11"/>
    <mergeCell ref="A12:E12"/>
    <mergeCell ref="L12:M12"/>
    <mergeCell ref="A13:A16"/>
    <mergeCell ref="B13:B16"/>
    <mergeCell ref="C13:C16"/>
  </mergeCells>
  <pageMargins left="0.39370078740157499" right="0" top="0.63" bottom="0" header="0.31" footer="0.16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O220"/>
  <sheetViews>
    <sheetView workbookViewId="0">
      <pane ySplit="7" topLeftCell="A207" activePane="bottomLeft" state="frozen"/>
      <selection pane="bottomLeft" activeCell="K1" sqref="K1:P1048576"/>
    </sheetView>
  </sheetViews>
  <sheetFormatPr defaultColWidth="9.28515625" defaultRowHeight="15"/>
  <cols>
    <col min="1" max="1" width="4.5703125" style="143" customWidth="1"/>
    <col min="2" max="2" width="15.5703125" style="143" customWidth="1"/>
    <col min="3" max="3" width="27.5703125" style="143" customWidth="1"/>
    <col min="4" max="4" width="6" style="142" customWidth="1"/>
    <col min="5" max="5" width="13.5703125" style="142" customWidth="1"/>
    <col min="6" max="6" width="8.140625" style="142" customWidth="1"/>
    <col min="7" max="7" width="13.7109375" style="142" customWidth="1"/>
    <col min="8" max="8" width="12.140625" style="142" customWidth="1"/>
    <col min="9" max="9" width="12.5703125" style="142" customWidth="1"/>
    <col min="10" max="10" width="9.140625" style="142" customWidth="1"/>
    <col min="11" max="11" width="13.140625" style="142" customWidth="1"/>
    <col min="12" max="12" width="11.7109375" style="143" customWidth="1"/>
    <col min="13" max="13" width="12.28515625" style="143" customWidth="1"/>
    <col min="14" max="14" width="15" style="143" customWidth="1"/>
    <col min="15" max="15" width="9.7109375" style="143" customWidth="1"/>
    <col min="16" max="16384" width="9.28515625" style="143"/>
  </cols>
  <sheetData>
    <row r="1" spans="1:15">
      <c r="A1" s="831" t="s">
        <v>111</v>
      </c>
      <c r="B1" s="318"/>
      <c r="C1" s="318"/>
      <c r="D1" s="318"/>
      <c r="E1" s="318"/>
      <c r="F1" s="318"/>
      <c r="G1" s="318"/>
      <c r="H1" s="829"/>
      <c r="I1" s="829"/>
      <c r="J1" s="829"/>
      <c r="K1" s="829"/>
    </row>
    <row r="2" spans="1:15">
      <c r="A2" s="323" t="s">
        <v>173</v>
      </c>
      <c r="B2" s="829"/>
      <c r="C2" s="829"/>
      <c r="D2" s="829"/>
      <c r="E2" s="829"/>
      <c r="F2" s="829"/>
      <c r="G2" s="829"/>
      <c r="H2" s="829"/>
      <c r="I2" s="829"/>
      <c r="J2" s="829"/>
      <c r="K2" s="829"/>
    </row>
    <row r="3" spans="1:15">
      <c r="A3" s="323"/>
      <c r="B3" s="829"/>
      <c r="C3" s="829"/>
      <c r="D3" s="829"/>
      <c r="E3" s="829"/>
      <c r="F3" s="829"/>
      <c r="G3" s="829"/>
      <c r="H3" s="829"/>
      <c r="I3" s="829"/>
      <c r="J3" s="829"/>
      <c r="K3" s="829"/>
    </row>
    <row r="4" spans="1:15" s="930" customFormat="1" ht="47.25" customHeight="1">
      <c r="A4" s="929" t="s">
        <v>1258</v>
      </c>
      <c r="B4" s="929"/>
      <c r="C4" s="929"/>
      <c r="D4" s="929"/>
      <c r="E4" s="929"/>
      <c r="F4" s="929"/>
      <c r="G4" s="929"/>
      <c r="H4" s="929"/>
      <c r="I4" s="929"/>
      <c r="J4" s="929"/>
      <c r="K4" s="929"/>
      <c r="L4" s="929"/>
      <c r="M4" s="929"/>
      <c r="N4" s="929"/>
      <c r="O4" s="929"/>
    </row>
    <row r="5" spans="1:15" ht="12.75" customHeight="1">
      <c r="A5" s="855"/>
      <c r="B5" s="855"/>
      <c r="C5" s="855"/>
      <c r="D5" s="855"/>
      <c r="E5" s="855"/>
      <c r="F5" s="855"/>
      <c r="G5" s="855"/>
      <c r="H5" s="855"/>
      <c r="I5" s="855"/>
      <c r="J5" s="855"/>
      <c r="K5" s="855"/>
    </row>
    <row r="6" spans="1:15" ht="17.25" customHeight="1">
      <c r="A6" s="1548" t="s">
        <v>682</v>
      </c>
      <c r="B6" s="1548" t="s">
        <v>116</v>
      </c>
      <c r="C6" s="1548" t="s">
        <v>482</v>
      </c>
      <c r="D6" s="1548" t="s">
        <v>683</v>
      </c>
      <c r="E6" s="1058" t="s">
        <v>690</v>
      </c>
      <c r="F6" s="1548" t="s">
        <v>691</v>
      </c>
      <c r="G6" s="1548"/>
      <c r="H6" s="1548" t="s">
        <v>17</v>
      </c>
      <c r="I6" s="1548"/>
      <c r="J6" s="1548" t="s">
        <v>692</v>
      </c>
      <c r="K6" s="1548"/>
      <c r="L6" s="1591" t="s">
        <v>756</v>
      </c>
      <c r="M6" s="1591" t="s">
        <v>821</v>
      </c>
      <c r="N6" s="1591" t="s">
        <v>344</v>
      </c>
      <c r="O6" s="1589" t="s">
        <v>860</v>
      </c>
    </row>
    <row r="7" spans="1:15" ht="17.25" customHeight="1">
      <c r="A7" s="1548"/>
      <c r="B7" s="1548"/>
      <c r="C7" s="1548"/>
      <c r="D7" s="1548"/>
      <c r="E7" s="837" t="s">
        <v>12</v>
      </c>
      <c r="F7" s="836" t="s">
        <v>6</v>
      </c>
      <c r="G7" s="837" t="s">
        <v>12</v>
      </c>
      <c r="H7" s="836" t="s">
        <v>6</v>
      </c>
      <c r="I7" s="837" t="s">
        <v>12</v>
      </c>
      <c r="J7" s="836" t="s">
        <v>6</v>
      </c>
      <c r="K7" s="837" t="s">
        <v>12</v>
      </c>
      <c r="L7" s="1591"/>
      <c r="M7" s="1591"/>
      <c r="N7" s="1591"/>
      <c r="O7" s="1590"/>
    </row>
    <row r="8" spans="1:15">
      <c r="A8" s="138">
        <v>1</v>
      </c>
      <c r="B8" s="856" t="s">
        <v>483</v>
      </c>
      <c r="C8" s="856" t="s">
        <v>484</v>
      </c>
      <c r="D8" s="138" t="s">
        <v>193</v>
      </c>
      <c r="E8" s="857">
        <f>'[1]TỔNG HỢP THÁNG'!E134</f>
        <v>4764</v>
      </c>
      <c r="F8" s="857"/>
      <c r="G8" s="857">
        <v>0</v>
      </c>
      <c r="H8" s="857">
        <f>'[1]FRIT PT02-PĐ'!F40</f>
        <v>0</v>
      </c>
      <c r="I8" s="857">
        <f>'[1]FRIT PT02-PĐ'!G40</f>
        <v>0</v>
      </c>
      <c r="J8" s="857"/>
      <c r="K8" s="858">
        <f>E8+G8-I8</f>
        <v>4764</v>
      </c>
      <c r="L8" s="1059"/>
      <c r="M8" s="1059"/>
      <c r="N8" s="1059"/>
      <c r="O8" s="1059"/>
    </row>
    <row r="9" spans="1:15">
      <c r="A9" s="138">
        <v>2</v>
      </c>
      <c r="B9" s="856" t="s">
        <v>485</v>
      </c>
      <c r="C9" s="856" t="s">
        <v>486</v>
      </c>
      <c r="D9" s="138" t="s">
        <v>193</v>
      </c>
      <c r="E9" s="857">
        <f>'[1]TỔNG HỢP THÁNG'!E16</f>
        <v>537.6</v>
      </c>
      <c r="F9" s="857"/>
      <c r="G9" s="857">
        <v>0</v>
      </c>
      <c r="H9" s="857">
        <f>'[1]FRIT FV 090.540 - FTA'!F40</f>
        <v>0</v>
      </c>
      <c r="I9" s="857">
        <f>'[1]FRIT FV 090.540 - FTA'!G40</f>
        <v>0</v>
      </c>
      <c r="J9" s="857"/>
      <c r="K9" s="858">
        <f t="shared" ref="K9:K12" si="0">E9+G9-I9</f>
        <v>537.6</v>
      </c>
      <c r="L9" s="1059"/>
      <c r="M9" s="1059"/>
      <c r="N9" s="1059"/>
      <c r="O9" s="1059"/>
    </row>
    <row r="10" spans="1:15">
      <c r="A10" s="138">
        <v>3</v>
      </c>
      <c r="B10" s="856" t="s">
        <v>487</v>
      </c>
      <c r="C10" s="856" t="s">
        <v>488</v>
      </c>
      <c r="D10" s="138" t="s">
        <v>193</v>
      </c>
      <c r="E10" s="857">
        <f>'TỔNG HỢP THÁNG'!E20</f>
        <v>8211</v>
      </c>
      <c r="F10" s="857"/>
      <c r="G10" s="857">
        <f>'TỔNG HỢP THÁNG'!G20</f>
        <v>5000</v>
      </c>
      <c r="H10" s="857">
        <f>'TỔNG HỢP THÁNG'!H20</f>
        <v>3986</v>
      </c>
      <c r="I10" s="857">
        <f>'TỔNG HỢP THÁNG'!I20</f>
        <v>3986</v>
      </c>
      <c r="J10" s="857"/>
      <c r="K10" s="858">
        <f t="shared" si="0"/>
        <v>9225</v>
      </c>
      <c r="L10" s="1059"/>
      <c r="M10" s="1059"/>
      <c r="N10" s="1059"/>
      <c r="O10" s="1059"/>
    </row>
    <row r="11" spans="1:15">
      <c r="A11" s="138">
        <v>4</v>
      </c>
      <c r="B11" s="856" t="s">
        <v>489</v>
      </c>
      <c r="C11" s="856" t="s">
        <v>490</v>
      </c>
      <c r="D11" s="138" t="s">
        <v>193</v>
      </c>
      <c r="E11" s="857">
        <f>'TỔNG HỢP THÁNG'!E34</f>
        <v>28440</v>
      </c>
      <c r="F11" s="857"/>
      <c r="G11" s="857">
        <f>'TỔNG HỢP THÁNG'!G34</f>
        <v>0</v>
      </c>
      <c r="H11" s="857">
        <f>'TỔNG HỢP THÁNG'!H34</f>
        <v>0</v>
      </c>
      <c r="I11" s="857">
        <f>'TỔNG HỢP THÁNG'!I34</f>
        <v>0</v>
      </c>
      <c r="J11" s="857"/>
      <c r="K11" s="858">
        <f t="shared" si="0"/>
        <v>28440</v>
      </c>
      <c r="L11" s="1059"/>
      <c r="M11" s="1059"/>
      <c r="N11" s="1059"/>
      <c r="O11" s="1059"/>
    </row>
    <row r="12" spans="1:15">
      <c r="A12" s="138">
        <v>5</v>
      </c>
      <c r="B12" s="856" t="s">
        <v>491</v>
      </c>
      <c r="C12" s="856" t="s">
        <v>492</v>
      </c>
      <c r="D12" s="138" t="s">
        <v>193</v>
      </c>
      <c r="E12" s="857">
        <f>'[1]TỔNG HỢP THÁNG'!E138</f>
        <v>825</v>
      </c>
      <c r="F12" s="857"/>
      <c r="G12" s="857">
        <v>0</v>
      </c>
      <c r="H12" s="857">
        <v>0</v>
      </c>
      <c r="I12" s="857">
        <v>0</v>
      </c>
      <c r="J12" s="857"/>
      <c r="K12" s="858">
        <f t="shared" si="0"/>
        <v>825</v>
      </c>
      <c r="L12" s="1059"/>
      <c r="M12" s="1059"/>
      <c r="N12" s="1059"/>
      <c r="O12" s="1059"/>
    </row>
    <row r="13" spans="1:15">
      <c r="A13" s="138">
        <v>6</v>
      </c>
      <c r="B13" s="1296" t="s">
        <v>1145</v>
      </c>
      <c r="C13" s="1242" t="s">
        <v>1121</v>
      </c>
      <c r="D13" s="138" t="s">
        <v>193</v>
      </c>
      <c r="E13" s="857">
        <f>'TỔNG HỢP THÁNG'!E11</f>
        <v>0</v>
      </c>
      <c r="F13" s="857"/>
      <c r="G13" s="857">
        <f>'TỔNG HỢP THÁNG'!G11</f>
        <v>0</v>
      </c>
      <c r="H13" s="857">
        <f>'TỔNG HỢP THÁNG'!H11</f>
        <v>0</v>
      </c>
      <c r="I13" s="857">
        <f>'TỔNG HỢP THÁNG'!I11</f>
        <v>0</v>
      </c>
      <c r="J13" s="857"/>
      <c r="K13" s="858">
        <f>E13+G13-I13</f>
        <v>0</v>
      </c>
      <c r="L13" s="1059"/>
      <c r="M13" s="1059"/>
      <c r="N13" s="1059"/>
      <c r="O13" s="1059"/>
    </row>
    <row r="14" spans="1:15">
      <c r="A14" s="138">
        <v>7</v>
      </c>
      <c r="B14" s="856" t="s">
        <v>769</v>
      </c>
      <c r="C14" s="856" t="s">
        <v>770</v>
      </c>
      <c r="D14" s="138" t="s">
        <v>193</v>
      </c>
      <c r="E14" s="857">
        <f>'TỔNG HỢP THÁNG'!E12</f>
        <v>108292</v>
      </c>
      <c r="F14" s="857"/>
      <c r="G14" s="857">
        <f>'TỔNG HỢP THÁNG'!G12</f>
        <v>0</v>
      </c>
      <c r="H14" s="857">
        <f>'TỔNG HỢP THÁNG'!H12</f>
        <v>30498</v>
      </c>
      <c r="I14" s="857">
        <f>'TỔNG HỢP THÁNG'!I12</f>
        <v>41750</v>
      </c>
      <c r="J14" s="857"/>
      <c r="K14" s="858">
        <f t="shared" ref="K14:K70" si="1">E14+G14-I14</f>
        <v>66542</v>
      </c>
      <c r="L14" s="1059"/>
      <c r="M14" s="1059"/>
      <c r="N14" s="1059"/>
      <c r="O14" s="1059"/>
    </row>
    <row r="15" spans="1:15">
      <c r="A15" s="138">
        <v>8</v>
      </c>
      <c r="B15" s="856" t="s">
        <v>801</v>
      </c>
      <c r="C15" s="856" t="s">
        <v>802</v>
      </c>
      <c r="D15" s="138" t="s">
        <v>193</v>
      </c>
      <c r="E15" s="857">
        <f>'TỔNG HỢP THÁNG'!E81</f>
        <v>26559</v>
      </c>
      <c r="F15" s="857"/>
      <c r="G15" s="857">
        <f>'TỔNG HỢP THÁNG'!G81</f>
        <v>0</v>
      </c>
      <c r="H15" s="857">
        <f>'TỔNG HỢP THÁNG'!H81</f>
        <v>5629</v>
      </c>
      <c r="I15" s="857">
        <f>'TỔNG HỢP THÁNG'!I81</f>
        <v>5662</v>
      </c>
      <c r="J15" s="857"/>
      <c r="K15" s="858">
        <f t="shared" si="1"/>
        <v>20897</v>
      </c>
      <c r="L15" s="1059"/>
      <c r="M15" s="1059"/>
      <c r="N15" s="1059"/>
      <c r="O15" s="1059"/>
    </row>
    <row r="16" spans="1:15">
      <c r="A16" s="138">
        <v>9</v>
      </c>
      <c r="B16" s="856" t="s">
        <v>497</v>
      </c>
      <c r="C16" s="856" t="s">
        <v>498</v>
      </c>
      <c r="D16" s="138" t="s">
        <v>193</v>
      </c>
      <c r="E16" s="857">
        <f>'TỔNG HỢP THÁNG'!E10</f>
        <v>53111</v>
      </c>
      <c r="F16" s="857"/>
      <c r="G16" s="857">
        <f>'TỔNG HỢP THÁNG'!G10</f>
        <v>28000</v>
      </c>
      <c r="H16" s="857">
        <f>'TỔNG HỢP THÁNG'!H10</f>
        <v>37545</v>
      </c>
      <c r="I16" s="857">
        <f>'TỔNG HỢP THÁNG'!I10</f>
        <v>37937</v>
      </c>
      <c r="J16" s="857"/>
      <c r="K16" s="858">
        <f t="shared" si="1"/>
        <v>43174</v>
      </c>
      <c r="L16" s="1059"/>
      <c r="M16" s="1059"/>
      <c r="N16" s="1059"/>
      <c r="O16" s="1059"/>
    </row>
    <row r="17" spans="1:15">
      <c r="A17" s="138">
        <v>10</v>
      </c>
      <c r="B17" s="856" t="s">
        <v>499</v>
      </c>
      <c r="C17" s="856" t="s">
        <v>500</v>
      </c>
      <c r="D17" s="138" t="s">
        <v>193</v>
      </c>
      <c r="E17" s="857">
        <f>'TỔNG HỢP THÁNG'!E19</f>
        <v>0</v>
      </c>
      <c r="F17" s="857"/>
      <c r="G17" s="857">
        <f>'TỔNG HỢP THÁNG'!G19</f>
        <v>0</v>
      </c>
      <c r="H17" s="857">
        <f>'TỔNG HỢP THÁNG'!H19</f>
        <v>0</v>
      </c>
      <c r="I17" s="857">
        <f>'TỔNG HỢP THÁNG'!I19</f>
        <v>0</v>
      </c>
      <c r="J17" s="857"/>
      <c r="K17" s="858">
        <f t="shared" si="1"/>
        <v>0</v>
      </c>
      <c r="L17" s="1059"/>
      <c r="M17" s="1059"/>
      <c r="N17" s="1059"/>
      <c r="O17" s="1059"/>
    </row>
    <row r="18" spans="1:15">
      <c r="A18" s="138">
        <v>11</v>
      </c>
      <c r="B18" s="856" t="s">
        <v>837</v>
      </c>
      <c r="C18" s="856" t="s">
        <v>838</v>
      </c>
      <c r="D18" s="138" t="s">
        <v>193</v>
      </c>
      <c r="E18" s="857">
        <f>'TỔNG HỢP THÁNG'!E74</f>
        <v>0</v>
      </c>
      <c r="F18" s="857"/>
      <c r="G18" s="857">
        <f>'TỔNG HỢP THÁNG'!G74</f>
        <v>0</v>
      </c>
      <c r="H18" s="857">
        <f>'TỔNG HỢP THÁNG'!H74</f>
        <v>0</v>
      </c>
      <c r="I18" s="857">
        <f>'TỔNG HỢP THÁNG'!I74</f>
        <v>0</v>
      </c>
      <c r="J18" s="857"/>
      <c r="K18" s="858">
        <f t="shared" si="1"/>
        <v>0</v>
      </c>
      <c r="L18" s="1059"/>
      <c r="M18" s="1059"/>
      <c r="N18" s="1059"/>
      <c r="O18" s="1059"/>
    </row>
    <row r="19" spans="1:15">
      <c r="A19" s="138">
        <v>12</v>
      </c>
      <c r="B19" s="856" t="s">
        <v>501</v>
      </c>
      <c r="C19" s="856" t="s">
        <v>502</v>
      </c>
      <c r="D19" s="138" t="s">
        <v>193</v>
      </c>
      <c r="E19" s="857">
        <f>'[1]TỔNG HỢP THÁNG'!E139</f>
        <v>12200</v>
      </c>
      <c r="F19" s="857"/>
      <c r="G19" s="857">
        <v>0</v>
      </c>
      <c r="H19" s="857">
        <v>0</v>
      </c>
      <c r="I19" s="857">
        <v>0</v>
      </c>
      <c r="J19" s="857"/>
      <c r="K19" s="858">
        <f t="shared" si="1"/>
        <v>12200</v>
      </c>
      <c r="L19" s="1059"/>
      <c r="M19" s="1059"/>
      <c r="N19" s="1059"/>
      <c r="O19" s="1059"/>
    </row>
    <row r="20" spans="1:15">
      <c r="A20" s="138">
        <v>13</v>
      </c>
      <c r="B20" s="856" t="s">
        <v>503</v>
      </c>
      <c r="C20" s="856" t="s">
        <v>504</v>
      </c>
      <c r="D20" s="138" t="s">
        <v>193</v>
      </c>
      <c r="E20" s="857">
        <f>'[1]TỔNG HỢP THÁNG'!E57</f>
        <v>157.5</v>
      </c>
      <c r="F20" s="857"/>
      <c r="G20" s="857">
        <v>0</v>
      </c>
      <c r="H20" s="857">
        <v>0</v>
      </c>
      <c r="I20" s="857">
        <v>0</v>
      </c>
      <c r="J20" s="857"/>
      <c r="K20" s="858">
        <f t="shared" si="1"/>
        <v>157.5</v>
      </c>
      <c r="L20" s="1059"/>
      <c r="M20" s="1059"/>
      <c r="N20" s="1059"/>
      <c r="O20" s="1059"/>
    </row>
    <row r="21" spans="1:15">
      <c r="A21" s="138">
        <v>14</v>
      </c>
      <c r="B21" s="977" t="s">
        <v>1052</v>
      </c>
      <c r="C21" s="977" t="s">
        <v>1053</v>
      </c>
      <c r="D21" s="138" t="s">
        <v>193</v>
      </c>
      <c r="E21" s="857">
        <f>'TỔNG HỢP THÁNG'!E72</f>
        <v>31467</v>
      </c>
      <c r="F21" s="857"/>
      <c r="G21" s="857">
        <f>'TỔNG HỢP THÁNG'!G72</f>
        <v>0</v>
      </c>
      <c r="H21" s="857">
        <f>'TỔNG HỢP THÁNG'!H72</f>
        <v>0</v>
      </c>
      <c r="I21" s="857">
        <f>'TỔNG HỢP THÁNG'!I72</f>
        <v>0</v>
      </c>
      <c r="J21" s="857"/>
      <c r="K21" s="858">
        <f t="shared" si="1"/>
        <v>31467</v>
      </c>
      <c r="L21" s="1059"/>
      <c r="M21" s="1059"/>
      <c r="N21" s="1059"/>
      <c r="O21" s="1059"/>
    </row>
    <row r="22" spans="1:15">
      <c r="A22" s="138">
        <v>15</v>
      </c>
      <c r="B22" s="856" t="s">
        <v>505</v>
      </c>
      <c r="C22" s="856" t="s">
        <v>506</v>
      </c>
      <c r="D22" s="138" t="s">
        <v>193</v>
      </c>
      <c r="E22" s="857">
        <f>'[1]TỔNG HỢP THÁNG'!E135</f>
        <v>950</v>
      </c>
      <c r="F22" s="857"/>
      <c r="G22" s="857">
        <v>0</v>
      </c>
      <c r="H22" s="857">
        <v>0</v>
      </c>
      <c r="I22" s="857">
        <v>0</v>
      </c>
      <c r="J22" s="857"/>
      <c r="K22" s="858">
        <f t="shared" si="1"/>
        <v>950</v>
      </c>
      <c r="L22" s="1059"/>
      <c r="M22" s="1059"/>
      <c r="N22" s="1059"/>
      <c r="O22" s="1059"/>
    </row>
    <row r="23" spans="1:15">
      <c r="A23" s="138">
        <v>16</v>
      </c>
      <c r="B23" s="856" t="s">
        <v>507</v>
      </c>
      <c r="C23" s="856" t="s">
        <v>508</v>
      </c>
      <c r="D23" s="138" t="s">
        <v>193</v>
      </c>
      <c r="E23" s="857">
        <f>'[1]TỔNG HỢP THÁNG'!E140</f>
        <v>7106.5990000000002</v>
      </c>
      <c r="F23" s="857"/>
      <c r="G23" s="857">
        <v>0</v>
      </c>
      <c r="H23" s="857">
        <v>0</v>
      </c>
      <c r="I23" s="857">
        <v>0</v>
      </c>
      <c r="J23" s="857"/>
      <c r="K23" s="858">
        <f t="shared" si="1"/>
        <v>7106.5990000000002</v>
      </c>
      <c r="L23" s="1059"/>
      <c r="M23" s="1059"/>
      <c r="N23" s="1059"/>
      <c r="O23" s="1059"/>
    </row>
    <row r="24" spans="1:15">
      <c r="A24" s="138">
        <v>17</v>
      </c>
      <c r="B24" s="856" t="s">
        <v>511</v>
      </c>
      <c r="C24" s="856" t="s">
        <v>512</v>
      </c>
      <c r="D24" s="138" t="s">
        <v>193</v>
      </c>
      <c r="E24" s="857">
        <f>'[1]TỔNG HỢP THÁNG'!E141</f>
        <v>267</v>
      </c>
      <c r="F24" s="857"/>
      <c r="G24" s="857">
        <v>0</v>
      </c>
      <c r="H24" s="857">
        <v>0</v>
      </c>
      <c r="I24" s="857">
        <v>0</v>
      </c>
      <c r="J24" s="857"/>
      <c r="K24" s="858">
        <f t="shared" si="1"/>
        <v>267</v>
      </c>
      <c r="L24" s="1059"/>
      <c r="M24" s="1059"/>
      <c r="N24" s="1059"/>
      <c r="O24" s="1059"/>
    </row>
    <row r="25" spans="1:15">
      <c r="A25" s="138">
        <v>18</v>
      </c>
      <c r="B25" s="856" t="s">
        <v>513</v>
      </c>
      <c r="C25" s="856" t="s">
        <v>514</v>
      </c>
      <c r="D25" s="138" t="s">
        <v>193</v>
      </c>
      <c r="E25" s="857">
        <f>'TỔNG HỢP THÁNG'!E8</f>
        <v>12638.6</v>
      </c>
      <c r="F25" s="857"/>
      <c r="G25" s="857">
        <f>'TỔNG HỢP THÁNG'!G8</f>
        <v>20000</v>
      </c>
      <c r="H25" s="857">
        <f>'TỔNG HỢP THÁNG'!H8</f>
        <v>12480</v>
      </c>
      <c r="I25" s="857">
        <f>'TỔNG HỢP THÁNG'!I8</f>
        <v>12678</v>
      </c>
      <c r="J25" s="857"/>
      <c r="K25" s="858">
        <f t="shared" si="1"/>
        <v>19960.599999999999</v>
      </c>
      <c r="L25" s="1059"/>
      <c r="M25" s="1059"/>
      <c r="N25" s="1059"/>
      <c r="O25" s="1059"/>
    </row>
    <row r="26" spans="1:15">
      <c r="A26" s="138">
        <v>19</v>
      </c>
      <c r="B26" s="856" t="s">
        <v>515</v>
      </c>
      <c r="C26" s="856" t="s">
        <v>516</v>
      </c>
      <c r="D26" s="138" t="s">
        <v>193</v>
      </c>
      <c r="E26" s="857">
        <f>'TỔNG HỢP THÁNG'!D55</f>
        <v>0</v>
      </c>
      <c r="F26" s="857"/>
      <c r="G26" s="857">
        <v>0</v>
      </c>
      <c r="H26" s="857">
        <f>'TỔNG HỢP THÁNG'!H55</f>
        <v>0</v>
      </c>
      <c r="I26" s="857">
        <v>0</v>
      </c>
      <c r="J26" s="857"/>
      <c r="K26" s="858">
        <f t="shared" si="1"/>
        <v>0</v>
      </c>
      <c r="L26" s="1059"/>
      <c r="M26" s="1059"/>
      <c r="N26" s="1059"/>
      <c r="O26" s="1059"/>
    </row>
    <row r="27" spans="1:15">
      <c r="A27" s="138">
        <v>20</v>
      </c>
      <c r="B27" s="856" t="s">
        <v>517</v>
      </c>
      <c r="C27" s="856" t="s">
        <v>518</v>
      </c>
      <c r="D27" s="138" t="s">
        <v>193</v>
      </c>
      <c r="E27" s="857">
        <f>'[1]TỔNG HỢP THÁNG'!E44</f>
        <v>4305.8</v>
      </c>
      <c r="F27" s="857"/>
      <c r="G27" s="857">
        <v>0</v>
      </c>
      <c r="H27" s="857">
        <v>0</v>
      </c>
      <c r="I27" s="857">
        <v>0</v>
      </c>
      <c r="J27" s="857"/>
      <c r="K27" s="858">
        <f t="shared" si="1"/>
        <v>4305.8</v>
      </c>
      <c r="L27" s="1059"/>
      <c r="M27" s="1059"/>
      <c r="N27" s="1059"/>
      <c r="O27" s="1059"/>
    </row>
    <row r="28" spans="1:15">
      <c r="A28" s="138">
        <v>21</v>
      </c>
      <c r="B28" s="856" t="s">
        <v>519</v>
      </c>
      <c r="C28" s="856" t="s">
        <v>520</v>
      </c>
      <c r="D28" s="138" t="s">
        <v>193</v>
      </c>
      <c r="E28" s="857">
        <f>'[1]TỔNG HỢP THÁNG'!E126</f>
        <v>8263</v>
      </c>
      <c r="F28" s="857"/>
      <c r="G28" s="857">
        <v>0</v>
      </c>
      <c r="H28" s="857">
        <v>0</v>
      </c>
      <c r="I28" s="857">
        <v>0</v>
      </c>
      <c r="J28" s="857"/>
      <c r="K28" s="858">
        <f t="shared" si="1"/>
        <v>8263</v>
      </c>
      <c r="L28" s="1059"/>
      <c r="M28" s="1059"/>
      <c r="N28" s="1059"/>
      <c r="O28" s="1059"/>
    </row>
    <row r="29" spans="1:15">
      <c r="A29" s="138">
        <v>22</v>
      </c>
      <c r="B29" s="856" t="s">
        <v>521</v>
      </c>
      <c r="C29" s="856" t="s">
        <v>522</v>
      </c>
      <c r="D29" s="138" t="s">
        <v>193</v>
      </c>
      <c r="E29" s="857">
        <f>'[1]TỔNG HỢP THÁNG'!E131</f>
        <v>600</v>
      </c>
      <c r="F29" s="857"/>
      <c r="G29" s="857">
        <v>0</v>
      </c>
      <c r="H29" s="857">
        <v>0</v>
      </c>
      <c r="I29" s="857">
        <v>0</v>
      </c>
      <c r="J29" s="857"/>
      <c r="K29" s="858">
        <f t="shared" si="1"/>
        <v>600</v>
      </c>
      <c r="L29" s="1059"/>
      <c r="M29" s="1059"/>
      <c r="N29" s="1059"/>
      <c r="O29" s="1059"/>
    </row>
    <row r="30" spans="1:15">
      <c r="A30" s="138">
        <v>23</v>
      </c>
      <c r="B30" s="856" t="s">
        <v>523</v>
      </c>
      <c r="C30" s="856" t="s">
        <v>162</v>
      </c>
      <c r="D30" s="138" t="s">
        <v>193</v>
      </c>
      <c r="E30" s="857">
        <f>'[1]TỔNG HỢP THÁNG'!E132</f>
        <v>300</v>
      </c>
      <c r="F30" s="857"/>
      <c r="G30" s="857">
        <v>0</v>
      </c>
      <c r="H30" s="857">
        <v>0</v>
      </c>
      <c r="I30" s="857">
        <v>0</v>
      </c>
      <c r="J30" s="857"/>
      <c r="K30" s="858">
        <f t="shared" si="1"/>
        <v>300</v>
      </c>
      <c r="L30" s="1059"/>
      <c r="M30" s="1059"/>
      <c r="N30" s="1059"/>
      <c r="O30" s="1059"/>
    </row>
    <row r="31" spans="1:15">
      <c r="A31" s="138">
        <v>24</v>
      </c>
      <c r="B31" s="856" t="s">
        <v>524</v>
      </c>
      <c r="C31" s="856" t="s">
        <v>525</v>
      </c>
      <c r="D31" s="138" t="s">
        <v>193</v>
      </c>
      <c r="E31" s="857">
        <f>'[1]TỔNG HỢP THÁNG'!E125</f>
        <v>6180</v>
      </c>
      <c r="F31" s="857"/>
      <c r="G31" s="857">
        <v>0</v>
      </c>
      <c r="H31" s="857">
        <v>0</v>
      </c>
      <c r="I31" s="857">
        <v>0</v>
      </c>
      <c r="J31" s="857"/>
      <c r="K31" s="858">
        <f t="shared" si="1"/>
        <v>6180</v>
      </c>
      <c r="L31" s="1059"/>
      <c r="M31" s="1059"/>
      <c r="N31" s="1059"/>
      <c r="O31" s="1059"/>
    </row>
    <row r="32" spans="1:15">
      <c r="A32" s="138">
        <v>25</v>
      </c>
      <c r="B32" s="856" t="s">
        <v>526</v>
      </c>
      <c r="C32" s="856" t="s">
        <v>165</v>
      </c>
      <c r="D32" s="138" t="s">
        <v>193</v>
      </c>
      <c r="E32" s="857">
        <f>'[1]TỔNG HỢP THÁNG'!E130</f>
        <v>200</v>
      </c>
      <c r="F32" s="857"/>
      <c r="G32" s="857">
        <v>0</v>
      </c>
      <c r="H32" s="857">
        <v>0</v>
      </c>
      <c r="I32" s="857">
        <v>0</v>
      </c>
      <c r="J32" s="857"/>
      <c r="K32" s="858">
        <f t="shared" si="1"/>
        <v>200</v>
      </c>
      <c r="L32" s="1059"/>
      <c r="M32" s="1059"/>
      <c r="N32" s="1059"/>
      <c r="O32" s="1059"/>
    </row>
    <row r="33" spans="1:15">
      <c r="A33" s="138">
        <v>26</v>
      </c>
      <c r="B33" s="856" t="s">
        <v>527</v>
      </c>
      <c r="C33" s="856" t="s">
        <v>528</v>
      </c>
      <c r="D33" s="138" t="s">
        <v>193</v>
      </c>
      <c r="E33" s="857">
        <f>'[1]TỔNG HỢP THÁNG'!E127</f>
        <v>3222</v>
      </c>
      <c r="F33" s="857"/>
      <c r="G33" s="857">
        <v>0</v>
      </c>
      <c r="H33" s="857">
        <v>0</v>
      </c>
      <c r="I33" s="857">
        <v>0</v>
      </c>
      <c r="J33" s="857"/>
      <c r="K33" s="858">
        <f t="shared" si="1"/>
        <v>3222</v>
      </c>
      <c r="L33" s="1059"/>
      <c r="M33" s="1059"/>
      <c r="N33" s="1059"/>
      <c r="O33" s="1059"/>
    </row>
    <row r="34" spans="1:15">
      <c r="A34" s="138">
        <v>27</v>
      </c>
      <c r="B34" s="856" t="s">
        <v>529</v>
      </c>
      <c r="C34" s="856" t="s">
        <v>530</v>
      </c>
      <c r="D34" s="138" t="s">
        <v>193</v>
      </c>
      <c r="E34" s="857">
        <f>'[1]TỔNG HỢP THÁNG'!E128</f>
        <v>4330</v>
      </c>
      <c r="F34" s="857"/>
      <c r="G34" s="857">
        <v>0</v>
      </c>
      <c r="H34" s="857">
        <v>0</v>
      </c>
      <c r="I34" s="857">
        <v>0</v>
      </c>
      <c r="J34" s="857"/>
      <c r="K34" s="858">
        <f t="shared" si="1"/>
        <v>4330</v>
      </c>
      <c r="L34" s="1059"/>
      <c r="M34" s="1059"/>
      <c r="N34" s="1059"/>
      <c r="O34" s="1059"/>
    </row>
    <row r="35" spans="1:15">
      <c r="A35" s="138">
        <v>28</v>
      </c>
      <c r="B35" s="138" t="s">
        <v>531</v>
      </c>
      <c r="C35" s="856" t="s">
        <v>164</v>
      </c>
      <c r="D35" s="138" t="s">
        <v>193</v>
      </c>
      <c r="E35" s="857">
        <f>0</f>
        <v>0</v>
      </c>
      <c r="F35" s="857"/>
      <c r="G35" s="857">
        <v>0</v>
      </c>
      <c r="H35" s="857">
        <v>0</v>
      </c>
      <c r="I35" s="857">
        <v>0</v>
      </c>
      <c r="J35" s="857"/>
      <c r="K35" s="858">
        <f t="shared" si="1"/>
        <v>0</v>
      </c>
      <c r="L35" s="1059"/>
      <c r="M35" s="1059"/>
      <c r="N35" s="1059"/>
      <c r="O35" s="1059"/>
    </row>
    <row r="36" spans="1:15">
      <c r="A36" s="138">
        <v>29</v>
      </c>
      <c r="B36" s="856" t="s">
        <v>532</v>
      </c>
      <c r="C36" s="856" t="s">
        <v>163</v>
      </c>
      <c r="D36" s="138" t="s">
        <v>193</v>
      </c>
      <c r="E36" s="857">
        <f>'[1]TỔNG HỢP THÁNG'!E133</f>
        <v>300</v>
      </c>
      <c r="F36" s="857"/>
      <c r="G36" s="857">
        <v>0</v>
      </c>
      <c r="H36" s="857">
        <v>0</v>
      </c>
      <c r="I36" s="857">
        <v>0</v>
      </c>
      <c r="J36" s="857"/>
      <c r="K36" s="858">
        <f t="shared" si="1"/>
        <v>300</v>
      </c>
      <c r="L36" s="1059"/>
      <c r="M36" s="1059"/>
      <c r="N36" s="1059"/>
      <c r="O36" s="1059"/>
    </row>
    <row r="37" spans="1:15">
      <c r="A37" s="138">
        <v>30</v>
      </c>
      <c r="B37" s="856" t="s">
        <v>533</v>
      </c>
      <c r="C37" s="856" t="s">
        <v>534</v>
      </c>
      <c r="D37" s="138" t="s">
        <v>193</v>
      </c>
      <c r="E37" s="857">
        <f>'TỔNG HỢP THÁNG'!E7</f>
        <v>30667</v>
      </c>
      <c r="F37" s="857"/>
      <c r="G37" s="857">
        <f>'TỔNG HỢP THÁNG'!G7</f>
        <v>27000</v>
      </c>
      <c r="H37" s="857">
        <f>'TỔNG HỢP THÁNG'!H7</f>
        <v>14101</v>
      </c>
      <c r="I37" s="857">
        <f>'TỔNG HỢP THÁNG'!I7</f>
        <v>14286</v>
      </c>
      <c r="J37" s="857"/>
      <c r="K37" s="858">
        <f t="shared" si="1"/>
        <v>43381</v>
      </c>
      <c r="L37" s="1059"/>
      <c r="M37" s="1059"/>
      <c r="N37" s="1059"/>
      <c r="O37" s="1059"/>
    </row>
    <row r="38" spans="1:15">
      <c r="A38" s="138">
        <v>31</v>
      </c>
      <c r="B38" s="856" t="s">
        <v>537</v>
      </c>
      <c r="C38" s="856" t="s">
        <v>538</v>
      </c>
      <c r="D38" s="138" t="s">
        <v>193</v>
      </c>
      <c r="E38" s="857">
        <f>'TỔNG HỢP THÁNG'!E65</f>
        <v>760</v>
      </c>
      <c r="F38" s="857"/>
      <c r="G38" s="857">
        <f>'[1]TỔNG HỢP THÁNG'!G48</f>
        <v>0</v>
      </c>
      <c r="H38" s="857">
        <f>'TỔNG HỢP THÁNG'!H65</f>
        <v>0</v>
      </c>
      <c r="I38" s="857">
        <f>'TỔNG HỢP THÁNG'!I65</f>
        <v>0</v>
      </c>
      <c r="J38" s="857"/>
      <c r="K38" s="858">
        <f t="shared" si="1"/>
        <v>760</v>
      </c>
      <c r="L38" s="1059"/>
      <c r="M38" s="1059"/>
      <c r="N38" s="1059"/>
      <c r="O38" s="1059"/>
    </row>
    <row r="39" spans="1:15">
      <c r="A39" s="138">
        <v>32</v>
      </c>
      <c r="B39" s="856" t="s">
        <v>539</v>
      </c>
      <c r="C39" s="856" t="s">
        <v>540</v>
      </c>
      <c r="D39" s="138" t="s">
        <v>193</v>
      </c>
      <c r="E39" s="857">
        <f>'TỔNG HỢP THÁNG'!E66</f>
        <v>100</v>
      </c>
      <c r="F39" s="857"/>
      <c r="G39" s="857">
        <v>0</v>
      </c>
      <c r="H39" s="857">
        <f>'TỔNG HỢP THÁNG'!H66</f>
        <v>0</v>
      </c>
      <c r="I39" s="857">
        <f>'TỔNG HỢP THÁNG'!I66</f>
        <v>0</v>
      </c>
      <c r="J39" s="857"/>
      <c r="K39" s="858">
        <f t="shared" si="1"/>
        <v>100</v>
      </c>
      <c r="L39" s="1059"/>
      <c r="M39" s="1059"/>
      <c r="N39" s="1059"/>
      <c r="O39" s="1059"/>
    </row>
    <row r="40" spans="1:15">
      <c r="A40" s="138">
        <v>33</v>
      </c>
      <c r="B40" s="856" t="s">
        <v>541</v>
      </c>
      <c r="C40" s="856" t="s">
        <v>542</v>
      </c>
      <c r="D40" s="138" t="s">
        <v>193</v>
      </c>
      <c r="E40" s="857">
        <f>'TỔNG HỢP THÁNG'!E63</f>
        <v>3400</v>
      </c>
      <c r="F40" s="857"/>
      <c r="G40" s="857">
        <v>0</v>
      </c>
      <c r="H40" s="857">
        <f>'TỔNG HỢP THÁNG'!H63</f>
        <v>0</v>
      </c>
      <c r="I40" s="857">
        <f>'TỔNG HỢP THÁNG'!I63</f>
        <v>0</v>
      </c>
      <c r="J40" s="857"/>
      <c r="K40" s="858">
        <f t="shared" si="1"/>
        <v>3400</v>
      </c>
      <c r="L40" s="1059"/>
      <c r="M40" s="1059"/>
      <c r="N40" s="1059"/>
      <c r="O40" s="1059"/>
    </row>
    <row r="41" spans="1:15">
      <c r="A41" s="138">
        <v>34</v>
      </c>
      <c r="B41" s="856" t="s">
        <v>543</v>
      </c>
      <c r="C41" s="856" t="s">
        <v>544</v>
      </c>
      <c r="D41" s="138" t="s">
        <v>193</v>
      </c>
      <c r="E41" s="857">
        <f>'TỔNG HỢP THÁNG'!E67</f>
        <v>0</v>
      </c>
      <c r="F41" s="857"/>
      <c r="G41" s="857">
        <v>0</v>
      </c>
      <c r="H41" s="857">
        <f>'TỔNG HỢP THÁNG'!H67</f>
        <v>0</v>
      </c>
      <c r="I41" s="857">
        <f>'TỔNG HỢP THÁNG'!I67</f>
        <v>0</v>
      </c>
      <c r="J41" s="857"/>
      <c r="K41" s="858">
        <f t="shared" si="1"/>
        <v>0</v>
      </c>
      <c r="L41" s="1059"/>
      <c r="M41" s="1059"/>
      <c r="N41" s="1059"/>
      <c r="O41" s="1059"/>
    </row>
    <row r="42" spans="1:15">
      <c r="A42" s="138">
        <v>35</v>
      </c>
      <c r="B42" s="856" t="s">
        <v>1211</v>
      </c>
      <c r="C42" s="965" t="s">
        <v>1212</v>
      </c>
      <c r="D42" s="138" t="s">
        <v>193</v>
      </c>
      <c r="E42" s="857">
        <f>'TỔNG HỢP THÁNG'!E17</f>
        <v>67228</v>
      </c>
      <c r="F42" s="857"/>
      <c r="G42" s="857">
        <f>'TỔNG HỢP THÁNG'!G17</f>
        <v>56000</v>
      </c>
      <c r="H42" s="857">
        <f>'TỔNG HỢP THÁNG'!H17</f>
        <v>20722</v>
      </c>
      <c r="I42" s="857">
        <f>'TỔNG HỢP THÁNG'!I17</f>
        <v>20722</v>
      </c>
      <c r="J42" s="857"/>
      <c r="K42" s="858">
        <f t="shared" si="1"/>
        <v>102506</v>
      </c>
      <c r="L42" s="1059"/>
      <c r="M42" s="1059"/>
      <c r="N42" s="1059"/>
      <c r="O42" s="1059"/>
    </row>
    <row r="43" spans="1:15">
      <c r="A43" s="138">
        <v>36</v>
      </c>
      <c r="B43" s="856" t="s">
        <v>549</v>
      </c>
      <c r="C43" s="856" t="s">
        <v>330</v>
      </c>
      <c r="D43" s="138" t="s">
        <v>193</v>
      </c>
      <c r="E43" s="857">
        <f>'TỔNG HỢP THÁNG'!E44</f>
        <v>810</v>
      </c>
      <c r="F43" s="857"/>
      <c r="G43" s="857">
        <v>0</v>
      </c>
      <c r="H43" s="857">
        <v>0</v>
      </c>
      <c r="I43" s="857">
        <v>0</v>
      </c>
      <c r="J43" s="857"/>
      <c r="K43" s="858">
        <f t="shared" si="1"/>
        <v>810</v>
      </c>
      <c r="L43" s="1059"/>
      <c r="M43" s="1059"/>
      <c r="N43" s="1059"/>
      <c r="O43" s="1059"/>
    </row>
    <row r="44" spans="1:15">
      <c r="A44" s="138">
        <v>37</v>
      </c>
      <c r="B44" s="856" t="s">
        <v>550</v>
      </c>
      <c r="C44" s="856" t="s">
        <v>451</v>
      </c>
      <c r="D44" s="138" t="s">
        <v>193</v>
      </c>
      <c r="E44" s="857">
        <f>'[1]TỔNG HỢP THÁNG'!E34</f>
        <v>25</v>
      </c>
      <c r="F44" s="857"/>
      <c r="G44" s="857">
        <v>0</v>
      </c>
      <c r="H44" s="857">
        <v>0</v>
      </c>
      <c r="I44" s="857">
        <v>0</v>
      </c>
      <c r="J44" s="857"/>
      <c r="K44" s="858">
        <f t="shared" si="1"/>
        <v>25</v>
      </c>
      <c r="L44" s="1059"/>
      <c r="M44" s="1059"/>
      <c r="N44" s="1059"/>
      <c r="O44" s="1059"/>
    </row>
    <row r="45" spans="1:15" ht="14.25" customHeight="1">
      <c r="A45" s="138">
        <v>38</v>
      </c>
      <c r="B45" s="856" t="s">
        <v>803</v>
      </c>
      <c r="C45" s="856" t="s">
        <v>804</v>
      </c>
      <c r="D45" s="138" t="s">
        <v>193</v>
      </c>
      <c r="E45" s="857">
        <f>'TỔNG HỢP THÁNG'!E79</f>
        <v>90690</v>
      </c>
      <c r="F45" s="857"/>
      <c r="G45" s="857">
        <f>'TỔNG HỢP THÁNG'!G79</f>
        <v>28000</v>
      </c>
      <c r="H45" s="857">
        <f>'TỔNG HỢP THÁNG'!H79</f>
        <v>53805</v>
      </c>
      <c r="I45" s="857">
        <f>'TỔNG HỢP THÁNG'!I79</f>
        <v>54791</v>
      </c>
      <c r="J45" s="857"/>
      <c r="K45" s="858">
        <f>E45+G45-I45</f>
        <v>63899</v>
      </c>
      <c r="L45" s="1059"/>
      <c r="M45" s="1059"/>
      <c r="N45" s="1059"/>
      <c r="O45" s="1059"/>
    </row>
    <row r="46" spans="1:15">
      <c r="A46" s="138">
        <v>39</v>
      </c>
      <c r="B46" s="856" t="s">
        <v>812</v>
      </c>
      <c r="C46" s="856" t="s">
        <v>813</v>
      </c>
      <c r="D46" s="138" t="s">
        <v>193</v>
      </c>
      <c r="E46" s="857">
        <f>'TỔNG HỢP THÁNG'!E84</f>
        <v>223</v>
      </c>
      <c r="F46" s="857"/>
      <c r="G46" s="857">
        <f>'TỔNG HỢP THÁNG'!G84</f>
        <v>0</v>
      </c>
      <c r="H46" s="857">
        <f>'TỔNG HỢP THÁNG'!H84</f>
        <v>0</v>
      </c>
      <c r="I46" s="857">
        <f>'TỔNG HỢP THÁNG'!I84</f>
        <v>0</v>
      </c>
      <c r="J46" s="857"/>
      <c r="K46" s="858">
        <f>E46+G46-I46</f>
        <v>223</v>
      </c>
      <c r="L46" s="1059"/>
      <c r="M46" s="1059"/>
      <c r="N46" s="1059"/>
      <c r="O46" s="1059"/>
    </row>
    <row r="47" spans="1:15">
      <c r="A47" s="138">
        <v>40</v>
      </c>
      <c r="B47" s="856" t="s">
        <v>693</v>
      </c>
      <c r="C47" s="856" t="s">
        <v>694</v>
      </c>
      <c r="D47" s="138" t="s">
        <v>193</v>
      </c>
      <c r="E47" s="857">
        <f>'TỔNG HỢP THÁNG'!E70</f>
        <v>23895</v>
      </c>
      <c r="F47" s="857"/>
      <c r="G47" s="857">
        <f>'TỔNG HỢP THÁNG'!G70</f>
        <v>0</v>
      </c>
      <c r="H47" s="857">
        <f>'TỔNG HỢP THÁNG'!H70</f>
        <v>0</v>
      </c>
      <c r="I47" s="857">
        <f>'TỔNG HỢP THÁNG'!I70</f>
        <v>0</v>
      </c>
      <c r="J47" s="857"/>
      <c r="K47" s="858">
        <f>E47+G47-I47</f>
        <v>23895</v>
      </c>
      <c r="L47" s="1059"/>
      <c r="M47" s="1059"/>
      <c r="N47" s="1059"/>
      <c r="O47" s="1059"/>
    </row>
    <row r="48" spans="1:15">
      <c r="A48" s="138">
        <v>41</v>
      </c>
      <c r="B48" s="856" t="s">
        <v>695</v>
      </c>
      <c r="C48" s="856" t="s">
        <v>696</v>
      </c>
      <c r="D48" s="138" t="s">
        <v>193</v>
      </c>
      <c r="E48" s="857">
        <f>'TỔNG HỢP THÁNG'!E69</f>
        <v>32866</v>
      </c>
      <c r="F48" s="857"/>
      <c r="G48" s="857">
        <f>'TỔNG HỢP THÁNG'!G69</f>
        <v>0</v>
      </c>
      <c r="H48" s="857">
        <f>'TỔNG HỢP THÁNG'!H69</f>
        <v>0</v>
      </c>
      <c r="I48" s="857">
        <f>'TỔNG HỢP THÁNG'!I69</f>
        <v>0</v>
      </c>
      <c r="J48" s="857"/>
      <c r="K48" s="858">
        <f>E48+G48-I48</f>
        <v>32866</v>
      </c>
      <c r="L48" s="1059"/>
      <c r="M48" s="1059"/>
      <c r="N48" s="1059"/>
      <c r="O48" s="1059"/>
    </row>
    <row r="49" spans="1:15">
      <c r="A49" s="138">
        <v>42</v>
      </c>
      <c r="B49" s="856" t="s">
        <v>839</v>
      </c>
      <c r="C49" s="856" t="s">
        <v>840</v>
      </c>
      <c r="D49" s="856" t="s">
        <v>193</v>
      </c>
      <c r="E49" s="857">
        <f>'TỔNG HỢP THÁNG'!E88</f>
        <v>41874</v>
      </c>
      <c r="F49" s="857"/>
      <c r="G49" s="857">
        <f>'TỔNG HỢP THÁNG'!G88</f>
        <v>0</v>
      </c>
      <c r="H49" s="857">
        <f>'TỔNG HỢP THÁNG'!H88</f>
        <v>225</v>
      </c>
      <c r="I49" s="857">
        <f>'TỔNG HỢP THÁNG'!I88</f>
        <v>226</v>
      </c>
      <c r="J49" s="857"/>
      <c r="K49" s="858">
        <f t="shared" ref="K49:K52" si="2">E49+G49-I49</f>
        <v>41648</v>
      </c>
      <c r="L49" s="1059"/>
      <c r="M49" s="1059"/>
      <c r="N49" s="1059"/>
      <c r="O49" s="1059"/>
    </row>
    <row r="50" spans="1:15">
      <c r="A50" s="138">
        <v>43</v>
      </c>
      <c r="B50" s="856" t="s">
        <v>841</v>
      </c>
      <c r="C50" s="856" t="s">
        <v>842</v>
      </c>
      <c r="D50" s="856" t="s">
        <v>193</v>
      </c>
      <c r="E50" s="857">
        <f>'TỔNG HỢP THÁNG'!E13</f>
        <v>0</v>
      </c>
      <c r="F50" s="857"/>
      <c r="G50" s="857">
        <f>'TỔNG HỢP THÁNG'!G13</f>
        <v>2666</v>
      </c>
      <c r="H50" s="857">
        <f>'TỔNG HỢP THÁNG'!H13</f>
        <v>120</v>
      </c>
      <c r="I50" s="857">
        <f>'TỔNG HỢP THÁNG'!I13</f>
        <v>161</v>
      </c>
      <c r="J50" s="857"/>
      <c r="K50" s="858">
        <f t="shared" si="2"/>
        <v>2505</v>
      </c>
      <c r="L50" s="1059"/>
      <c r="M50" s="1059"/>
      <c r="N50" s="1059"/>
      <c r="O50" s="1059"/>
    </row>
    <row r="51" spans="1:15">
      <c r="A51" s="138">
        <v>44</v>
      </c>
      <c r="B51" s="856" t="s">
        <v>843</v>
      </c>
      <c r="C51" s="856" t="s">
        <v>844</v>
      </c>
      <c r="D51" s="856" t="s">
        <v>193</v>
      </c>
      <c r="E51" s="857">
        <f>'TỔNG HỢP THÁNG'!E89</f>
        <v>25455</v>
      </c>
      <c r="F51" s="857"/>
      <c r="G51" s="857">
        <f>'TỔNG HỢP THÁNG'!G89</f>
        <v>0</v>
      </c>
      <c r="H51" s="857">
        <f>'TỔNG HỢP THÁNG'!H89</f>
        <v>8160</v>
      </c>
      <c r="I51" s="857">
        <f>'TỔNG HỢP THÁNG'!I89</f>
        <v>8205</v>
      </c>
      <c r="J51" s="857"/>
      <c r="K51" s="858">
        <f t="shared" si="2"/>
        <v>17250</v>
      </c>
      <c r="L51" s="1059"/>
      <c r="M51" s="1059"/>
      <c r="N51" s="1059"/>
      <c r="O51" s="1059"/>
    </row>
    <row r="52" spans="1:15">
      <c r="A52" s="138">
        <v>45</v>
      </c>
      <c r="B52" s="856" t="s">
        <v>845</v>
      </c>
      <c r="C52" s="856" t="s">
        <v>846</v>
      </c>
      <c r="D52" s="856" t="s">
        <v>193</v>
      </c>
      <c r="E52" s="857">
        <f>'TỔNG HỢP THÁNG'!E90</f>
        <v>44724</v>
      </c>
      <c r="F52" s="857"/>
      <c r="G52" s="857">
        <f>'TỔNG HỢP THÁNG'!G90</f>
        <v>0</v>
      </c>
      <c r="H52" s="857">
        <f>'TỔNG HỢP THÁNG'!H90</f>
        <v>7752</v>
      </c>
      <c r="I52" s="857">
        <f>'TỔNG HỢP THÁNG'!I90</f>
        <v>7846</v>
      </c>
      <c r="J52" s="857"/>
      <c r="K52" s="858">
        <f t="shared" si="2"/>
        <v>36878</v>
      </c>
      <c r="L52" s="1059"/>
      <c r="M52" s="1059"/>
      <c r="N52" s="1059"/>
      <c r="O52" s="1059"/>
    </row>
    <row r="53" spans="1:15">
      <c r="A53" s="138">
        <v>46</v>
      </c>
      <c r="B53" s="856" t="s">
        <v>553</v>
      </c>
      <c r="C53" s="856" t="s">
        <v>554</v>
      </c>
      <c r="D53" s="138" t="s">
        <v>193</v>
      </c>
      <c r="E53" s="857">
        <f>'TỔNG HỢP THÁNG'!E41</f>
        <v>0</v>
      </c>
      <c r="F53" s="857"/>
      <c r="G53" s="857">
        <f>'TỔNG HỢP THÁNG'!G41</f>
        <v>1000</v>
      </c>
      <c r="H53" s="857">
        <f>'TỔNG HỢP THÁNG'!H41</f>
        <v>0</v>
      </c>
      <c r="I53" s="857">
        <f>'TỔNG HỢP THÁNG'!I41</f>
        <v>0</v>
      </c>
      <c r="J53" s="857"/>
      <c r="K53" s="858">
        <f t="shared" ref="K53:K58" si="3">E53+G53-I53</f>
        <v>1000</v>
      </c>
      <c r="L53" s="1059"/>
      <c r="M53" s="1059"/>
      <c r="N53" s="1059"/>
      <c r="O53" s="1059"/>
    </row>
    <row r="54" spans="1:15">
      <c r="A54" s="138">
        <v>47</v>
      </c>
      <c r="B54" s="856" t="s">
        <v>555</v>
      </c>
      <c r="C54" s="856" t="s">
        <v>556</v>
      </c>
      <c r="D54" s="138" t="s">
        <v>193</v>
      </c>
      <c r="E54" s="857">
        <f>'TỔNG HỢP THÁNG'!E26</f>
        <v>0</v>
      </c>
      <c r="F54" s="857"/>
      <c r="G54" s="857">
        <f>'TỔNG HỢP THÁNG'!G26</f>
        <v>0</v>
      </c>
      <c r="H54" s="857">
        <f>'TỔNG HỢP THÁNG'!H26</f>
        <v>0</v>
      </c>
      <c r="I54" s="857">
        <f>'TỔNG HỢP THÁNG'!I26</f>
        <v>0</v>
      </c>
      <c r="J54" s="857"/>
      <c r="K54" s="858">
        <f t="shared" si="3"/>
        <v>0</v>
      </c>
      <c r="L54" s="1059"/>
      <c r="M54" s="1059"/>
      <c r="N54" s="1059"/>
      <c r="O54" s="1059"/>
    </row>
    <row r="55" spans="1:15">
      <c r="A55" s="138">
        <v>48</v>
      </c>
      <c r="B55" s="856" t="s">
        <v>557</v>
      </c>
      <c r="C55" s="856" t="s">
        <v>558</v>
      </c>
      <c r="D55" s="138" t="s">
        <v>193</v>
      </c>
      <c r="E55" s="857">
        <f>'TỔNG HỢP THÁNG'!E51</f>
        <v>0</v>
      </c>
      <c r="F55" s="857"/>
      <c r="G55" s="857">
        <f>'TỔNG HỢP THÁNG'!G51</f>
        <v>0</v>
      </c>
      <c r="H55" s="857">
        <f>'TỔNG HỢP THÁNG'!H51</f>
        <v>0</v>
      </c>
      <c r="I55" s="857">
        <f>'TỔNG HỢP THÁNG'!I51</f>
        <v>0</v>
      </c>
      <c r="J55" s="857"/>
      <c r="K55" s="858">
        <f t="shared" si="3"/>
        <v>0</v>
      </c>
      <c r="L55" s="1059"/>
      <c r="M55" s="1059"/>
      <c r="N55" s="1059"/>
      <c r="O55" s="1059"/>
    </row>
    <row r="56" spans="1:15">
      <c r="A56" s="138">
        <v>49</v>
      </c>
      <c r="B56" s="856" t="s">
        <v>559</v>
      </c>
      <c r="C56" s="856" t="s">
        <v>560</v>
      </c>
      <c r="D56" s="138" t="s">
        <v>193</v>
      </c>
      <c r="E56" s="857">
        <v>0</v>
      </c>
      <c r="F56" s="857"/>
      <c r="G56" s="857">
        <v>0</v>
      </c>
      <c r="H56" s="857">
        <v>0</v>
      </c>
      <c r="I56" s="857">
        <v>0</v>
      </c>
      <c r="J56" s="857"/>
      <c r="K56" s="858">
        <f t="shared" si="3"/>
        <v>0</v>
      </c>
      <c r="L56" s="1059"/>
      <c r="M56" s="1059"/>
      <c r="N56" s="1059"/>
      <c r="O56" s="1059"/>
    </row>
    <row r="57" spans="1:15">
      <c r="A57" s="138">
        <v>50</v>
      </c>
      <c r="B57" s="856" t="s">
        <v>697</v>
      </c>
      <c r="C57" s="856" t="s">
        <v>698</v>
      </c>
      <c r="D57" s="138" t="s">
        <v>193</v>
      </c>
      <c r="E57" s="857">
        <f>'TỔNG HỢP THÁNG'!E28</f>
        <v>0</v>
      </c>
      <c r="F57" s="857"/>
      <c r="G57" s="857">
        <f>'TỔNG HỢP THÁNG'!G28</f>
        <v>0</v>
      </c>
      <c r="H57" s="857">
        <f>'TỔNG HỢP THÁNG'!H28</f>
        <v>0</v>
      </c>
      <c r="I57" s="857">
        <f>'TỔNG HỢP THÁNG'!I28</f>
        <v>0</v>
      </c>
      <c r="J57" s="857"/>
      <c r="K57" s="858">
        <f t="shared" si="3"/>
        <v>0</v>
      </c>
      <c r="L57" s="1059"/>
      <c r="M57" s="1059"/>
      <c r="N57" s="1059"/>
      <c r="O57" s="1059"/>
    </row>
    <row r="58" spans="1:15">
      <c r="A58" s="138">
        <v>51</v>
      </c>
      <c r="B58" s="856" t="s">
        <v>561</v>
      </c>
      <c r="C58" s="856" t="s">
        <v>562</v>
      </c>
      <c r="D58" s="138" t="s">
        <v>193</v>
      </c>
      <c r="E58" s="857">
        <f>'TỔNG HỢP THÁNG'!E50</f>
        <v>0</v>
      </c>
      <c r="F58" s="857"/>
      <c r="G58" s="857">
        <f>'TỔNG HỢP THÁNG'!G50</f>
        <v>0</v>
      </c>
      <c r="H58" s="857">
        <f>'TỔNG HỢP THÁNG'!H50</f>
        <v>0</v>
      </c>
      <c r="I58" s="857">
        <f>'TỔNG HỢP THÁNG'!I50</f>
        <v>0</v>
      </c>
      <c r="J58" s="857"/>
      <c r="K58" s="858">
        <f t="shared" si="3"/>
        <v>0</v>
      </c>
      <c r="L58" s="1059"/>
      <c r="M58" s="1059"/>
      <c r="N58" s="1059"/>
      <c r="O58" s="1059"/>
    </row>
    <row r="59" spans="1:15">
      <c r="A59" s="138">
        <v>52</v>
      </c>
      <c r="B59" s="856" t="s">
        <v>775</v>
      </c>
      <c r="C59" s="856" t="s">
        <v>776</v>
      </c>
      <c r="D59" s="138" t="s">
        <v>193</v>
      </c>
      <c r="E59" s="857">
        <f>'TỔNG HỢP THÁNG'!E71</f>
        <v>0</v>
      </c>
      <c r="F59" s="857"/>
      <c r="G59" s="857">
        <f>'TỔNG HỢP THÁNG'!G71</f>
        <v>0</v>
      </c>
      <c r="H59" s="857">
        <f>'TỔNG HỢP THÁNG'!H71</f>
        <v>0</v>
      </c>
      <c r="I59" s="857">
        <f>'TỔNG HỢP THÁNG'!I71</f>
        <v>0</v>
      </c>
      <c r="J59" s="857"/>
      <c r="K59" s="858">
        <f t="shared" si="1"/>
        <v>0</v>
      </c>
      <c r="L59" s="1059"/>
      <c r="M59" s="1059"/>
      <c r="N59" s="1059"/>
      <c r="O59" s="1059"/>
    </row>
    <row r="60" spans="1:15">
      <c r="A60" s="138">
        <v>53</v>
      </c>
      <c r="B60" s="856" t="s">
        <v>805</v>
      </c>
      <c r="C60" s="856" t="s">
        <v>806</v>
      </c>
      <c r="D60" s="138" t="s">
        <v>193</v>
      </c>
      <c r="E60" s="857">
        <f>'TỔNG HỢP THÁNG'!E82</f>
        <v>0</v>
      </c>
      <c r="F60" s="857"/>
      <c r="G60" s="857">
        <f>'TỔNG HỢP THÁNG'!G82</f>
        <v>0</v>
      </c>
      <c r="H60" s="857">
        <f>'TỔNG HỢP THÁNG'!H82</f>
        <v>0</v>
      </c>
      <c r="I60" s="857">
        <f>'TỔNG HỢP THÁNG'!I82</f>
        <v>0</v>
      </c>
      <c r="J60" s="857"/>
      <c r="K60" s="858">
        <f t="shared" si="1"/>
        <v>0</v>
      </c>
      <c r="L60" s="1059"/>
      <c r="M60" s="1059"/>
      <c r="N60" s="1059"/>
      <c r="O60" s="1059"/>
    </row>
    <row r="61" spans="1:15">
      <c r="A61" s="138">
        <v>54</v>
      </c>
      <c r="B61" s="977" t="s">
        <v>1119</v>
      </c>
      <c r="C61" s="856" t="s">
        <v>945</v>
      </c>
      <c r="D61" s="138" t="s">
        <v>193</v>
      </c>
      <c r="E61" s="857">
        <f>'TỔNG HỢP THÁNG'!E85</f>
        <v>38461</v>
      </c>
      <c r="F61" s="857"/>
      <c r="G61" s="857">
        <f>'TỔNG HỢP THÁNG'!G85</f>
        <v>0</v>
      </c>
      <c r="H61" s="857">
        <f>'TỔNG HỢP THÁNG'!H85</f>
        <v>2760</v>
      </c>
      <c r="I61" s="857">
        <f>'TỔNG HỢP THÁNG'!I85</f>
        <v>2777</v>
      </c>
      <c r="J61" s="857"/>
      <c r="K61" s="858">
        <f t="shared" si="1"/>
        <v>35684</v>
      </c>
      <c r="L61" s="1059"/>
      <c r="M61" s="1059"/>
      <c r="N61" s="1059"/>
      <c r="O61" s="1059"/>
    </row>
    <row r="62" spans="1:15">
      <c r="A62" s="138">
        <v>55</v>
      </c>
      <c r="B62" s="977" t="s">
        <v>1120</v>
      </c>
      <c r="C62" s="856" t="s">
        <v>946</v>
      </c>
      <c r="D62" s="138" t="s">
        <v>193</v>
      </c>
      <c r="E62" s="857">
        <f>'TỔNG HỢP THÁNG'!E86</f>
        <v>8236</v>
      </c>
      <c r="F62" s="857"/>
      <c r="G62" s="857">
        <f>'TỔNG HỢP THÁNG'!G86</f>
        <v>0</v>
      </c>
      <c r="H62" s="857">
        <f>'TỔNG HỢP THÁNG'!H86</f>
        <v>240</v>
      </c>
      <c r="I62" s="857">
        <f>'TỔNG HỢP THÁNG'!I86</f>
        <v>284</v>
      </c>
      <c r="J62" s="857"/>
      <c r="K62" s="858">
        <f t="shared" si="1"/>
        <v>7952</v>
      </c>
      <c r="L62" s="1059"/>
      <c r="M62" s="1059"/>
      <c r="N62" s="1059"/>
      <c r="O62" s="1059"/>
    </row>
    <row r="63" spans="1:15">
      <c r="A63" s="138">
        <v>56</v>
      </c>
      <c r="B63" s="856" t="s">
        <v>905</v>
      </c>
      <c r="C63" s="977" t="s">
        <v>906</v>
      </c>
      <c r="D63" s="138" t="s">
        <v>193</v>
      </c>
      <c r="E63" s="857">
        <f>'TỔNG HỢP THÁNG'!E33</f>
        <v>262</v>
      </c>
      <c r="F63" s="857"/>
      <c r="G63" s="857">
        <f>'TỔNG HỢP THÁNG'!G33</f>
        <v>0</v>
      </c>
      <c r="H63" s="857">
        <f>'TỔNG HỢP THÁNG'!H33</f>
        <v>0</v>
      </c>
      <c r="I63" s="857">
        <f>'TỔNG HỢP THÁNG'!I33</f>
        <v>0</v>
      </c>
      <c r="J63" s="857"/>
      <c r="K63" s="858">
        <f>E63+G63-I63</f>
        <v>262</v>
      </c>
      <c r="L63" s="1059"/>
      <c r="M63" s="1059"/>
      <c r="N63" s="1059"/>
      <c r="O63" s="1059"/>
    </row>
    <row r="64" spans="1:15">
      <c r="A64" s="138">
        <v>57</v>
      </c>
      <c r="B64" s="977" t="s">
        <v>965</v>
      </c>
      <c r="C64" s="977" t="s">
        <v>966</v>
      </c>
      <c r="D64" s="138" t="s">
        <v>193</v>
      </c>
      <c r="E64" s="857">
        <f>'TỔNG HỢP THÁNG'!E91</f>
        <v>7853</v>
      </c>
      <c r="F64" s="857"/>
      <c r="G64" s="857">
        <f>'TỔNG HỢP THÁNG'!G91</f>
        <v>0</v>
      </c>
      <c r="H64" s="857">
        <f>'TỔNG HỢP THÁNG'!H91</f>
        <v>8160</v>
      </c>
      <c r="I64" s="857">
        <f>'TỔNG HỢP THÁNG'!I91</f>
        <v>8212</v>
      </c>
      <c r="J64" s="857"/>
      <c r="K64" s="858">
        <f t="shared" si="1"/>
        <v>-359</v>
      </c>
      <c r="L64" s="1059"/>
      <c r="M64" s="1059"/>
      <c r="N64" s="1059"/>
      <c r="O64" s="1059"/>
    </row>
    <row r="65" spans="1:15">
      <c r="A65" s="138">
        <v>58</v>
      </c>
      <c r="B65" s="977" t="s">
        <v>1013</v>
      </c>
      <c r="C65" s="977" t="str">
        <f>'TỔNG HỢP THÁNG'!B18</f>
        <v xml:space="preserve"> FT3</v>
      </c>
      <c r="D65" s="138" t="s">
        <v>193</v>
      </c>
      <c r="E65" s="857">
        <f>'TỔNG HỢP THÁNG'!E18</f>
        <v>40803</v>
      </c>
      <c r="F65" s="857"/>
      <c r="G65" s="857">
        <f>'TỔNG HỢP THÁNG'!G18</f>
        <v>26000</v>
      </c>
      <c r="H65" s="857">
        <f>'TỔNG HỢP THÁNG'!H18</f>
        <v>22356</v>
      </c>
      <c r="I65" s="857">
        <f>'TỔNG HỢP THÁNG'!I18</f>
        <v>22356</v>
      </c>
      <c r="J65" s="857"/>
      <c r="K65" s="858">
        <f t="shared" si="1"/>
        <v>44447</v>
      </c>
      <c r="L65" s="1059"/>
      <c r="M65" s="1059"/>
      <c r="N65" s="1059"/>
      <c r="O65" s="1059"/>
    </row>
    <row r="66" spans="1:15">
      <c r="A66" s="138">
        <v>59</v>
      </c>
      <c r="B66" s="977" t="s">
        <v>1125</v>
      </c>
      <c r="C66" s="977" t="s">
        <v>1126</v>
      </c>
      <c r="D66" s="138" t="s">
        <v>193</v>
      </c>
      <c r="E66" s="857">
        <f>'TỔNG HỢP THÁNG'!E9</f>
        <v>0</v>
      </c>
      <c r="F66" s="857"/>
      <c r="G66" s="857">
        <f>'TỔNG HỢP THÁNG'!G9</f>
        <v>0</v>
      </c>
      <c r="H66" s="857">
        <f>'TỔNG HỢP THÁNG'!H9</f>
        <v>0</v>
      </c>
      <c r="I66" s="857">
        <f>'TỔNG HỢP THÁNG'!I9</f>
        <v>0</v>
      </c>
      <c r="J66" s="857"/>
      <c r="K66" s="858">
        <f t="shared" si="1"/>
        <v>0</v>
      </c>
      <c r="L66" s="1059"/>
      <c r="M66" s="1059"/>
      <c r="N66" s="1059"/>
      <c r="O66" s="1059"/>
    </row>
    <row r="67" spans="1:15">
      <c r="A67" s="138">
        <v>60</v>
      </c>
      <c r="B67" s="977" t="s">
        <v>1134</v>
      </c>
      <c r="C67" s="977" t="s">
        <v>1133</v>
      </c>
      <c r="D67" s="138" t="s">
        <v>193</v>
      </c>
      <c r="E67" s="857">
        <f>'TỔNG HỢP THÁNG'!E32</f>
        <v>17167</v>
      </c>
      <c r="F67" s="857"/>
      <c r="G67" s="857">
        <f>'TỔNG HỢP THÁNG'!G32</f>
        <v>64982</v>
      </c>
      <c r="H67" s="857">
        <f>'TỔNG HỢP THÁNG'!H32</f>
        <v>24120</v>
      </c>
      <c r="I67" s="857">
        <f>'TỔNG HỢP THÁNG'!I32</f>
        <v>24313</v>
      </c>
      <c r="J67" s="857"/>
      <c r="K67" s="858">
        <f t="shared" si="1"/>
        <v>57836</v>
      </c>
      <c r="L67" s="1059"/>
      <c r="M67" s="1059"/>
      <c r="N67" s="1059"/>
      <c r="O67" s="1059"/>
    </row>
    <row r="68" spans="1:15">
      <c r="A68" s="138">
        <v>61</v>
      </c>
      <c r="B68" s="977" t="s">
        <v>1135</v>
      </c>
      <c r="C68" s="977" t="s">
        <v>1136</v>
      </c>
      <c r="D68" s="138" t="s">
        <v>193</v>
      </c>
      <c r="E68" s="857">
        <f>'TỔNG HỢP THÁNG'!E27</f>
        <v>26765</v>
      </c>
      <c r="F68" s="857"/>
      <c r="G68" s="857">
        <f>'TỔNG HỢP THÁNG'!G27</f>
        <v>39732</v>
      </c>
      <c r="H68" s="857">
        <f>'TỔNG HỢP THÁNG'!H27</f>
        <v>38925</v>
      </c>
      <c r="I68" s="857">
        <f>'TỔNG HỢP THÁNG'!I27</f>
        <v>39387</v>
      </c>
      <c r="J68" s="857"/>
      <c r="K68" s="858">
        <f t="shared" si="1"/>
        <v>27110</v>
      </c>
      <c r="L68" s="1059"/>
      <c r="M68" s="1059"/>
      <c r="N68" s="1059"/>
      <c r="O68" s="1059"/>
    </row>
    <row r="69" spans="1:15">
      <c r="A69" s="138">
        <v>62</v>
      </c>
      <c r="B69" s="977" t="s">
        <v>1209</v>
      </c>
      <c r="C69" s="833" t="s">
        <v>1210</v>
      </c>
      <c r="D69" s="138" t="s">
        <v>193</v>
      </c>
      <c r="E69" s="857">
        <f>'TỔNG HỢP THÁNG'!E80</f>
        <v>0</v>
      </c>
      <c r="F69" s="857"/>
      <c r="G69" s="857">
        <f>'TỔNG HỢP THÁNG'!G80</f>
        <v>0</v>
      </c>
      <c r="H69" s="857">
        <f>'TỔNG HỢP THÁNG'!H80</f>
        <v>0</v>
      </c>
      <c r="I69" s="857">
        <f>'TỔNG HỢP THÁNG'!I80</f>
        <v>0</v>
      </c>
      <c r="J69" s="857"/>
      <c r="K69" s="858">
        <f t="shared" si="1"/>
        <v>0</v>
      </c>
      <c r="L69" s="1059"/>
      <c r="M69" s="1059"/>
      <c r="N69" s="1059"/>
      <c r="O69" s="1059"/>
    </row>
    <row r="70" spans="1:15">
      <c r="A70" s="138">
        <v>63</v>
      </c>
      <c r="B70" s="856" t="s">
        <v>563</v>
      </c>
      <c r="C70" s="856" t="s">
        <v>564</v>
      </c>
      <c r="D70" s="138" t="s">
        <v>193</v>
      </c>
      <c r="E70" s="857">
        <f>'TỔNG HỢP THÁNG'!E38</f>
        <v>6453.9</v>
      </c>
      <c r="F70" s="857"/>
      <c r="G70" s="857">
        <f>'TỔNG HỢP THÁNG'!G38</f>
        <v>1000</v>
      </c>
      <c r="H70" s="857">
        <f>'TỔNG HỢP THÁNG'!H38</f>
        <v>2160.4999999999995</v>
      </c>
      <c r="I70" s="857">
        <f>H70</f>
        <v>2160.4999999999995</v>
      </c>
      <c r="J70" s="857"/>
      <c r="K70" s="858">
        <f t="shared" si="1"/>
        <v>5293.4</v>
      </c>
      <c r="L70" s="1059"/>
      <c r="M70" s="1059"/>
      <c r="N70" s="1059"/>
      <c r="O70" s="1059"/>
    </row>
    <row r="71" spans="1:15">
      <c r="A71" s="138">
        <v>64</v>
      </c>
      <c r="B71" s="856" t="s">
        <v>565</v>
      </c>
      <c r="C71" s="856" t="s">
        <v>566</v>
      </c>
      <c r="D71" s="138" t="s">
        <v>193</v>
      </c>
      <c r="E71" s="857">
        <f>'TỔNG HỢP THÁNG'!E39</f>
        <v>0</v>
      </c>
      <c r="F71" s="857"/>
      <c r="G71" s="857">
        <f>'TỔNG HỢP THÁNG'!G39</f>
        <v>0</v>
      </c>
      <c r="H71" s="857">
        <f>'TỔNG HỢP THÁNG'!H39</f>
        <v>0</v>
      </c>
      <c r="I71" s="857">
        <f>H71</f>
        <v>0</v>
      </c>
      <c r="J71" s="857"/>
      <c r="K71" s="858">
        <f t="shared" ref="K71:K108" si="4">E71+G71-I71</f>
        <v>0</v>
      </c>
      <c r="L71" s="1059"/>
      <c r="M71" s="1059"/>
      <c r="N71" s="1059"/>
      <c r="O71" s="1059"/>
    </row>
    <row r="72" spans="1:15">
      <c r="A72" s="138">
        <v>65</v>
      </c>
      <c r="B72" s="856" t="s">
        <v>567</v>
      </c>
      <c r="C72" s="856" t="s">
        <v>568</v>
      </c>
      <c r="D72" s="138" t="s">
        <v>193</v>
      </c>
      <c r="E72" s="857">
        <f>'TỔNG HỢP THÁNG'!E35</f>
        <v>0</v>
      </c>
      <c r="F72" s="857"/>
      <c r="G72" s="857">
        <f>'TỔNG HỢP THÁNG'!G35</f>
        <v>0</v>
      </c>
      <c r="H72" s="857">
        <f>'TỔNG HỢP THÁNG'!H35</f>
        <v>0</v>
      </c>
      <c r="I72" s="857">
        <f>'TỔNG HỢP THÁNG'!I35</f>
        <v>0</v>
      </c>
      <c r="J72" s="857"/>
      <c r="K72" s="858">
        <f t="shared" si="4"/>
        <v>0</v>
      </c>
      <c r="L72" s="1059"/>
      <c r="M72" s="1059"/>
      <c r="N72" s="1059"/>
      <c r="O72" s="1059"/>
    </row>
    <row r="73" spans="1:15">
      <c r="A73" s="138">
        <v>66</v>
      </c>
      <c r="B73" s="856" t="s">
        <v>569</v>
      </c>
      <c r="C73" s="856" t="s">
        <v>570</v>
      </c>
      <c r="D73" s="138" t="s">
        <v>193</v>
      </c>
      <c r="E73" s="857">
        <f>'TỔNG HỢP THÁNG'!E30</f>
        <v>0</v>
      </c>
      <c r="F73" s="857"/>
      <c r="G73" s="857">
        <f>'TỔNG HỢP THÁNG'!G30</f>
        <v>0</v>
      </c>
      <c r="H73" s="857">
        <f>'TỔNG HỢP THÁNG'!H30</f>
        <v>0</v>
      </c>
      <c r="I73" s="857">
        <f>'TỔNG HỢP THÁNG'!I30</f>
        <v>0</v>
      </c>
      <c r="J73" s="857"/>
      <c r="K73" s="858">
        <f t="shared" si="4"/>
        <v>0</v>
      </c>
      <c r="L73" s="1059"/>
      <c r="M73" s="1059"/>
      <c r="N73" s="1059"/>
      <c r="O73" s="1059"/>
    </row>
    <row r="74" spans="1:15">
      <c r="A74" s="138">
        <v>67</v>
      </c>
      <c r="B74" s="1369" t="s">
        <v>1179</v>
      </c>
      <c r="C74" s="1242" t="s">
        <v>1180</v>
      </c>
      <c r="D74" s="138" t="s">
        <v>193</v>
      </c>
      <c r="E74" s="857">
        <f>'TỔNG HỢP THÁNG'!E75</f>
        <v>584</v>
      </c>
      <c r="F74" s="857"/>
      <c r="G74" s="857">
        <f>'TỔNG HỢP THÁNG'!G75</f>
        <v>0</v>
      </c>
      <c r="H74" s="857">
        <f>'TỔNG HỢP THÁNG'!H75</f>
        <v>0</v>
      </c>
      <c r="I74" s="857">
        <f>'TỔNG HỢP THÁNG'!I75</f>
        <v>0</v>
      </c>
      <c r="J74" s="857"/>
      <c r="K74" s="858">
        <f t="shared" si="4"/>
        <v>584</v>
      </c>
      <c r="L74" s="1059"/>
      <c r="M74" s="1059"/>
      <c r="N74" s="1059"/>
      <c r="O74" s="1059"/>
    </row>
    <row r="75" spans="1:15" ht="15.75">
      <c r="A75" s="138">
        <v>68</v>
      </c>
      <c r="B75" s="833" t="s">
        <v>1228</v>
      </c>
      <c r="C75" s="1420" t="s">
        <v>1219</v>
      </c>
      <c r="D75" s="138" t="s">
        <v>193</v>
      </c>
      <c r="E75" s="857">
        <f>'TỔNG HỢP THÁNG'!E40</f>
        <v>1657.8</v>
      </c>
      <c r="F75" s="857"/>
      <c r="G75" s="857">
        <f>'TỔNG HỢP THÁNG'!G40</f>
        <v>0</v>
      </c>
      <c r="H75" s="857">
        <f>'TỔNG HỢP THÁNG'!H40</f>
        <v>467.2999999999999</v>
      </c>
      <c r="I75" s="857">
        <f>'TỔNG HỢP THÁNG'!I40</f>
        <v>467.2999999999999</v>
      </c>
      <c r="J75" s="857"/>
      <c r="K75" s="858">
        <f t="shared" si="4"/>
        <v>1190.5</v>
      </c>
      <c r="L75" s="1059"/>
      <c r="M75" s="1059"/>
      <c r="N75" s="1059"/>
      <c r="O75" s="1059"/>
    </row>
    <row r="76" spans="1:15">
      <c r="A76" s="138">
        <v>69</v>
      </c>
      <c r="B76" s="856" t="s">
        <v>571</v>
      </c>
      <c r="C76" s="856" t="s">
        <v>572</v>
      </c>
      <c r="D76" s="138" t="s">
        <v>193</v>
      </c>
      <c r="E76" s="857">
        <f>'TỔNG HỢP THÁNG'!E42</f>
        <v>0</v>
      </c>
      <c r="F76" s="857"/>
      <c r="G76" s="857">
        <f>'TỔNG HỢP THÁNG'!G42</f>
        <v>0</v>
      </c>
      <c r="H76" s="857">
        <f>'TỔNG HỢP THÁNG'!H42</f>
        <v>0</v>
      </c>
      <c r="I76" s="857">
        <f>H76</f>
        <v>0</v>
      </c>
      <c r="J76" s="857"/>
      <c r="K76" s="858">
        <f t="shared" si="4"/>
        <v>0</v>
      </c>
      <c r="L76" s="1059"/>
      <c r="M76" s="1059"/>
      <c r="N76" s="1059"/>
      <c r="O76" s="1059"/>
    </row>
    <row r="77" spans="1:15">
      <c r="A77" s="138">
        <v>70</v>
      </c>
      <c r="B77" s="856" t="s">
        <v>573</v>
      </c>
      <c r="C77" s="856" t="s">
        <v>574</v>
      </c>
      <c r="D77" s="138" t="s">
        <v>193</v>
      </c>
      <c r="E77" s="857">
        <f>'TỔNG HỢP THÁNG'!E53</f>
        <v>52349</v>
      </c>
      <c r="F77" s="857"/>
      <c r="G77" s="857">
        <f>'TỔNG HỢP THÁNG'!G53</f>
        <v>33750</v>
      </c>
      <c r="H77" s="857">
        <f>'TỔNG HỢP THÁNG'!H53</f>
        <v>39690</v>
      </c>
      <c r="I77" s="857">
        <f>'TỔNG HỢP THÁNG'!I53</f>
        <v>39974</v>
      </c>
      <c r="J77" s="857"/>
      <c r="K77" s="858">
        <f t="shared" si="4"/>
        <v>46125</v>
      </c>
      <c r="L77" s="1059"/>
      <c r="M77" s="1059"/>
      <c r="N77" s="1059"/>
      <c r="O77" s="1059"/>
    </row>
    <row r="78" spans="1:15">
      <c r="A78" s="138">
        <v>71</v>
      </c>
      <c r="B78" s="856" t="s">
        <v>575</v>
      </c>
      <c r="C78" s="856" t="s">
        <v>576</v>
      </c>
      <c r="D78" s="138" t="s">
        <v>193</v>
      </c>
      <c r="E78" s="857">
        <f>'TỔNG HỢP THÁNG'!E76</f>
        <v>20008</v>
      </c>
      <c r="F78" s="857"/>
      <c r="G78" s="857">
        <f>'TỔNG HỢP THÁNG'!G76</f>
        <v>0</v>
      </c>
      <c r="H78" s="857">
        <f>'TỔNG HỢP THÁNG'!H76</f>
        <v>3600</v>
      </c>
      <c r="I78" s="857">
        <f>'COMPOUD TRÁNG ĐẾ'!G40</f>
        <v>4113</v>
      </c>
      <c r="J78" s="857"/>
      <c r="K78" s="858">
        <f t="shared" si="4"/>
        <v>15895</v>
      </c>
      <c r="L78" s="1059"/>
      <c r="M78" s="1059"/>
      <c r="N78" s="1059"/>
      <c r="O78" s="1059"/>
    </row>
    <row r="79" spans="1:15">
      <c r="A79" s="138">
        <v>72</v>
      </c>
      <c r="B79" s="856" t="s">
        <v>1011</v>
      </c>
      <c r="C79" s="856" t="str">
        <f>'TỔNG HỢP THÁNG'!B43</f>
        <v>CMC USK 60 THT</v>
      </c>
      <c r="D79" s="138" t="s">
        <v>193</v>
      </c>
      <c r="E79" s="857">
        <f>'TỔNG HỢP THÁNG'!E43</f>
        <v>954.4</v>
      </c>
      <c r="F79" s="857"/>
      <c r="G79" s="857">
        <f>'TỔNG HỢP THÁNG'!G43</f>
        <v>1000</v>
      </c>
      <c r="H79" s="857">
        <f>'TỔNG HỢP THÁNG'!H43</f>
        <v>354.29999999999995</v>
      </c>
      <c r="I79" s="857">
        <f>'TỔNG HỢP THÁNG'!I43</f>
        <v>354.29999999999995</v>
      </c>
      <c r="J79" s="857"/>
      <c r="K79" s="858">
        <f t="shared" si="4"/>
        <v>1600.1000000000001</v>
      </c>
      <c r="L79" s="1059"/>
      <c r="M79" s="1059"/>
      <c r="N79" s="1059"/>
      <c r="O79" s="1059"/>
    </row>
    <row r="80" spans="1:15">
      <c r="A80" s="138">
        <v>73</v>
      </c>
      <c r="B80" s="856" t="s">
        <v>1012</v>
      </c>
      <c r="C80" s="856" t="str">
        <f>'TỔNG HỢP THÁNG'!B36</f>
        <v>ZIRCON ZS08 (0016)</v>
      </c>
      <c r="D80" s="138" t="s">
        <v>193</v>
      </c>
      <c r="E80" s="857">
        <f>'TỔNG HỢP THÁNG'!E36</f>
        <v>4566</v>
      </c>
      <c r="F80" s="857"/>
      <c r="G80" s="857">
        <f>'TỔNG HỢP THÁNG'!G36</f>
        <v>3600</v>
      </c>
      <c r="H80" s="857">
        <f>'TỔNG HỢP THÁNG'!H36</f>
        <v>2352</v>
      </c>
      <c r="I80" s="857">
        <f>'TỔNG HỢP THÁNG'!I36</f>
        <v>2352</v>
      </c>
      <c r="J80" s="857"/>
      <c r="K80" s="858">
        <f t="shared" si="4"/>
        <v>5814</v>
      </c>
      <c r="L80" s="1059"/>
      <c r="M80" s="1059"/>
      <c r="N80" s="1059"/>
      <c r="O80" s="1059"/>
    </row>
    <row r="81" spans="1:15">
      <c r="A81" s="138">
        <v>74</v>
      </c>
      <c r="B81" s="856" t="s">
        <v>1016</v>
      </c>
      <c r="C81" s="856" t="str">
        <f>'TỔNG HỢP THÁNG'!B15</f>
        <v>E. KAO LANH VCT04A</v>
      </c>
      <c r="D81" s="138" t="s">
        <v>193</v>
      </c>
      <c r="E81" s="857">
        <f>'TỔNG HỢP THÁNG'!E15</f>
        <v>0</v>
      </c>
      <c r="F81" s="857"/>
      <c r="G81" s="857">
        <f>'TỔNG HỢP THÁNG'!G15</f>
        <v>0</v>
      </c>
      <c r="H81" s="857">
        <f>'TỔNG HỢP THÁNG'!H15</f>
        <v>0</v>
      </c>
      <c r="I81" s="857">
        <f>'TỔNG HỢP THÁNG'!I15</f>
        <v>0</v>
      </c>
      <c r="J81" s="857"/>
      <c r="K81" s="858">
        <f t="shared" si="4"/>
        <v>0</v>
      </c>
      <c r="L81" s="1059"/>
      <c r="M81" s="1059"/>
      <c r="N81" s="1059"/>
      <c r="O81" s="1059"/>
    </row>
    <row r="82" spans="1:15">
      <c r="A82" s="138">
        <v>75</v>
      </c>
      <c r="B82" s="856" t="s">
        <v>577</v>
      </c>
      <c r="C82" s="856" t="s">
        <v>578</v>
      </c>
      <c r="D82" s="138" t="s">
        <v>193</v>
      </c>
      <c r="E82" s="857">
        <f>'TỔNG HỢP THÁNG'!E21</f>
        <v>0</v>
      </c>
      <c r="F82" s="857"/>
      <c r="G82" s="857">
        <v>0</v>
      </c>
      <c r="H82" s="857">
        <f>'TỔNG HỢP THÁNG'!H21</f>
        <v>0</v>
      </c>
      <c r="I82" s="857">
        <f>'TỔNG HỢP THÁNG'!I21</f>
        <v>0</v>
      </c>
      <c r="J82" s="857"/>
      <c r="K82" s="858">
        <f t="shared" si="4"/>
        <v>0</v>
      </c>
      <c r="L82" s="1059"/>
      <c r="M82" s="1059"/>
      <c r="N82" s="1059"/>
      <c r="O82" s="1059"/>
    </row>
    <row r="83" spans="1:15">
      <c r="A83" s="138">
        <v>76</v>
      </c>
      <c r="B83" s="856" t="s">
        <v>581</v>
      </c>
      <c r="C83" s="856" t="s">
        <v>582</v>
      </c>
      <c r="D83" s="138" t="s">
        <v>193</v>
      </c>
      <c r="E83" s="857">
        <f>'[1]TỔNG HỢP THÁNG'!E51</f>
        <v>12132.5</v>
      </c>
      <c r="F83" s="857"/>
      <c r="G83" s="857">
        <v>0</v>
      </c>
      <c r="H83" s="857">
        <v>0</v>
      </c>
      <c r="I83" s="857">
        <v>0</v>
      </c>
      <c r="J83" s="857"/>
      <c r="K83" s="858">
        <f t="shared" si="4"/>
        <v>12132.5</v>
      </c>
      <c r="L83" s="1059"/>
      <c r="M83" s="1059"/>
      <c r="N83" s="1059"/>
      <c r="O83" s="1059"/>
    </row>
    <row r="84" spans="1:15">
      <c r="A84" s="138">
        <v>77</v>
      </c>
      <c r="B84" s="856" t="s">
        <v>583</v>
      </c>
      <c r="C84" s="856" t="s">
        <v>584</v>
      </c>
      <c r="D84" s="138" t="s">
        <v>193</v>
      </c>
      <c r="E84" s="857">
        <f>'[1]TỔNG HỢP THÁNG'!E136</f>
        <v>500</v>
      </c>
      <c r="F84" s="857"/>
      <c r="G84" s="857">
        <v>0</v>
      </c>
      <c r="H84" s="857">
        <v>0</v>
      </c>
      <c r="I84" s="857">
        <v>0</v>
      </c>
      <c r="J84" s="857"/>
      <c r="K84" s="858">
        <f t="shared" si="4"/>
        <v>500</v>
      </c>
      <c r="L84" s="1059"/>
      <c r="M84" s="1059"/>
      <c r="N84" s="1059"/>
      <c r="O84" s="1059"/>
    </row>
    <row r="85" spans="1:15">
      <c r="A85" s="138">
        <v>78</v>
      </c>
      <c r="B85" s="856" t="s">
        <v>585</v>
      </c>
      <c r="C85" s="856" t="s">
        <v>586</v>
      </c>
      <c r="D85" s="138" t="s">
        <v>193</v>
      </c>
      <c r="E85" s="857">
        <f>'TỔNG HỢP THÁNG'!E14</f>
        <v>93434</v>
      </c>
      <c r="F85" s="857"/>
      <c r="G85" s="857">
        <f>'TỔNG HỢP THÁNG'!G14</f>
        <v>27000</v>
      </c>
      <c r="H85" s="857">
        <f>'TỔNG HỢP THÁNG'!H14</f>
        <v>15512</v>
      </c>
      <c r="I85" s="857">
        <f>'TỔNG HỢP THÁNG'!I14</f>
        <v>21039</v>
      </c>
      <c r="J85" s="857"/>
      <c r="K85" s="858">
        <f t="shared" si="4"/>
        <v>99395</v>
      </c>
      <c r="L85" s="1059"/>
      <c r="M85" s="1059"/>
      <c r="N85" s="1059"/>
      <c r="O85" s="1059"/>
    </row>
    <row r="86" spans="1:15">
      <c r="A86" s="138">
        <v>79</v>
      </c>
      <c r="B86" s="833" t="s">
        <v>1034</v>
      </c>
      <c r="C86" s="1242" t="s">
        <v>1035</v>
      </c>
      <c r="D86" s="138" t="s">
        <v>193</v>
      </c>
      <c r="E86" s="857">
        <f>'TỔNG HỢP THÁNG'!E16</f>
        <v>0</v>
      </c>
      <c r="F86" s="857"/>
      <c r="G86" s="857">
        <f>'TỔNG HỢP THÁNG'!G16</f>
        <v>0</v>
      </c>
      <c r="H86" s="857">
        <f>'TỔNG HỢP THÁNG'!H16</f>
        <v>0</v>
      </c>
      <c r="I86" s="857">
        <f>'TỔNG HỢP THÁNG'!I16</f>
        <v>0</v>
      </c>
      <c r="J86" s="857"/>
      <c r="K86" s="858">
        <f t="shared" si="4"/>
        <v>0</v>
      </c>
      <c r="L86" s="1059"/>
      <c r="M86" s="1059"/>
      <c r="N86" s="1059"/>
      <c r="O86" s="1059"/>
    </row>
    <row r="87" spans="1:15">
      <c r="A87" s="138">
        <v>80</v>
      </c>
      <c r="B87" s="856" t="s">
        <v>587</v>
      </c>
      <c r="C87" s="856" t="s">
        <v>588</v>
      </c>
      <c r="D87" s="138" t="s">
        <v>193</v>
      </c>
      <c r="E87" s="857">
        <f>'TỔNG HỢP THÁNG'!E31</f>
        <v>0</v>
      </c>
      <c r="F87" s="857"/>
      <c r="G87" s="857">
        <f>'TỔNG HỢP THÁNG'!G31</f>
        <v>0</v>
      </c>
      <c r="H87" s="857">
        <f>'TỔNG HỢP THÁNG'!H31</f>
        <v>0</v>
      </c>
      <c r="I87" s="857">
        <f>'TỔNG HỢP THÁNG'!I31</f>
        <v>0</v>
      </c>
      <c r="J87" s="857"/>
      <c r="K87" s="858">
        <f t="shared" si="4"/>
        <v>0</v>
      </c>
      <c r="L87" s="1059"/>
      <c r="M87" s="1059"/>
      <c r="N87" s="1059"/>
      <c r="O87" s="1059"/>
    </row>
    <row r="88" spans="1:15">
      <c r="A88" s="138">
        <v>81</v>
      </c>
      <c r="B88" s="856" t="s">
        <v>739</v>
      </c>
      <c r="C88" s="856" t="s">
        <v>740</v>
      </c>
      <c r="D88" s="138" t="s">
        <v>193</v>
      </c>
      <c r="E88" s="857">
        <f>'TỔNG HỢP THÁNG'!E59</f>
        <v>0</v>
      </c>
      <c r="F88" s="857"/>
      <c r="G88" s="857">
        <f>'TỔNG HỢP THÁNG'!G59</f>
        <v>0</v>
      </c>
      <c r="H88" s="857">
        <f>'TỔNG HỢP THÁNG'!H59</f>
        <v>0</v>
      </c>
      <c r="I88" s="857">
        <f>'TỔNG HỢP THÁNG'!I59</f>
        <v>0</v>
      </c>
      <c r="J88" s="857"/>
      <c r="K88" s="858">
        <f t="shared" si="4"/>
        <v>0</v>
      </c>
      <c r="L88" s="1059"/>
      <c r="M88" s="1059"/>
      <c r="N88" s="1059"/>
      <c r="O88" s="1059"/>
    </row>
    <row r="89" spans="1:15">
      <c r="A89" s="138">
        <v>82</v>
      </c>
      <c r="B89" s="856" t="s">
        <v>741</v>
      </c>
      <c r="C89" s="856" t="s">
        <v>742</v>
      </c>
      <c r="D89" s="138" t="s">
        <v>193</v>
      </c>
      <c r="E89" s="857">
        <f>'TỔNG HỢP THÁNG'!E60</f>
        <v>50</v>
      </c>
      <c r="F89" s="857"/>
      <c r="G89" s="857">
        <f>'TỔNG HỢP THÁNG'!G60</f>
        <v>0</v>
      </c>
      <c r="H89" s="857">
        <f>'TỔNG HỢP THÁNG'!H60</f>
        <v>0</v>
      </c>
      <c r="I89" s="857">
        <f>'TỔNG HỢP THÁNG'!I60</f>
        <v>0</v>
      </c>
      <c r="J89" s="857"/>
      <c r="K89" s="858">
        <f t="shared" si="4"/>
        <v>50</v>
      </c>
      <c r="L89" s="1059"/>
      <c r="M89" s="1059"/>
      <c r="N89" s="1059"/>
      <c r="O89" s="1059"/>
    </row>
    <row r="90" spans="1:15">
      <c r="A90" s="138">
        <v>83</v>
      </c>
      <c r="B90" s="856" t="s">
        <v>904</v>
      </c>
      <c r="C90" s="856" t="s">
        <v>903</v>
      </c>
      <c r="D90" s="138" t="s">
        <v>193</v>
      </c>
      <c r="E90" s="857">
        <f>'TỔNG HỢP THÁNG'!E29</f>
        <v>26897</v>
      </c>
      <c r="F90" s="857"/>
      <c r="G90" s="857">
        <f>'TỔNG HỢP THÁNG'!G29</f>
        <v>37383</v>
      </c>
      <c r="H90" s="857">
        <f>'TỔNG HỢP THÁNG'!H29</f>
        <v>28080</v>
      </c>
      <c r="I90" s="857">
        <f>'TỔNG HỢP THÁNG'!I29</f>
        <v>28266</v>
      </c>
      <c r="J90" s="857"/>
      <c r="K90" s="858">
        <f t="shared" si="4"/>
        <v>36014</v>
      </c>
      <c r="L90" s="1059"/>
      <c r="M90" s="1059"/>
      <c r="N90" s="1059"/>
      <c r="O90" s="1059"/>
    </row>
    <row r="91" spans="1:15">
      <c r="A91" s="138">
        <v>84</v>
      </c>
      <c r="B91" s="856" t="s">
        <v>745</v>
      </c>
      <c r="C91" s="856" t="s">
        <v>746</v>
      </c>
      <c r="D91" s="138" t="s">
        <v>193</v>
      </c>
      <c r="E91" s="857">
        <f>'TỔNG HỢP THÁNG'!E61</f>
        <v>50</v>
      </c>
      <c r="F91" s="857"/>
      <c r="G91" s="857">
        <f>'TỔNG HỢP THÁNG'!G61</f>
        <v>0</v>
      </c>
      <c r="H91" s="857">
        <f>'TỔNG HỢP THÁNG'!H61</f>
        <v>0</v>
      </c>
      <c r="I91" s="857">
        <f>'TỔNG HỢP THÁNG'!I61</f>
        <v>0</v>
      </c>
      <c r="J91" s="857"/>
      <c r="K91" s="858">
        <f t="shared" si="4"/>
        <v>50</v>
      </c>
      <c r="L91" s="1059"/>
      <c r="M91" s="1059"/>
      <c r="N91" s="1059"/>
      <c r="O91" s="1059"/>
    </row>
    <row r="92" spans="1:15">
      <c r="A92" s="138">
        <v>85</v>
      </c>
      <c r="B92" s="856" t="s">
        <v>753</v>
      </c>
      <c r="C92" s="856" t="s">
        <v>754</v>
      </c>
      <c r="D92" s="138" t="s">
        <v>193</v>
      </c>
      <c r="E92" s="857">
        <f>'TỔNG HỢP THÁNG'!E57</f>
        <v>3750</v>
      </c>
      <c r="F92" s="857"/>
      <c r="G92" s="857">
        <f>'TỔNG HỢP THÁNG'!G57</f>
        <v>0</v>
      </c>
      <c r="H92" s="857">
        <f>'TỔNG HỢP THÁNG'!H57</f>
        <v>0</v>
      </c>
      <c r="I92" s="857">
        <f>'TỔNG HỢP THÁNG'!I57</f>
        <v>0</v>
      </c>
      <c r="J92" s="857"/>
      <c r="K92" s="858">
        <f t="shared" si="4"/>
        <v>3750</v>
      </c>
      <c r="L92" s="1059"/>
      <c r="M92" s="1059"/>
      <c r="N92" s="1059"/>
      <c r="O92" s="1059"/>
    </row>
    <row r="93" spans="1:15">
      <c r="A93" s="138">
        <v>86</v>
      </c>
      <c r="B93" s="1167" t="s">
        <v>1115</v>
      </c>
      <c r="C93" s="833" t="s">
        <v>1114</v>
      </c>
      <c r="D93" s="138" t="s">
        <v>193</v>
      </c>
      <c r="E93" s="857">
        <f>'TỔNG HỢP THÁNG'!E58</f>
        <v>59857</v>
      </c>
      <c r="F93" s="857"/>
      <c r="G93" s="857">
        <f>'TỔNG HỢP THÁNG'!G58</f>
        <v>0</v>
      </c>
      <c r="H93" s="857">
        <f>'TỔNG HỢP THÁNG'!H58</f>
        <v>18900</v>
      </c>
      <c r="I93" s="857">
        <f>'TỔNG HỢP THÁNG'!I58</f>
        <v>18957</v>
      </c>
      <c r="J93" s="857"/>
      <c r="K93" s="858">
        <f t="shared" si="4"/>
        <v>40900</v>
      </c>
      <c r="L93" s="1059"/>
      <c r="M93" s="1059"/>
      <c r="N93" s="1059"/>
      <c r="O93" s="1059"/>
    </row>
    <row r="94" spans="1:15">
      <c r="A94" s="138">
        <v>87</v>
      </c>
      <c r="B94" s="856" t="s">
        <v>589</v>
      </c>
      <c r="C94" s="856" t="s">
        <v>590</v>
      </c>
      <c r="D94" s="138" t="s">
        <v>193</v>
      </c>
      <c r="E94" s="857">
        <f>'TỔNG HỢP THÁNG'!D99</f>
        <v>285</v>
      </c>
      <c r="F94" s="857"/>
      <c r="G94" s="857">
        <f>'TỔNG HỢP THÁNG'!F99</f>
        <v>100</v>
      </c>
      <c r="H94" s="857"/>
      <c r="I94" s="857">
        <f>'TỔNG HỢP THÁNG'!H99</f>
        <v>160</v>
      </c>
      <c r="J94" s="857"/>
      <c r="K94" s="858">
        <f t="shared" si="4"/>
        <v>225</v>
      </c>
      <c r="L94" s="1060">
        <f t="shared" ref="L94:L124" si="5">I94-M94-N94-O94</f>
        <v>160</v>
      </c>
      <c r="M94" s="1059"/>
      <c r="N94" s="1059"/>
      <c r="O94" s="1059"/>
    </row>
    <row r="95" spans="1:15">
      <c r="A95" s="138">
        <v>88</v>
      </c>
      <c r="B95" s="856" t="s">
        <v>591</v>
      </c>
      <c r="C95" s="856" t="s">
        <v>592</v>
      </c>
      <c r="D95" s="138" t="s">
        <v>193</v>
      </c>
      <c r="E95" s="857">
        <f>'TỔNG HỢP THÁNG'!D106</f>
        <v>4</v>
      </c>
      <c r="F95" s="857"/>
      <c r="G95" s="857">
        <f>'TỔNG HỢP THÁNG'!F106</f>
        <v>0</v>
      </c>
      <c r="H95" s="857"/>
      <c r="I95" s="857">
        <f>'TỔNG HỢP THÁNG'!H106</f>
        <v>0</v>
      </c>
      <c r="J95" s="857"/>
      <c r="K95" s="858">
        <f t="shared" si="4"/>
        <v>4</v>
      </c>
      <c r="L95" s="1060">
        <f t="shared" si="5"/>
        <v>0</v>
      </c>
      <c r="M95" s="1059"/>
      <c r="N95" s="1059"/>
      <c r="O95" s="1059"/>
    </row>
    <row r="96" spans="1:15">
      <c r="A96" s="138">
        <v>89</v>
      </c>
      <c r="B96" s="856" t="s">
        <v>593</v>
      </c>
      <c r="C96" s="856" t="s">
        <v>594</v>
      </c>
      <c r="D96" s="138" t="s">
        <v>193</v>
      </c>
      <c r="E96" s="857">
        <f>'TỔNG HỢP THÁNG'!D105</f>
        <v>32</v>
      </c>
      <c r="F96" s="857"/>
      <c r="G96" s="857">
        <f>'TỔNG HỢP THÁNG'!F105</f>
        <v>0</v>
      </c>
      <c r="H96" s="857"/>
      <c r="I96" s="857">
        <f>'DD RỬA MÁY IN PL0101'!F40</f>
        <v>0</v>
      </c>
      <c r="J96" s="857"/>
      <c r="K96" s="858">
        <f t="shared" si="4"/>
        <v>32</v>
      </c>
      <c r="L96" s="1060">
        <f t="shared" si="5"/>
        <v>0</v>
      </c>
      <c r="M96" s="1059"/>
      <c r="N96" s="1059"/>
      <c r="O96" s="1059"/>
    </row>
    <row r="97" spans="1:15">
      <c r="A97" s="138">
        <v>90</v>
      </c>
      <c r="B97" s="856" t="s">
        <v>595</v>
      </c>
      <c r="C97" s="856" t="s">
        <v>596</v>
      </c>
      <c r="D97" s="138" t="s">
        <v>193</v>
      </c>
      <c r="E97" s="857">
        <f>'TỔNG HỢP THÁNG'!D96</f>
        <v>555</v>
      </c>
      <c r="F97" s="857"/>
      <c r="G97" s="857">
        <f>'TỔNG HỢP THÁNG'!F96</f>
        <v>540</v>
      </c>
      <c r="H97" s="857"/>
      <c r="I97" s="857">
        <f>'TỔNG HỢP THÁNG'!H96</f>
        <v>705</v>
      </c>
      <c r="J97" s="857"/>
      <c r="K97" s="858">
        <f t="shared" si="4"/>
        <v>390</v>
      </c>
      <c r="L97" s="1060">
        <f t="shared" si="5"/>
        <v>705</v>
      </c>
      <c r="M97" s="1059"/>
      <c r="N97" s="1059"/>
      <c r="O97" s="1059"/>
    </row>
    <row r="98" spans="1:15">
      <c r="A98" s="138">
        <v>91</v>
      </c>
      <c r="B98" s="856" t="s">
        <v>597</v>
      </c>
      <c r="C98" s="856" t="s">
        <v>598</v>
      </c>
      <c r="D98" s="138" t="s">
        <v>193</v>
      </c>
      <c r="E98" s="857">
        <f>'TỔNG HỢP THÁNG'!D98</f>
        <v>570</v>
      </c>
      <c r="F98" s="857"/>
      <c r="G98" s="857">
        <f>'TỔNG HỢP THÁNG'!F98</f>
        <v>720</v>
      </c>
      <c r="H98" s="857"/>
      <c r="I98" s="857">
        <f>'TỔNG HỢP THÁNG'!H98</f>
        <v>810</v>
      </c>
      <c r="J98" s="857"/>
      <c r="K98" s="858">
        <f t="shared" si="4"/>
        <v>480</v>
      </c>
      <c r="L98" s="1060">
        <f t="shared" si="5"/>
        <v>810</v>
      </c>
      <c r="M98" s="1059"/>
      <c r="N98" s="1059"/>
      <c r="O98" s="1059"/>
    </row>
    <row r="99" spans="1:15">
      <c r="A99" s="138">
        <v>92</v>
      </c>
      <c r="B99" s="856" t="s">
        <v>599</v>
      </c>
      <c r="C99" s="856" t="s">
        <v>600</v>
      </c>
      <c r="D99" s="138" t="s">
        <v>193</v>
      </c>
      <c r="E99" s="857">
        <f>'TỔNG HỢP THÁNG'!D97</f>
        <v>252</v>
      </c>
      <c r="F99" s="857"/>
      <c r="G99" s="857">
        <f>'TỔNG HỢP THÁNG'!F97</f>
        <v>120</v>
      </c>
      <c r="H99" s="857"/>
      <c r="I99" s="857">
        <f>'TỔNG HỢP THÁNG'!H97</f>
        <v>174</v>
      </c>
      <c r="J99" s="857"/>
      <c r="K99" s="858">
        <f t="shared" si="4"/>
        <v>198</v>
      </c>
      <c r="L99" s="1060">
        <f t="shared" si="5"/>
        <v>174</v>
      </c>
      <c r="M99" s="1059"/>
      <c r="N99" s="1059"/>
      <c r="O99" s="1059"/>
    </row>
    <row r="100" spans="1:15">
      <c r="A100" s="138">
        <v>93</v>
      </c>
      <c r="B100" s="856" t="s">
        <v>601</v>
      </c>
      <c r="C100" s="856" t="s">
        <v>602</v>
      </c>
      <c r="D100" s="138" t="s">
        <v>193</v>
      </c>
      <c r="E100" s="857">
        <f>'TỔNG HỢP THÁNG'!D102</f>
        <v>108</v>
      </c>
      <c r="F100" s="857"/>
      <c r="G100" s="857">
        <f>'TỔNG HỢP THÁNG'!F102</f>
        <v>120</v>
      </c>
      <c r="H100" s="857"/>
      <c r="I100" s="857">
        <f>'TỔNG HỢP THÁNG'!H102</f>
        <v>102</v>
      </c>
      <c r="J100" s="857"/>
      <c r="K100" s="858">
        <f t="shared" si="4"/>
        <v>126</v>
      </c>
      <c r="L100" s="1060">
        <f t="shared" si="5"/>
        <v>102</v>
      </c>
      <c r="M100" s="1059"/>
      <c r="N100" s="1059"/>
      <c r="O100" s="1059"/>
    </row>
    <row r="101" spans="1:15">
      <c r="A101" s="138">
        <v>94</v>
      </c>
      <c r="B101" s="856" t="s">
        <v>603</v>
      </c>
      <c r="C101" s="856" t="s">
        <v>604</v>
      </c>
      <c r="D101" s="138" t="s">
        <v>193</v>
      </c>
      <c r="E101" s="857">
        <f>'TỔNG HỢP THÁNG'!D101</f>
        <v>0</v>
      </c>
      <c r="F101" s="857"/>
      <c r="G101" s="857">
        <f>'TỔNG HỢP THÁNG'!F101</f>
        <v>0</v>
      </c>
      <c r="H101" s="857"/>
      <c r="I101" s="857">
        <f>'TỔNG HỢP THÁNG'!H101</f>
        <v>0</v>
      </c>
      <c r="J101" s="857"/>
      <c r="K101" s="858">
        <f t="shared" si="4"/>
        <v>0</v>
      </c>
      <c r="L101" s="1060">
        <f t="shared" si="5"/>
        <v>0</v>
      </c>
      <c r="M101" s="1059"/>
      <c r="N101" s="1059"/>
      <c r="O101" s="1059"/>
    </row>
    <row r="102" spans="1:15">
      <c r="A102" s="138">
        <v>95</v>
      </c>
      <c r="B102" s="856" t="s">
        <v>605</v>
      </c>
      <c r="C102" s="856" t="s">
        <v>606</v>
      </c>
      <c r="D102" s="138" t="s">
        <v>193</v>
      </c>
      <c r="E102" s="857">
        <f>'TỔNG HỢP THÁNG'!D100</f>
        <v>96</v>
      </c>
      <c r="F102" s="857"/>
      <c r="G102" s="857">
        <f>'TỔNG HỢP THÁNG'!F100</f>
        <v>0</v>
      </c>
      <c r="H102" s="857"/>
      <c r="I102" s="857">
        <f>'TỔNG HỢP THÁNG'!H100</f>
        <v>48</v>
      </c>
      <c r="J102" s="857"/>
      <c r="K102" s="858">
        <f t="shared" si="4"/>
        <v>48</v>
      </c>
      <c r="L102" s="1060">
        <f t="shared" si="5"/>
        <v>48</v>
      </c>
      <c r="M102" s="1059"/>
      <c r="N102" s="1059"/>
      <c r="O102" s="1059"/>
    </row>
    <row r="103" spans="1:15">
      <c r="A103" s="138">
        <v>96</v>
      </c>
      <c r="B103" s="856" t="s">
        <v>607</v>
      </c>
      <c r="C103" s="856" t="s">
        <v>608</v>
      </c>
      <c r="D103" s="138" t="s">
        <v>193</v>
      </c>
      <c r="E103" s="857">
        <f>'TỔNG HỢP THÁNG'!D103</f>
        <v>30</v>
      </c>
      <c r="F103" s="857"/>
      <c r="G103" s="857">
        <f>'TỔNG HỢP THÁNG'!F103</f>
        <v>192</v>
      </c>
      <c r="H103" s="857"/>
      <c r="I103" s="857">
        <f>'TỔNG HỢP THÁNG'!H103</f>
        <v>72</v>
      </c>
      <c r="J103" s="857"/>
      <c r="K103" s="858">
        <f t="shared" si="4"/>
        <v>150</v>
      </c>
      <c r="L103" s="1060">
        <f>I103-M103-N103-O103</f>
        <v>72</v>
      </c>
      <c r="M103" s="1059"/>
      <c r="N103" s="1059"/>
      <c r="O103" s="1059"/>
    </row>
    <row r="104" spans="1:15">
      <c r="A104" s="138">
        <v>97</v>
      </c>
      <c r="B104" s="856" t="s">
        <v>807</v>
      </c>
      <c r="C104" s="856" t="s">
        <v>808</v>
      </c>
      <c r="D104" s="138" t="s">
        <v>193</v>
      </c>
      <c r="E104" s="857">
        <f>'TỔNG HỢP THÁNG'!D104</f>
        <v>144</v>
      </c>
      <c r="F104" s="857"/>
      <c r="G104" s="857">
        <f>'XANH LÁ 1236'!D40</f>
        <v>0</v>
      </c>
      <c r="H104" s="857"/>
      <c r="I104" s="857">
        <f>'TỔNG HỢP THÁNG'!H104</f>
        <v>48</v>
      </c>
      <c r="J104" s="857"/>
      <c r="K104" s="858">
        <f t="shared" si="4"/>
        <v>96</v>
      </c>
      <c r="L104" s="1060">
        <f t="shared" si="5"/>
        <v>48</v>
      </c>
      <c r="M104" s="1059"/>
      <c r="N104" s="1059"/>
      <c r="O104" s="1059"/>
    </row>
    <row r="105" spans="1:15">
      <c r="A105" s="138">
        <v>98</v>
      </c>
      <c r="B105" s="856" t="s">
        <v>609</v>
      </c>
      <c r="C105" s="856" t="s">
        <v>610</v>
      </c>
      <c r="D105" s="138" t="s">
        <v>193</v>
      </c>
      <c r="E105" s="857">
        <f>'BAO BÌ '!D44</f>
        <v>4000</v>
      </c>
      <c r="F105" s="857"/>
      <c r="G105" s="857">
        <f>'BAO BÌ '!F44</f>
        <v>0</v>
      </c>
      <c r="H105" s="857"/>
      <c r="I105" s="857">
        <f>'BAO BÌ '!H44</f>
        <v>0</v>
      </c>
      <c r="J105" s="857"/>
      <c r="K105" s="858">
        <f t="shared" si="4"/>
        <v>4000</v>
      </c>
      <c r="L105" s="1060">
        <f t="shared" si="5"/>
        <v>0</v>
      </c>
      <c r="M105" s="1059"/>
      <c r="N105" s="1059"/>
      <c r="O105" s="1059"/>
    </row>
    <row r="106" spans="1:15">
      <c r="A106" s="138">
        <v>99</v>
      </c>
      <c r="B106" s="856" t="s">
        <v>612</v>
      </c>
      <c r="C106" s="856" t="s">
        <v>613</v>
      </c>
      <c r="D106" s="138" t="s">
        <v>143</v>
      </c>
      <c r="E106" s="857">
        <f>'TỔNG HỢP THÁNG'!D232</f>
        <v>1800</v>
      </c>
      <c r="F106" s="857"/>
      <c r="G106" s="857">
        <f>'TỔNG HỢP THÁNG'!F232</f>
        <v>2400</v>
      </c>
      <c r="H106" s="857"/>
      <c r="I106" s="857">
        <f>'TỔNG HỢP THÁNG'!H232</f>
        <v>2760</v>
      </c>
      <c r="J106" s="857"/>
      <c r="K106" s="858">
        <f t="shared" si="4"/>
        <v>1440</v>
      </c>
      <c r="L106" s="1060">
        <f>I106-M106-N106-O106</f>
        <v>2760</v>
      </c>
      <c r="M106" s="1059"/>
      <c r="N106" s="1059"/>
      <c r="O106" s="1059"/>
    </row>
    <row r="107" spans="1:15">
      <c r="A107" s="138">
        <v>100</v>
      </c>
      <c r="B107" s="856" t="s">
        <v>614</v>
      </c>
      <c r="C107" s="856" t="s">
        <v>615</v>
      </c>
      <c r="D107" s="138" t="s">
        <v>193</v>
      </c>
      <c r="E107" s="857">
        <f>'TỔNG HỢP THÁNG'!D94</f>
        <v>7220</v>
      </c>
      <c r="F107" s="857"/>
      <c r="G107" s="857">
        <f>'[1]TỔNG HỢP THÁNG'!F60</f>
        <v>0</v>
      </c>
      <c r="H107" s="857"/>
      <c r="I107" s="857">
        <f>'TỔNG HỢP THÁNG'!H94</f>
        <v>0</v>
      </c>
      <c r="J107" s="857"/>
      <c r="K107" s="858">
        <f t="shared" si="4"/>
        <v>7220</v>
      </c>
      <c r="L107" s="1060">
        <f t="shared" si="5"/>
        <v>0</v>
      </c>
      <c r="M107" s="1059"/>
      <c r="N107" s="1059"/>
      <c r="O107" s="1059"/>
    </row>
    <row r="108" spans="1:15">
      <c r="A108" s="138">
        <v>101</v>
      </c>
      <c r="B108" s="856" t="s">
        <v>616</v>
      </c>
      <c r="C108" s="856" t="s">
        <v>617</v>
      </c>
      <c r="D108" s="138" t="s">
        <v>193</v>
      </c>
      <c r="E108" s="857">
        <f>'TỔNG HỢP THÁNG'!D224</f>
        <v>3320</v>
      </c>
      <c r="F108" s="857"/>
      <c r="G108" s="857">
        <f>'TỔNG HỢP THÁNG'!F224</f>
        <v>3000</v>
      </c>
      <c r="H108" s="857"/>
      <c r="I108" s="857">
        <f>'TỔNG HỢP THÁNG'!H224</f>
        <v>4700</v>
      </c>
      <c r="J108" s="857"/>
      <c r="K108" s="858">
        <f t="shared" si="4"/>
        <v>1620</v>
      </c>
      <c r="L108" s="1060">
        <f t="shared" si="5"/>
        <v>4700</v>
      </c>
      <c r="M108" s="1059"/>
      <c r="N108" s="1059"/>
      <c r="O108" s="1059"/>
    </row>
    <row r="109" spans="1:15">
      <c r="A109" s="138">
        <v>102</v>
      </c>
      <c r="B109" s="856" t="s">
        <v>618</v>
      </c>
      <c r="C109" s="856" t="s">
        <v>619</v>
      </c>
      <c r="D109" s="138" t="s">
        <v>193</v>
      </c>
      <c r="E109" s="857">
        <f>'TỔNG HỢP THÁNG'!D231</f>
        <v>200</v>
      </c>
      <c r="F109" s="857"/>
      <c r="G109" s="857">
        <f>'TỔNG HỢP THÁNG'!F231</f>
        <v>0</v>
      </c>
      <c r="H109" s="857"/>
      <c r="I109" s="857">
        <f>'BO SAT'!E40</f>
        <v>0</v>
      </c>
      <c r="J109" s="857"/>
      <c r="K109" s="858">
        <f t="shared" ref="K109:K131" si="6">E109+G109-I109</f>
        <v>200</v>
      </c>
      <c r="L109" s="1060">
        <f t="shared" si="5"/>
        <v>0</v>
      </c>
      <c r="M109" s="1059"/>
      <c r="N109" s="1059"/>
      <c r="O109" s="1059"/>
    </row>
    <row r="110" spans="1:15">
      <c r="A110" s="138">
        <v>103</v>
      </c>
      <c r="B110" s="856" t="s">
        <v>620</v>
      </c>
      <c r="C110" s="833" t="s">
        <v>1229</v>
      </c>
      <c r="D110" s="138" t="s">
        <v>611</v>
      </c>
      <c r="E110" s="857">
        <f>'TỔNG HỢP THÁNG'!D110</f>
        <v>360</v>
      </c>
      <c r="F110" s="857"/>
      <c r="G110" s="857">
        <f>'TỔNG HỢP THÁNG'!F110</f>
        <v>918</v>
      </c>
      <c r="H110" s="857"/>
      <c r="I110" s="857">
        <f>'TỔNG HỢP THÁNG'!H110</f>
        <v>920</v>
      </c>
      <c r="J110" s="857"/>
      <c r="K110" s="858">
        <f t="shared" si="6"/>
        <v>358</v>
      </c>
      <c r="L110" s="1060">
        <f t="shared" si="5"/>
        <v>920</v>
      </c>
      <c r="M110" s="1059"/>
      <c r="N110" s="1059"/>
      <c r="O110" s="1059"/>
    </row>
    <row r="111" spans="1:15">
      <c r="A111" s="138">
        <v>104</v>
      </c>
      <c r="B111" s="856" t="s">
        <v>622</v>
      </c>
      <c r="C111" s="856" t="s">
        <v>623</v>
      </c>
      <c r="D111" s="138" t="s">
        <v>193</v>
      </c>
      <c r="E111" s="857">
        <f>'[1]TỔNG HỢP THÁNG'!E137</f>
        <v>1000</v>
      </c>
      <c r="F111" s="857"/>
      <c r="G111" s="857">
        <v>0</v>
      </c>
      <c r="H111" s="857"/>
      <c r="I111" s="857">
        <v>0</v>
      </c>
      <c r="J111" s="857"/>
      <c r="K111" s="858">
        <f t="shared" si="6"/>
        <v>1000</v>
      </c>
      <c r="L111" s="1060">
        <f t="shared" si="5"/>
        <v>0</v>
      </c>
      <c r="M111" s="1059"/>
      <c r="N111" s="1059"/>
      <c r="O111" s="1059"/>
    </row>
    <row r="112" spans="1:15">
      <c r="A112" s="138">
        <v>105</v>
      </c>
      <c r="B112" s="856" t="s">
        <v>624</v>
      </c>
      <c r="C112" s="856" t="s">
        <v>625</v>
      </c>
      <c r="D112" s="138" t="s">
        <v>193</v>
      </c>
      <c r="E112" s="857">
        <f>'TỔNG HỢP THÁNG'!E236</f>
        <v>100</v>
      </c>
      <c r="F112" s="857"/>
      <c r="G112" s="857">
        <v>0</v>
      </c>
      <c r="H112" s="857"/>
      <c r="I112" s="857">
        <f>'TỔNG HỢP THÁNG'!I236</f>
        <v>0</v>
      </c>
      <c r="J112" s="857"/>
      <c r="K112" s="858">
        <f t="shared" si="6"/>
        <v>100</v>
      </c>
      <c r="L112" s="1060">
        <f t="shared" si="5"/>
        <v>0</v>
      </c>
      <c r="M112" s="1059"/>
      <c r="N112" s="1059"/>
      <c r="O112" s="1059"/>
    </row>
    <row r="113" spans="1:15">
      <c r="A113" s="138">
        <v>106</v>
      </c>
      <c r="B113" s="856" t="s">
        <v>626</v>
      </c>
      <c r="C113" s="856" t="s">
        <v>627</v>
      </c>
      <c r="D113" s="138" t="s">
        <v>193</v>
      </c>
      <c r="E113" s="857">
        <f>'TỔNG HỢP THÁNG'!E237</f>
        <v>800</v>
      </c>
      <c r="F113" s="857"/>
      <c r="G113" s="857">
        <v>0</v>
      </c>
      <c r="H113" s="857"/>
      <c r="I113" s="857">
        <f>'TỔNG HỢP THÁNG'!I237</f>
        <v>0</v>
      </c>
      <c r="J113" s="857"/>
      <c r="K113" s="858">
        <f t="shared" si="6"/>
        <v>800</v>
      </c>
      <c r="L113" s="1060">
        <f t="shared" si="5"/>
        <v>0</v>
      </c>
      <c r="M113" s="1059"/>
      <c r="N113" s="1059"/>
      <c r="O113" s="1059"/>
    </row>
    <row r="114" spans="1:15">
      <c r="A114" s="138">
        <v>107</v>
      </c>
      <c r="B114" s="856" t="s">
        <v>628</v>
      </c>
      <c r="C114" s="856" t="s">
        <v>629</v>
      </c>
      <c r="D114" s="138" t="s">
        <v>611</v>
      </c>
      <c r="E114" s="857">
        <f>'TỔNG HỢP THÁNG'!D235</f>
        <v>11</v>
      </c>
      <c r="F114" s="857"/>
      <c r="G114" s="857">
        <f>'TỔNG HỢP THÁNG'!F235</f>
        <v>0</v>
      </c>
      <c r="H114" s="857"/>
      <c r="I114" s="857">
        <f>'TỔNG HỢP THÁNG'!H235</f>
        <v>0</v>
      </c>
      <c r="J114" s="857"/>
      <c r="K114" s="858">
        <f t="shared" si="6"/>
        <v>11</v>
      </c>
      <c r="L114" s="1060">
        <f t="shared" si="5"/>
        <v>0</v>
      </c>
      <c r="M114" s="1059"/>
      <c r="N114" s="1059"/>
      <c r="O114" s="1059"/>
    </row>
    <row r="115" spans="1:15">
      <c r="A115" s="138">
        <v>108</v>
      </c>
      <c r="B115" s="856" t="s">
        <v>630</v>
      </c>
      <c r="C115" s="856" t="s">
        <v>631</v>
      </c>
      <c r="D115" s="138" t="s">
        <v>611</v>
      </c>
      <c r="E115" s="857">
        <f>'TỔNG HỢP THÁNG'!D233</f>
        <v>4</v>
      </c>
      <c r="F115" s="857"/>
      <c r="G115" s="857">
        <f>'TỔNG HỢP THÁNG'!F233</f>
        <v>0</v>
      </c>
      <c r="H115" s="857"/>
      <c r="I115" s="857">
        <f>'TỔNG HỢP THÁNG'!H233</f>
        <v>0</v>
      </c>
      <c r="J115" s="857"/>
      <c r="K115" s="858">
        <f t="shared" si="6"/>
        <v>4</v>
      </c>
      <c r="L115" s="1060">
        <f t="shared" si="5"/>
        <v>0</v>
      </c>
      <c r="M115" s="1059"/>
      <c r="N115" s="1059"/>
      <c r="O115" s="1059"/>
    </row>
    <row r="116" spans="1:15">
      <c r="A116" s="138">
        <v>109</v>
      </c>
      <c r="B116" s="856" t="s">
        <v>632</v>
      </c>
      <c r="C116" s="856" t="s">
        <v>633</v>
      </c>
      <c r="D116" s="138" t="s">
        <v>611</v>
      </c>
      <c r="E116" s="857">
        <f>'TỔNG HỢP THÁNG'!D113</f>
        <v>6015</v>
      </c>
      <c r="F116" s="857"/>
      <c r="G116" s="857">
        <f>'TỔNG HỢP THÁNG'!F113</f>
        <v>17020</v>
      </c>
      <c r="H116" s="857"/>
      <c r="I116" s="857">
        <f>'TỔNG HỢP THÁNG'!H113</f>
        <v>19600</v>
      </c>
      <c r="J116" s="857"/>
      <c r="K116" s="858">
        <f t="shared" si="6"/>
        <v>3435</v>
      </c>
      <c r="L116" s="1060">
        <f t="shared" si="5"/>
        <v>19600</v>
      </c>
      <c r="M116" s="1059"/>
      <c r="N116" s="1059"/>
      <c r="O116" s="1059"/>
    </row>
    <row r="117" spans="1:15">
      <c r="A117" s="138">
        <v>110</v>
      </c>
      <c r="B117" s="856" t="s">
        <v>634</v>
      </c>
      <c r="C117" s="856" t="s">
        <v>635</v>
      </c>
      <c r="D117" s="138" t="s">
        <v>193</v>
      </c>
      <c r="E117" s="857">
        <f>'TỔNG HỢP THÁNG'!D93</f>
        <v>91236</v>
      </c>
      <c r="F117" s="857"/>
      <c r="G117" s="857">
        <f>'TỔNG HỢP THÁNG'!F93</f>
        <v>0</v>
      </c>
      <c r="H117" s="857"/>
      <c r="I117" s="857">
        <f>'TỔNG HỢP THÁNG'!H93</f>
        <v>18200</v>
      </c>
      <c r="J117" s="857"/>
      <c r="K117" s="858">
        <f t="shared" si="6"/>
        <v>73036</v>
      </c>
      <c r="L117" s="1060">
        <f t="shared" si="5"/>
        <v>18200</v>
      </c>
      <c r="M117" s="1059"/>
      <c r="N117" s="1059"/>
      <c r="O117" s="1059"/>
    </row>
    <row r="118" spans="1:15">
      <c r="A118" s="138">
        <v>111</v>
      </c>
      <c r="B118" s="856" t="s">
        <v>636</v>
      </c>
      <c r="C118" s="856" t="s">
        <v>637</v>
      </c>
      <c r="D118" s="138" t="s">
        <v>611</v>
      </c>
      <c r="E118" s="857">
        <f>'TỔNG HỢP THÁNG'!D112</f>
        <v>0</v>
      </c>
      <c r="F118" s="857"/>
      <c r="G118" s="857">
        <f>'TỔNG HỢP THÁNG'!F112</f>
        <v>0</v>
      </c>
      <c r="H118" s="857"/>
      <c r="I118" s="857">
        <f>'TỔNG HỢP THÁNG'!H112</f>
        <v>0</v>
      </c>
      <c r="J118" s="857"/>
      <c r="K118" s="858">
        <f t="shared" si="6"/>
        <v>0</v>
      </c>
      <c r="L118" s="1060">
        <f t="shared" si="5"/>
        <v>0</v>
      </c>
      <c r="M118" s="1059"/>
      <c r="N118" s="1059"/>
      <c r="O118" s="1059"/>
    </row>
    <row r="119" spans="1:15">
      <c r="A119" s="138">
        <v>112</v>
      </c>
      <c r="B119" s="856" t="s">
        <v>638</v>
      </c>
      <c r="C119" s="856" t="s">
        <v>639</v>
      </c>
      <c r="D119" s="138" t="s">
        <v>611</v>
      </c>
      <c r="E119" s="857">
        <f>'TỔNG HỢP THÁNG'!D234</f>
        <v>4</v>
      </c>
      <c r="F119" s="857"/>
      <c r="G119" s="857">
        <f>'TỔNG HỢP THÁNG'!F234</f>
        <v>0</v>
      </c>
      <c r="H119" s="857"/>
      <c r="I119" s="857">
        <f>'TỔNG HỢP THÁNG'!H234</f>
        <v>0</v>
      </c>
      <c r="J119" s="857"/>
      <c r="K119" s="858">
        <f t="shared" si="6"/>
        <v>4</v>
      </c>
      <c r="L119" s="1060">
        <f>I119-M119-N119-O119</f>
        <v>0</v>
      </c>
      <c r="M119" s="1059"/>
      <c r="N119" s="1059"/>
      <c r="O119" s="1059"/>
    </row>
    <row r="120" spans="1:15">
      <c r="A120" s="138">
        <v>113</v>
      </c>
      <c r="B120" s="856" t="s">
        <v>640</v>
      </c>
      <c r="C120" s="856" t="s">
        <v>641</v>
      </c>
      <c r="D120" s="138" t="s">
        <v>193</v>
      </c>
      <c r="E120" s="857">
        <f>'TỔNG HỢP THÁNG'!D226</f>
        <v>0</v>
      </c>
      <c r="F120" s="857"/>
      <c r="G120" s="857">
        <f>'TỔNG HỢP THÁNG'!F226</f>
        <v>10495</v>
      </c>
      <c r="H120" s="857"/>
      <c r="I120" s="857">
        <f>'TỔNG HỢP THÁNG'!H226</f>
        <v>9345</v>
      </c>
      <c r="J120" s="857"/>
      <c r="K120" s="858">
        <f t="shared" si="6"/>
        <v>1150</v>
      </c>
      <c r="L120" s="1060">
        <f t="shared" si="5"/>
        <v>9345</v>
      </c>
      <c r="M120" s="1059"/>
      <c r="N120" s="1059"/>
      <c r="O120" s="1059"/>
    </row>
    <row r="121" spans="1:15">
      <c r="A121" s="138">
        <v>114</v>
      </c>
      <c r="B121" s="856" t="s">
        <v>642</v>
      </c>
      <c r="C121" s="856" t="s">
        <v>1248</v>
      </c>
      <c r="D121" s="138" t="s">
        <v>611</v>
      </c>
      <c r="E121" s="857">
        <f>'TỔNG HỢP THÁNG'!D108</f>
        <v>0</v>
      </c>
      <c r="F121" s="857"/>
      <c r="G121" s="857">
        <f>'TỔNG HỢP THÁNG'!F108</f>
        <v>0</v>
      </c>
      <c r="H121" s="857"/>
      <c r="I121" s="857">
        <f>'TỔNG HỢP THÁNG'!H108</f>
        <v>0</v>
      </c>
      <c r="J121" s="857"/>
      <c r="K121" s="858">
        <f t="shared" si="6"/>
        <v>0</v>
      </c>
      <c r="L121" s="1060">
        <f t="shared" si="5"/>
        <v>0</v>
      </c>
      <c r="M121" s="1059"/>
      <c r="N121" s="1059"/>
      <c r="O121" s="1059"/>
    </row>
    <row r="122" spans="1:15">
      <c r="A122" s="138">
        <v>115</v>
      </c>
      <c r="B122" s="856" t="s">
        <v>644</v>
      </c>
      <c r="C122" s="856" t="s">
        <v>645</v>
      </c>
      <c r="D122" s="138" t="s">
        <v>611</v>
      </c>
      <c r="E122" s="857">
        <f>'BAO BÌ '!D7</f>
        <v>0</v>
      </c>
      <c r="F122" s="857"/>
      <c r="G122" s="857">
        <f>'BAO BÌ '!F7</f>
        <v>0</v>
      </c>
      <c r="H122" s="857"/>
      <c r="I122" s="857">
        <f>'BAO BÌ '!H7</f>
        <v>0</v>
      </c>
      <c r="J122" s="857"/>
      <c r="K122" s="858">
        <f t="shared" si="6"/>
        <v>0</v>
      </c>
      <c r="L122" s="1060">
        <f t="shared" si="5"/>
        <v>0</v>
      </c>
      <c r="M122" s="1059"/>
      <c r="N122" s="1059"/>
      <c r="O122" s="1059"/>
    </row>
    <row r="123" spans="1:15">
      <c r="A123" s="138">
        <v>116</v>
      </c>
      <c r="B123" s="856" t="s">
        <v>646</v>
      </c>
      <c r="C123" s="856" t="s">
        <v>647</v>
      </c>
      <c r="D123" s="138" t="s">
        <v>611</v>
      </c>
      <c r="E123" s="857">
        <f>'BAO BÌ '!D11</f>
        <v>0</v>
      </c>
      <c r="F123" s="857"/>
      <c r="G123" s="857">
        <v>0</v>
      </c>
      <c r="H123" s="857"/>
      <c r="I123" s="857">
        <v>0</v>
      </c>
      <c r="J123" s="857"/>
      <c r="K123" s="858">
        <f t="shared" si="6"/>
        <v>0</v>
      </c>
      <c r="L123" s="1060">
        <f t="shared" si="5"/>
        <v>0</v>
      </c>
      <c r="M123" s="1059"/>
      <c r="N123" s="1059"/>
      <c r="O123" s="1059"/>
    </row>
    <row r="124" spans="1:15">
      <c r="A124" s="138">
        <v>117</v>
      </c>
      <c r="B124" s="856" t="s">
        <v>648</v>
      </c>
      <c r="C124" s="856" t="s">
        <v>649</v>
      </c>
      <c r="D124" s="138" t="s">
        <v>193</v>
      </c>
      <c r="E124" s="857">
        <f>'TỔNG HỢP THÁNG'!D223</f>
        <v>230</v>
      </c>
      <c r="F124" s="857"/>
      <c r="G124" s="857">
        <f>'TỔNG HỢP THÁNG'!F223</f>
        <v>7000</v>
      </c>
      <c r="H124" s="857"/>
      <c r="I124" s="857">
        <f>'TỔNG HỢP THÁNG'!H223</f>
        <v>5730</v>
      </c>
      <c r="J124" s="857"/>
      <c r="K124" s="858">
        <f t="shared" si="6"/>
        <v>1500</v>
      </c>
      <c r="L124" s="1060">
        <f t="shared" si="5"/>
        <v>5730</v>
      </c>
      <c r="M124" s="1059"/>
      <c r="N124" s="1059"/>
      <c r="O124" s="1059"/>
    </row>
    <row r="125" spans="1:15">
      <c r="A125" s="138">
        <v>118</v>
      </c>
      <c r="B125" s="1167" t="s">
        <v>847</v>
      </c>
      <c r="C125" s="833" t="s">
        <v>848</v>
      </c>
      <c r="D125" s="1000" t="s">
        <v>611</v>
      </c>
      <c r="E125" s="857">
        <f>'TỔNG HỢP THÁNG'!D111</f>
        <v>0</v>
      </c>
      <c r="F125" s="857"/>
      <c r="G125" s="857">
        <f>'TỔNG HỢP THÁNG'!F111</f>
        <v>441</v>
      </c>
      <c r="H125" s="857"/>
      <c r="I125" s="857">
        <f>'TỔNG HỢP THÁNG'!H111</f>
        <v>220</v>
      </c>
      <c r="J125" s="857"/>
      <c r="K125" s="858">
        <f t="shared" si="6"/>
        <v>221</v>
      </c>
      <c r="L125" s="1060">
        <f t="shared" ref="L125:L156" si="7">I125-M125-N125-O125</f>
        <v>220</v>
      </c>
      <c r="M125" s="1059"/>
      <c r="N125" s="1059"/>
      <c r="O125" s="1059"/>
    </row>
    <row r="126" spans="1:15">
      <c r="A126" s="138">
        <v>119</v>
      </c>
      <c r="B126" s="856" t="s">
        <v>650</v>
      </c>
      <c r="C126" s="856" t="s">
        <v>651</v>
      </c>
      <c r="D126" s="138" t="s">
        <v>611</v>
      </c>
      <c r="E126" s="857">
        <f>'BAO BÌ '!D20</f>
        <v>0</v>
      </c>
      <c r="F126" s="857"/>
      <c r="G126" s="857">
        <f>'BAO BÌ '!F20</f>
        <v>0</v>
      </c>
      <c r="H126" s="857"/>
      <c r="I126" s="857">
        <f>'BAO BÌ '!H20</f>
        <v>0</v>
      </c>
      <c r="J126" s="857"/>
      <c r="K126" s="858">
        <f t="shared" si="6"/>
        <v>0</v>
      </c>
      <c r="L126" s="1060">
        <f t="shared" si="7"/>
        <v>0</v>
      </c>
      <c r="M126" s="1059"/>
      <c r="N126" s="1059"/>
      <c r="O126" s="1059"/>
    </row>
    <row r="127" spans="1:15">
      <c r="A127" s="138">
        <v>120</v>
      </c>
      <c r="B127" s="856" t="s">
        <v>652</v>
      </c>
      <c r="C127" s="856" t="s">
        <v>653</v>
      </c>
      <c r="D127" s="138" t="s">
        <v>611</v>
      </c>
      <c r="E127" s="857">
        <f>'BAO BÌ '!D16</f>
        <v>0</v>
      </c>
      <c r="F127" s="857"/>
      <c r="G127" s="857">
        <f>'BAO BÌ '!F16</f>
        <v>0</v>
      </c>
      <c r="H127" s="857"/>
      <c r="I127" s="857">
        <f>'BAO BÌ '!H16</f>
        <v>0</v>
      </c>
      <c r="J127" s="857"/>
      <c r="K127" s="858">
        <f t="shared" si="6"/>
        <v>0</v>
      </c>
      <c r="L127" s="1060">
        <f t="shared" si="7"/>
        <v>0</v>
      </c>
      <c r="M127" s="1059"/>
      <c r="N127" s="1059"/>
      <c r="O127" s="1059"/>
    </row>
    <row r="128" spans="1:15">
      <c r="A128" s="138">
        <v>121</v>
      </c>
      <c r="B128" s="856" t="s">
        <v>654</v>
      </c>
      <c r="C128" s="856" t="s">
        <v>655</v>
      </c>
      <c r="D128" s="138" t="s">
        <v>611</v>
      </c>
      <c r="E128" s="857">
        <f>'BAO BÌ '!D23</f>
        <v>10048</v>
      </c>
      <c r="F128" s="857"/>
      <c r="G128" s="857">
        <f>'BAO BÌ '!F23</f>
        <v>0</v>
      </c>
      <c r="H128" s="857"/>
      <c r="I128" s="857">
        <f>'BAO BÌ '!H23</f>
        <v>2400</v>
      </c>
      <c r="J128" s="857"/>
      <c r="K128" s="858">
        <f t="shared" si="6"/>
        <v>7648</v>
      </c>
      <c r="L128" s="1060">
        <f t="shared" si="7"/>
        <v>2400</v>
      </c>
      <c r="M128" s="1059"/>
      <c r="N128" s="1059"/>
      <c r="O128" s="1059"/>
    </row>
    <row r="129" spans="1:15">
      <c r="A129" s="138">
        <v>122</v>
      </c>
      <c r="B129" s="856" t="s">
        <v>656</v>
      </c>
      <c r="C129" s="856" t="s">
        <v>657</v>
      </c>
      <c r="D129" s="138" t="s">
        <v>611</v>
      </c>
      <c r="E129" s="857">
        <f>'BAO BÌ '!D29</f>
        <v>0</v>
      </c>
      <c r="F129" s="857"/>
      <c r="G129" s="857">
        <f>'BAO BÌ '!F29</f>
        <v>0</v>
      </c>
      <c r="H129" s="857"/>
      <c r="I129" s="857">
        <f>'BAO BÌ '!H29</f>
        <v>0</v>
      </c>
      <c r="J129" s="857"/>
      <c r="K129" s="858">
        <f t="shared" si="6"/>
        <v>0</v>
      </c>
      <c r="L129" s="1060">
        <f t="shared" si="7"/>
        <v>0</v>
      </c>
      <c r="M129" s="1059"/>
      <c r="N129" s="1059"/>
      <c r="O129" s="1059"/>
    </row>
    <row r="130" spans="1:15">
      <c r="A130" s="138">
        <v>123</v>
      </c>
      <c r="B130" s="856" t="s">
        <v>809</v>
      </c>
      <c r="C130" s="856" t="s">
        <v>814</v>
      </c>
      <c r="D130" s="138" t="s">
        <v>611</v>
      </c>
      <c r="E130" s="857">
        <f>'TỔNG HỢP THÁNG'!D197</f>
        <v>4200</v>
      </c>
      <c r="F130" s="857"/>
      <c r="G130" s="857">
        <f>'TỔNG HỢP THÁNG'!F197</f>
        <v>0</v>
      </c>
      <c r="H130" s="857"/>
      <c r="I130" s="857">
        <f>'TỔNG HỢP THÁNG'!H197</f>
        <v>500</v>
      </c>
      <c r="J130" s="857"/>
      <c r="K130" s="858">
        <f t="shared" si="6"/>
        <v>3700</v>
      </c>
      <c r="L130" s="1060">
        <f t="shared" si="7"/>
        <v>500</v>
      </c>
      <c r="M130" s="1059"/>
      <c r="N130" s="1059"/>
      <c r="O130" s="1059"/>
    </row>
    <row r="131" spans="1:15">
      <c r="A131" s="138">
        <v>124</v>
      </c>
      <c r="B131" s="856" t="s">
        <v>810</v>
      </c>
      <c r="C131" s="856" t="s">
        <v>811</v>
      </c>
      <c r="D131" s="138" t="s">
        <v>611</v>
      </c>
      <c r="E131" s="857">
        <f>'TỔNG HỢP THÁNG'!D206</f>
        <v>9080</v>
      </c>
      <c r="F131" s="857"/>
      <c r="G131" s="857">
        <f>'TỔNG HỢP THÁNG'!F206</f>
        <v>0</v>
      </c>
      <c r="H131" s="857"/>
      <c r="I131" s="857">
        <f>'TỔNG HỢP THÁNG'!H206</f>
        <v>0</v>
      </c>
      <c r="J131" s="857"/>
      <c r="K131" s="858">
        <f t="shared" si="6"/>
        <v>9080</v>
      </c>
      <c r="L131" s="1060">
        <f t="shared" si="7"/>
        <v>0</v>
      </c>
      <c r="M131" s="1059"/>
      <c r="N131" s="1059"/>
      <c r="O131" s="1059"/>
    </row>
    <row r="132" spans="1:15">
      <c r="A132" s="138">
        <v>125</v>
      </c>
      <c r="B132" s="856" t="s">
        <v>849</v>
      </c>
      <c r="C132" s="856" t="s">
        <v>850</v>
      </c>
      <c r="D132" s="856" t="s">
        <v>611</v>
      </c>
      <c r="E132" s="857">
        <f>'BAO BÌ '!D77</f>
        <v>14789</v>
      </c>
      <c r="F132" s="857"/>
      <c r="G132" s="857">
        <f>'BAO BÌ '!F77</f>
        <v>12180</v>
      </c>
      <c r="H132" s="857"/>
      <c r="I132" s="857">
        <f>'BAO BÌ '!H77</f>
        <v>21500</v>
      </c>
      <c r="J132" s="857"/>
      <c r="K132" s="858">
        <f t="shared" ref="K132:K133" si="8">E132+G132-I132</f>
        <v>5469</v>
      </c>
      <c r="L132" s="1060">
        <f t="shared" si="7"/>
        <v>21500</v>
      </c>
      <c r="M132" s="1059"/>
      <c r="N132" s="1059"/>
      <c r="O132" s="1059"/>
    </row>
    <row r="133" spans="1:15">
      <c r="A133" s="138">
        <v>126</v>
      </c>
      <c r="B133" s="856" t="s">
        <v>851</v>
      </c>
      <c r="C133" s="856" t="s">
        <v>852</v>
      </c>
      <c r="D133" s="856" t="s">
        <v>611</v>
      </c>
      <c r="E133" s="857">
        <f>'BAO BÌ '!D78</f>
        <v>0</v>
      </c>
      <c r="F133" s="857"/>
      <c r="G133" s="857">
        <f>'BAO BÌ '!F78</f>
        <v>0</v>
      </c>
      <c r="H133" s="857"/>
      <c r="I133" s="857">
        <f>'BAO BÌ '!H78</f>
        <v>0</v>
      </c>
      <c r="J133" s="857"/>
      <c r="K133" s="858">
        <f t="shared" si="8"/>
        <v>0</v>
      </c>
      <c r="L133" s="1060">
        <f t="shared" si="7"/>
        <v>0</v>
      </c>
      <c r="M133" s="1059"/>
      <c r="N133" s="1059"/>
      <c r="O133" s="1059"/>
    </row>
    <row r="134" spans="1:15">
      <c r="A134" s="138">
        <v>127</v>
      </c>
      <c r="B134" s="856" t="s">
        <v>658</v>
      </c>
      <c r="C134" s="856" t="s">
        <v>659</v>
      </c>
      <c r="D134" s="138" t="s">
        <v>611</v>
      </c>
      <c r="E134" s="857">
        <f>'BAO BÌ '!D27</f>
        <v>5792</v>
      </c>
      <c r="F134" s="857"/>
      <c r="G134" s="857">
        <f>'BAO BÌ '!F27</f>
        <v>4810</v>
      </c>
      <c r="H134" s="857"/>
      <c r="I134" s="857">
        <f>'BAO BÌ '!H27</f>
        <v>1050</v>
      </c>
      <c r="J134" s="857"/>
      <c r="K134" s="858">
        <f>E134+G134-I134</f>
        <v>9552</v>
      </c>
      <c r="L134" s="1060">
        <f t="shared" si="7"/>
        <v>1050</v>
      </c>
      <c r="M134" s="1059"/>
      <c r="N134" s="1059"/>
      <c r="O134" s="1059"/>
    </row>
    <row r="135" spans="1:15">
      <c r="A135" s="138">
        <v>128</v>
      </c>
      <c r="B135" s="856" t="s">
        <v>853</v>
      </c>
      <c r="C135" s="856" t="s">
        <v>854</v>
      </c>
      <c r="D135" s="856" t="s">
        <v>611</v>
      </c>
      <c r="E135" s="857">
        <f>'BAO BÌ '!D80</f>
        <v>0</v>
      </c>
      <c r="F135" s="857"/>
      <c r="G135" s="857">
        <f>'BAO BÌ '!F80</f>
        <v>0</v>
      </c>
      <c r="H135" s="857"/>
      <c r="I135" s="857">
        <f>'BAO BÌ '!H80</f>
        <v>0</v>
      </c>
      <c r="J135" s="857"/>
      <c r="K135" s="858">
        <f t="shared" ref="K135:K136" si="9">E135+G135-I135</f>
        <v>0</v>
      </c>
      <c r="L135" s="1060">
        <f t="shared" si="7"/>
        <v>0</v>
      </c>
      <c r="M135" s="1059"/>
      <c r="N135" s="1059"/>
      <c r="O135" s="1059"/>
    </row>
    <row r="136" spans="1:15">
      <c r="A136" s="138">
        <v>129</v>
      </c>
      <c r="B136" s="856" t="s">
        <v>855</v>
      </c>
      <c r="C136" s="856" t="s">
        <v>856</v>
      </c>
      <c r="D136" s="856" t="s">
        <v>611</v>
      </c>
      <c r="E136" s="857">
        <f>'BAO BÌ '!D81</f>
        <v>4329</v>
      </c>
      <c r="F136" s="857"/>
      <c r="G136" s="857">
        <f>'BAO BÌ '!F81</f>
        <v>13430</v>
      </c>
      <c r="H136" s="857"/>
      <c r="I136" s="857">
        <f>'BAO BÌ '!H81</f>
        <v>16150</v>
      </c>
      <c r="J136" s="857"/>
      <c r="K136" s="858">
        <f t="shared" si="9"/>
        <v>1609</v>
      </c>
      <c r="L136" s="1060">
        <f t="shared" si="7"/>
        <v>16150</v>
      </c>
      <c r="M136" s="1059"/>
      <c r="N136" s="1059"/>
      <c r="O136" s="1059"/>
    </row>
    <row r="137" spans="1:15">
      <c r="A137" s="138">
        <v>130</v>
      </c>
      <c r="B137" s="856" t="s">
        <v>660</v>
      </c>
      <c r="C137" s="856" t="s">
        <v>661</v>
      </c>
      <c r="D137" s="138" t="s">
        <v>611</v>
      </c>
      <c r="E137" s="857">
        <f>'BAO BÌ '!D47</f>
        <v>9070</v>
      </c>
      <c r="F137" s="857"/>
      <c r="G137" s="857">
        <f>'BAO BÌ '!F47</f>
        <v>0</v>
      </c>
      <c r="H137" s="857"/>
      <c r="I137" s="857">
        <f>'BAO BÌ '!H47</f>
        <v>30</v>
      </c>
      <c r="J137" s="857"/>
      <c r="K137" s="858">
        <f t="shared" ref="K137:K150" si="10">E137+G137-I137</f>
        <v>9040</v>
      </c>
      <c r="L137" s="1060">
        <f t="shared" si="7"/>
        <v>30</v>
      </c>
      <c r="M137" s="1059"/>
      <c r="N137" s="1059"/>
      <c r="O137" s="1059"/>
    </row>
    <row r="138" spans="1:15">
      <c r="A138" s="138">
        <v>131</v>
      </c>
      <c r="B138" s="856" t="s">
        <v>662</v>
      </c>
      <c r="C138" s="856" t="s">
        <v>663</v>
      </c>
      <c r="D138" s="138" t="s">
        <v>193</v>
      </c>
      <c r="E138" s="857">
        <f>'TỔNG HỢP THÁNG'!D227</f>
        <v>215</v>
      </c>
      <c r="F138" s="857"/>
      <c r="G138" s="857">
        <f>'TỔNG HỢP THÁNG'!F227</f>
        <v>0</v>
      </c>
      <c r="H138" s="857"/>
      <c r="I138" s="857">
        <f>'TỔNG HỢP THÁNG'!H227</f>
        <v>0</v>
      </c>
      <c r="J138" s="857"/>
      <c r="K138" s="858">
        <f t="shared" si="10"/>
        <v>215</v>
      </c>
      <c r="L138" s="1060">
        <f t="shared" si="7"/>
        <v>0</v>
      </c>
      <c r="M138" s="1059"/>
      <c r="N138" s="1059"/>
      <c r="O138" s="1059"/>
    </row>
    <row r="139" spans="1:15">
      <c r="A139" s="138">
        <v>132</v>
      </c>
      <c r="B139" s="856" t="s">
        <v>664</v>
      </c>
      <c r="C139" s="856" t="s">
        <v>665</v>
      </c>
      <c r="D139" s="138" t="s">
        <v>611</v>
      </c>
      <c r="E139" s="857">
        <f>'TỔNG HỢP THÁNG'!D115</f>
        <v>1750</v>
      </c>
      <c r="F139" s="857"/>
      <c r="G139" s="857">
        <f>'TỔNG HỢP THÁNG'!F115</f>
        <v>6880</v>
      </c>
      <c r="H139" s="857"/>
      <c r="I139" s="857">
        <f>'TỔNG HỢP THÁNG'!H115</f>
        <v>5200</v>
      </c>
      <c r="J139" s="857"/>
      <c r="K139" s="858">
        <f t="shared" si="10"/>
        <v>3430</v>
      </c>
      <c r="L139" s="1060">
        <f t="shared" si="7"/>
        <v>5200</v>
      </c>
      <c r="M139" s="1059"/>
      <c r="N139" s="1059"/>
      <c r="O139" s="1059"/>
    </row>
    <row r="140" spans="1:15">
      <c r="A140" s="138">
        <v>133</v>
      </c>
      <c r="B140" s="856" t="s">
        <v>666</v>
      </c>
      <c r="C140" s="856" t="s">
        <v>667</v>
      </c>
      <c r="D140" s="138" t="s">
        <v>611</v>
      </c>
      <c r="E140" s="857">
        <f>'BAO BÌ '!D61</f>
        <v>8500</v>
      </c>
      <c r="F140" s="857"/>
      <c r="G140" s="857">
        <f>'[1]BAO BÌ '!F32</f>
        <v>0</v>
      </c>
      <c r="H140" s="857"/>
      <c r="I140" s="857">
        <f>'BAO BÌ '!H61</f>
        <v>500</v>
      </c>
      <c r="J140" s="857"/>
      <c r="K140" s="858">
        <f t="shared" si="10"/>
        <v>8000</v>
      </c>
      <c r="L140" s="1060">
        <f t="shared" si="7"/>
        <v>500</v>
      </c>
      <c r="M140" s="1059"/>
      <c r="N140" s="1059"/>
      <c r="O140" s="1059"/>
    </row>
    <row r="141" spans="1:15">
      <c r="A141" s="138">
        <v>134</v>
      </c>
      <c r="B141" s="856" t="s">
        <v>668</v>
      </c>
      <c r="C141" s="856" t="s">
        <v>669</v>
      </c>
      <c r="D141" s="138" t="s">
        <v>611</v>
      </c>
      <c r="E141" s="857">
        <f>'BAO BÌ '!D46</f>
        <v>2105</v>
      </c>
      <c r="F141" s="857"/>
      <c r="G141" s="857">
        <f>'BAO BÌ '!F46</f>
        <v>0</v>
      </c>
      <c r="H141" s="857"/>
      <c r="I141" s="857">
        <f>'BAO BÌ '!H46</f>
        <v>0</v>
      </c>
      <c r="J141" s="857"/>
      <c r="K141" s="858">
        <f t="shared" si="10"/>
        <v>2105</v>
      </c>
      <c r="L141" s="1060">
        <f t="shared" si="7"/>
        <v>0</v>
      </c>
      <c r="M141" s="1059"/>
      <c r="N141" s="1059"/>
      <c r="O141" s="1059"/>
    </row>
    <row r="142" spans="1:15">
      <c r="A142" s="138">
        <v>135</v>
      </c>
      <c r="B142" s="856" t="s">
        <v>670</v>
      </c>
      <c r="C142" s="856" t="s">
        <v>671</v>
      </c>
      <c r="D142" s="138" t="s">
        <v>611</v>
      </c>
      <c r="E142" s="857">
        <f>'BAO BÌ '!D49</f>
        <v>4642</v>
      </c>
      <c r="F142" s="857"/>
      <c r="G142" s="857">
        <f>'BAO BÌ '!F49</f>
        <v>0</v>
      </c>
      <c r="H142" s="857"/>
      <c r="I142" s="857">
        <f>'BAO BÌ '!H49</f>
        <v>0</v>
      </c>
      <c r="J142" s="857"/>
      <c r="K142" s="858">
        <f t="shared" si="10"/>
        <v>4642</v>
      </c>
      <c r="L142" s="1060">
        <f t="shared" si="7"/>
        <v>0</v>
      </c>
      <c r="M142" s="1059"/>
      <c r="N142" s="1059"/>
      <c r="O142" s="1059"/>
    </row>
    <row r="143" spans="1:15">
      <c r="A143" s="138">
        <v>136</v>
      </c>
      <c r="B143" s="856" t="s">
        <v>768</v>
      </c>
      <c r="C143" s="856" t="s">
        <v>767</v>
      </c>
      <c r="D143" s="138" t="s">
        <v>611</v>
      </c>
      <c r="E143" s="857">
        <f>'BAO BÌ '!D31</f>
        <v>0</v>
      </c>
      <c r="F143" s="857"/>
      <c r="G143" s="857">
        <f>'BAO BÌ '!F31</f>
        <v>0</v>
      </c>
      <c r="H143" s="857"/>
      <c r="I143" s="857">
        <f>'BAO BÌ '!H31</f>
        <v>0</v>
      </c>
      <c r="J143" s="857"/>
      <c r="K143" s="858">
        <f t="shared" si="10"/>
        <v>0</v>
      </c>
      <c r="L143" s="1060">
        <f t="shared" si="7"/>
        <v>0</v>
      </c>
      <c r="M143" s="1059"/>
      <c r="N143" s="1059"/>
      <c r="O143" s="1059"/>
    </row>
    <row r="144" spans="1:15">
      <c r="A144" s="138">
        <v>137</v>
      </c>
      <c r="B144" s="856" t="s">
        <v>857</v>
      </c>
      <c r="C144" s="856" t="s">
        <v>858</v>
      </c>
      <c r="D144" s="856" t="s">
        <v>611</v>
      </c>
      <c r="E144" s="857">
        <f>'BAO BÌ '!D82</f>
        <v>260</v>
      </c>
      <c r="F144" s="857"/>
      <c r="G144" s="857">
        <f>'BAO BÌ '!F82</f>
        <v>0</v>
      </c>
      <c r="H144" s="857"/>
      <c r="I144" s="857">
        <f>'BAO BÌ '!H82</f>
        <v>0</v>
      </c>
      <c r="J144" s="857"/>
      <c r="K144" s="858">
        <f t="shared" si="10"/>
        <v>260</v>
      </c>
      <c r="L144" s="1060">
        <f t="shared" si="7"/>
        <v>0</v>
      </c>
      <c r="M144" s="1059"/>
      <c r="N144" s="1059"/>
      <c r="O144" s="1059"/>
    </row>
    <row r="145" spans="1:15">
      <c r="A145" s="138">
        <v>138</v>
      </c>
      <c r="B145" s="833" t="s">
        <v>907</v>
      </c>
      <c r="C145" s="833" t="s">
        <v>908</v>
      </c>
      <c r="D145" s="856" t="s">
        <v>611</v>
      </c>
      <c r="E145" s="857">
        <f>'BAO BÌ '!D17</f>
        <v>9115</v>
      </c>
      <c r="F145" s="857"/>
      <c r="G145" s="857">
        <f>'BAO BÌ '!F17</f>
        <v>0</v>
      </c>
      <c r="H145" s="857"/>
      <c r="I145" s="857">
        <f>'BAO BÌ '!H17</f>
        <v>3130</v>
      </c>
      <c r="J145" s="857"/>
      <c r="K145" s="858">
        <f t="shared" si="10"/>
        <v>5985</v>
      </c>
      <c r="L145" s="1060">
        <f t="shared" si="7"/>
        <v>3130</v>
      </c>
      <c r="M145" s="1059"/>
      <c r="N145" s="1059"/>
      <c r="O145" s="1059"/>
    </row>
    <row r="146" spans="1:15">
      <c r="A146" s="138">
        <v>139</v>
      </c>
      <c r="B146" s="833" t="s">
        <v>909</v>
      </c>
      <c r="C146" s="833" t="s">
        <v>910</v>
      </c>
      <c r="D146" s="856" t="s">
        <v>611</v>
      </c>
      <c r="E146" s="857">
        <f>'BAO BÌ '!D94</f>
        <v>2210</v>
      </c>
      <c r="F146" s="857"/>
      <c r="G146" s="857">
        <f>'BAO BÌ '!F49</f>
        <v>0</v>
      </c>
      <c r="H146" s="857"/>
      <c r="I146" s="857">
        <f>'BAO BÌ '!H94</f>
        <v>0</v>
      </c>
      <c r="J146" s="857"/>
      <c r="K146" s="858">
        <f t="shared" si="10"/>
        <v>2210</v>
      </c>
      <c r="L146" s="1060">
        <f t="shared" si="7"/>
        <v>0</v>
      </c>
      <c r="M146" s="1059"/>
      <c r="N146" s="1059"/>
      <c r="O146" s="1059"/>
    </row>
    <row r="147" spans="1:15">
      <c r="A147" s="138">
        <v>140</v>
      </c>
      <c r="B147" s="856" t="s">
        <v>672</v>
      </c>
      <c r="C147" s="856" t="s">
        <v>673</v>
      </c>
      <c r="D147" s="138" t="s">
        <v>611</v>
      </c>
      <c r="E147" s="857">
        <f>'BAO BÌ '!D50</f>
        <v>14340</v>
      </c>
      <c r="F147" s="857"/>
      <c r="G147" s="857">
        <f>'[1]BAO BÌ '!F30</f>
        <v>0</v>
      </c>
      <c r="H147" s="857"/>
      <c r="I147" s="857">
        <f>'BAO BÌ '!H50</f>
        <v>0</v>
      </c>
      <c r="J147" s="857"/>
      <c r="K147" s="858">
        <f t="shared" si="10"/>
        <v>14340</v>
      </c>
      <c r="L147" s="1060">
        <f t="shared" si="7"/>
        <v>0</v>
      </c>
      <c r="M147" s="1059"/>
      <c r="N147" s="1059"/>
      <c r="O147" s="1059"/>
    </row>
    <row r="148" spans="1:15">
      <c r="A148" s="138">
        <v>141</v>
      </c>
      <c r="B148" s="856" t="s">
        <v>674</v>
      </c>
      <c r="C148" s="856" t="s">
        <v>675</v>
      </c>
      <c r="D148" s="138" t="s">
        <v>611</v>
      </c>
      <c r="E148" s="857">
        <f>'BAO BÌ '!D26</f>
        <v>6700</v>
      </c>
      <c r="F148" s="857"/>
      <c r="G148" s="857">
        <f>'BAO BÌ '!F26</f>
        <v>0</v>
      </c>
      <c r="H148" s="857"/>
      <c r="I148" s="857">
        <f>'BAO BÌ '!H26</f>
        <v>0</v>
      </c>
      <c r="J148" s="857"/>
      <c r="K148" s="858">
        <f t="shared" si="10"/>
        <v>6700</v>
      </c>
      <c r="L148" s="1060">
        <f t="shared" si="7"/>
        <v>0</v>
      </c>
      <c r="M148" s="1059"/>
      <c r="N148" s="1059"/>
      <c r="O148" s="1059"/>
    </row>
    <row r="149" spans="1:15">
      <c r="A149" s="138">
        <v>142</v>
      </c>
      <c r="B149" s="856" t="s">
        <v>676</v>
      </c>
      <c r="C149" s="856" t="s">
        <v>677</v>
      </c>
      <c r="D149" s="138" t="s">
        <v>611</v>
      </c>
      <c r="E149" s="857">
        <f>'BAO BÌ '!D30</f>
        <v>2060</v>
      </c>
      <c r="F149" s="857"/>
      <c r="G149" s="857">
        <f>'BAO BÌ '!F30</f>
        <v>0</v>
      </c>
      <c r="H149" s="857"/>
      <c r="I149" s="857">
        <f>'BAO BÌ '!H30</f>
        <v>0</v>
      </c>
      <c r="J149" s="857"/>
      <c r="K149" s="858">
        <f t="shared" si="10"/>
        <v>2060</v>
      </c>
      <c r="L149" s="1060">
        <f t="shared" si="7"/>
        <v>0</v>
      </c>
      <c r="M149" s="1059"/>
      <c r="N149" s="1059"/>
      <c r="O149" s="1059"/>
    </row>
    <row r="150" spans="1:15">
      <c r="A150" s="138">
        <v>143</v>
      </c>
      <c r="B150" s="856" t="s">
        <v>699</v>
      </c>
      <c r="C150" s="856" t="s">
        <v>700</v>
      </c>
      <c r="D150" s="138" t="s">
        <v>611</v>
      </c>
      <c r="E150" s="857">
        <f>'BAO BÌ '!D52</f>
        <v>1200</v>
      </c>
      <c r="F150" s="857"/>
      <c r="G150" s="857">
        <f>'BAO BÌ '!F52</f>
        <v>0</v>
      </c>
      <c r="H150" s="857"/>
      <c r="I150" s="857">
        <f>'BAO BÌ '!H52</f>
        <v>0</v>
      </c>
      <c r="J150" s="857"/>
      <c r="K150" s="858">
        <f t="shared" si="10"/>
        <v>1200</v>
      </c>
      <c r="L150" s="1060">
        <f t="shared" si="7"/>
        <v>0</v>
      </c>
      <c r="M150" s="1059"/>
      <c r="N150" s="1059"/>
      <c r="O150" s="1059"/>
    </row>
    <row r="151" spans="1:15">
      <c r="A151" s="138">
        <v>144</v>
      </c>
      <c r="B151" s="856" t="s">
        <v>766</v>
      </c>
      <c r="C151" s="856" t="s">
        <v>765</v>
      </c>
      <c r="D151" s="138" t="s">
        <v>611</v>
      </c>
      <c r="E151" s="857">
        <f>'BAO BÌ '!D53</f>
        <v>0</v>
      </c>
      <c r="F151" s="857"/>
      <c r="G151" s="857">
        <f>'BAO BÌ '!F53</f>
        <v>0</v>
      </c>
      <c r="H151" s="857"/>
      <c r="I151" s="857">
        <f>'BAO BÌ '!H53</f>
        <v>0</v>
      </c>
      <c r="J151" s="857"/>
      <c r="K151" s="858">
        <f t="shared" ref="K151:K214" si="11">E151+G151-I151</f>
        <v>0</v>
      </c>
      <c r="L151" s="1060">
        <f t="shared" si="7"/>
        <v>0</v>
      </c>
      <c r="M151" s="1059"/>
      <c r="N151" s="1059"/>
      <c r="O151" s="1059"/>
    </row>
    <row r="152" spans="1:15">
      <c r="A152" s="138">
        <v>145</v>
      </c>
      <c r="B152" s="856" t="s">
        <v>859</v>
      </c>
      <c r="C152" s="856" t="s">
        <v>911</v>
      </c>
      <c r="D152" s="138" t="s">
        <v>193</v>
      </c>
      <c r="E152" s="857">
        <f>'TỔNG HỢP THÁNG'!D229</f>
        <v>0</v>
      </c>
      <c r="F152" s="857"/>
      <c r="G152" s="857">
        <f>'TỔNG HỢP THÁNG'!F229</f>
        <v>3005</v>
      </c>
      <c r="H152" s="857"/>
      <c r="I152" s="857">
        <f>'TỔNG HỢP THÁNG'!H229</f>
        <v>3005</v>
      </c>
      <c r="J152" s="857"/>
      <c r="K152" s="858">
        <f t="shared" si="11"/>
        <v>0</v>
      </c>
      <c r="L152" s="1060">
        <f t="shared" si="7"/>
        <v>3005</v>
      </c>
      <c r="M152" s="1059"/>
      <c r="N152" s="1059"/>
      <c r="O152" s="1059"/>
    </row>
    <row r="153" spans="1:15">
      <c r="A153" s="138">
        <v>146</v>
      </c>
      <c r="B153" s="833" t="s">
        <v>912</v>
      </c>
      <c r="C153" s="833" t="s">
        <v>913</v>
      </c>
      <c r="D153" s="138" t="s">
        <v>611</v>
      </c>
      <c r="E153" s="857">
        <f>'BAO BÌ '!D28</f>
        <v>0</v>
      </c>
      <c r="F153" s="857"/>
      <c r="G153" s="857">
        <f>'HAVIRA nâu'!D40</f>
        <v>0</v>
      </c>
      <c r="H153" s="857"/>
      <c r="I153" s="857">
        <f>'BAO BÌ '!H28</f>
        <v>0</v>
      </c>
      <c r="J153" s="857"/>
      <c r="K153" s="858">
        <f t="shared" si="11"/>
        <v>0</v>
      </c>
      <c r="L153" s="1060">
        <f t="shared" si="7"/>
        <v>0</v>
      </c>
      <c r="M153" s="1059"/>
      <c r="N153" s="1059"/>
      <c r="O153" s="1059"/>
    </row>
    <row r="154" spans="1:15">
      <c r="A154" s="138">
        <v>147</v>
      </c>
      <c r="B154" s="856" t="s">
        <v>914</v>
      </c>
      <c r="C154" s="856" t="s">
        <v>915</v>
      </c>
      <c r="D154" s="138" t="s">
        <v>611</v>
      </c>
      <c r="E154" s="857">
        <f>'BAO BÌ '!D12</f>
        <v>4915</v>
      </c>
      <c r="F154" s="857"/>
      <c r="G154" s="857">
        <f>'BAO BÌ '!F12</f>
        <v>0</v>
      </c>
      <c r="H154" s="857"/>
      <c r="I154" s="857">
        <f>'BAO BÌ '!H12</f>
        <v>500</v>
      </c>
      <c r="J154" s="857"/>
      <c r="K154" s="858">
        <f t="shared" si="11"/>
        <v>4415</v>
      </c>
      <c r="L154" s="1060">
        <f>I154-M154-N154-O154</f>
        <v>500</v>
      </c>
      <c r="M154" s="1059"/>
      <c r="N154" s="1059"/>
      <c r="O154" s="1059"/>
    </row>
    <row r="155" spans="1:15">
      <c r="A155" s="138">
        <v>148</v>
      </c>
      <c r="B155" s="965" t="s">
        <v>916</v>
      </c>
      <c r="C155" s="965" t="s">
        <v>917</v>
      </c>
      <c r="D155" s="138" t="s">
        <v>611</v>
      </c>
      <c r="E155" s="857">
        <f>'BAO BÌ '!D24</f>
        <v>0</v>
      </c>
      <c r="F155" s="857"/>
      <c r="G155" s="857">
        <f>'BAO BÌ '!F24</f>
        <v>0</v>
      </c>
      <c r="H155" s="857"/>
      <c r="I155" s="857">
        <f>'BAO BÌ '!H24</f>
        <v>0</v>
      </c>
      <c r="J155" s="857"/>
      <c r="K155" s="858">
        <f t="shared" si="11"/>
        <v>0</v>
      </c>
      <c r="L155" s="1060">
        <f t="shared" si="7"/>
        <v>0</v>
      </c>
      <c r="M155" s="1059"/>
      <c r="N155" s="1059"/>
      <c r="O155" s="1059"/>
    </row>
    <row r="156" spans="1:15">
      <c r="A156" s="138">
        <v>149</v>
      </c>
      <c r="B156" s="856" t="s">
        <v>879</v>
      </c>
      <c r="C156" s="856" t="s">
        <v>880</v>
      </c>
      <c r="D156" s="138" t="s">
        <v>611</v>
      </c>
      <c r="E156" s="857">
        <f>'BAO BÌ '!D79</f>
        <v>38645</v>
      </c>
      <c r="F156" s="857"/>
      <c r="G156" s="857">
        <f>'BAO BÌ '!F79</f>
        <v>22170</v>
      </c>
      <c r="H156" s="857"/>
      <c r="I156" s="857">
        <f>'BAO BÌ '!H79</f>
        <v>56000</v>
      </c>
      <c r="J156" s="857"/>
      <c r="K156" s="858">
        <f t="shared" si="11"/>
        <v>4815</v>
      </c>
      <c r="L156" s="1060">
        <f t="shared" si="7"/>
        <v>56000</v>
      </c>
      <c r="M156" s="1059"/>
      <c r="N156" s="1059"/>
      <c r="O156" s="1059"/>
    </row>
    <row r="157" spans="1:15">
      <c r="A157" s="138">
        <v>150</v>
      </c>
      <c r="B157" s="856" t="s">
        <v>881</v>
      </c>
      <c r="C157" s="856" t="s">
        <v>882</v>
      </c>
      <c r="D157" s="138" t="s">
        <v>611</v>
      </c>
      <c r="E157" s="857">
        <f>'BAO BÌ '!D93</f>
        <v>4200</v>
      </c>
      <c r="F157" s="857"/>
      <c r="G157" s="857">
        <f>'BAO BÌ '!F93</f>
        <v>0</v>
      </c>
      <c r="H157" s="857"/>
      <c r="I157" s="857">
        <f>'BAO BÌ '!H93</f>
        <v>0</v>
      </c>
      <c r="J157" s="857"/>
      <c r="K157" s="858">
        <f t="shared" si="11"/>
        <v>4200</v>
      </c>
      <c r="L157" s="1060">
        <f t="shared" ref="L157:L215" si="12">I157-M157-N157-O157</f>
        <v>0</v>
      </c>
      <c r="M157" s="1059"/>
      <c r="N157" s="1059"/>
      <c r="O157" s="1059"/>
    </row>
    <row r="158" spans="1:15">
      <c r="A158" s="138">
        <v>151</v>
      </c>
      <c r="B158" s="977" t="s">
        <v>1068</v>
      </c>
      <c r="C158" s="977" t="s">
        <v>1069</v>
      </c>
      <c r="D158" s="138" t="s">
        <v>193</v>
      </c>
      <c r="E158" s="857">
        <f>'TỔNG HỢP THÁNG'!D228</f>
        <v>0</v>
      </c>
      <c r="F158" s="857"/>
      <c r="G158" s="857">
        <f>'TỔNG HỢP THÁNG'!F228</f>
        <v>3520</v>
      </c>
      <c r="H158" s="857"/>
      <c r="I158" s="857">
        <f>'TỔNG HỢP THÁNG'!H228</f>
        <v>2925</v>
      </c>
      <c r="J158" s="857"/>
      <c r="K158" s="858">
        <f t="shared" si="11"/>
        <v>595</v>
      </c>
      <c r="L158" s="1060">
        <f t="shared" si="12"/>
        <v>2925</v>
      </c>
      <c r="M158" s="1059"/>
      <c r="N158" s="1059"/>
      <c r="O158" s="1059"/>
    </row>
    <row r="159" spans="1:15">
      <c r="A159" s="138">
        <v>152</v>
      </c>
      <c r="B159" s="856" t="s">
        <v>883</v>
      </c>
      <c r="C159" s="856" t="s">
        <v>884</v>
      </c>
      <c r="D159" s="138" t="s">
        <v>611</v>
      </c>
      <c r="E159" s="857">
        <f>'BAO BÌ '!D8</f>
        <v>35801</v>
      </c>
      <c r="F159" s="857"/>
      <c r="G159" s="857">
        <f>'BAO BÌ '!F8</f>
        <v>54880</v>
      </c>
      <c r="H159" s="857"/>
      <c r="I159" s="857">
        <f>'BAO BÌ '!H8</f>
        <v>62400</v>
      </c>
      <c r="J159" s="857"/>
      <c r="K159" s="858">
        <f t="shared" si="11"/>
        <v>28281</v>
      </c>
      <c r="L159" s="1060">
        <f t="shared" si="12"/>
        <v>62400</v>
      </c>
      <c r="M159" s="1059"/>
      <c r="N159" s="1059"/>
      <c r="O159" s="1059"/>
    </row>
    <row r="160" spans="1:15">
      <c r="A160" s="138">
        <v>153</v>
      </c>
      <c r="B160" s="856" t="s">
        <v>885</v>
      </c>
      <c r="C160" s="856" t="s">
        <v>886</v>
      </c>
      <c r="D160" s="138" t="s">
        <v>611</v>
      </c>
      <c r="E160" s="857">
        <f>'BAO BÌ '!D21</f>
        <v>2160</v>
      </c>
      <c r="F160" s="857"/>
      <c r="G160" s="857">
        <f>'BAO BÌ '!F21</f>
        <v>0</v>
      </c>
      <c r="H160" s="857"/>
      <c r="I160" s="857">
        <f>'BAO BÌ '!H21</f>
        <v>0</v>
      </c>
      <c r="J160" s="857"/>
      <c r="K160" s="858">
        <f t="shared" si="11"/>
        <v>2160</v>
      </c>
      <c r="L160" s="1060">
        <f t="shared" si="12"/>
        <v>0</v>
      </c>
      <c r="M160" s="1059"/>
      <c r="N160" s="1059"/>
      <c r="O160" s="1059"/>
    </row>
    <row r="161" spans="1:15">
      <c r="A161" s="138">
        <v>154</v>
      </c>
      <c r="B161" s="965" t="s">
        <v>918</v>
      </c>
      <c r="C161" s="965" t="s">
        <v>919</v>
      </c>
      <c r="D161" s="138" t="s">
        <v>611</v>
      </c>
      <c r="E161" s="857">
        <f>'BAO BÌ '!D32</f>
        <v>3590</v>
      </c>
      <c r="F161" s="857"/>
      <c r="G161" s="857">
        <f>'BAO BÌ '!F32</f>
        <v>0</v>
      </c>
      <c r="H161" s="857"/>
      <c r="I161" s="857">
        <f>'GREEN ERA nâu'!E40</f>
        <v>0</v>
      </c>
      <c r="J161" s="857"/>
      <c r="K161" s="858">
        <f t="shared" si="11"/>
        <v>3590</v>
      </c>
      <c r="L161" s="1060">
        <f>I161-M161-N161-O161</f>
        <v>0</v>
      </c>
      <c r="M161" s="1059"/>
      <c r="N161" s="1059"/>
      <c r="O161" s="1059"/>
    </row>
    <row r="162" spans="1:15">
      <c r="A162" s="138">
        <v>155</v>
      </c>
      <c r="B162" s="977" t="s">
        <v>951</v>
      </c>
      <c r="C162" s="977" t="s">
        <v>952</v>
      </c>
      <c r="D162" s="138" t="s">
        <v>611</v>
      </c>
      <c r="E162" s="857">
        <f>'BAO BÌ '!D96</f>
        <v>1530</v>
      </c>
      <c r="F162" s="857"/>
      <c r="G162" s="857">
        <f>'BAO BÌ '!F96</f>
        <v>0</v>
      </c>
      <c r="H162" s="857"/>
      <c r="I162" s="857">
        <f>'BAO BÌ '!H96</f>
        <v>0</v>
      </c>
      <c r="J162" s="857"/>
      <c r="K162" s="858">
        <f t="shared" si="11"/>
        <v>1530</v>
      </c>
      <c r="L162" s="1060">
        <f t="shared" si="12"/>
        <v>0</v>
      </c>
      <c r="M162" s="1059"/>
      <c r="N162" s="1059"/>
      <c r="O162" s="1059"/>
    </row>
    <row r="163" spans="1:15">
      <c r="A163" s="138">
        <v>156</v>
      </c>
      <c r="B163" s="977" t="s">
        <v>953</v>
      </c>
      <c r="C163" s="977" t="s">
        <v>954</v>
      </c>
      <c r="D163" s="138" t="s">
        <v>611</v>
      </c>
      <c r="E163" s="857">
        <f>'BAO BÌ '!D97</f>
        <v>0</v>
      </c>
      <c r="F163" s="857"/>
      <c r="G163" s="857">
        <f>'BAO BÌ '!F97</f>
        <v>0</v>
      </c>
      <c r="H163" s="857"/>
      <c r="I163" s="857">
        <f>'BAO BÌ '!H97</f>
        <v>0</v>
      </c>
      <c r="J163" s="857"/>
      <c r="K163" s="858">
        <f t="shared" si="11"/>
        <v>0</v>
      </c>
      <c r="L163" s="1060">
        <f t="shared" si="12"/>
        <v>0</v>
      </c>
      <c r="M163" s="1059"/>
      <c r="N163" s="1059"/>
      <c r="O163" s="1059"/>
    </row>
    <row r="164" spans="1:15">
      <c r="A164" s="138">
        <v>157</v>
      </c>
      <c r="B164" s="977" t="s">
        <v>955</v>
      </c>
      <c r="C164" s="977" t="s">
        <v>956</v>
      </c>
      <c r="D164" s="138" t="s">
        <v>611</v>
      </c>
      <c r="E164" s="857">
        <f>'BAO BÌ '!D98</f>
        <v>920</v>
      </c>
      <c r="F164" s="857"/>
      <c r="G164" s="857">
        <f>'BAO BÌ '!F98</f>
        <v>0</v>
      </c>
      <c r="H164" s="857"/>
      <c r="I164" s="857">
        <f>'BAO BÌ '!H98</f>
        <v>0</v>
      </c>
      <c r="J164" s="857"/>
      <c r="K164" s="858">
        <f t="shared" si="11"/>
        <v>920</v>
      </c>
      <c r="L164" s="1060">
        <f t="shared" si="12"/>
        <v>0</v>
      </c>
      <c r="M164" s="1059"/>
      <c r="N164" s="1059"/>
      <c r="O164" s="1059"/>
    </row>
    <row r="165" spans="1:15">
      <c r="A165" s="138">
        <v>158</v>
      </c>
      <c r="B165" s="977" t="s">
        <v>957</v>
      </c>
      <c r="C165" s="977" t="s">
        <v>958</v>
      </c>
      <c r="D165" s="138" t="s">
        <v>611</v>
      </c>
      <c r="E165" s="857">
        <f>'BAO BÌ '!D99</f>
        <v>469</v>
      </c>
      <c r="F165" s="857"/>
      <c r="G165" s="857">
        <f>'BAO BÌ '!F99</f>
        <v>0</v>
      </c>
      <c r="H165" s="857"/>
      <c r="I165" s="857">
        <f>'BAO BÌ '!H99</f>
        <v>0</v>
      </c>
      <c r="J165" s="857"/>
      <c r="K165" s="858">
        <f t="shared" si="11"/>
        <v>469</v>
      </c>
      <c r="L165" s="1060">
        <f t="shared" si="12"/>
        <v>0</v>
      </c>
      <c r="M165" s="1059"/>
      <c r="N165" s="1059"/>
      <c r="O165" s="1059"/>
    </row>
    <row r="166" spans="1:15">
      <c r="A166" s="138">
        <v>159</v>
      </c>
      <c r="B166" s="977" t="s">
        <v>959</v>
      </c>
      <c r="C166" s="977" t="s">
        <v>960</v>
      </c>
      <c r="D166" s="138" t="s">
        <v>611</v>
      </c>
      <c r="E166" s="857">
        <f>'BAO BÌ '!D100</f>
        <v>960</v>
      </c>
      <c r="F166" s="857"/>
      <c r="G166" s="857">
        <f>'BAO BÌ '!F100</f>
        <v>0</v>
      </c>
      <c r="H166" s="857"/>
      <c r="I166" s="857">
        <f>'BAO BÌ '!H100</f>
        <v>0</v>
      </c>
      <c r="J166" s="857"/>
      <c r="K166" s="858">
        <f t="shared" si="11"/>
        <v>960</v>
      </c>
      <c r="L166" s="1060">
        <f t="shared" si="12"/>
        <v>0</v>
      </c>
      <c r="M166" s="1059"/>
      <c r="N166" s="1059"/>
      <c r="O166" s="1059"/>
    </row>
    <row r="167" spans="1:15">
      <c r="A167" s="138">
        <v>160</v>
      </c>
      <c r="B167" s="977" t="s">
        <v>961</v>
      </c>
      <c r="C167" s="833" t="str">
        <f>VLOOKUP(B167,'[3]TONG HOP'!$C$8:$E$949,2,0)</f>
        <v xml:space="preserve">Vỏ hộp Green home 30x60 (8v) </v>
      </c>
      <c r="D167" s="138" t="s">
        <v>611</v>
      </c>
      <c r="E167" s="857">
        <f>'BAO BÌ '!D33</f>
        <v>9226</v>
      </c>
      <c r="F167" s="857"/>
      <c r="G167" s="857">
        <f>'BAO BÌ '!F33</f>
        <v>0</v>
      </c>
      <c r="H167" s="857"/>
      <c r="I167" s="857">
        <f>'BAO BÌ '!H33</f>
        <v>0</v>
      </c>
      <c r="J167" s="857"/>
      <c r="K167" s="858">
        <f t="shared" si="11"/>
        <v>9226</v>
      </c>
      <c r="L167" s="1060">
        <f t="shared" si="12"/>
        <v>0</v>
      </c>
      <c r="M167" s="1059"/>
      <c r="N167" s="1059"/>
      <c r="O167" s="1059"/>
    </row>
    <row r="168" spans="1:15">
      <c r="A168" s="138">
        <v>161</v>
      </c>
      <c r="B168" s="977" t="s">
        <v>962</v>
      </c>
      <c r="C168" s="833" t="str">
        <f>VLOOKUP(B168,'[3]TONG HOP'!$C$8:$E$949,2,0)</f>
        <v>Vỏ hộp Green home 600*600 (t/5v)</v>
      </c>
      <c r="D168" s="138" t="s">
        <v>611</v>
      </c>
      <c r="E168" s="857">
        <f>'BAO BÌ '!D101</f>
        <v>2980</v>
      </c>
      <c r="F168" s="857"/>
      <c r="G168" s="857">
        <f>'BAO BÌ '!F101</f>
        <v>0</v>
      </c>
      <c r="H168" s="857"/>
      <c r="I168" s="857">
        <f>'BAO BÌ '!H101</f>
        <v>0</v>
      </c>
      <c r="J168" s="857"/>
      <c r="K168" s="858">
        <f t="shared" si="11"/>
        <v>2980</v>
      </c>
      <c r="L168" s="1060">
        <f t="shared" si="12"/>
        <v>0</v>
      </c>
      <c r="M168" s="1059"/>
      <c r="N168" s="1059"/>
      <c r="O168" s="1059"/>
    </row>
    <row r="169" spans="1:15">
      <c r="A169" s="138">
        <v>162</v>
      </c>
      <c r="B169" s="977" t="s">
        <v>964</v>
      </c>
      <c r="C169" s="977" t="s">
        <v>963</v>
      </c>
      <c r="D169" s="138" t="s">
        <v>611</v>
      </c>
      <c r="E169" s="857">
        <f>'BAO BÌ '!D84</f>
        <v>1416</v>
      </c>
      <c r="F169" s="857"/>
      <c r="G169" s="857">
        <f>'BAO BÌ '!F84</f>
        <v>12641</v>
      </c>
      <c r="H169" s="857"/>
      <c r="I169" s="857">
        <f>'BAO BÌ '!H84</f>
        <v>13100</v>
      </c>
      <c r="J169" s="857"/>
      <c r="K169" s="858">
        <f t="shared" si="11"/>
        <v>957</v>
      </c>
      <c r="L169" s="1060">
        <f t="shared" si="12"/>
        <v>13100</v>
      </c>
      <c r="M169" s="1059"/>
      <c r="N169" s="1059"/>
      <c r="O169" s="1059"/>
    </row>
    <row r="170" spans="1:15">
      <c r="A170" s="138">
        <v>163</v>
      </c>
      <c r="B170" s="977" t="s">
        <v>971</v>
      </c>
      <c r="C170" s="977" t="s">
        <v>972</v>
      </c>
      <c r="D170" s="138" t="s">
        <v>611</v>
      </c>
      <c r="E170" s="857">
        <f>'TỔNG HỢP THÁNG'!D137</f>
        <v>14586</v>
      </c>
      <c r="F170" s="857"/>
      <c r="G170" s="857">
        <f>'TỔNG HỢP THÁNG'!F137</f>
        <v>10050</v>
      </c>
      <c r="H170" s="857"/>
      <c r="I170" s="857">
        <f>'TỔNG HỢP THÁNG'!H137</f>
        <v>4800</v>
      </c>
      <c r="J170" s="857"/>
      <c r="K170" s="858">
        <f t="shared" si="11"/>
        <v>19836</v>
      </c>
      <c r="L170" s="1060">
        <f>I170-M170-N170-O170</f>
        <v>4800</v>
      </c>
      <c r="M170" s="1059"/>
      <c r="N170" s="1059"/>
      <c r="O170" s="1059"/>
    </row>
    <row r="171" spans="1:15">
      <c r="A171" s="138">
        <v>164</v>
      </c>
      <c r="B171" s="977" t="s">
        <v>973</v>
      </c>
      <c r="C171" s="977" t="s">
        <v>974</v>
      </c>
      <c r="D171" s="138" t="s">
        <v>611</v>
      </c>
      <c r="E171" s="857">
        <f>'TỔNG HỢP THÁNG'!D151</f>
        <v>0</v>
      </c>
      <c r="F171" s="857"/>
      <c r="G171" s="857">
        <f>'TỔNG HỢP THÁNG'!F151</f>
        <v>0</v>
      </c>
      <c r="H171" s="857"/>
      <c r="I171" s="857">
        <f>'TỔNG HỢP THÁNG'!H151</f>
        <v>0</v>
      </c>
      <c r="J171" s="857"/>
      <c r="K171" s="858">
        <f t="shared" si="11"/>
        <v>0</v>
      </c>
      <c r="L171" s="1060">
        <f t="shared" si="12"/>
        <v>0</v>
      </c>
      <c r="M171" s="1059"/>
      <c r="N171" s="1059"/>
      <c r="O171" s="1059"/>
    </row>
    <row r="172" spans="1:15">
      <c r="A172" s="138">
        <v>165</v>
      </c>
      <c r="B172" s="977" t="s">
        <v>986</v>
      </c>
      <c r="C172" s="977" t="s">
        <v>987</v>
      </c>
      <c r="D172" s="138" t="s">
        <v>611</v>
      </c>
      <c r="E172" s="857">
        <f>'BAO BÌ '!D56</f>
        <v>0</v>
      </c>
      <c r="F172" s="857"/>
      <c r="G172" s="857">
        <f>'BAO BÌ '!F56</f>
        <v>0</v>
      </c>
      <c r="H172" s="857"/>
      <c r="I172" s="857">
        <f>'BAO BÌ '!H56</f>
        <v>0</v>
      </c>
      <c r="J172" s="857"/>
      <c r="K172" s="858">
        <f t="shared" si="11"/>
        <v>0</v>
      </c>
      <c r="L172" s="1060">
        <f t="shared" si="12"/>
        <v>0</v>
      </c>
      <c r="M172" s="1059"/>
      <c r="N172" s="1059"/>
      <c r="O172" s="1059"/>
    </row>
    <row r="173" spans="1:15">
      <c r="A173" s="138">
        <v>166</v>
      </c>
      <c r="B173" s="977" t="s">
        <v>988</v>
      </c>
      <c r="C173" s="977" t="s">
        <v>990</v>
      </c>
      <c r="D173" s="138" t="s">
        <v>611</v>
      </c>
      <c r="E173" s="857">
        <f>'BAO BÌ '!D54</f>
        <v>0</v>
      </c>
      <c r="F173" s="857"/>
      <c r="G173" s="857">
        <f>'BAO BÌ '!F54</f>
        <v>0</v>
      </c>
      <c r="H173" s="857"/>
      <c r="I173" s="857">
        <f>'BAO BÌ '!H54</f>
        <v>0</v>
      </c>
      <c r="J173" s="857"/>
      <c r="K173" s="858">
        <f t="shared" si="11"/>
        <v>0</v>
      </c>
      <c r="L173" s="1060">
        <f t="shared" si="12"/>
        <v>0</v>
      </c>
      <c r="M173" s="1059"/>
      <c r="N173" s="1059"/>
      <c r="O173" s="1059"/>
    </row>
    <row r="174" spans="1:15">
      <c r="A174" s="138">
        <v>167</v>
      </c>
      <c r="B174" s="977" t="s">
        <v>989</v>
      </c>
      <c r="C174" s="977" t="s">
        <v>991</v>
      </c>
      <c r="D174" s="138" t="s">
        <v>611</v>
      </c>
      <c r="E174" s="857">
        <f>'BAO BÌ '!D55</f>
        <v>1920</v>
      </c>
      <c r="F174" s="857"/>
      <c r="G174" s="857">
        <f>'BAO BÌ '!F55</f>
        <v>0</v>
      </c>
      <c r="H174" s="857"/>
      <c r="I174" s="857">
        <f>'BAO BÌ '!H55</f>
        <v>0</v>
      </c>
      <c r="J174" s="857"/>
      <c r="K174" s="858">
        <f t="shared" si="11"/>
        <v>1920</v>
      </c>
      <c r="L174" s="1060">
        <f t="shared" si="12"/>
        <v>0</v>
      </c>
      <c r="M174" s="1059"/>
      <c r="N174" s="1059"/>
      <c r="O174" s="1059"/>
    </row>
    <row r="175" spans="1:15">
      <c r="A175" s="138">
        <v>168</v>
      </c>
      <c r="B175" s="977" t="s">
        <v>992</v>
      </c>
      <c r="C175" s="977" t="s">
        <v>993</v>
      </c>
      <c r="D175" s="138" t="s">
        <v>611</v>
      </c>
      <c r="E175" s="857">
        <f>'BAO BÌ '!D57</f>
        <v>0</v>
      </c>
      <c r="F175" s="857"/>
      <c r="G175" s="857">
        <f>'BAO BÌ '!F57</f>
        <v>0</v>
      </c>
      <c r="H175" s="857"/>
      <c r="I175" s="857">
        <f>'BAO BÌ '!H57</f>
        <v>0</v>
      </c>
      <c r="J175" s="857"/>
      <c r="K175" s="858">
        <f t="shared" si="11"/>
        <v>0</v>
      </c>
      <c r="L175" s="1060">
        <f t="shared" si="12"/>
        <v>0</v>
      </c>
      <c r="M175" s="1059"/>
      <c r="N175" s="1059"/>
      <c r="O175" s="1059"/>
    </row>
    <row r="176" spans="1:15">
      <c r="A176" s="138">
        <v>169</v>
      </c>
      <c r="B176" s="977" t="s">
        <v>1001</v>
      </c>
      <c r="C176" s="977" t="s">
        <v>1004</v>
      </c>
      <c r="D176" s="138" t="s">
        <v>611</v>
      </c>
      <c r="E176" s="857">
        <f>'BAO BÌ '!D58</f>
        <v>0</v>
      </c>
      <c r="F176" s="857"/>
      <c r="G176" s="857">
        <f>'BAO BÌ '!F58</f>
        <v>0</v>
      </c>
      <c r="H176" s="857"/>
      <c r="I176" s="857">
        <f>'BAO BÌ '!H58</f>
        <v>0</v>
      </c>
      <c r="J176" s="857"/>
      <c r="K176" s="858">
        <f t="shared" si="11"/>
        <v>0</v>
      </c>
      <c r="L176" s="1060">
        <f t="shared" si="12"/>
        <v>0</v>
      </c>
      <c r="M176" s="1059"/>
      <c r="N176" s="1059"/>
      <c r="O176" s="1059"/>
    </row>
    <row r="177" spans="1:15">
      <c r="A177" s="138">
        <v>170</v>
      </c>
      <c r="B177" s="977" t="s">
        <v>1002</v>
      </c>
      <c r="C177" s="977" t="s">
        <v>1005</v>
      </c>
      <c r="D177" s="138" t="s">
        <v>611</v>
      </c>
      <c r="E177" s="857">
        <f>'BAO BÌ '!D59</f>
        <v>0</v>
      </c>
      <c r="F177" s="857"/>
      <c r="G177" s="857">
        <f>'BAO BÌ '!F59</f>
        <v>0</v>
      </c>
      <c r="H177" s="857"/>
      <c r="I177" s="857">
        <f>'BAO BÌ '!H59</f>
        <v>0</v>
      </c>
      <c r="J177" s="857"/>
      <c r="K177" s="858">
        <f t="shared" si="11"/>
        <v>0</v>
      </c>
      <c r="L177" s="1060">
        <f t="shared" si="12"/>
        <v>0</v>
      </c>
      <c r="M177" s="1059"/>
      <c r="N177" s="1059"/>
      <c r="O177" s="1059"/>
    </row>
    <row r="178" spans="1:15">
      <c r="A178" s="138">
        <v>171</v>
      </c>
      <c r="B178" s="977" t="s">
        <v>1003</v>
      </c>
      <c r="C178" s="977" t="s">
        <v>1006</v>
      </c>
      <c r="D178" s="138" t="s">
        <v>611</v>
      </c>
      <c r="E178" s="857">
        <f>'BAO BÌ '!D35</f>
        <v>0</v>
      </c>
      <c r="F178" s="857"/>
      <c r="G178" s="857">
        <f>'BAO BÌ '!F35</f>
        <v>0</v>
      </c>
      <c r="H178" s="857"/>
      <c r="I178" s="857">
        <f>'BAO BÌ '!H35</f>
        <v>0</v>
      </c>
      <c r="J178" s="857"/>
      <c r="K178" s="858">
        <f t="shared" si="11"/>
        <v>0</v>
      </c>
      <c r="L178" s="1060">
        <f t="shared" si="12"/>
        <v>0</v>
      </c>
      <c r="M178" s="1059"/>
      <c r="N178" s="1059"/>
      <c r="O178" s="1059"/>
    </row>
    <row r="179" spans="1:15">
      <c r="A179" s="138">
        <v>172</v>
      </c>
      <c r="B179" s="833" t="s">
        <v>1036</v>
      </c>
      <c r="C179" s="833" t="s">
        <v>1038</v>
      </c>
      <c r="D179" s="138" t="s">
        <v>611</v>
      </c>
      <c r="E179" s="857">
        <f>'BAO BÌ '!D60</f>
        <v>0</v>
      </c>
      <c r="F179" s="857"/>
      <c r="G179" s="857">
        <f>'BAO BÌ '!F60</f>
        <v>0</v>
      </c>
      <c r="H179" s="857"/>
      <c r="I179" s="857">
        <f>'BAO BÌ '!H60</f>
        <v>0</v>
      </c>
      <c r="J179" s="857"/>
      <c r="K179" s="858">
        <f t="shared" si="11"/>
        <v>0</v>
      </c>
      <c r="L179" s="1060">
        <f t="shared" si="12"/>
        <v>0</v>
      </c>
      <c r="M179" s="1059"/>
      <c r="N179" s="1059"/>
      <c r="O179" s="1059"/>
    </row>
    <row r="180" spans="1:15">
      <c r="A180" s="138">
        <v>173</v>
      </c>
      <c r="B180" s="833" t="s">
        <v>1037</v>
      </c>
      <c r="C180" s="833" t="s">
        <v>1039</v>
      </c>
      <c r="D180" s="138" t="s">
        <v>611</v>
      </c>
      <c r="E180" s="857">
        <f>'BAO BÌ '!D36</f>
        <v>13841</v>
      </c>
      <c r="F180" s="857"/>
      <c r="G180" s="857">
        <f>'BAO BÌ '!F36</f>
        <v>15775</v>
      </c>
      <c r="H180" s="857"/>
      <c r="I180" s="857">
        <f>'BAO BÌ '!H36</f>
        <v>23150</v>
      </c>
      <c r="J180" s="857"/>
      <c r="K180" s="858">
        <f t="shared" si="11"/>
        <v>6466</v>
      </c>
      <c r="L180" s="1060">
        <f t="shared" si="12"/>
        <v>23150</v>
      </c>
      <c r="M180" s="1059"/>
      <c r="N180" s="1059"/>
      <c r="O180" s="1059"/>
    </row>
    <row r="181" spans="1:15">
      <c r="A181" s="138">
        <v>174</v>
      </c>
      <c r="B181" s="977" t="s">
        <v>1048</v>
      </c>
      <c r="C181" s="977" t="s">
        <v>1049</v>
      </c>
      <c r="D181" s="138" t="s">
        <v>611</v>
      </c>
      <c r="E181" s="857">
        <f>'BAO BÌ '!D51</f>
        <v>0</v>
      </c>
      <c r="F181" s="857"/>
      <c r="G181" s="857">
        <f>'BAO BÌ '!F51</f>
        <v>0</v>
      </c>
      <c r="H181" s="857"/>
      <c r="I181" s="857">
        <f>'BAO BÌ '!H51</f>
        <v>0</v>
      </c>
      <c r="J181" s="857"/>
      <c r="K181" s="858">
        <f t="shared" si="11"/>
        <v>0</v>
      </c>
      <c r="L181" s="1060">
        <f t="shared" si="12"/>
        <v>0</v>
      </c>
      <c r="M181" s="1059"/>
      <c r="N181" s="1059"/>
      <c r="O181" s="1059"/>
    </row>
    <row r="182" spans="1:15">
      <c r="A182" s="138">
        <v>175</v>
      </c>
      <c r="B182" s="977" t="s">
        <v>1050</v>
      </c>
      <c r="C182" s="977" t="s">
        <v>1051</v>
      </c>
      <c r="D182" s="138" t="s">
        <v>611</v>
      </c>
      <c r="E182" s="857">
        <f>'BAO BÌ '!D85</f>
        <v>1114</v>
      </c>
      <c r="F182" s="857"/>
      <c r="G182" s="857">
        <f>'BAO BÌ '!F85</f>
        <v>0</v>
      </c>
      <c r="H182" s="857"/>
      <c r="I182" s="857">
        <f>'BAO BÌ '!H85</f>
        <v>0</v>
      </c>
      <c r="J182" s="857"/>
      <c r="K182" s="858">
        <f t="shared" si="11"/>
        <v>1114</v>
      </c>
      <c r="L182" s="1060">
        <f t="shared" si="12"/>
        <v>0</v>
      </c>
      <c r="M182" s="1059"/>
      <c r="N182" s="1059"/>
      <c r="O182" s="1059"/>
    </row>
    <row r="183" spans="1:15">
      <c r="A183" s="138">
        <v>176</v>
      </c>
      <c r="B183" s="977" t="s">
        <v>1070</v>
      </c>
      <c r="C183" s="977" t="s">
        <v>1075</v>
      </c>
      <c r="D183" s="138" t="s">
        <v>611</v>
      </c>
      <c r="E183" s="857">
        <f>'BAO BÌ '!D102</f>
        <v>811</v>
      </c>
      <c r="F183" s="857"/>
      <c r="G183" s="857">
        <f>'BAO BÌ '!F102</f>
        <v>0</v>
      </c>
      <c r="H183" s="857"/>
      <c r="I183" s="857">
        <f>'BAO BÌ '!H102</f>
        <v>0</v>
      </c>
      <c r="J183" s="857"/>
      <c r="K183" s="858">
        <f t="shared" si="11"/>
        <v>811</v>
      </c>
      <c r="L183" s="1060">
        <f t="shared" si="12"/>
        <v>0</v>
      </c>
      <c r="M183" s="1059"/>
      <c r="N183" s="1059"/>
      <c r="O183" s="1059"/>
    </row>
    <row r="184" spans="1:15">
      <c r="A184" s="138">
        <v>177</v>
      </c>
      <c r="B184" s="977" t="s">
        <v>1071</v>
      </c>
      <c r="C184" s="977" t="s">
        <v>1076</v>
      </c>
      <c r="D184" s="138" t="s">
        <v>611</v>
      </c>
      <c r="E184" s="857">
        <f>'BAO BÌ '!D103</f>
        <v>1748</v>
      </c>
      <c r="F184" s="857"/>
      <c r="G184" s="857">
        <f>'BAO BÌ '!F103</f>
        <v>0</v>
      </c>
      <c r="H184" s="857"/>
      <c r="I184" s="857">
        <f>'BAO BÌ '!H103</f>
        <v>0</v>
      </c>
      <c r="J184" s="857"/>
      <c r="K184" s="858">
        <f t="shared" si="11"/>
        <v>1748</v>
      </c>
      <c r="L184" s="1060">
        <f t="shared" si="12"/>
        <v>0</v>
      </c>
      <c r="M184" s="1059"/>
      <c r="N184" s="1059"/>
      <c r="O184" s="1059"/>
    </row>
    <row r="185" spans="1:15">
      <c r="A185" s="138">
        <v>178</v>
      </c>
      <c r="B185" s="977" t="s">
        <v>1072</v>
      </c>
      <c r="C185" s="977" t="s">
        <v>1077</v>
      </c>
      <c r="D185" s="138" t="s">
        <v>611</v>
      </c>
      <c r="E185" s="857">
        <f>'BAO BÌ '!D104</f>
        <v>1579</v>
      </c>
      <c r="F185" s="857"/>
      <c r="G185" s="857">
        <f>'BAO BÌ '!F104</f>
        <v>0</v>
      </c>
      <c r="H185" s="857"/>
      <c r="I185" s="857">
        <f>'BAO BÌ '!H104</f>
        <v>0</v>
      </c>
      <c r="J185" s="857"/>
      <c r="K185" s="858">
        <f t="shared" si="11"/>
        <v>1579</v>
      </c>
      <c r="L185" s="1060">
        <f t="shared" si="12"/>
        <v>0</v>
      </c>
      <c r="M185" s="1059"/>
      <c r="N185" s="1059"/>
      <c r="O185" s="1059"/>
    </row>
    <row r="186" spans="1:15">
      <c r="A186" s="138">
        <v>179</v>
      </c>
      <c r="B186" s="977" t="s">
        <v>1073</v>
      </c>
      <c r="C186" s="977" t="s">
        <v>1078</v>
      </c>
      <c r="D186" s="138" t="s">
        <v>611</v>
      </c>
      <c r="E186" s="857">
        <f>'BAO BÌ '!D105</f>
        <v>550</v>
      </c>
      <c r="F186" s="857"/>
      <c r="G186" s="857">
        <f>'BAO BÌ '!F105</f>
        <v>0</v>
      </c>
      <c r="H186" s="857"/>
      <c r="I186" s="857">
        <f>'BAO BÌ '!H105</f>
        <v>0</v>
      </c>
      <c r="J186" s="857"/>
      <c r="K186" s="858">
        <f t="shared" si="11"/>
        <v>550</v>
      </c>
      <c r="L186" s="1060">
        <f t="shared" si="12"/>
        <v>0</v>
      </c>
      <c r="M186" s="1059"/>
      <c r="N186" s="1059"/>
      <c r="O186" s="1059"/>
    </row>
    <row r="187" spans="1:15">
      <c r="A187" s="138">
        <v>180</v>
      </c>
      <c r="B187" s="977" t="s">
        <v>1074</v>
      </c>
      <c r="C187" s="977" t="s">
        <v>1079</v>
      </c>
      <c r="D187" s="138" t="s">
        <v>611</v>
      </c>
      <c r="E187" s="857">
        <f>'BAO BÌ '!D106</f>
        <v>0</v>
      </c>
      <c r="F187" s="857"/>
      <c r="G187" s="857">
        <f>'BAO BÌ '!F106</f>
        <v>0</v>
      </c>
      <c r="H187" s="857"/>
      <c r="I187" s="857">
        <f>'BAO BÌ '!H106</f>
        <v>0</v>
      </c>
      <c r="J187" s="857"/>
      <c r="K187" s="858">
        <f t="shared" si="11"/>
        <v>0</v>
      </c>
      <c r="L187" s="1060">
        <f t="shared" si="12"/>
        <v>0</v>
      </c>
      <c r="M187" s="1059"/>
      <c r="N187" s="1059"/>
      <c r="O187" s="1059"/>
    </row>
    <row r="188" spans="1:15">
      <c r="A188" s="138">
        <v>181</v>
      </c>
      <c r="B188" s="977" t="s">
        <v>1095</v>
      </c>
      <c r="C188" s="977" t="s">
        <v>1102</v>
      </c>
      <c r="D188" s="138" t="s">
        <v>611</v>
      </c>
      <c r="E188" s="857">
        <f>'BAO BÌ '!D62</f>
        <v>0</v>
      </c>
      <c r="F188" s="857"/>
      <c r="G188" s="857">
        <f>'BAO BÌ '!F62</f>
        <v>40070</v>
      </c>
      <c r="H188" s="857"/>
      <c r="I188" s="857">
        <f>'BAO BÌ '!H62</f>
        <v>22950</v>
      </c>
      <c r="J188" s="857"/>
      <c r="K188" s="858">
        <f t="shared" si="11"/>
        <v>17120</v>
      </c>
      <c r="L188" s="1060">
        <f t="shared" si="12"/>
        <v>22950</v>
      </c>
      <c r="M188" s="1059"/>
      <c r="N188" s="1059"/>
      <c r="O188" s="1059"/>
    </row>
    <row r="189" spans="1:15">
      <c r="A189" s="138">
        <v>182</v>
      </c>
      <c r="B189" s="977" t="s">
        <v>1096</v>
      </c>
      <c r="C189" s="977" t="s">
        <v>1103</v>
      </c>
      <c r="D189" s="138" t="s">
        <v>611</v>
      </c>
      <c r="E189" s="857">
        <f>'BAO BÌ '!D63</f>
        <v>0</v>
      </c>
      <c r="F189" s="857"/>
      <c r="G189" s="857">
        <f>'BAO BÌ '!F63</f>
        <v>0</v>
      </c>
      <c r="H189" s="857"/>
      <c r="I189" s="857">
        <f>'BAO BÌ '!H63</f>
        <v>0</v>
      </c>
      <c r="J189" s="857"/>
      <c r="K189" s="858">
        <f t="shared" si="11"/>
        <v>0</v>
      </c>
      <c r="L189" s="1060">
        <f t="shared" si="12"/>
        <v>0</v>
      </c>
      <c r="M189" s="1059"/>
      <c r="N189" s="1059"/>
      <c r="O189" s="1059"/>
    </row>
    <row r="190" spans="1:15">
      <c r="A190" s="138">
        <v>183</v>
      </c>
      <c r="B190" s="977" t="s">
        <v>1097</v>
      </c>
      <c r="C190" s="977" t="s">
        <v>1104</v>
      </c>
      <c r="D190" s="138" t="s">
        <v>611</v>
      </c>
      <c r="E190" s="857">
        <f>'BAO BÌ '!D64</f>
        <v>0</v>
      </c>
      <c r="F190" s="857"/>
      <c r="G190" s="857">
        <f>'BAO BÌ '!F64</f>
        <v>0</v>
      </c>
      <c r="H190" s="857"/>
      <c r="I190" s="857">
        <f>'BAO BÌ '!H64</f>
        <v>0</v>
      </c>
      <c r="J190" s="857"/>
      <c r="K190" s="858">
        <f t="shared" si="11"/>
        <v>0</v>
      </c>
      <c r="L190" s="1060">
        <f t="shared" si="12"/>
        <v>0</v>
      </c>
      <c r="M190" s="1059"/>
      <c r="N190" s="1059"/>
      <c r="O190" s="1059"/>
    </row>
    <row r="191" spans="1:15">
      <c r="A191" s="138">
        <v>184</v>
      </c>
      <c r="B191" s="977" t="s">
        <v>1098</v>
      </c>
      <c r="C191" s="977" t="s">
        <v>1105</v>
      </c>
      <c r="D191" s="138" t="s">
        <v>611</v>
      </c>
      <c r="E191" s="857">
        <f>'BAO BÌ '!D65</f>
        <v>0</v>
      </c>
      <c r="F191" s="857"/>
      <c r="G191" s="857">
        <f>'BAO BÌ '!F65</f>
        <v>10000</v>
      </c>
      <c r="H191" s="857"/>
      <c r="I191" s="857">
        <f>'BAO BÌ '!H65</f>
        <v>0</v>
      </c>
      <c r="J191" s="857"/>
      <c r="K191" s="858">
        <f t="shared" si="11"/>
        <v>10000</v>
      </c>
      <c r="L191" s="1060">
        <f t="shared" si="12"/>
        <v>0</v>
      </c>
      <c r="M191" s="1059"/>
      <c r="N191" s="1059"/>
      <c r="O191" s="1059"/>
    </row>
    <row r="192" spans="1:15">
      <c r="A192" s="138">
        <v>185</v>
      </c>
      <c r="B192" s="977" t="s">
        <v>1099</v>
      </c>
      <c r="C192" s="977" t="s">
        <v>1106</v>
      </c>
      <c r="D192" s="138" t="s">
        <v>611</v>
      </c>
      <c r="E192" s="857">
        <f>'BAO BÌ '!D66</f>
        <v>0</v>
      </c>
      <c r="F192" s="857"/>
      <c r="G192" s="857">
        <f>'BAO BÌ '!F66</f>
        <v>0</v>
      </c>
      <c r="H192" s="857"/>
      <c r="I192" s="857">
        <f>'BAO BÌ '!H66</f>
        <v>0</v>
      </c>
      <c r="J192" s="857"/>
      <c r="K192" s="858">
        <f t="shared" si="11"/>
        <v>0</v>
      </c>
      <c r="L192" s="1060">
        <f t="shared" si="12"/>
        <v>0</v>
      </c>
      <c r="M192" s="1059"/>
      <c r="N192" s="1059"/>
      <c r="O192" s="1059"/>
    </row>
    <row r="193" spans="1:15">
      <c r="A193" s="138">
        <v>186</v>
      </c>
      <c r="B193" s="977" t="s">
        <v>1100</v>
      </c>
      <c r="C193" s="977" t="s">
        <v>1107</v>
      </c>
      <c r="D193" s="138" t="s">
        <v>611</v>
      </c>
      <c r="E193" s="857">
        <f>'BAO BÌ '!D67</f>
        <v>0</v>
      </c>
      <c r="F193" s="857"/>
      <c r="G193" s="857">
        <f>'BAO BÌ '!F67</f>
        <v>15050</v>
      </c>
      <c r="H193" s="857"/>
      <c r="I193" s="857">
        <f>'BAO BÌ '!H67</f>
        <v>5000</v>
      </c>
      <c r="J193" s="857"/>
      <c r="K193" s="858">
        <f t="shared" si="11"/>
        <v>10050</v>
      </c>
      <c r="L193" s="1060">
        <f t="shared" si="12"/>
        <v>5000</v>
      </c>
      <c r="M193" s="1059"/>
      <c r="N193" s="1059"/>
      <c r="O193" s="1059"/>
    </row>
    <row r="194" spans="1:15">
      <c r="A194" s="138">
        <v>187</v>
      </c>
      <c r="B194" s="977" t="s">
        <v>1101</v>
      </c>
      <c r="C194" s="977" t="s">
        <v>1108</v>
      </c>
      <c r="D194" s="138" t="s">
        <v>611</v>
      </c>
      <c r="E194" s="857">
        <f>'BAO BÌ '!D68</f>
        <v>0</v>
      </c>
      <c r="F194" s="857"/>
      <c r="G194" s="857">
        <f>'BAO BÌ '!F68</f>
        <v>11150</v>
      </c>
      <c r="H194" s="857"/>
      <c r="I194" s="857">
        <f>'BAO BÌ '!H68</f>
        <v>5000</v>
      </c>
      <c r="J194" s="857"/>
      <c r="K194" s="858">
        <f t="shared" si="11"/>
        <v>6150</v>
      </c>
      <c r="L194" s="1060">
        <f t="shared" si="12"/>
        <v>5000</v>
      </c>
      <c r="M194" s="1059"/>
      <c r="N194" s="1059"/>
      <c r="O194" s="1059"/>
    </row>
    <row r="195" spans="1:15">
      <c r="A195" s="138">
        <v>188</v>
      </c>
      <c r="B195" s="977" t="s">
        <v>1117</v>
      </c>
      <c r="C195" s="977" t="s">
        <v>1116</v>
      </c>
      <c r="D195" s="138" t="s">
        <v>611</v>
      </c>
      <c r="E195" s="857">
        <f>'BAO BÌ '!D69</f>
        <v>0</v>
      </c>
      <c r="F195" s="857"/>
      <c r="G195" s="857">
        <f>'BAO BÌ '!F69</f>
        <v>0</v>
      </c>
      <c r="H195" s="857"/>
      <c r="I195" s="857">
        <f>'BAO BÌ '!H69</f>
        <v>0</v>
      </c>
      <c r="J195" s="857"/>
      <c r="K195" s="858">
        <f t="shared" si="11"/>
        <v>0</v>
      </c>
      <c r="L195" s="1060">
        <f t="shared" si="12"/>
        <v>0</v>
      </c>
      <c r="M195" s="1059"/>
      <c r="N195" s="1059"/>
      <c r="O195" s="1059"/>
    </row>
    <row r="196" spans="1:15">
      <c r="A196" s="138">
        <v>189</v>
      </c>
      <c r="B196" s="977" t="s">
        <v>1146</v>
      </c>
      <c r="C196" s="977" t="s">
        <v>1147</v>
      </c>
      <c r="D196" s="138" t="s">
        <v>611</v>
      </c>
      <c r="E196" s="857">
        <f>'BAO BÌ '!D70</f>
        <v>0</v>
      </c>
      <c r="F196" s="857"/>
      <c r="G196" s="857">
        <f>'BAO BÌ '!F70</f>
        <v>0</v>
      </c>
      <c r="H196" s="857"/>
      <c r="I196" s="857">
        <f>'BAO BÌ '!H70</f>
        <v>0</v>
      </c>
      <c r="J196" s="857"/>
      <c r="K196" s="858">
        <f t="shared" si="11"/>
        <v>0</v>
      </c>
      <c r="L196" s="1060">
        <f t="shared" si="12"/>
        <v>0</v>
      </c>
      <c r="M196" s="1059"/>
      <c r="N196" s="1059"/>
      <c r="O196" s="1059"/>
    </row>
    <row r="197" spans="1:15">
      <c r="A197" s="138">
        <v>190</v>
      </c>
      <c r="B197" s="977" t="s">
        <v>1149</v>
      </c>
      <c r="C197" s="977" t="s">
        <v>1148</v>
      </c>
      <c r="D197" s="138" t="s">
        <v>611</v>
      </c>
      <c r="E197" s="857">
        <f>'BAO BÌ '!D37</f>
        <v>11421</v>
      </c>
      <c r="F197" s="857"/>
      <c r="G197" s="857">
        <f>'BAO BÌ '!F37</f>
        <v>10100</v>
      </c>
      <c r="H197" s="857"/>
      <c r="I197" s="857">
        <f>'BAO BÌ '!H37</f>
        <v>14400</v>
      </c>
      <c r="J197" s="857"/>
      <c r="K197" s="858">
        <f t="shared" si="11"/>
        <v>7121</v>
      </c>
      <c r="L197" s="1060">
        <f t="shared" si="12"/>
        <v>14400</v>
      </c>
      <c r="M197" s="1059"/>
      <c r="N197" s="1059"/>
      <c r="O197" s="1059"/>
    </row>
    <row r="198" spans="1:15">
      <c r="A198" s="138">
        <v>191</v>
      </c>
      <c r="B198" s="977" t="s">
        <v>1150</v>
      </c>
      <c r="C198" s="977" t="s">
        <v>1151</v>
      </c>
      <c r="D198" s="138" t="s">
        <v>611</v>
      </c>
      <c r="E198" s="857">
        <f>'BAO BÌ '!D86</f>
        <v>550</v>
      </c>
      <c r="F198" s="857"/>
      <c r="G198" s="857">
        <f>'BAO BÌ '!F86</f>
        <v>5573</v>
      </c>
      <c r="H198" s="857"/>
      <c r="I198" s="857">
        <f>'BAO BÌ '!H86</f>
        <v>6123</v>
      </c>
      <c r="J198" s="857"/>
      <c r="K198" s="858">
        <f t="shared" si="11"/>
        <v>0</v>
      </c>
      <c r="L198" s="1060">
        <f t="shared" si="12"/>
        <v>6123</v>
      </c>
      <c r="M198" s="1059"/>
      <c r="N198" s="1059"/>
      <c r="O198" s="1059"/>
    </row>
    <row r="199" spans="1:15" ht="14.25" customHeight="1">
      <c r="A199" s="138">
        <v>192</v>
      </c>
      <c r="B199" s="977" t="s">
        <v>1152</v>
      </c>
      <c r="C199" s="977" t="s">
        <v>1153</v>
      </c>
      <c r="D199" s="138" t="s">
        <v>611</v>
      </c>
      <c r="E199" s="857">
        <f>'BAO BÌ '!D107</f>
        <v>3038</v>
      </c>
      <c r="F199" s="857"/>
      <c r="G199" s="857">
        <f>'BAO BÌ '!F107</f>
        <v>0</v>
      </c>
      <c r="H199" s="857"/>
      <c r="I199" s="857">
        <f>'BAO BÌ '!H107</f>
        <v>0</v>
      </c>
      <c r="J199" s="857"/>
      <c r="K199" s="858">
        <f t="shared" si="11"/>
        <v>3038</v>
      </c>
      <c r="L199" s="1060">
        <f t="shared" si="12"/>
        <v>0</v>
      </c>
      <c r="M199" s="1059"/>
      <c r="N199" s="1059"/>
      <c r="O199" s="1059"/>
    </row>
    <row r="200" spans="1:15" ht="14.25" customHeight="1">
      <c r="A200" s="138">
        <v>193</v>
      </c>
      <c r="B200" s="977" t="s">
        <v>1159</v>
      </c>
      <c r="C200" s="977" t="s">
        <v>1158</v>
      </c>
      <c r="D200" s="138" t="s">
        <v>611</v>
      </c>
      <c r="E200" s="857">
        <f>'BAO BÌ '!D71</f>
        <v>0</v>
      </c>
      <c r="F200" s="857"/>
      <c r="G200" s="857">
        <f>'BAO BÌ '!F71</f>
        <v>20035</v>
      </c>
      <c r="H200" s="857"/>
      <c r="I200" s="857">
        <f>'BAO BÌ '!H71</f>
        <v>10000</v>
      </c>
      <c r="J200" s="857"/>
      <c r="K200" s="858">
        <f t="shared" si="11"/>
        <v>10035</v>
      </c>
      <c r="L200" s="1060">
        <f t="shared" si="12"/>
        <v>10000</v>
      </c>
      <c r="M200" s="1059"/>
      <c r="N200" s="1059"/>
      <c r="O200" s="1059"/>
    </row>
    <row r="201" spans="1:15" ht="14.25" customHeight="1">
      <c r="A201" s="138">
        <v>194</v>
      </c>
      <c r="B201" s="977" t="s">
        <v>1161</v>
      </c>
      <c r="C201" s="977" t="s">
        <v>1160</v>
      </c>
      <c r="D201" s="138" t="s">
        <v>611</v>
      </c>
      <c r="E201" s="857">
        <f>'BAO BÌ '!D38</f>
        <v>21410</v>
      </c>
      <c r="F201" s="857"/>
      <c r="G201" s="857">
        <f>'BAO BÌ '!F38</f>
        <v>41030</v>
      </c>
      <c r="H201" s="857"/>
      <c r="I201" s="857">
        <f>'BAO BÌ '!H38</f>
        <v>36000</v>
      </c>
      <c r="J201" s="857"/>
      <c r="K201" s="858">
        <f t="shared" si="11"/>
        <v>26440</v>
      </c>
      <c r="L201" s="1060">
        <f t="shared" si="12"/>
        <v>36000</v>
      </c>
      <c r="M201" s="1059"/>
      <c r="N201" s="1059"/>
      <c r="O201" s="1059"/>
    </row>
    <row r="202" spans="1:15" ht="14.25" customHeight="1">
      <c r="A202" s="138">
        <v>195</v>
      </c>
      <c r="B202" s="977" t="s">
        <v>1199</v>
      </c>
      <c r="C202" s="833" t="s">
        <v>1204</v>
      </c>
      <c r="D202" s="138" t="s">
        <v>611</v>
      </c>
      <c r="E202" s="857">
        <f>'TỔNG HỢP THÁNG'!D111</f>
        <v>0</v>
      </c>
      <c r="F202" s="857"/>
      <c r="G202" s="857">
        <f>'TỔNG HỢP THÁNG'!F111</f>
        <v>441</v>
      </c>
      <c r="H202" s="857"/>
      <c r="I202" s="857">
        <f>'TỔNG HỢP THÁNG'!H111</f>
        <v>220</v>
      </c>
      <c r="J202" s="857"/>
      <c r="K202" s="858">
        <f t="shared" si="11"/>
        <v>221</v>
      </c>
      <c r="L202" s="1060">
        <f t="shared" si="12"/>
        <v>220</v>
      </c>
      <c r="M202" s="1059"/>
      <c r="N202" s="1059"/>
      <c r="O202" s="1059"/>
    </row>
    <row r="203" spans="1:15" ht="14.25" customHeight="1">
      <c r="A203" s="138">
        <v>196</v>
      </c>
      <c r="B203" s="977" t="s">
        <v>1200</v>
      </c>
      <c r="C203" s="833" t="s">
        <v>1202</v>
      </c>
      <c r="D203" s="138" t="s">
        <v>611</v>
      </c>
      <c r="E203" s="857">
        <f>'BAO BÌ '!D87</f>
        <v>962</v>
      </c>
      <c r="F203" s="857"/>
      <c r="G203" s="857">
        <f>'BAO BÌ '!F87</f>
        <v>0</v>
      </c>
      <c r="H203" s="857"/>
      <c r="I203" s="857">
        <f>'BAO BÌ '!H87</f>
        <v>0</v>
      </c>
      <c r="J203" s="857"/>
      <c r="K203" s="858">
        <f t="shared" si="11"/>
        <v>962</v>
      </c>
      <c r="L203" s="1060">
        <f t="shared" si="12"/>
        <v>0</v>
      </c>
      <c r="M203" s="1059"/>
      <c r="N203" s="1059"/>
      <c r="O203" s="1059"/>
    </row>
    <row r="204" spans="1:15" ht="14.25" customHeight="1">
      <c r="A204" s="138">
        <v>197</v>
      </c>
      <c r="B204" s="977" t="s">
        <v>1201</v>
      </c>
      <c r="C204" s="833" t="s">
        <v>1203</v>
      </c>
      <c r="D204" s="138" t="s">
        <v>611</v>
      </c>
      <c r="E204" s="857">
        <f>'BAO BÌ '!D88</f>
        <v>0</v>
      </c>
      <c r="F204" s="857"/>
      <c r="G204" s="857">
        <f>'BAO BÌ '!F88</f>
        <v>0</v>
      </c>
      <c r="H204" s="857"/>
      <c r="I204" s="857">
        <f>'BAO BÌ '!H88</f>
        <v>0</v>
      </c>
      <c r="J204" s="857"/>
      <c r="K204" s="858">
        <f t="shared" si="11"/>
        <v>0</v>
      </c>
      <c r="L204" s="1060">
        <f t="shared" si="12"/>
        <v>0</v>
      </c>
      <c r="M204" s="1059"/>
      <c r="N204" s="1059"/>
      <c r="O204" s="1059"/>
    </row>
    <row r="205" spans="1:15" ht="14.25" customHeight="1">
      <c r="A205" s="138">
        <v>198</v>
      </c>
      <c r="B205" s="977" t="s">
        <v>1205</v>
      </c>
      <c r="C205" s="833" t="s">
        <v>1207</v>
      </c>
      <c r="D205" s="138" t="s">
        <v>611</v>
      </c>
      <c r="E205" s="857">
        <f>'BAO BÌ '!D39</f>
        <v>10050</v>
      </c>
      <c r="F205" s="857"/>
      <c r="G205" s="857">
        <f>'BAO BÌ '!F39</f>
        <v>15250</v>
      </c>
      <c r="H205" s="857"/>
      <c r="I205" s="857">
        <f>'BAO BÌ '!H39</f>
        <v>8450</v>
      </c>
      <c r="J205" s="857"/>
      <c r="K205" s="858">
        <f t="shared" si="11"/>
        <v>16850</v>
      </c>
      <c r="L205" s="1060">
        <f t="shared" si="12"/>
        <v>8450</v>
      </c>
      <c r="M205" s="1059"/>
      <c r="N205" s="1059"/>
      <c r="O205" s="1059"/>
    </row>
    <row r="206" spans="1:15" ht="14.25" customHeight="1">
      <c r="A206" s="138">
        <v>199</v>
      </c>
      <c r="B206" s="977" t="s">
        <v>1206</v>
      </c>
      <c r="C206" s="833" t="s">
        <v>1208</v>
      </c>
      <c r="D206" s="138" t="s">
        <v>611</v>
      </c>
      <c r="E206" s="857">
        <f>'BAO BÌ '!D40</f>
        <v>4310</v>
      </c>
      <c r="F206" s="857"/>
      <c r="G206" s="857">
        <f>'BAO BÌ '!F40</f>
        <v>3100</v>
      </c>
      <c r="H206" s="857"/>
      <c r="I206" s="857">
        <f>'BAO BÌ '!H40</f>
        <v>3800</v>
      </c>
      <c r="J206" s="857"/>
      <c r="K206" s="858">
        <f t="shared" si="11"/>
        <v>3610</v>
      </c>
      <c r="L206" s="1060">
        <f t="shared" si="12"/>
        <v>3800</v>
      </c>
      <c r="M206" s="1059"/>
      <c r="N206" s="1059"/>
      <c r="O206" s="1059"/>
    </row>
    <row r="207" spans="1:15" ht="14.25" customHeight="1">
      <c r="A207" s="138">
        <v>200</v>
      </c>
      <c r="B207" s="977" t="s">
        <v>1213</v>
      </c>
      <c r="C207" s="833" t="s">
        <v>1216</v>
      </c>
      <c r="D207" s="138" t="s">
        <v>611</v>
      </c>
      <c r="E207" s="857">
        <f>'BAO BÌ '!D72</f>
        <v>0</v>
      </c>
      <c r="F207" s="857"/>
      <c r="G207" s="857">
        <f>'BAO BÌ '!F72</f>
        <v>20150</v>
      </c>
      <c r="H207" s="857"/>
      <c r="I207" s="857">
        <f>'BAO BÌ '!H72</f>
        <v>5000</v>
      </c>
      <c r="J207" s="857"/>
      <c r="K207" s="858">
        <f t="shared" si="11"/>
        <v>15150</v>
      </c>
      <c r="L207" s="1060">
        <f t="shared" si="12"/>
        <v>5000</v>
      </c>
      <c r="M207" s="1059"/>
      <c r="N207" s="1059"/>
      <c r="O207" s="1059"/>
    </row>
    <row r="208" spans="1:15" ht="14.25" customHeight="1">
      <c r="A208" s="138">
        <v>201</v>
      </c>
      <c r="B208" s="977" t="s">
        <v>1214</v>
      </c>
      <c r="C208" s="833" t="s">
        <v>1217</v>
      </c>
      <c r="D208" s="138" t="s">
        <v>611</v>
      </c>
      <c r="E208" s="857">
        <f>'BAO BÌ '!D41</f>
        <v>6615</v>
      </c>
      <c r="F208" s="857"/>
      <c r="G208" s="857">
        <f>'BAO BÌ '!F41</f>
        <v>20054</v>
      </c>
      <c r="H208" s="857"/>
      <c r="I208" s="857">
        <f>'BAO BÌ '!H41</f>
        <v>12000</v>
      </c>
      <c r="J208" s="857"/>
      <c r="K208" s="858">
        <f t="shared" si="11"/>
        <v>14669</v>
      </c>
      <c r="L208" s="1060">
        <f t="shared" si="12"/>
        <v>12000</v>
      </c>
      <c r="M208" s="1059"/>
      <c r="N208" s="1059"/>
      <c r="O208" s="1059"/>
    </row>
    <row r="209" spans="1:15" ht="14.25" customHeight="1">
      <c r="A209" s="138">
        <v>202</v>
      </c>
      <c r="B209" s="977" t="s">
        <v>1215</v>
      </c>
      <c r="C209" s="833" t="s">
        <v>1218</v>
      </c>
      <c r="D209" s="138" t="s">
        <v>611</v>
      </c>
      <c r="E209" s="857">
        <f>'BAO BÌ '!D73</f>
        <v>0</v>
      </c>
      <c r="F209" s="857"/>
      <c r="G209" s="857">
        <f>'BAO BÌ '!F73</f>
        <v>0</v>
      </c>
      <c r="H209" s="857"/>
      <c r="I209" s="857">
        <f>'BAO BÌ '!H73</f>
        <v>0</v>
      </c>
      <c r="J209" s="857"/>
      <c r="K209" s="858">
        <f t="shared" si="11"/>
        <v>0</v>
      </c>
      <c r="L209" s="1060">
        <f t="shared" si="12"/>
        <v>0</v>
      </c>
      <c r="M209" s="1059"/>
      <c r="N209" s="1059"/>
      <c r="O209" s="1059"/>
    </row>
    <row r="210" spans="1:15" ht="14.25" customHeight="1">
      <c r="A210" s="138">
        <v>203</v>
      </c>
      <c r="B210" s="977" t="s">
        <v>1230</v>
      </c>
      <c r="C210" s="833" t="s">
        <v>1231</v>
      </c>
      <c r="D210" s="138" t="s">
        <v>611</v>
      </c>
      <c r="E210" s="857">
        <f>'BAO BÌ '!D74</f>
        <v>0</v>
      </c>
      <c r="F210" s="857"/>
      <c r="G210" s="857">
        <f>'BAO BÌ '!F74</f>
        <v>0</v>
      </c>
      <c r="H210" s="857"/>
      <c r="I210" s="857">
        <f>'BAO BÌ '!H74</f>
        <v>0</v>
      </c>
      <c r="J210" s="857"/>
      <c r="K210" s="858">
        <f t="shared" si="11"/>
        <v>0</v>
      </c>
      <c r="L210" s="1060">
        <f t="shared" si="12"/>
        <v>0</v>
      </c>
      <c r="M210" s="1059"/>
      <c r="N210" s="1059"/>
      <c r="O210" s="1059"/>
    </row>
    <row r="211" spans="1:15" ht="14.25" customHeight="1">
      <c r="A211" s="138">
        <v>204</v>
      </c>
      <c r="B211" s="833" t="s">
        <v>1242</v>
      </c>
      <c r="C211" s="833" t="s">
        <v>1244</v>
      </c>
      <c r="D211" s="138" t="s">
        <v>611</v>
      </c>
      <c r="E211" s="857">
        <f>'BAO BÌ '!D42</f>
        <v>6090</v>
      </c>
      <c r="F211" s="857"/>
      <c r="G211" s="857">
        <f>'BAO BÌ '!F42</f>
        <v>20300</v>
      </c>
      <c r="H211" s="857"/>
      <c r="I211" s="857">
        <f>'BAO BÌ '!H42</f>
        <v>21600</v>
      </c>
      <c r="J211" s="857"/>
      <c r="K211" s="858">
        <f t="shared" si="11"/>
        <v>4790</v>
      </c>
      <c r="L211" s="1060">
        <f t="shared" si="12"/>
        <v>21600</v>
      </c>
      <c r="M211" s="1059"/>
      <c r="N211" s="1059"/>
      <c r="O211" s="1059"/>
    </row>
    <row r="212" spans="1:15" ht="14.25" customHeight="1">
      <c r="A212" s="138">
        <v>205</v>
      </c>
      <c r="B212" s="833" t="s">
        <v>1243</v>
      </c>
      <c r="C212" s="833" t="s">
        <v>1245</v>
      </c>
      <c r="D212" s="138" t="s">
        <v>611</v>
      </c>
      <c r="E212" s="857">
        <f>'BAO BÌ '!D75</f>
        <v>0</v>
      </c>
      <c r="F212" s="857"/>
      <c r="G212" s="857">
        <f>'BAO BÌ '!F75</f>
        <v>5050</v>
      </c>
      <c r="H212" s="857"/>
      <c r="I212" s="857">
        <f>'BAO BÌ '!H75</f>
        <v>0</v>
      </c>
      <c r="J212" s="857"/>
      <c r="K212" s="858">
        <f t="shared" si="11"/>
        <v>5050</v>
      </c>
      <c r="L212" s="1060">
        <f t="shared" si="12"/>
        <v>0</v>
      </c>
      <c r="M212" s="1059"/>
      <c r="N212" s="1059"/>
      <c r="O212" s="1059"/>
    </row>
    <row r="213" spans="1:15" ht="14.25" customHeight="1">
      <c r="A213" s="138">
        <v>206</v>
      </c>
      <c r="B213" s="833" t="s">
        <v>1247</v>
      </c>
      <c r="C213" s="833" t="s">
        <v>1246</v>
      </c>
      <c r="D213" s="138" t="s">
        <v>611</v>
      </c>
      <c r="E213" s="857">
        <f>'TỔNG HỢP THÁNG'!D109</f>
        <v>960</v>
      </c>
      <c r="F213" s="857"/>
      <c r="G213" s="857">
        <f>'TỔNG HỢP THÁNG'!F109</f>
        <v>4868</v>
      </c>
      <c r="H213" s="857"/>
      <c r="I213" s="857">
        <f>'TỔNG HỢP THÁNG'!H109</f>
        <v>5660</v>
      </c>
      <c r="J213" s="857"/>
      <c r="K213" s="858">
        <f t="shared" si="11"/>
        <v>168</v>
      </c>
      <c r="L213" s="1060">
        <f>I213-M213-N213-O213</f>
        <v>5660</v>
      </c>
      <c r="M213" s="1059"/>
      <c r="N213" s="1059"/>
      <c r="O213" s="1059"/>
    </row>
    <row r="214" spans="1:15" ht="14.25" customHeight="1">
      <c r="A214" s="138">
        <v>207</v>
      </c>
      <c r="B214" s="833" t="s">
        <v>1252</v>
      </c>
      <c r="C214" s="833" t="s">
        <v>1254</v>
      </c>
      <c r="D214" s="138" t="s">
        <v>611</v>
      </c>
      <c r="E214" s="857">
        <f>'BAO BÌ '!D89</f>
        <v>3700</v>
      </c>
      <c r="F214" s="857"/>
      <c r="G214" s="857">
        <f>'BAO BÌ '!F89</f>
        <v>0</v>
      </c>
      <c r="H214" s="857"/>
      <c r="I214" s="857">
        <f>'BAO BÌ '!H89</f>
        <v>0</v>
      </c>
      <c r="J214" s="857"/>
      <c r="K214" s="858">
        <f t="shared" si="11"/>
        <v>3700</v>
      </c>
      <c r="L214" s="1060">
        <f t="shared" si="12"/>
        <v>0</v>
      </c>
      <c r="M214" s="1059"/>
      <c r="N214" s="1059"/>
      <c r="O214" s="1059"/>
    </row>
    <row r="215" spans="1:15" ht="14.25" customHeight="1">
      <c r="A215" s="138">
        <v>208</v>
      </c>
      <c r="B215" s="833" t="s">
        <v>1253</v>
      </c>
      <c r="C215" s="833" t="s">
        <v>1255</v>
      </c>
      <c r="D215" s="138" t="s">
        <v>611</v>
      </c>
      <c r="E215" s="857">
        <f>'BAO BÌ '!D90</f>
        <v>0</v>
      </c>
      <c r="F215" s="857"/>
      <c r="G215" s="857">
        <f>'BAO BÌ '!F90</f>
        <v>0</v>
      </c>
      <c r="H215" s="857"/>
      <c r="I215" s="857">
        <f>'BAO BÌ '!H90</f>
        <v>0</v>
      </c>
      <c r="J215" s="857"/>
      <c r="K215" s="858">
        <f t="shared" ref="K215" si="13">E215+G215-I215</f>
        <v>0</v>
      </c>
      <c r="L215" s="1060">
        <f t="shared" si="12"/>
        <v>0</v>
      </c>
      <c r="M215" s="1059"/>
      <c r="N215" s="1059"/>
      <c r="O215" s="1059"/>
    </row>
    <row r="216" spans="1:15" s="1062" customFormat="1" ht="12.75">
      <c r="A216" s="1592" t="s">
        <v>701</v>
      </c>
      <c r="B216" s="1592"/>
      <c r="C216" s="1592"/>
      <c r="D216" s="1592"/>
      <c r="E216" s="1061">
        <f>SUM(E8:E215)</f>
        <v>1549582.699</v>
      </c>
      <c r="F216" s="1061">
        <f t="shared" ref="F216:O216" si="14">SUM(F8:F215)</f>
        <v>0</v>
      </c>
      <c r="G216" s="1061">
        <f t="shared" si="14"/>
        <v>846741</v>
      </c>
      <c r="H216" s="1061">
        <f t="shared" si="14"/>
        <v>402700.1</v>
      </c>
      <c r="I216" s="1061">
        <f t="shared" si="14"/>
        <v>859399.1</v>
      </c>
      <c r="J216" s="1061">
        <f t="shared" si="14"/>
        <v>0</v>
      </c>
      <c r="K216" s="1061">
        <f t="shared" si="14"/>
        <v>1536924.5989999999</v>
      </c>
      <c r="L216" s="1061">
        <f t="shared" si="14"/>
        <v>436137</v>
      </c>
      <c r="M216" s="1061">
        <f t="shared" si="14"/>
        <v>0</v>
      </c>
      <c r="N216" s="1061">
        <f t="shared" si="14"/>
        <v>0</v>
      </c>
      <c r="O216" s="1061">
        <f t="shared" si="14"/>
        <v>0</v>
      </c>
    </row>
    <row r="217" spans="1:15">
      <c r="A217" s="830"/>
      <c r="B217" s="829"/>
      <c r="C217" s="829"/>
      <c r="E217" s="841"/>
      <c r="F217" s="841"/>
      <c r="H217" s="1558" t="s">
        <v>1259</v>
      </c>
      <c r="I217" s="1558"/>
      <c r="J217" s="1558"/>
      <c r="K217" s="1558"/>
    </row>
    <row r="218" spans="1:15">
      <c r="A218" s="1556" t="s">
        <v>755</v>
      </c>
      <c r="B218" s="1556"/>
      <c r="C218" s="1556"/>
      <c r="D218" s="1556"/>
      <c r="E218" s="1556"/>
      <c r="F218" s="1556"/>
      <c r="G218" s="1556"/>
      <c r="H218" s="1556" t="s">
        <v>680</v>
      </c>
      <c r="I218" s="1556"/>
      <c r="J218" s="1556"/>
      <c r="K218" s="1556"/>
    </row>
    <row r="219" spans="1:15">
      <c r="A219" s="1557" t="s">
        <v>685</v>
      </c>
      <c r="B219" s="1557"/>
      <c r="C219" s="1557"/>
      <c r="D219" s="1557"/>
      <c r="E219" s="1557"/>
      <c r="F219" s="1557"/>
      <c r="G219" s="1557"/>
      <c r="H219" s="1557" t="s">
        <v>685</v>
      </c>
      <c r="I219" s="1557"/>
      <c r="J219" s="1557"/>
      <c r="K219" s="1557"/>
    </row>
    <row r="220" spans="1:15" ht="64.5" customHeight="1">
      <c r="A220" s="853"/>
      <c r="B220" s="1554"/>
      <c r="C220" s="1554"/>
      <c r="D220" s="1554"/>
      <c r="E220" s="854"/>
      <c r="F220" s="854"/>
      <c r="G220" s="854"/>
      <c r="H220" s="1555" t="s">
        <v>333</v>
      </c>
      <c r="I220" s="1555"/>
      <c r="J220" s="1555"/>
      <c r="K220" s="1555"/>
    </row>
  </sheetData>
  <autoFilter ref="A7:O220"/>
  <mergeCells count="21">
    <mergeCell ref="H217:K217"/>
    <mergeCell ref="A218:D218"/>
    <mergeCell ref="A219:D219"/>
    <mergeCell ref="B220:D220"/>
    <mergeCell ref="D6:D7"/>
    <mergeCell ref="H6:I6"/>
    <mergeCell ref="A6:A7"/>
    <mergeCell ref="B6:B7"/>
    <mergeCell ref="C6:C7"/>
    <mergeCell ref="A216:D216"/>
    <mergeCell ref="F6:G6"/>
    <mergeCell ref="H218:K218"/>
    <mergeCell ref="H219:K219"/>
    <mergeCell ref="H220:K220"/>
    <mergeCell ref="E218:G218"/>
    <mergeCell ref="E219:G219"/>
    <mergeCell ref="O6:O7"/>
    <mergeCell ref="N6:N7"/>
    <mergeCell ref="L6:L7"/>
    <mergeCell ref="M6:M7"/>
    <mergeCell ref="J6:K6"/>
  </mergeCells>
  <conditionalFormatting sqref="C4">
    <cfRule type="duplicateValues" dxfId="12355" priority="69"/>
  </conditionalFormatting>
  <conditionalFormatting sqref="C59:C60">
    <cfRule type="duplicateValues" dxfId="12354" priority="68"/>
  </conditionalFormatting>
  <conditionalFormatting sqref="B15">
    <cfRule type="duplicateValues" dxfId="12353" priority="66"/>
  </conditionalFormatting>
  <conditionalFormatting sqref="C104">
    <cfRule type="duplicateValues" dxfId="12352" priority="65"/>
  </conditionalFormatting>
  <conditionalFormatting sqref="C130:C131">
    <cfRule type="duplicateValues" dxfId="12351" priority="64"/>
  </conditionalFormatting>
  <conditionalFormatting sqref="C46">
    <cfRule type="duplicateValues" dxfId="12350" priority="63"/>
  </conditionalFormatting>
  <conditionalFormatting sqref="C63">
    <cfRule type="duplicateValues" dxfId="12349" priority="62"/>
  </conditionalFormatting>
  <conditionalFormatting sqref="C162:C163">
    <cfRule type="duplicateValues" dxfId="12348" priority="55"/>
  </conditionalFormatting>
  <conditionalFormatting sqref="C164">
    <cfRule type="duplicateValues" dxfId="12347" priority="54"/>
  </conditionalFormatting>
  <conditionalFormatting sqref="C165:C166">
    <cfRule type="duplicateValues" dxfId="12346" priority="53"/>
  </conditionalFormatting>
  <conditionalFormatting sqref="C169">
    <cfRule type="duplicateValues" dxfId="12345" priority="52"/>
  </conditionalFormatting>
  <conditionalFormatting sqref="C64:C65">
    <cfRule type="duplicateValues" dxfId="12344" priority="50"/>
  </conditionalFormatting>
  <conditionalFormatting sqref="C170">
    <cfRule type="duplicateValues" dxfId="12343" priority="49"/>
  </conditionalFormatting>
  <conditionalFormatting sqref="C171">
    <cfRule type="duplicateValues" dxfId="12342" priority="48"/>
  </conditionalFormatting>
  <conditionalFormatting sqref="C172">
    <cfRule type="duplicateValues" dxfId="12341" priority="47"/>
  </conditionalFormatting>
  <conditionalFormatting sqref="C173:C174">
    <cfRule type="duplicateValues" dxfId="12340" priority="46"/>
  </conditionalFormatting>
  <conditionalFormatting sqref="C175">
    <cfRule type="duplicateValues" dxfId="12339" priority="45"/>
  </conditionalFormatting>
  <conditionalFormatting sqref="C176">
    <cfRule type="duplicateValues" dxfId="12338" priority="44"/>
  </conditionalFormatting>
  <conditionalFormatting sqref="C177">
    <cfRule type="duplicateValues" dxfId="12337" priority="43"/>
  </conditionalFormatting>
  <conditionalFormatting sqref="C178:C180">
    <cfRule type="duplicateValues" dxfId="12336" priority="42"/>
  </conditionalFormatting>
  <conditionalFormatting sqref="C86">
    <cfRule type="duplicateValues" dxfId="12335" priority="41"/>
  </conditionalFormatting>
  <conditionalFormatting sqref="C181">
    <cfRule type="duplicateValues" dxfId="12334" priority="40"/>
  </conditionalFormatting>
  <conditionalFormatting sqref="C182">
    <cfRule type="duplicateValues" dxfId="12333" priority="39"/>
  </conditionalFormatting>
  <conditionalFormatting sqref="C21">
    <cfRule type="duplicateValues" dxfId="12332" priority="38"/>
  </conditionalFormatting>
  <conditionalFormatting sqref="C158">
    <cfRule type="duplicateValues" dxfId="12331" priority="37"/>
  </conditionalFormatting>
  <conditionalFormatting sqref="C183:C187">
    <cfRule type="duplicateValues" dxfId="12330" priority="36"/>
  </conditionalFormatting>
  <conditionalFormatting sqref="C188:C193">
    <cfRule type="duplicateValues" dxfId="12329" priority="35"/>
  </conditionalFormatting>
  <conditionalFormatting sqref="C194">
    <cfRule type="duplicateValues" dxfId="12328" priority="34"/>
  </conditionalFormatting>
  <conditionalFormatting sqref="C93">
    <cfRule type="duplicateValues" dxfId="12327" priority="33"/>
  </conditionalFormatting>
  <conditionalFormatting sqref="C66">
    <cfRule type="duplicateValues" dxfId="12326" priority="31"/>
  </conditionalFormatting>
  <conditionalFormatting sqref="C67">
    <cfRule type="duplicateValues" dxfId="12325" priority="30"/>
  </conditionalFormatting>
  <conditionalFormatting sqref="C68">
    <cfRule type="duplicateValues" dxfId="12324" priority="29"/>
  </conditionalFormatting>
  <conditionalFormatting sqref="C13">
    <cfRule type="duplicateValues" dxfId="12323" priority="28"/>
  </conditionalFormatting>
  <conditionalFormatting sqref="C196">
    <cfRule type="duplicateValues" dxfId="12322" priority="26"/>
  </conditionalFormatting>
  <conditionalFormatting sqref="C197">
    <cfRule type="duplicateValues" dxfId="12321" priority="24"/>
  </conditionalFormatting>
  <conditionalFormatting sqref="C198">
    <cfRule type="duplicateValues" dxfId="12320" priority="23"/>
  </conditionalFormatting>
  <conditionalFormatting sqref="C199">
    <cfRule type="duplicateValues" dxfId="12319" priority="22"/>
  </conditionalFormatting>
  <conditionalFormatting sqref="C195">
    <cfRule type="duplicateValues" dxfId="12318" priority="625"/>
  </conditionalFormatting>
  <conditionalFormatting sqref="C200">
    <cfRule type="duplicateValues" dxfId="12317" priority="21"/>
  </conditionalFormatting>
  <conditionalFormatting sqref="C74">
    <cfRule type="duplicateValues" dxfId="12316" priority="19"/>
  </conditionalFormatting>
  <conditionalFormatting sqref="C202">
    <cfRule type="duplicateValues" dxfId="12315" priority="18"/>
  </conditionalFormatting>
  <conditionalFormatting sqref="C203">
    <cfRule type="duplicateValues" dxfId="12314" priority="17"/>
  </conditionalFormatting>
  <conditionalFormatting sqref="C204">
    <cfRule type="duplicateValues" dxfId="12313" priority="16"/>
  </conditionalFormatting>
  <conditionalFormatting sqref="C205">
    <cfRule type="duplicateValues" dxfId="12312" priority="15"/>
  </conditionalFormatting>
  <conditionalFormatting sqref="C69">
    <cfRule type="duplicateValues" dxfId="12311" priority="13"/>
  </conditionalFormatting>
  <conditionalFormatting sqref="C42">
    <cfRule type="duplicateValues" dxfId="12310" priority="12"/>
  </conditionalFormatting>
  <conditionalFormatting sqref="C207">
    <cfRule type="duplicateValues" dxfId="12309" priority="11"/>
  </conditionalFormatting>
  <conditionalFormatting sqref="C208">
    <cfRule type="duplicateValues" dxfId="12308" priority="10"/>
  </conditionalFormatting>
  <conditionalFormatting sqref="C209">
    <cfRule type="duplicateValues" dxfId="12307" priority="9"/>
  </conditionalFormatting>
  <conditionalFormatting sqref="C201">
    <cfRule type="duplicateValues" dxfId="12306" priority="626"/>
  </conditionalFormatting>
  <conditionalFormatting sqref="C206">
    <cfRule type="duplicateValues" dxfId="12305" priority="627"/>
  </conditionalFormatting>
  <conditionalFormatting sqref="C75">
    <cfRule type="duplicateValues" dxfId="12304" priority="8"/>
  </conditionalFormatting>
  <conditionalFormatting sqref="C110">
    <cfRule type="duplicateValues" dxfId="12303" priority="7"/>
  </conditionalFormatting>
  <conditionalFormatting sqref="C210">
    <cfRule type="duplicateValues" dxfId="12302" priority="6"/>
  </conditionalFormatting>
  <conditionalFormatting sqref="C211">
    <cfRule type="duplicateValues" dxfId="12301" priority="5"/>
  </conditionalFormatting>
  <conditionalFormatting sqref="C212">
    <cfRule type="duplicateValues" dxfId="12300" priority="4"/>
  </conditionalFormatting>
  <conditionalFormatting sqref="C213">
    <cfRule type="duplicateValues" dxfId="12299" priority="3"/>
  </conditionalFormatting>
  <conditionalFormatting sqref="C214">
    <cfRule type="duplicateValues" dxfId="12298" priority="2"/>
  </conditionalFormatting>
  <conditionalFormatting sqref="C215">
    <cfRule type="duplicateValues" dxfId="12297" priority="1"/>
  </conditionalFormatting>
  <pageMargins left="0.28999999999999998" right="0" top="0.18" bottom="0" header="0.196850393700787" footer="0.31496062992126"/>
  <pageSetup paperSize="9" orientation="landscape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49"/>
  <sheetViews>
    <sheetView workbookViewId="0">
      <pane ySplit="8" topLeftCell="A9" activePane="bottomLeft" state="frozen"/>
      <selection pane="bottomLeft" activeCell="A25" sqref="A25:XFD2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4" width="6.42578125" style="143" customWidth="1"/>
    <col min="15" max="18" width="10.7109375" style="143" customWidth="1"/>
    <col min="19" max="19" width="9.28515625" style="143"/>
    <col min="20" max="20" width="12.140625" style="143" customWidth="1"/>
    <col min="21" max="16384" width="9.28515625" style="143"/>
  </cols>
  <sheetData>
    <row r="1" spans="1:29" ht="1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5.75" customHeight="1">
      <c r="A4" s="1600" t="s">
        <v>33</v>
      </c>
      <c r="B4" s="1600"/>
      <c r="C4" s="316" t="s">
        <v>256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255</v>
      </c>
      <c r="K4" s="319"/>
      <c r="L4" s="319"/>
      <c r="M4" s="319"/>
      <c r="O4" s="1422"/>
      <c r="P4" s="1422"/>
      <c r="Q4" s="1422"/>
      <c r="R4" s="1422"/>
    </row>
    <row r="5" spans="1:29" s="324" customFormat="1" ht="12.75" customHeight="1">
      <c r="B5" s="324" t="s">
        <v>91</v>
      </c>
      <c r="C5" s="324">
        <v>1</v>
      </c>
      <c r="D5" s="324" t="s">
        <v>115</v>
      </c>
      <c r="E5" s="324">
        <v>17</v>
      </c>
      <c r="F5" s="324" t="s">
        <v>92</v>
      </c>
      <c r="G5" s="324">
        <v>8</v>
      </c>
      <c r="H5" s="324" t="s">
        <v>93</v>
      </c>
      <c r="I5" s="324">
        <v>2026</v>
      </c>
      <c r="L5" s="508" t="s">
        <v>26</v>
      </c>
      <c r="M5" s="375" t="s">
        <v>149</v>
      </c>
      <c r="S5" s="143"/>
      <c r="T5" s="143"/>
      <c r="U5" s="143"/>
    </row>
    <row r="6" spans="1:29" s="355" customFormat="1" ht="18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621"/>
      <c r="T6" s="621"/>
      <c r="U6" s="621"/>
    </row>
    <row r="7" spans="1:29" s="305" customFormat="1" ht="12" customHeight="1">
      <c r="A7" s="1604"/>
      <c r="B7" s="1606"/>
      <c r="C7" s="1606"/>
      <c r="D7" s="296" t="s">
        <v>6</v>
      </c>
      <c r="E7" s="297" t="s">
        <v>25</v>
      </c>
      <c r="F7" s="296" t="s">
        <v>6</v>
      </c>
      <c r="G7" s="297" t="s">
        <v>246</v>
      </c>
      <c r="H7" s="296" t="s">
        <v>6</v>
      </c>
      <c r="I7" s="297" t="str">
        <f>G7</f>
        <v>Quy ẩm</v>
      </c>
      <c r="J7" s="296" t="s">
        <v>6</v>
      </c>
      <c r="K7" s="298" t="str">
        <f>I7</f>
        <v>Quy ẩm</v>
      </c>
      <c r="L7" s="299" t="s">
        <v>6</v>
      </c>
      <c r="M7" s="298" t="str">
        <f>K7</f>
        <v>Quy ẩm</v>
      </c>
      <c r="N7" s="1606"/>
      <c r="O7" s="1595"/>
      <c r="P7" s="1596"/>
      <c r="Q7" s="1595"/>
      <c r="R7" s="1596"/>
    </row>
    <row r="8" spans="1:29" s="305" customFormat="1" ht="12" customHeight="1">
      <c r="A8" s="1597" t="s">
        <v>3</v>
      </c>
      <c r="B8" s="1598"/>
      <c r="C8" s="1599"/>
      <c r="D8" s="387">
        <f>J8</f>
        <v>30268.329000000002</v>
      </c>
      <c r="E8" s="388">
        <f>K8</f>
        <v>30667</v>
      </c>
      <c r="F8" s="389"/>
      <c r="G8" s="388"/>
      <c r="H8" s="387"/>
      <c r="I8" s="388"/>
      <c r="J8" s="624">
        <f>K8-K8*N8</f>
        <v>30268.329000000002</v>
      </c>
      <c r="K8" s="324">
        <v>30667</v>
      </c>
      <c r="L8" s="462"/>
      <c r="M8" s="463"/>
      <c r="N8" s="366">
        <v>1.2999999999999999E-2</v>
      </c>
      <c r="O8" s="296" t="s">
        <v>6</v>
      </c>
      <c r="P8" s="297" t="s">
        <v>25</v>
      </c>
      <c r="Q8" s="296" t="s">
        <v>6</v>
      </c>
      <c r="R8" s="297" t="s">
        <v>25</v>
      </c>
      <c r="S8" s="305">
        <v>840</v>
      </c>
    </row>
    <row r="9" spans="1:29" s="367" customFormat="1" ht="12" customHeight="1">
      <c r="A9" s="364">
        <v>1</v>
      </c>
      <c r="B9" s="365">
        <v>46235</v>
      </c>
      <c r="C9" s="331" t="s">
        <v>349</v>
      </c>
      <c r="D9" s="502">
        <f>E9-E9*N9</f>
        <v>0</v>
      </c>
      <c r="E9" s="499"/>
      <c r="F9" s="446">
        <f>O9+Q9</f>
        <v>840</v>
      </c>
      <c r="G9" s="503">
        <f>P9+R9</f>
        <v>851</v>
      </c>
      <c r="H9" s="498">
        <f>SUM($F$9:F9)/A9</f>
        <v>840</v>
      </c>
      <c r="I9" s="499">
        <f>SUM($G$9:G9)/A9</f>
        <v>851</v>
      </c>
      <c r="J9" s="443">
        <f>J8+D9-F9</f>
        <v>29428.329000000002</v>
      </c>
      <c r="K9" s="459">
        <f>K8+E9-G9</f>
        <v>29816</v>
      </c>
      <c r="L9" s="495">
        <f>J9/H9</f>
        <v>35.033725000000004</v>
      </c>
      <c r="M9" s="464">
        <f>K9/I9</f>
        <v>35.036427732079908</v>
      </c>
      <c r="N9" s="366"/>
      <c r="O9" s="446">
        <v>525</v>
      </c>
      <c r="P9" s="446">
        <v>532</v>
      </c>
      <c r="Q9" s="446">
        <v>315</v>
      </c>
      <c r="R9" s="446">
        <v>319</v>
      </c>
      <c r="S9" s="649">
        <f>J9/$S$8</f>
        <v>35.033725000000004</v>
      </c>
      <c r="T9" s="305"/>
    </row>
    <row r="10" spans="1:29" s="367" customFormat="1" ht="12" customHeight="1">
      <c r="A10" s="364">
        <v>2</v>
      </c>
      <c r="B10" s="365">
        <v>46236</v>
      </c>
      <c r="C10" s="331" t="s">
        <v>349</v>
      </c>
      <c r="D10" s="502">
        <f t="shared" ref="D10:D39" si="0">E10-E10*N10</f>
        <v>0</v>
      </c>
      <c r="E10" s="499"/>
      <c r="F10" s="446">
        <f t="shared" ref="F10:F39" si="1">O10+Q10</f>
        <v>525</v>
      </c>
      <c r="G10" s="503">
        <f t="shared" ref="G10:G39" si="2">P10+R10</f>
        <v>532</v>
      </c>
      <c r="H10" s="498">
        <f>SUM($F$9:F10)/A10</f>
        <v>682.5</v>
      </c>
      <c r="I10" s="499">
        <f>SUM($G$9:G10)/A10</f>
        <v>691.5</v>
      </c>
      <c r="J10" s="443">
        <f>J9+D10-F10</f>
        <v>28903.329000000002</v>
      </c>
      <c r="K10" s="459">
        <f>K9+E10-G10</f>
        <v>29284</v>
      </c>
      <c r="L10" s="495">
        <f>J10/H10</f>
        <v>42.349200000000003</v>
      </c>
      <c r="M10" s="464">
        <f>K10/I10</f>
        <v>42.348517715112074</v>
      </c>
      <c r="N10" s="366"/>
      <c r="O10" s="446">
        <v>525</v>
      </c>
      <c r="P10" s="446">
        <v>532</v>
      </c>
      <c r="Q10" s="446"/>
      <c r="R10" s="446"/>
      <c r="S10" s="649">
        <f t="shared" ref="S10:S39" si="3">J10/$S$8</f>
        <v>34.408725000000004</v>
      </c>
      <c r="T10" s="305"/>
    </row>
    <row r="11" spans="1:29" s="367" customFormat="1" ht="12" customHeight="1">
      <c r="A11" s="364">
        <v>3</v>
      </c>
      <c r="B11" s="365">
        <v>46237</v>
      </c>
      <c r="C11" s="331" t="s">
        <v>349</v>
      </c>
      <c r="D11" s="921">
        <f t="shared" si="0"/>
        <v>0</v>
      </c>
      <c r="E11" s="499"/>
      <c r="F11" s="446">
        <f t="shared" si="1"/>
        <v>630</v>
      </c>
      <c r="G11" s="503">
        <f t="shared" si="2"/>
        <v>638</v>
      </c>
      <c r="H11" s="498">
        <f>SUM($F$9:F11)/A11</f>
        <v>665</v>
      </c>
      <c r="I11" s="499">
        <f>SUM($G$9:G11)/A11</f>
        <v>673.66666666666663</v>
      </c>
      <c r="J11" s="443">
        <f>J10+D11-F11</f>
        <v>28273.329000000002</v>
      </c>
      <c r="K11" s="459">
        <f t="shared" ref="J11:K24" si="4">K10+E11-G11</f>
        <v>28646</v>
      </c>
      <c r="L11" s="495">
        <f t="shared" ref="L11:M24" si="5">J11/H11</f>
        <v>42.516284210526315</v>
      </c>
      <c r="M11" s="464">
        <f t="shared" si="5"/>
        <v>42.522513607125191</v>
      </c>
      <c r="N11" s="366"/>
      <c r="O11" s="446">
        <v>315</v>
      </c>
      <c r="P11" s="446">
        <v>319</v>
      </c>
      <c r="Q11" s="446">
        <v>315</v>
      </c>
      <c r="R11" s="446">
        <v>319</v>
      </c>
      <c r="S11" s="649">
        <f t="shared" si="3"/>
        <v>33.658725000000004</v>
      </c>
      <c r="T11" s="305"/>
    </row>
    <row r="12" spans="1:29" s="367" customFormat="1" ht="12" customHeight="1">
      <c r="A12" s="364">
        <v>4</v>
      </c>
      <c r="B12" s="365">
        <v>46238</v>
      </c>
      <c r="C12" s="331" t="s">
        <v>349</v>
      </c>
      <c r="D12" s="502">
        <f t="shared" si="0"/>
        <v>0</v>
      </c>
      <c r="E12" s="499"/>
      <c r="F12" s="446">
        <f t="shared" si="1"/>
        <v>840</v>
      </c>
      <c r="G12" s="503">
        <f t="shared" si="2"/>
        <v>851</v>
      </c>
      <c r="H12" s="498">
        <f>SUM($F$9:F12)/A12</f>
        <v>708.75</v>
      </c>
      <c r="I12" s="499">
        <f>SUM($G$9:G12)/A12</f>
        <v>718</v>
      </c>
      <c r="J12" s="443">
        <f>J11+D12-F12</f>
        <v>27433.329000000002</v>
      </c>
      <c r="K12" s="459">
        <f t="shared" si="4"/>
        <v>27795</v>
      </c>
      <c r="L12" s="495">
        <f t="shared" si="5"/>
        <v>38.706637037037041</v>
      </c>
      <c r="M12" s="464">
        <f t="shared" si="5"/>
        <v>38.711699164345404</v>
      </c>
      <c r="N12" s="366"/>
      <c r="O12" s="446">
        <v>525</v>
      </c>
      <c r="P12" s="446">
        <v>532</v>
      </c>
      <c r="Q12" s="446">
        <v>315</v>
      </c>
      <c r="R12" s="446">
        <v>319</v>
      </c>
      <c r="S12" s="649">
        <f t="shared" si="3"/>
        <v>32.658725000000004</v>
      </c>
      <c r="T12" s="305"/>
    </row>
    <row r="13" spans="1:29" s="367" customFormat="1" ht="12" customHeight="1">
      <c r="A13" s="504">
        <v>5</v>
      </c>
      <c r="B13" s="365">
        <v>46239</v>
      </c>
      <c r="C13" s="331" t="s">
        <v>349</v>
      </c>
      <c r="D13" s="502">
        <f t="shared" si="0"/>
        <v>0</v>
      </c>
      <c r="E13" s="499"/>
      <c r="F13" s="446">
        <f t="shared" si="1"/>
        <v>630</v>
      </c>
      <c r="G13" s="503">
        <f t="shared" si="2"/>
        <v>638</v>
      </c>
      <c r="H13" s="498">
        <f>SUM($F$9:F13)/A13</f>
        <v>693</v>
      </c>
      <c r="I13" s="499">
        <f>SUM($G$9:G13)/A13</f>
        <v>702</v>
      </c>
      <c r="J13" s="504">
        <f>J12+D13-F13</f>
        <v>26803.329000000002</v>
      </c>
      <c r="K13" s="459">
        <f>K12+E13-G13</f>
        <v>27157</v>
      </c>
      <c r="L13" s="505">
        <f t="shared" si="5"/>
        <v>38.677242424242429</v>
      </c>
      <c r="M13" s="464">
        <f t="shared" si="5"/>
        <v>38.685185185185183</v>
      </c>
      <c r="N13" s="366"/>
      <c r="O13" s="446">
        <v>315</v>
      </c>
      <c r="P13" s="446">
        <v>319</v>
      </c>
      <c r="Q13" s="446">
        <v>315</v>
      </c>
      <c r="R13" s="446">
        <v>319</v>
      </c>
      <c r="S13" s="649">
        <f t="shared" si="3"/>
        <v>31.908725</v>
      </c>
      <c r="T13" s="305"/>
    </row>
    <row r="14" spans="1:29" s="367" customFormat="1" ht="12" customHeight="1">
      <c r="A14" s="364">
        <v>6</v>
      </c>
      <c r="B14" s="365">
        <v>46240</v>
      </c>
      <c r="C14" s="331" t="s">
        <v>349</v>
      </c>
      <c r="D14" s="921">
        <f t="shared" si="0"/>
        <v>0</v>
      </c>
      <c r="E14" s="499"/>
      <c r="F14" s="446">
        <f t="shared" si="1"/>
        <v>840</v>
      </c>
      <c r="G14" s="503">
        <f t="shared" si="2"/>
        <v>851</v>
      </c>
      <c r="H14" s="498">
        <f>SUM($F$9:F14)/A14</f>
        <v>717.5</v>
      </c>
      <c r="I14" s="499">
        <f>SUM($G$9:G14)/A14</f>
        <v>726.83333333333337</v>
      </c>
      <c r="J14" s="443">
        <f>J13+D14-F14</f>
        <v>25963.329000000002</v>
      </c>
      <c r="K14" s="459">
        <f>K13+E14-G14</f>
        <v>26306</v>
      </c>
      <c r="L14" s="495">
        <f t="shared" si="5"/>
        <v>36.185824390243901</v>
      </c>
      <c r="M14" s="464">
        <f t="shared" si="5"/>
        <v>36.192616372391655</v>
      </c>
      <c r="N14" s="366"/>
      <c r="O14" s="446">
        <v>525</v>
      </c>
      <c r="P14" s="446">
        <v>532</v>
      </c>
      <c r="Q14" s="446">
        <v>315</v>
      </c>
      <c r="R14" s="446">
        <v>319</v>
      </c>
      <c r="S14" s="649">
        <f t="shared" si="3"/>
        <v>30.908725</v>
      </c>
      <c r="T14" s="305"/>
    </row>
    <row r="15" spans="1:29" s="367" customFormat="1" ht="12" customHeight="1">
      <c r="A15" s="364">
        <v>7</v>
      </c>
      <c r="B15" s="365">
        <v>46241</v>
      </c>
      <c r="C15" s="331" t="s">
        <v>349</v>
      </c>
      <c r="D15" s="502">
        <f t="shared" si="0"/>
        <v>0</v>
      </c>
      <c r="E15" s="499"/>
      <c r="F15" s="446">
        <f t="shared" si="1"/>
        <v>840</v>
      </c>
      <c r="G15" s="503">
        <f t="shared" si="2"/>
        <v>851</v>
      </c>
      <c r="H15" s="498">
        <f>SUM($F$9:F15)/A15</f>
        <v>735</v>
      </c>
      <c r="I15" s="499">
        <f>SUM($G$9:G15)/A15</f>
        <v>744.57142857142856</v>
      </c>
      <c r="J15" s="443">
        <f t="shared" si="4"/>
        <v>25123.329000000002</v>
      </c>
      <c r="K15" s="459">
        <f t="shared" si="4"/>
        <v>25455</v>
      </c>
      <c r="L15" s="495">
        <f t="shared" si="5"/>
        <v>34.181400000000004</v>
      </c>
      <c r="M15" s="464">
        <f t="shared" si="5"/>
        <v>34.187452033768231</v>
      </c>
      <c r="N15" s="366"/>
      <c r="O15" s="446">
        <v>525</v>
      </c>
      <c r="P15" s="446">
        <v>532</v>
      </c>
      <c r="Q15" s="446">
        <v>315</v>
      </c>
      <c r="R15" s="446">
        <v>319</v>
      </c>
      <c r="S15" s="649">
        <f t="shared" si="3"/>
        <v>29.908725</v>
      </c>
      <c r="T15" s="305"/>
    </row>
    <row r="16" spans="1:29" s="367" customFormat="1" ht="12" customHeight="1">
      <c r="A16" s="364">
        <v>8</v>
      </c>
      <c r="B16" s="365">
        <v>46242</v>
      </c>
      <c r="C16" s="331" t="s">
        <v>349</v>
      </c>
      <c r="D16" s="502">
        <f t="shared" si="0"/>
        <v>0</v>
      </c>
      <c r="E16" s="499"/>
      <c r="F16" s="446">
        <f t="shared" si="1"/>
        <v>840</v>
      </c>
      <c r="G16" s="503">
        <f t="shared" si="2"/>
        <v>851</v>
      </c>
      <c r="H16" s="498">
        <f>SUM($F$9:F16)/A16</f>
        <v>748.125</v>
      </c>
      <c r="I16" s="499">
        <f>SUM($G$9:G16)/A16</f>
        <v>757.875</v>
      </c>
      <c r="J16" s="443">
        <f t="shared" si="4"/>
        <v>24283.329000000002</v>
      </c>
      <c r="K16" s="459">
        <f t="shared" si="4"/>
        <v>24604</v>
      </c>
      <c r="L16" s="495">
        <f t="shared" si="5"/>
        <v>32.458919298245618</v>
      </c>
      <c r="M16" s="464">
        <f t="shared" si="5"/>
        <v>32.464456539666834</v>
      </c>
      <c r="N16" s="366"/>
      <c r="O16" s="446">
        <v>525</v>
      </c>
      <c r="P16" s="446">
        <v>532</v>
      </c>
      <c r="Q16" s="446">
        <v>315</v>
      </c>
      <c r="R16" s="446">
        <v>319</v>
      </c>
      <c r="S16" s="649">
        <f t="shared" si="3"/>
        <v>28.908725</v>
      </c>
      <c r="T16" s="305"/>
    </row>
    <row r="17" spans="1:20" s="367" customFormat="1" ht="12" customHeight="1">
      <c r="A17" s="364">
        <v>9</v>
      </c>
      <c r="B17" s="365">
        <v>46243</v>
      </c>
      <c r="C17" s="331" t="s">
        <v>349</v>
      </c>
      <c r="D17" s="502">
        <f t="shared" si="0"/>
        <v>0</v>
      </c>
      <c r="E17" s="499"/>
      <c r="F17" s="446">
        <f t="shared" si="1"/>
        <v>630</v>
      </c>
      <c r="G17" s="503">
        <f t="shared" si="2"/>
        <v>638</v>
      </c>
      <c r="H17" s="498">
        <f>SUM($F$9:F17)/A17</f>
        <v>735</v>
      </c>
      <c r="I17" s="499">
        <f>SUM($G$9:G17)/A17</f>
        <v>744.55555555555554</v>
      </c>
      <c r="J17" s="443">
        <f t="shared" si="4"/>
        <v>23653.329000000002</v>
      </c>
      <c r="K17" s="459">
        <f t="shared" si="4"/>
        <v>23966</v>
      </c>
      <c r="L17" s="495">
        <f t="shared" si="5"/>
        <v>32.181400000000004</v>
      </c>
      <c r="M17" s="464">
        <f t="shared" si="5"/>
        <v>32.18833009998508</v>
      </c>
      <c r="N17" s="366"/>
      <c r="O17" s="446">
        <v>315</v>
      </c>
      <c r="P17" s="446">
        <v>319</v>
      </c>
      <c r="Q17" s="446">
        <v>315</v>
      </c>
      <c r="R17" s="446">
        <v>319</v>
      </c>
      <c r="S17" s="649">
        <f t="shared" si="3"/>
        <v>28.158725</v>
      </c>
      <c r="T17" s="305"/>
    </row>
    <row r="18" spans="1:20" s="367" customFormat="1" ht="12" customHeight="1">
      <c r="A18" s="504">
        <v>10</v>
      </c>
      <c r="B18" s="365">
        <v>46244</v>
      </c>
      <c r="C18" s="331" t="s">
        <v>349</v>
      </c>
      <c r="D18" s="502">
        <f t="shared" si="0"/>
        <v>0</v>
      </c>
      <c r="E18" s="499"/>
      <c r="F18" s="446">
        <f t="shared" si="1"/>
        <v>840</v>
      </c>
      <c r="G18" s="503">
        <f t="shared" si="2"/>
        <v>851</v>
      </c>
      <c r="H18" s="498">
        <f>SUM($F$9:F18)/A18</f>
        <v>745.5</v>
      </c>
      <c r="I18" s="499">
        <f>SUM($G$9:G18)/A18</f>
        <v>755.2</v>
      </c>
      <c r="J18" s="504">
        <f t="shared" si="4"/>
        <v>22813.329000000002</v>
      </c>
      <c r="K18" s="459">
        <f t="shared" si="4"/>
        <v>23115</v>
      </c>
      <c r="L18" s="505">
        <f t="shared" si="5"/>
        <v>30.601380281690144</v>
      </c>
      <c r="M18" s="464">
        <f t="shared" si="5"/>
        <v>30.607786016949152</v>
      </c>
      <c r="N18" s="366"/>
      <c r="O18" s="446">
        <v>525</v>
      </c>
      <c r="P18" s="446">
        <v>532</v>
      </c>
      <c r="Q18" s="446">
        <v>315</v>
      </c>
      <c r="R18" s="446">
        <v>319</v>
      </c>
      <c r="S18" s="649">
        <f t="shared" si="3"/>
        <v>27.158725</v>
      </c>
      <c r="T18" s="305"/>
    </row>
    <row r="19" spans="1:20" s="367" customFormat="1" ht="12" customHeight="1">
      <c r="A19" s="364">
        <v>11</v>
      </c>
      <c r="B19" s="365">
        <v>46245</v>
      </c>
      <c r="C19" s="331" t="s">
        <v>349</v>
      </c>
      <c r="D19" s="502">
        <f t="shared" si="0"/>
        <v>0</v>
      </c>
      <c r="E19" s="499"/>
      <c r="F19" s="446">
        <f t="shared" si="1"/>
        <v>1036</v>
      </c>
      <c r="G19" s="503">
        <f t="shared" si="2"/>
        <v>1050</v>
      </c>
      <c r="H19" s="498">
        <f>SUM($F$9:F19)/A19</f>
        <v>771.90909090909088</v>
      </c>
      <c r="I19" s="499">
        <f>SUM($G$9:G19)/A19</f>
        <v>782</v>
      </c>
      <c r="J19" s="443">
        <f t="shared" si="4"/>
        <v>21777.329000000002</v>
      </c>
      <c r="K19" s="459">
        <f t="shared" si="4"/>
        <v>22065</v>
      </c>
      <c r="L19" s="495">
        <f t="shared" si="5"/>
        <v>28.21229760923331</v>
      </c>
      <c r="M19" s="464">
        <f t="shared" si="5"/>
        <v>28.216112531969308</v>
      </c>
      <c r="N19" s="366"/>
      <c r="O19" s="446">
        <v>525</v>
      </c>
      <c r="P19" s="446">
        <v>532</v>
      </c>
      <c r="Q19" s="446">
        <f>315+196</f>
        <v>511</v>
      </c>
      <c r="R19" s="446">
        <f>319+199</f>
        <v>518</v>
      </c>
      <c r="S19" s="649">
        <f t="shared" si="3"/>
        <v>25.92539166666667</v>
      </c>
      <c r="T19" s="305"/>
    </row>
    <row r="20" spans="1:20" s="367" customFormat="1" ht="12" customHeight="1">
      <c r="A20" s="364">
        <v>12</v>
      </c>
      <c r="B20" s="365">
        <v>46246</v>
      </c>
      <c r="C20" s="331" t="s">
        <v>349</v>
      </c>
      <c r="D20" s="502">
        <f t="shared" si="0"/>
        <v>0</v>
      </c>
      <c r="E20" s="499"/>
      <c r="F20" s="446">
        <f t="shared" si="1"/>
        <v>840</v>
      </c>
      <c r="G20" s="503">
        <f t="shared" si="2"/>
        <v>851</v>
      </c>
      <c r="H20" s="498">
        <f>SUM($F$9:F20)/A20</f>
        <v>777.58333333333337</v>
      </c>
      <c r="I20" s="499">
        <f>SUM($G$9:G20)/A20</f>
        <v>787.75</v>
      </c>
      <c r="J20" s="443">
        <f t="shared" si="4"/>
        <v>20937.329000000002</v>
      </c>
      <c r="K20" s="459">
        <f t="shared" si="4"/>
        <v>21214</v>
      </c>
      <c r="L20" s="495">
        <f t="shared" si="5"/>
        <v>26.926154538634659</v>
      </c>
      <c r="M20" s="464">
        <f t="shared" si="5"/>
        <v>26.929863535385593</v>
      </c>
      <c r="N20" s="366"/>
      <c r="O20" s="446">
        <v>315</v>
      </c>
      <c r="P20" s="446">
        <v>319</v>
      </c>
      <c r="Q20" s="446">
        <v>525</v>
      </c>
      <c r="R20" s="446">
        <v>532</v>
      </c>
      <c r="S20" s="649">
        <f t="shared" si="3"/>
        <v>24.92539166666667</v>
      </c>
      <c r="T20" s="305"/>
    </row>
    <row r="21" spans="1:20" s="367" customFormat="1" ht="12" customHeight="1">
      <c r="A21" s="364">
        <v>13</v>
      </c>
      <c r="B21" s="365">
        <v>46247</v>
      </c>
      <c r="C21" s="331" t="s">
        <v>349</v>
      </c>
      <c r="D21" s="502">
        <f t="shared" si="0"/>
        <v>0</v>
      </c>
      <c r="E21" s="499"/>
      <c r="F21" s="446">
        <f t="shared" si="1"/>
        <v>990</v>
      </c>
      <c r="G21" s="503">
        <f t="shared" si="2"/>
        <v>1003</v>
      </c>
      <c r="H21" s="498">
        <f>SUM($F$9:F21)/A21</f>
        <v>793.92307692307691</v>
      </c>
      <c r="I21" s="499">
        <f>SUM($G$9:G21)/A21</f>
        <v>804.30769230769226</v>
      </c>
      <c r="J21" s="443">
        <f t="shared" si="4"/>
        <v>19947.329000000002</v>
      </c>
      <c r="K21" s="459">
        <f>K20+E21-G21</f>
        <v>20211</v>
      </c>
      <c r="L21" s="495">
        <f t="shared" si="5"/>
        <v>25.125014727255113</v>
      </c>
      <c r="M21" s="464">
        <f t="shared" si="5"/>
        <v>25.128442999234892</v>
      </c>
      <c r="N21" s="366"/>
      <c r="O21" s="446">
        <v>675</v>
      </c>
      <c r="P21" s="446">
        <v>684</v>
      </c>
      <c r="Q21" s="446">
        <v>315</v>
      </c>
      <c r="R21" s="446">
        <v>319</v>
      </c>
      <c r="S21" s="649">
        <f t="shared" si="3"/>
        <v>23.746820238095239</v>
      </c>
      <c r="T21" s="305"/>
    </row>
    <row r="22" spans="1:20" s="367" customFormat="1" ht="12" customHeight="1">
      <c r="A22" s="364">
        <v>14</v>
      </c>
      <c r="B22" s="365">
        <v>46248</v>
      </c>
      <c r="C22" s="331" t="s">
        <v>349</v>
      </c>
      <c r="D22" s="502">
        <f t="shared" si="0"/>
        <v>27000</v>
      </c>
      <c r="E22" s="499">
        <v>27000</v>
      </c>
      <c r="F22" s="446">
        <f t="shared" si="1"/>
        <v>1050</v>
      </c>
      <c r="G22" s="503">
        <f t="shared" si="2"/>
        <v>1064</v>
      </c>
      <c r="H22" s="498">
        <f>SUM($F$9:F22)/A22</f>
        <v>812.21428571428567</v>
      </c>
      <c r="I22" s="499">
        <f>SUM($G$9:G22)/A22</f>
        <v>822.85714285714289</v>
      </c>
      <c r="J22" s="443">
        <f t="shared" si="4"/>
        <v>45897.328999999998</v>
      </c>
      <c r="K22" s="459">
        <f>K21+E22-G22</f>
        <v>46147</v>
      </c>
      <c r="L22" s="495">
        <f t="shared" si="5"/>
        <v>56.508891566265063</v>
      </c>
      <c r="M22" s="464">
        <f t="shared" si="5"/>
        <v>56.081423611111106</v>
      </c>
      <c r="N22" s="366"/>
      <c r="O22" s="446">
        <v>525</v>
      </c>
      <c r="P22" s="446">
        <v>532</v>
      </c>
      <c r="Q22" s="446">
        <v>525</v>
      </c>
      <c r="R22" s="446">
        <v>532</v>
      </c>
      <c r="S22" s="649">
        <f t="shared" si="3"/>
        <v>54.639677380952378</v>
      </c>
      <c r="T22" s="305"/>
    </row>
    <row r="23" spans="1:20" s="367" customFormat="1" ht="12" customHeight="1">
      <c r="A23" s="504">
        <v>15</v>
      </c>
      <c r="B23" s="365">
        <v>46249</v>
      </c>
      <c r="C23" s="331" t="s">
        <v>349</v>
      </c>
      <c r="D23" s="502">
        <f>E23-E23*N23</f>
        <v>0</v>
      </c>
      <c r="E23" s="499"/>
      <c r="F23" s="446">
        <f t="shared" si="1"/>
        <v>840</v>
      </c>
      <c r="G23" s="503">
        <f t="shared" si="2"/>
        <v>851</v>
      </c>
      <c r="H23" s="498">
        <f>SUM($F$9:F23)/A23</f>
        <v>814.06666666666672</v>
      </c>
      <c r="I23" s="499">
        <f>SUM($G$9:G23)/A23</f>
        <v>824.73333333333335</v>
      </c>
      <c r="J23" s="504">
        <f t="shared" si="4"/>
        <v>45057.328999999998</v>
      </c>
      <c r="K23" s="459">
        <f t="shared" si="4"/>
        <v>45296</v>
      </c>
      <c r="L23" s="505">
        <f t="shared" si="5"/>
        <v>55.348450986815159</v>
      </c>
      <c r="M23" s="464">
        <f t="shared" si="5"/>
        <v>54.921994988279039</v>
      </c>
      <c r="N23" s="366"/>
      <c r="O23" s="446">
        <v>315</v>
      </c>
      <c r="P23" s="446">
        <v>319</v>
      </c>
      <c r="Q23" s="446">
        <v>525</v>
      </c>
      <c r="R23" s="446">
        <v>532</v>
      </c>
      <c r="S23" s="648">
        <f t="shared" si="3"/>
        <v>53.639677380952378</v>
      </c>
      <c r="T23" s="305"/>
    </row>
    <row r="24" spans="1:20" s="367" customFormat="1" ht="12" customHeight="1">
      <c r="A24" s="364">
        <v>16</v>
      </c>
      <c r="B24" s="365">
        <v>46250</v>
      </c>
      <c r="C24" s="331" t="s">
        <v>349</v>
      </c>
      <c r="D24" s="502">
        <f t="shared" ref="D24:D25" si="6">E24-E24*N24</f>
        <v>0</v>
      </c>
      <c r="E24" s="499"/>
      <c r="F24" s="446">
        <f t="shared" si="1"/>
        <v>1050</v>
      </c>
      <c r="G24" s="503">
        <f t="shared" si="2"/>
        <v>1064</v>
      </c>
      <c r="H24" s="498">
        <f>SUM($F$9:F24)/A24</f>
        <v>828.8125</v>
      </c>
      <c r="I24" s="499">
        <f>SUM($G$9:G24)/A24</f>
        <v>839.6875</v>
      </c>
      <c r="J24" s="443">
        <f t="shared" si="4"/>
        <v>44007.328999999998</v>
      </c>
      <c r="K24" s="459">
        <f>K23+E24-G24</f>
        <v>44232</v>
      </c>
      <c r="L24" s="495">
        <f t="shared" si="5"/>
        <v>53.096845185129325</v>
      </c>
      <c r="M24" s="464">
        <f t="shared" si="5"/>
        <v>52.676739858578337</v>
      </c>
      <c r="N24" s="366"/>
      <c r="O24" s="446">
        <v>525</v>
      </c>
      <c r="P24" s="446">
        <v>532</v>
      </c>
      <c r="Q24" s="446">
        <v>525</v>
      </c>
      <c r="R24" s="446">
        <v>532</v>
      </c>
      <c r="S24" s="648">
        <f t="shared" si="3"/>
        <v>52.389677380952378</v>
      </c>
      <c r="T24" s="305"/>
    </row>
    <row r="25" spans="1:20" s="367" customFormat="1" ht="12" customHeight="1">
      <c r="A25" s="364">
        <v>17</v>
      </c>
      <c r="B25" s="365">
        <v>46251</v>
      </c>
      <c r="C25" s="331" t="s">
        <v>349</v>
      </c>
      <c r="D25" s="502">
        <f t="shared" si="6"/>
        <v>0</v>
      </c>
      <c r="E25" s="499"/>
      <c r="F25" s="446">
        <f t="shared" si="1"/>
        <v>840</v>
      </c>
      <c r="G25" s="503">
        <f t="shared" si="2"/>
        <v>851</v>
      </c>
      <c r="H25" s="498">
        <f>SUM($F$9:F25)/A25</f>
        <v>829.47058823529414</v>
      </c>
      <c r="I25" s="499">
        <f>SUM($G$9:G25)/A25</f>
        <v>840.35294117647061</v>
      </c>
      <c r="J25" s="443">
        <f t="shared" ref="J25:K39" si="7">J24+D25-F25</f>
        <v>43167.328999999998</v>
      </c>
      <c r="K25" s="459">
        <f>K24+E25-G25</f>
        <v>43381</v>
      </c>
      <c r="L25" s="495">
        <f t="shared" ref="L25:M39" si="8">J25/H25</f>
        <v>52.042024891851639</v>
      </c>
      <c r="M25" s="464">
        <f t="shared" si="8"/>
        <v>51.622357552848939</v>
      </c>
      <c r="N25" s="366"/>
      <c r="O25" s="446">
        <v>315</v>
      </c>
      <c r="P25" s="446">
        <v>319</v>
      </c>
      <c r="Q25" s="446">
        <v>525</v>
      </c>
      <c r="R25" s="446">
        <v>532</v>
      </c>
      <c r="S25" s="648">
        <f t="shared" si="3"/>
        <v>51.389677380952378</v>
      </c>
      <c r="T25" s="305"/>
    </row>
    <row r="26" spans="1:20" s="367" customFormat="1" ht="12" customHeight="1">
      <c r="A26" s="364">
        <v>18</v>
      </c>
      <c r="B26" s="365">
        <v>46252</v>
      </c>
      <c r="C26" s="331" t="s">
        <v>349</v>
      </c>
      <c r="D26" s="921">
        <f t="shared" si="0"/>
        <v>0</v>
      </c>
      <c r="E26" s="499"/>
      <c r="F26" s="446">
        <f t="shared" si="1"/>
        <v>0</v>
      </c>
      <c r="G26" s="503">
        <f t="shared" si="2"/>
        <v>0</v>
      </c>
      <c r="H26" s="498">
        <f>SUM($F$9:F26)/A26</f>
        <v>783.38888888888891</v>
      </c>
      <c r="I26" s="499">
        <f>SUM($G$9:G26)/A26</f>
        <v>793.66666666666663</v>
      </c>
      <c r="J26" s="443">
        <f t="shared" si="7"/>
        <v>43167.328999999998</v>
      </c>
      <c r="K26" s="459">
        <f>K25+E26-G26</f>
        <v>43381</v>
      </c>
      <c r="L26" s="495">
        <f t="shared" si="8"/>
        <v>55.103320473725262</v>
      </c>
      <c r="M26" s="464">
        <f t="shared" si="8"/>
        <v>54.658966820663586</v>
      </c>
      <c r="N26" s="366"/>
      <c r="O26" s="446"/>
      <c r="P26" s="446"/>
      <c r="Q26" s="446"/>
      <c r="R26" s="446"/>
      <c r="S26" s="648">
        <f>J26/$S$8</f>
        <v>51.389677380952378</v>
      </c>
      <c r="T26" s="305"/>
    </row>
    <row r="27" spans="1:20" s="367" customFormat="1" ht="12" customHeight="1">
      <c r="A27" s="364">
        <v>19</v>
      </c>
      <c r="B27" s="365">
        <v>46253</v>
      </c>
      <c r="C27" s="331" t="s">
        <v>349</v>
      </c>
      <c r="D27" s="921">
        <f t="shared" si="0"/>
        <v>0</v>
      </c>
      <c r="E27" s="499"/>
      <c r="F27" s="446">
        <f t="shared" si="1"/>
        <v>0</v>
      </c>
      <c r="G27" s="503">
        <f t="shared" si="2"/>
        <v>0</v>
      </c>
      <c r="H27" s="498">
        <f>SUM($F$9:F27)/A27</f>
        <v>742.15789473684208</v>
      </c>
      <c r="I27" s="499">
        <f>SUM($G$9:G27)/A27</f>
        <v>751.89473684210532</v>
      </c>
      <c r="J27" s="443">
        <f t="shared" si="7"/>
        <v>43167.328999999998</v>
      </c>
      <c r="K27" s="459">
        <f>K26+E27-G27</f>
        <v>43381</v>
      </c>
      <c r="L27" s="495">
        <f t="shared" si="8"/>
        <v>58.164616055598891</v>
      </c>
      <c r="M27" s="464">
        <f t="shared" si="8"/>
        <v>57.695576088478226</v>
      </c>
      <c r="N27" s="366"/>
      <c r="O27" s="446"/>
      <c r="P27" s="446"/>
      <c r="Q27" s="446"/>
      <c r="R27" s="446"/>
      <c r="S27" s="648">
        <f t="shared" si="3"/>
        <v>51.389677380952378</v>
      </c>
      <c r="T27" s="305"/>
    </row>
    <row r="28" spans="1:20" s="367" customFormat="1" ht="12" customHeight="1">
      <c r="A28" s="504">
        <v>20</v>
      </c>
      <c r="B28" s="365">
        <v>46254</v>
      </c>
      <c r="C28" s="331" t="s">
        <v>349</v>
      </c>
      <c r="D28" s="502">
        <f t="shared" si="0"/>
        <v>0</v>
      </c>
      <c r="E28" s="499"/>
      <c r="F28" s="446">
        <f t="shared" si="1"/>
        <v>0</v>
      </c>
      <c r="G28" s="503">
        <f t="shared" si="2"/>
        <v>0</v>
      </c>
      <c r="H28" s="504">
        <f>SUM($F$9:F28)/A28</f>
        <v>705.05</v>
      </c>
      <c r="I28" s="499">
        <f>SUM($G$9:G28)/A28</f>
        <v>714.3</v>
      </c>
      <c r="J28" s="504">
        <f t="shared" si="7"/>
        <v>43167.328999999998</v>
      </c>
      <c r="K28" s="459">
        <f t="shared" si="7"/>
        <v>43381</v>
      </c>
      <c r="L28" s="505">
        <f t="shared" si="8"/>
        <v>61.225911637472521</v>
      </c>
      <c r="M28" s="464">
        <f t="shared" si="8"/>
        <v>60.732185356292881</v>
      </c>
      <c r="N28" s="366"/>
      <c r="O28" s="446"/>
      <c r="P28" s="446"/>
      <c r="Q28" s="446"/>
      <c r="R28" s="446"/>
      <c r="S28" s="648">
        <f t="shared" si="3"/>
        <v>51.389677380952378</v>
      </c>
      <c r="T28" s="305"/>
    </row>
    <row r="29" spans="1:20" s="367" customFormat="1" ht="12" customHeight="1">
      <c r="A29" s="364">
        <v>21</v>
      </c>
      <c r="B29" s="365">
        <v>46255</v>
      </c>
      <c r="C29" s="331" t="s">
        <v>349</v>
      </c>
      <c r="D29" s="502">
        <f t="shared" si="0"/>
        <v>0</v>
      </c>
      <c r="E29" s="499"/>
      <c r="F29" s="446">
        <f t="shared" si="1"/>
        <v>0</v>
      </c>
      <c r="G29" s="503">
        <f t="shared" si="2"/>
        <v>0</v>
      </c>
      <c r="H29" s="498">
        <f>SUM($F$9:F29)/A29</f>
        <v>671.47619047619048</v>
      </c>
      <c r="I29" s="499">
        <f>SUM($G$9:G29)/A29</f>
        <v>680.28571428571433</v>
      </c>
      <c r="J29" s="443">
        <f t="shared" si="7"/>
        <v>43167.328999999998</v>
      </c>
      <c r="K29" s="459">
        <f>K28+E29-G29</f>
        <v>43381</v>
      </c>
      <c r="L29" s="495">
        <f t="shared" si="8"/>
        <v>64.287207219346143</v>
      </c>
      <c r="M29" s="464">
        <f t="shared" si="8"/>
        <v>63.768794624107514</v>
      </c>
      <c r="N29" s="366"/>
      <c r="O29" s="446"/>
      <c r="P29" s="446"/>
      <c r="Q29" s="446"/>
      <c r="R29" s="446"/>
      <c r="S29" s="648">
        <f t="shared" si="3"/>
        <v>51.389677380952378</v>
      </c>
      <c r="T29" s="305"/>
    </row>
    <row r="30" spans="1:20" s="367" customFormat="1" ht="12" customHeight="1">
      <c r="A30" s="364">
        <v>22</v>
      </c>
      <c r="B30" s="365">
        <v>46256</v>
      </c>
      <c r="C30" s="331" t="s">
        <v>349</v>
      </c>
      <c r="D30" s="502">
        <f t="shared" si="0"/>
        <v>0</v>
      </c>
      <c r="E30" s="499"/>
      <c r="F30" s="446">
        <f t="shared" si="1"/>
        <v>0</v>
      </c>
      <c r="G30" s="503">
        <f t="shared" si="2"/>
        <v>0</v>
      </c>
      <c r="H30" s="498">
        <f>SUM($F$9:F30)/A30</f>
        <v>640.9545454545455</v>
      </c>
      <c r="I30" s="499">
        <f>SUM($G$9:G30)/A30</f>
        <v>649.36363636363637</v>
      </c>
      <c r="J30" s="443">
        <f t="shared" si="7"/>
        <v>43167.328999999998</v>
      </c>
      <c r="K30" s="459">
        <f t="shared" si="7"/>
        <v>43381</v>
      </c>
      <c r="L30" s="495">
        <f t="shared" si="8"/>
        <v>67.348502801219766</v>
      </c>
      <c r="M30" s="464">
        <f t="shared" si="8"/>
        <v>66.805403891922154</v>
      </c>
      <c r="N30" s="366"/>
      <c r="O30" s="446"/>
      <c r="P30" s="446"/>
      <c r="Q30" s="446"/>
      <c r="R30" s="446"/>
      <c r="S30" s="648">
        <f t="shared" si="3"/>
        <v>51.389677380952378</v>
      </c>
      <c r="T30" s="305"/>
    </row>
    <row r="31" spans="1:20" s="367" customFormat="1" ht="12" customHeight="1">
      <c r="A31" s="364">
        <v>23</v>
      </c>
      <c r="B31" s="365">
        <v>46257</v>
      </c>
      <c r="C31" s="331" t="s">
        <v>349</v>
      </c>
      <c r="D31" s="502">
        <f t="shared" si="0"/>
        <v>0</v>
      </c>
      <c r="E31" s="499"/>
      <c r="F31" s="446">
        <f t="shared" si="1"/>
        <v>0</v>
      </c>
      <c r="G31" s="503">
        <f t="shared" si="2"/>
        <v>0</v>
      </c>
      <c r="H31" s="498">
        <f>SUM($F$9:F31)/A31</f>
        <v>613.08695652173913</v>
      </c>
      <c r="I31" s="499">
        <f>SUM($G$9:G31)/A31</f>
        <v>621.13043478260875</v>
      </c>
      <c r="J31" s="443">
        <f t="shared" si="7"/>
        <v>43167.328999999998</v>
      </c>
      <c r="K31" s="459">
        <f t="shared" si="7"/>
        <v>43381</v>
      </c>
      <c r="L31" s="495">
        <f t="shared" si="8"/>
        <v>70.409798383093388</v>
      </c>
      <c r="M31" s="464">
        <f t="shared" si="8"/>
        <v>69.842013159736794</v>
      </c>
      <c r="N31" s="366"/>
      <c r="O31" s="446"/>
      <c r="P31" s="446"/>
      <c r="Q31" s="446"/>
      <c r="R31" s="446"/>
      <c r="S31" s="648">
        <f t="shared" si="3"/>
        <v>51.389677380952378</v>
      </c>
      <c r="T31" s="305"/>
    </row>
    <row r="32" spans="1:20" s="367" customFormat="1" ht="12" customHeight="1">
      <c r="A32" s="364">
        <v>24</v>
      </c>
      <c r="B32" s="365">
        <v>46258</v>
      </c>
      <c r="C32" s="331" t="s">
        <v>349</v>
      </c>
      <c r="D32" s="502">
        <f t="shared" si="0"/>
        <v>0</v>
      </c>
      <c r="E32" s="499"/>
      <c r="F32" s="446">
        <f t="shared" si="1"/>
        <v>0</v>
      </c>
      <c r="G32" s="503">
        <f t="shared" si="2"/>
        <v>0</v>
      </c>
      <c r="H32" s="498">
        <f>SUM($F$9:F32)/A32</f>
        <v>587.54166666666663</v>
      </c>
      <c r="I32" s="499">
        <f>SUM($G$9:G32)/A32</f>
        <v>595.25</v>
      </c>
      <c r="J32" s="443">
        <f t="shared" si="7"/>
        <v>43167.328999999998</v>
      </c>
      <c r="K32" s="459">
        <f t="shared" si="7"/>
        <v>43381</v>
      </c>
      <c r="L32" s="495">
        <f t="shared" si="8"/>
        <v>73.471093964967025</v>
      </c>
      <c r="M32" s="464">
        <f t="shared" si="8"/>
        <v>72.878622427551448</v>
      </c>
      <c r="N32" s="366"/>
      <c r="O32" s="446"/>
      <c r="P32" s="446"/>
      <c r="Q32" s="446"/>
      <c r="R32" s="446"/>
      <c r="S32" s="648">
        <f t="shared" si="3"/>
        <v>51.389677380952378</v>
      </c>
      <c r="T32" s="305"/>
    </row>
    <row r="33" spans="1:19" s="367" customFormat="1" ht="12" customHeight="1">
      <c r="A33" s="460">
        <v>25</v>
      </c>
      <c r="B33" s="365">
        <v>46259</v>
      </c>
      <c r="C33" s="331" t="s">
        <v>349</v>
      </c>
      <c r="D33" s="502">
        <f t="shared" si="0"/>
        <v>0</v>
      </c>
      <c r="E33" s="499"/>
      <c r="F33" s="446">
        <f t="shared" si="1"/>
        <v>0</v>
      </c>
      <c r="G33" s="503">
        <f t="shared" si="2"/>
        <v>0</v>
      </c>
      <c r="H33" s="460">
        <f>SUM($F$9:F33)/A33</f>
        <v>564.04</v>
      </c>
      <c r="I33" s="499">
        <f>SUM($G$9:G33)/A33</f>
        <v>571.44000000000005</v>
      </c>
      <c r="J33" s="460">
        <f t="shared" si="7"/>
        <v>43167.328999999998</v>
      </c>
      <c r="K33" s="459">
        <f t="shared" si="7"/>
        <v>43381</v>
      </c>
      <c r="L33" s="506">
        <f t="shared" si="8"/>
        <v>76.532389546840648</v>
      </c>
      <c r="M33" s="464">
        <f t="shared" si="8"/>
        <v>75.915231695366089</v>
      </c>
      <c r="N33" s="366"/>
      <c r="O33" s="446"/>
      <c r="P33" s="446"/>
      <c r="Q33" s="446"/>
      <c r="R33" s="446"/>
      <c r="S33" s="648">
        <f t="shared" si="3"/>
        <v>51.389677380952378</v>
      </c>
    </row>
    <row r="34" spans="1:19" s="367" customFormat="1" ht="12" customHeight="1">
      <c r="A34" s="364">
        <v>26</v>
      </c>
      <c r="B34" s="365">
        <v>46260</v>
      </c>
      <c r="C34" s="331" t="s">
        <v>349</v>
      </c>
      <c r="D34" s="502">
        <f t="shared" si="0"/>
        <v>0</v>
      </c>
      <c r="E34" s="499"/>
      <c r="F34" s="446">
        <f t="shared" si="1"/>
        <v>0</v>
      </c>
      <c r="G34" s="503">
        <f t="shared" si="2"/>
        <v>0</v>
      </c>
      <c r="H34" s="498">
        <f>SUM($F$9:F34)/A34</f>
        <v>542.34615384615381</v>
      </c>
      <c r="I34" s="499">
        <f>SUM($G$9:G34)/A34</f>
        <v>549.46153846153845</v>
      </c>
      <c r="J34" s="443">
        <f t="shared" si="7"/>
        <v>43167.328999999998</v>
      </c>
      <c r="K34" s="459">
        <f t="shared" si="7"/>
        <v>43381</v>
      </c>
      <c r="L34" s="495">
        <f t="shared" si="8"/>
        <v>79.59368512871427</v>
      </c>
      <c r="M34" s="464">
        <f t="shared" si="8"/>
        <v>78.951840963180743</v>
      </c>
      <c r="N34" s="366"/>
      <c r="O34" s="446"/>
      <c r="P34" s="446"/>
      <c r="Q34" s="446"/>
      <c r="R34" s="446"/>
      <c r="S34" s="648">
        <f t="shared" si="3"/>
        <v>51.389677380952378</v>
      </c>
    </row>
    <row r="35" spans="1:19" s="367" customFormat="1" ht="12" customHeight="1">
      <c r="A35" s="364">
        <v>27</v>
      </c>
      <c r="B35" s="365">
        <v>46261</v>
      </c>
      <c r="C35" s="331" t="s">
        <v>349</v>
      </c>
      <c r="D35" s="502">
        <f t="shared" si="0"/>
        <v>0</v>
      </c>
      <c r="E35" s="499"/>
      <c r="F35" s="446">
        <f t="shared" si="1"/>
        <v>0</v>
      </c>
      <c r="G35" s="503">
        <f t="shared" si="2"/>
        <v>0</v>
      </c>
      <c r="H35" s="498">
        <f>SUM($F$9:F35)/A35</f>
        <v>522.25925925925924</v>
      </c>
      <c r="I35" s="499">
        <f>SUM($G$9:G35)/A35</f>
        <v>529.11111111111109</v>
      </c>
      <c r="J35" s="443">
        <f t="shared" si="7"/>
        <v>43167.328999999998</v>
      </c>
      <c r="K35" s="459">
        <f t="shared" si="7"/>
        <v>43381</v>
      </c>
      <c r="L35" s="495">
        <f t="shared" si="8"/>
        <v>82.654980710587907</v>
      </c>
      <c r="M35" s="464">
        <f t="shared" si="8"/>
        <v>81.988450230995383</v>
      </c>
      <c r="N35" s="366"/>
      <c r="O35" s="446"/>
      <c r="P35" s="446"/>
      <c r="Q35" s="446"/>
      <c r="R35" s="446"/>
      <c r="S35" s="648">
        <f t="shared" si="3"/>
        <v>51.389677380952378</v>
      </c>
    </row>
    <row r="36" spans="1:19" s="367" customFormat="1" ht="12" customHeight="1">
      <c r="A36" s="364">
        <v>28</v>
      </c>
      <c r="B36" s="365">
        <v>46262</v>
      </c>
      <c r="C36" s="331" t="s">
        <v>349</v>
      </c>
      <c r="D36" s="502">
        <f t="shared" si="0"/>
        <v>0</v>
      </c>
      <c r="E36" s="499"/>
      <c r="F36" s="446">
        <f t="shared" si="1"/>
        <v>0</v>
      </c>
      <c r="G36" s="503">
        <f t="shared" si="2"/>
        <v>0</v>
      </c>
      <c r="H36" s="498">
        <f>SUM($F$9:F36)/A36</f>
        <v>503.60714285714283</v>
      </c>
      <c r="I36" s="499">
        <f>SUM($G$9:G36)/A36</f>
        <v>510.21428571428572</v>
      </c>
      <c r="J36" s="443">
        <f t="shared" si="7"/>
        <v>43167.328999999998</v>
      </c>
      <c r="K36" s="459">
        <f t="shared" si="7"/>
        <v>43381</v>
      </c>
      <c r="L36" s="495">
        <f t="shared" si="8"/>
        <v>85.716276292461529</v>
      </c>
      <c r="M36" s="464">
        <f t="shared" si="8"/>
        <v>85.025059498810023</v>
      </c>
      <c r="N36" s="366"/>
      <c r="O36" s="446"/>
      <c r="P36" s="446"/>
      <c r="Q36" s="446"/>
      <c r="R36" s="446"/>
      <c r="S36" s="648">
        <f t="shared" si="3"/>
        <v>51.389677380952378</v>
      </c>
    </row>
    <row r="37" spans="1:19" s="367" customFormat="1" ht="12" customHeight="1">
      <c r="A37" s="364">
        <v>29</v>
      </c>
      <c r="B37" s="365">
        <v>46263</v>
      </c>
      <c r="C37" s="331" t="s">
        <v>349</v>
      </c>
      <c r="D37" s="502">
        <f t="shared" si="0"/>
        <v>0</v>
      </c>
      <c r="E37" s="499"/>
      <c r="F37" s="446">
        <f t="shared" si="1"/>
        <v>0</v>
      </c>
      <c r="G37" s="503">
        <f t="shared" si="2"/>
        <v>0</v>
      </c>
      <c r="H37" s="498">
        <f>SUM($F$9:F37)/A37</f>
        <v>486.24137931034483</v>
      </c>
      <c r="I37" s="499">
        <f>SUM($G$9:G37)/A37</f>
        <v>492.62068965517244</v>
      </c>
      <c r="J37" s="443">
        <f t="shared" si="7"/>
        <v>43167.328999999998</v>
      </c>
      <c r="K37" s="459">
        <f t="shared" si="7"/>
        <v>43381</v>
      </c>
      <c r="L37" s="495">
        <f t="shared" si="8"/>
        <v>88.777571874335152</v>
      </c>
      <c r="M37" s="464">
        <f t="shared" si="8"/>
        <v>88.061668766624663</v>
      </c>
      <c r="N37" s="366"/>
      <c r="O37" s="446"/>
      <c r="P37" s="446"/>
      <c r="Q37" s="446"/>
      <c r="R37" s="446"/>
      <c r="S37" s="648">
        <f t="shared" si="3"/>
        <v>51.389677380952378</v>
      </c>
    </row>
    <row r="38" spans="1:19" s="367" customFormat="1" ht="12" customHeight="1">
      <c r="A38" s="504">
        <v>30</v>
      </c>
      <c r="B38" s="365">
        <v>46264</v>
      </c>
      <c r="C38" s="331" t="s">
        <v>349</v>
      </c>
      <c r="D38" s="502">
        <f t="shared" si="0"/>
        <v>0</v>
      </c>
      <c r="E38" s="499"/>
      <c r="F38" s="446">
        <f t="shared" si="1"/>
        <v>0</v>
      </c>
      <c r="G38" s="503">
        <f t="shared" si="2"/>
        <v>0</v>
      </c>
      <c r="H38" s="504">
        <f>SUM($F$9:F38)/A38</f>
        <v>470.03333333333336</v>
      </c>
      <c r="I38" s="499">
        <f>SUM($G$9:G38)/A38</f>
        <v>476.2</v>
      </c>
      <c r="J38" s="504">
        <f t="shared" si="7"/>
        <v>43167.328999999998</v>
      </c>
      <c r="K38" s="459">
        <f t="shared" si="7"/>
        <v>43381</v>
      </c>
      <c r="L38" s="505">
        <f t="shared" si="8"/>
        <v>91.838867456208774</v>
      </c>
      <c r="M38" s="464">
        <f t="shared" si="8"/>
        <v>91.098278034439318</v>
      </c>
      <c r="N38" s="366"/>
      <c r="O38" s="446"/>
      <c r="P38" s="446"/>
      <c r="Q38" s="446"/>
      <c r="R38" s="446"/>
      <c r="S38" s="648">
        <f t="shared" si="3"/>
        <v>51.389677380952378</v>
      </c>
    </row>
    <row r="39" spans="1:19" s="367" customFormat="1" ht="12" customHeight="1">
      <c r="A39" s="364">
        <v>31</v>
      </c>
      <c r="B39" s="365">
        <v>46265</v>
      </c>
      <c r="C39" s="331" t="s">
        <v>349</v>
      </c>
      <c r="D39" s="502">
        <f t="shared" si="0"/>
        <v>0</v>
      </c>
      <c r="E39" s="499"/>
      <c r="F39" s="446">
        <f t="shared" si="1"/>
        <v>0</v>
      </c>
      <c r="G39" s="503">
        <f t="shared" si="2"/>
        <v>0</v>
      </c>
      <c r="H39" s="498">
        <f>SUM($F$9:F39)/A39</f>
        <v>454.87096774193549</v>
      </c>
      <c r="I39" s="499">
        <f>SUM($G$9:G39)/A39</f>
        <v>460.83870967741933</v>
      </c>
      <c r="J39" s="443">
        <f t="shared" si="7"/>
        <v>43167.328999999998</v>
      </c>
      <c r="K39" s="459">
        <f t="shared" si="7"/>
        <v>43381</v>
      </c>
      <c r="L39" s="495">
        <f t="shared" si="8"/>
        <v>94.900163038082397</v>
      </c>
      <c r="M39" s="464">
        <f t="shared" si="8"/>
        <v>94.134887302253958</v>
      </c>
      <c r="N39" s="366"/>
      <c r="O39" s="446"/>
      <c r="P39" s="446"/>
      <c r="Q39" s="446"/>
      <c r="R39" s="446"/>
      <c r="S39" s="648">
        <f t="shared" si="3"/>
        <v>51.389677380952378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27000</v>
      </c>
      <c r="E40" s="923">
        <f>SUM(E9:E39)</f>
        <v>27000</v>
      </c>
      <c r="F40" s="389">
        <f>SUM(F9:F39)</f>
        <v>14101</v>
      </c>
      <c r="G40" s="496">
        <f>SUM(G9:G39)</f>
        <v>14286</v>
      </c>
      <c r="H40" s="389"/>
      <c r="I40" s="496"/>
      <c r="J40" s="641">
        <f>J39</f>
        <v>43167.328999999998</v>
      </c>
      <c r="K40" s="642">
        <f>K39</f>
        <v>43381</v>
      </c>
      <c r="L40" s="464"/>
      <c r="M40" s="464"/>
      <c r="N40" s="366"/>
      <c r="O40" s="389">
        <f>SUM(O9:O39)</f>
        <v>7815</v>
      </c>
      <c r="P40" s="496">
        <f>SUM(P9:P39)</f>
        <v>7918</v>
      </c>
      <c r="Q40" s="389">
        <f>SUM(Q9:Q39)</f>
        <v>6286</v>
      </c>
      <c r="R40" s="496">
        <f>SUM(R9:R39)</f>
        <v>6368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57268.328999999998</v>
      </c>
      <c r="E41" s="388">
        <f>E8+E40</f>
        <v>57667</v>
      </c>
      <c r="F41" s="389">
        <f>F40</f>
        <v>14101</v>
      </c>
      <c r="G41" s="496">
        <f>G40</f>
        <v>14286</v>
      </c>
      <c r="H41" s="389"/>
      <c r="I41" s="496"/>
      <c r="J41" s="641">
        <f>D41-F41</f>
        <v>43167.328999999998</v>
      </c>
      <c r="K41" s="641">
        <f>E41-G41</f>
        <v>43381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6.5">
      <c r="D46" s="343"/>
      <c r="E46" s="343"/>
      <c r="F46" s="343"/>
      <c r="G46" s="343"/>
      <c r="H46" s="343"/>
      <c r="I46" s="343"/>
      <c r="J46" s="101" t="s">
        <v>333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2296" priority="424" operator="lessThan">
      <formula>15</formula>
    </cfRule>
    <cfRule type="cellIs" dxfId="12295" priority="425" operator="greaterThan">
      <formula>20</formula>
    </cfRule>
    <cfRule type="cellIs" dxfId="12294" priority="426" operator="between">
      <formula>15</formula>
      <formula>20</formula>
    </cfRule>
    <cfRule type="cellIs" dxfId="12293" priority="427" operator="between">
      <formula>15</formula>
      <formula>20</formula>
    </cfRule>
    <cfRule type="cellIs" dxfId="12292" priority="428" operator="lessThan">
      <formula>15</formula>
    </cfRule>
    <cfRule type="cellIs" dxfId="12291" priority="429" operator="greaterThan">
      <formula>20</formula>
    </cfRule>
    <cfRule type="cellIs" dxfId="12290" priority="430" operator="between">
      <formula>15</formula>
      <formula>21</formula>
    </cfRule>
    <cfRule type="cellIs" dxfId="12289" priority="431" operator="lessThan">
      <formula>15</formula>
    </cfRule>
    <cfRule type="cellIs" dxfId="12288" priority="432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9" orientation="landscape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W49"/>
  <sheetViews>
    <sheetView workbookViewId="0">
      <pane ySplit="8" topLeftCell="A9" activePane="bottomLeft" state="frozen"/>
      <selection pane="bottomLeft" activeCell="P26" sqref="P26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" style="142" customWidth="1"/>
    <col min="12" max="13" width="10.85546875" style="143" customWidth="1"/>
    <col min="14" max="14" width="6.42578125" style="143" customWidth="1"/>
    <col min="15" max="18" width="12" style="143" customWidth="1"/>
    <col min="19" max="19" width="11.5703125" style="143" bestFit="1" customWidth="1"/>
    <col min="20" max="20" width="11" style="143" customWidth="1"/>
    <col min="21" max="16384" width="9.28515625" style="143"/>
  </cols>
  <sheetData>
    <row r="1" spans="1:23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</row>
    <row r="2" spans="1:23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</row>
    <row r="3" spans="1:23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3" s="376" customFormat="1" ht="15" customHeight="1">
      <c r="A4" s="1600" t="s">
        <v>33</v>
      </c>
      <c r="B4" s="1600"/>
      <c r="C4" s="316" t="s">
        <v>148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178</v>
      </c>
      <c r="K4" s="319"/>
      <c r="L4" s="319"/>
      <c r="M4" s="319"/>
      <c r="O4" s="1422"/>
      <c r="P4" s="1422"/>
      <c r="Q4" s="1422"/>
      <c r="R4" s="1422"/>
      <c r="S4" s="143"/>
    </row>
    <row r="5" spans="1:23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3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3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3" s="305" customFormat="1" ht="12" customHeight="1">
      <c r="A8" s="1597" t="s">
        <v>3</v>
      </c>
      <c r="B8" s="1598"/>
      <c r="C8" s="1599"/>
      <c r="D8" s="387">
        <f>J8</f>
        <v>12449.021000000001</v>
      </c>
      <c r="E8" s="388">
        <f>K8</f>
        <v>12638.6</v>
      </c>
      <c r="F8" s="389">
        <f>F40</f>
        <v>12480</v>
      </c>
      <c r="G8" s="388">
        <f>G40</f>
        <v>12678</v>
      </c>
      <c r="H8" s="387"/>
      <c r="I8" s="388"/>
      <c r="J8" s="624">
        <f>K8-K8*N8</f>
        <v>12449.021000000001</v>
      </c>
      <c r="K8" s="324">
        <v>12638.6</v>
      </c>
      <c r="L8" s="462"/>
      <c r="M8" s="463"/>
      <c r="N8" s="366">
        <v>1.4999999999999999E-2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1080</v>
      </c>
    </row>
    <row r="9" spans="1:23" s="367" customFormat="1" ht="12" customHeight="1">
      <c r="A9" s="364">
        <v>1</v>
      </c>
      <c r="B9" s="365">
        <f>'FRIT HGE91-FHG'!B9</f>
        <v>46235</v>
      </c>
      <c r="C9" s="331" t="s">
        <v>349</v>
      </c>
      <c r="D9" s="1425">
        <f>E9-E9*N9</f>
        <v>0</v>
      </c>
      <c r="E9" s="1426"/>
      <c r="F9" s="446">
        <f>O9+Q9</f>
        <v>600</v>
      </c>
      <c r="G9" s="503">
        <f>P9+R9</f>
        <v>609</v>
      </c>
      <c r="H9" s="498">
        <f>SUM($F$9:F9)/A9</f>
        <v>600</v>
      </c>
      <c r="I9" s="499">
        <f>SUM($G$9:G9)/A9</f>
        <v>609</v>
      </c>
      <c r="J9" s="443">
        <f t="shared" ref="J9:J10" si="0">J8+D9-F9</f>
        <v>11849.021000000001</v>
      </c>
      <c r="K9" s="459">
        <f t="shared" ref="K9:K10" si="1">K8+E9-G9</f>
        <v>12029.6</v>
      </c>
      <c r="L9" s="495">
        <f>J9/H9</f>
        <v>19.748368333333335</v>
      </c>
      <c r="M9" s="464">
        <f>K9/I9</f>
        <v>19.753037766830872</v>
      </c>
      <c r="N9" s="366"/>
      <c r="O9" s="446">
        <v>600</v>
      </c>
      <c r="P9" s="446">
        <v>609</v>
      </c>
      <c r="Q9" s="446"/>
      <c r="R9" s="446"/>
      <c r="S9" s="647">
        <f>J9/$S$8</f>
        <v>10.97131574074074</v>
      </c>
      <c r="T9" s="305"/>
      <c r="U9" s="305"/>
    </row>
    <row r="10" spans="1:23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1425">
        <f t="shared" ref="D10:D39" si="2">E10-E10*N10</f>
        <v>0</v>
      </c>
      <c r="E10" s="1426"/>
      <c r="F10" s="446">
        <f t="shared" ref="F10:G39" si="3">O10+Q10</f>
        <v>600</v>
      </c>
      <c r="G10" s="503">
        <f t="shared" si="3"/>
        <v>609</v>
      </c>
      <c r="H10" s="498">
        <f>SUM($F$9:F10)/A10</f>
        <v>600</v>
      </c>
      <c r="I10" s="499">
        <f>SUM($G$9:G10)/A10</f>
        <v>609</v>
      </c>
      <c r="J10" s="443">
        <f t="shared" si="0"/>
        <v>11249.021000000001</v>
      </c>
      <c r="K10" s="459">
        <f t="shared" si="1"/>
        <v>11420.6</v>
      </c>
      <c r="L10" s="495">
        <f>J10/H10</f>
        <v>18.748368333333335</v>
      </c>
      <c r="M10" s="464">
        <f>K10/I10</f>
        <v>18.753037766830872</v>
      </c>
      <c r="N10" s="366"/>
      <c r="O10" s="446">
        <v>600</v>
      </c>
      <c r="P10" s="446">
        <v>609</v>
      </c>
      <c r="Q10" s="446"/>
      <c r="R10" s="446"/>
      <c r="S10" s="647">
        <f t="shared" ref="S10:S39" si="4">J10/$S$8</f>
        <v>10.415760185185185</v>
      </c>
      <c r="T10" s="305"/>
      <c r="U10" s="305"/>
    </row>
    <row r="11" spans="1:23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1425">
        <f t="shared" si="2"/>
        <v>0</v>
      </c>
      <c r="E11" s="1426"/>
      <c r="F11" s="446">
        <f t="shared" si="3"/>
        <v>360</v>
      </c>
      <c r="G11" s="503">
        <f t="shared" si="3"/>
        <v>365</v>
      </c>
      <c r="H11" s="498">
        <f>SUM($F$9:F11)/A11</f>
        <v>520</v>
      </c>
      <c r="I11" s="499">
        <f>SUM($G$9:G11)/A11</f>
        <v>527.66666666666663</v>
      </c>
      <c r="J11" s="443">
        <f t="shared" ref="J11:K24" si="5">J10+D11-F11</f>
        <v>10889.021000000001</v>
      </c>
      <c r="K11" s="459">
        <f t="shared" si="5"/>
        <v>11055.6</v>
      </c>
      <c r="L11" s="495">
        <f t="shared" ref="L11:M24" si="6">J11/H11</f>
        <v>20.940425000000001</v>
      </c>
      <c r="M11" s="464">
        <f t="shared" si="6"/>
        <v>20.951863550221102</v>
      </c>
      <c r="N11" s="366"/>
      <c r="O11" s="446">
        <v>360</v>
      </c>
      <c r="P11" s="446">
        <v>365</v>
      </c>
      <c r="Q11" s="446"/>
      <c r="R11" s="446"/>
      <c r="S11" s="647">
        <f t="shared" si="4"/>
        <v>10.082426851851853</v>
      </c>
      <c r="T11" s="305"/>
      <c r="U11" s="305"/>
    </row>
    <row r="12" spans="1:23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1425">
        <f t="shared" si="2"/>
        <v>0</v>
      </c>
      <c r="E12" s="1426"/>
      <c r="F12" s="446">
        <f t="shared" si="3"/>
        <v>600</v>
      </c>
      <c r="G12" s="503">
        <f t="shared" si="3"/>
        <v>609</v>
      </c>
      <c r="H12" s="498">
        <f>SUM($F$9:F12)/A12</f>
        <v>540</v>
      </c>
      <c r="I12" s="499">
        <f>SUM($G$9:G12)/A12</f>
        <v>548</v>
      </c>
      <c r="J12" s="443">
        <f t="shared" si="5"/>
        <v>10289.021000000001</v>
      </c>
      <c r="K12" s="459">
        <f t="shared" si="5"/>
        <v>10446.6</v>
      </c>
      <c r="L12" s="495">
        <f t="shared" si="6"/>
        <v>19.053742592592595</v>
      </c>
      <c r="M12" s="464">
        <f t="shared" si="6"/>
        <v>19.063138686131389</v>
      </c>
      <c r="N12" s="366"/>
      <c r="O12" s="446">
        <v>600</v>
      </c>
      <c r="P12" s="446">
        <v>609</v>
      </c>
      <c r="Q12" s="446"/>
      <c r="R12" s="446"/>
      <c r="S12" s="647">
        <f t="shared" si="4"/>
        <v>9.5268712962962976</v>
      </c>
      <c r="T12" s="305"/>
      <c r="U12" s="305"/>
    </row>
    <row r="13" spans="1:23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1425">
        <f>E13-E13*N13</f>
        <v>0</v>
      </c>
      <c r="E13" s="1426"/>
      <c r="F13" s="446">
        <f t="shared" si="3"/>
        <v>360</v>
      </c>
      <c r="G13" s="503">
        <f t="shared" si="3"/>
        <v>365</v>
      </c>
      <c r="H13" s="504">
        <f>SUM($F$9:F13)/A13</f>
        <v>504</v>
      </c>
      <c r="I13" s="499">
        <f>SUM($G$9:G13)/A13</f>
        <v>511.4</v>
      </c>
      <c r="J13" s="504">
        <f t="shared" si="5"/>
        <v>9929.0210000000006</v>
      </c>
      <c r="K13" s="459">
        <f>K12+E13-G13</f>
        <v>10081.6</v>
      </c>
      <c r="L13" s="505">
        <f t="shared" si="6"/>
        <v>19.700438492063494</v>
      </c>
      <c r="M13" s="464">
        <f t="shared" si="6"/>
        <v>19.713727023856084</v>
      </c>
      <c r="N13" s="366"/>
      <c r="O13" s="446">
        <v>360</v>
      </c>
      <c r="P13" s="446">
        <v>365</v>
      </c>
      <c r="Q13" s="446"/>
      <c r="R13" s="446"/>
      <c r="S13" s="647">
        <f t="shared" si="4"/>
        <v>9.1935379629629637</v>
      </c>
      <c r="T13" s="305"/>
      <c r="U13" s="305"/>
    </row>
    <row r="14" spans="1:23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1425">
        <f t="shared" si="2"/>
        <v>0</v>
      </c>
      <c r="E14" s="1426"/>
      <c r="F14" s="446">
        <f t="shared" si="3"/>
        <v>600</v>
      </c>
      <c r="G14" s="503">
        <f t="shared" si="3"/>
        <v>609</v>
      </c>
      <c r="H14" s="498">
        <f>SUM($F$9:F14)/A14</f>
        <v>520</v>
      </c>
      <c r="I14" s="499">
        <f>SUM($G$9:G14)/A14</f>
        <v>527.66666666666663</v>
      </c>
      <c r="J14" s="443">
        <f t="shared" si="5"/>
        <v>9329.0210000000006</v>
      </c>
      <c r="K14" s="459">
        <f t="shared" si="5"/>
        <v>9472.6</v>
      </c>
      <c r="L14" s="495">
        <f>J14/H14</f>
        <v>17.940425000000001</v>
      </c>
      <c r="M14" s="464">
        <f t="shared" si="6"/>
        <v>17.951863550221102</v>
      </c>
      <c r="N14" s="366"/>
      <c r="O14" s="446">
        <v>600</v>
      </c>
      <c r="P14" s="446">
        <v>609</v>
      </c>
      <c r="Q14" s="446"/>
      <c r="R14" s="446"/>
      <c r="S14" s="647">
        <f t="shared" si="4"/>
        <v>8.6379824074074083</v>
      </c>
      <c r="T14" s="305"/>
      <c r="U14" s="305"/>
    </row>
    <row r="15" spans="1:23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1425">
        <f t="shared" si="2"/>
        <v>0</v>
      </c>
      <c r="E15" s="1426"/>
      <c r="F15" s="446">
        <f t="shared" si="3"/>
        <v>600</v>
      </c>
      <c r="G15" s="503">
        <f t="shared" si="3"/>
        <v>609</v>
      </c>
      <c r="H15" s="498">
        <f>SUM($F$9:F15)/A15</f>
        <v>531.42857142857144</v>
      </c>
      <c r="I15" s="499">
        <f>SUM($G$9:G15)/A15</f>
        <v>539.28571428571433</v>
      </c>
      <c r="J15" s="443">
        <f t="shared" si="5"/>
        <v>8729.0210000000006</v>
      </c>
      <c r="K15" s="459">
        <f t="shared" si="5"/>
        <v>8863.6</v>
      </c>
      <c r="L15" s="495">
        <f t="shared" si="6"/>
        <v>16.425577150537634</v>
      </c>
      <c r="M15" s="464">
        <f t="shared" si="6"/>
        <v>16.435814569536422</v>
      </c>
      <c r="N15" s="366"/>
      <c r="O15" s="446">
        <v>600</v>
      </c>
      <c r="P15" s="446">
        <v>609</v>
      </c>
      <c r="Q15" s="446"/>
      <c r="R15" s="446"/>
      <c r="S15" s="647">
        <f t="shared" si="4"/>
        <v>8.0824268518518529</v>
      </c>
      <c r="T15" s="305"/>
      <c r="U15" s="305"/>
    </row>
    <row r="16" spans="1:23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1425">
        <f t="shared" si="2"/>
        <v>0</v>
      </c>
      <c r="E16" s="1426"/>
      <c r="F16" s="446">
        <f t="shared" si="3"/>
        <v>600</v>
      </c>
      <c r="G16" s="503">
        <f t="shared" si="3"/>
        <v>609</v>
      </c>
      <c r="H16" s="498">
        <f>SUM($F$9:F16)/A16</f>
        <v>540</v>
      </c>
      <c r="I16" s="499">
        <f>SUM($G$9:G16)/A16</f>
        <v>548</v>
      </c>
      <c r="J16" s="443">
        <f t="shared" si="5"/>
        <v>8129.0210000000006</v>
      </c>
      <c r="K16" s="459">
        <f t="shared" si="5"/>
        <v>8254.6</v>
      </c>
      <c r="L16" s="495">
        <f t="shared" si="6"/>
        <v>15.053742592592593</v>
      </c>
      <c r="M16" s="464">
        <f t="shared" si="6"/>
        <v>15.063138686131387</v>
      </c>
      <c r="N16" s="366"/>
      <c r="O16" s="446">
        <v>600</v>
      </c>
      <c r="P16" s="446">
        <v>609</v>
      </c>
      <c r="Q16" s="446"/>
      <c r="R16" s="446"/>
      <c r="S16" s="647">
        <f t="shared" si="4"/>
        <v>7.5268712962962967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1425">
        <f t="shared" si="2"/>
        <v>0</v>
      </c>
      <c r="E17" s="1426"/>
      <c r="F17" s="446">
        <f t="shared" si="3"/>
        <v>360</v>
      </c>
      <c r="G17" s="503">
        <f t="shared" si="3"/>
        <v>365</v>
      </c>
      <c r="H17" s="498">
        <f>SUM($F$9:F17)/A17</f>
        <v>520</v>
      </c>
      <c r="I17" s="499">
        <f>SUM($G$9:G17)/A17</f>
        <v>527.66666666666663</v>
      </c>
      <c r="J17" s="443">
        <f t="shared" si="5"/>
        <v>7769.0210000000006</v>
      </c>
      <c r="K17" s="459">
        <f t="shared" si="5"/>
        <v>7889.6</v>
      </c>
      <c r="L17" s="495">
        <f t="shared" si="6"/>
        <v>14.940425000000001</v>
      </c>
      <c r="M17" s="464">
        <f t="shared" si="6"/>
        <v>14.9518635502211</v>
      </c>
      <c r="N17" s="366"/>
      <c r="O17" s="446">
        <v>360</v>
      </c>
      <c r="P17" s="446">
        <v>365</v>
      </c>
      <c r="Q17" s="446"/>
      <c r="R17" s="446"/>
      <c r="S17" s="647">
        <f t="shared" si="4"/>
        <v>7.1935379629629637</v>
      </c>
      <c r="T17" s="305"/>
      <c r="U17" s="305"/>
    </row>
    <row r="18" spans="1:21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1425">
        <f t="shared" si="2"/>
        <v>0</v>
      </c>
      <c r="E18" s="1426"/>
      <c r="F18" s="446">
        <f t="shared" si="3"/>
        <v>600</v>
      </c>
      <c r="G18" s="503">
        <f t="shared" si="3"/>
        <v>609</v>
      </c>
      <c r="H18" s="504">
        <f>SUM($F$9:F18)/A18</f>
        <v>528</v>
      </c>
      <c r="I18" s="499">
        <f>SUM($G$9:G18)/A18</f>
        <v>535.79999999999995</v>
      </c>
      <c r="J18" s="504">
        <f t="shared" si="5"/>
        <v>7169.0210000000006</v>
      </c>
      <c r="K18" s="459">
        <f t="shared" si="5"/>
        <v>7280.6</v>
      </c>
      <c r="L18" s="505">
        <f t="shared" si="6"/>
        <v>13.577691287878789</v>
      </c>
      <c r="M18" s="464">
        <f t="shared" si="6"/>
        <v>13.58827920865995</v>
      </c>
      <c r="N18" s="366"/>
      <c r="O18" s="446">
        <v>600</v>
      </c>
      <c r="P18" s="446">
        <v>609</v>
      </c>
      <c r="Q18" s="446"/>
      <c r="R18" s="446"/>
      <c r="S18" s="647">
        <f t="shared" si="4"/>
        <v>6.6379824074074083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1425">
        <f t="shared" si="2"/>
        <v>0</v>
      </c>
      <c r="E19" s="1426"/>
      <c r="F19" s="446">
        <f t="shared" si="3"/>
        <v>960</v>
      </c>
      <c r="G19" s="503">
        <f t="shared" si="3"/>
        <v>976</v>
      </c>
      <c r="H19" s="498">
        <f>SUM($F$9:F19)/A19</f>
        <v>567.27272727272725</v>
      </c>
      <c r="I19" s="499">
        <f>SUM($G$9:G19)/A19</f>
        <v>575.81818181818187</v>
      </c>
      <c r="J19" s="443">
        <f t="shared" si="5"/>
        <v>6209.0210000000006</v>
      </c>
      <c r="K19" s="459">
        <f t="shared" si="5"/>
        <v>6304.6</v>
      </c>
      <c r="L19" s="495">
        <f t="shared" si="6"/>
        <v>10.945389583333334</v>
      </c>
      <c r="M19" s="464">
        <f t="shared" si="6"/>
        <v>10.948942216608778</v>
      </c>
      <c r="N19" s="366"/>
      <c r="O19" s="446">
        <v>600</v>
      </c>
      <c r="P19" s="446">
        <v>610</v>
      </c>
      <c r="Q19" s="446">
        <v>360</v>
      </c>
      <c r="R19" s="446">
        <v>366</v>
      </c>
      <c r="S19" s="647">
        <f t="shared" si="4"/>
        <v>5.749093518518519</v>
      </c>
      <c r="T19" s="305"/>
      <c r="U19" s="305"/>
    </row>
    <row r="20" spans="1:21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1425">
        <f t="shared" si="2"/>
        <v>7500</v>
      </c>
      <c r="E20" s="1426">
        <v>7500</v>
      </c>
      <c r="F20" s="446">
        <f t="shared" si="3"/>
        <v>960</v>
      </c>
      <c r="G20" s="503">
        <f t="shared" si="3"/>
        <v>976</v>
      </c>
      <c r="H20" s="498">
        <f>SUM($F$9:F20)/A20</f>
        <v>600</v>
      </c>
      <c r="I20" s="499">
        <f>SUM($G$9:G20)/A20</f>
        <v>609.16666666666663</v>
      </c>
      <c r="J20" s="443">
        <f t="shared" si="5"/>
        <v>12749.021000000001</v>
      </c>
      <c r="K20" s="459">
        <f t="shared" si="5"/>
        <v>12828.6</v>
      </c>
      <c r="L20" s="495">
        <f t="shared" si="6"/>
        <v>21.248368333333335</v>
      </c>
      <c r="M20" s="464">
        <f t="shared" si="6"/>
        <v>21.059261285909713</v>
      </c>
      <c r="N20" s="366"/>
      <c r="O20" s="446">
        <v>360</v>
      </c>
      <c r="P20" s="446">
        <v>366</v>
      </c>
      <c r="Q20" s="446">
        <v>600</v>
      </c>
      <c r="R20" s="446">
        <v>610</v>
      </c>
      <c r="S20" s="647">
        <f t="shared" si="4"/>
        <v>11.804649074074074</v>
      </c>
      <c r="T20" s="305"/>
      <c r="U20" s="305"/>
    </row>
    <row r="21" spans="1:21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1425">
        <f t="shared" si="2"/>
        <v>0</v>
      </c>
      <c r="E21" s="1426"/>
      <c r="F21" s="446">
        <f t="shared" si="3"/>
        <v>960</v>
      </c>
      <c r="G21" s="503">
        <f t="shared" si="3"/>
        <v>976</v>
      </c>
      <c r="H21" s="498">
        <f>SUM($F$9:F21)/A21</f>
        <v>627.69230769230774</v>
      </c>
      <c r="I21" s="499">
        <f>SUM($G$9:G21)/A21</f>
        <v>637.38461538461536</v>
      </c>
      <c r="J21" s="443">
        <f t="shared" si="5"/>
        <v>11789.021000000001</v>
      </c>
      <c r="K21" s="459">
        <f>K20+E21-G21</f>
        <v>11852.6</v>
      </c>
      <c r="L21" s="495">
        <f t="shared" si="6"/>
        <v>18.781528553921568</v>
      </c>
      <c r="M21" s="464">
        <f t="shared" si="6"/>
        <v>18.595679459328991</v>
      </c>
      <c r="N21" s="366"/>
      <c r="O21" s="446">
        <v>600</v>
      </c>
      <c r="P21" s="446">
        <v>610</v>
      </c>
      <c r="Q21" s="446">
        <v>360</v>
      </c>
      <c r="R21" s="446">
        <v>366</v>
      </c>
      <c r="S21" s="647">
        <f t="shared" si="4"/>
        <v>10.915760185185185</v>
      </c>
      <c r="T21" s="305"/>
      <c r="U21" s="305"/>
    </row>
    <row r="22" spans="1:21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1425">
        <f t="shared" si="2"/>
        <v>0</v>
      </c>
      <c r="E22" s="1426"/>
      <c r="F22" s="446">
        <f t="shared" si="3"/>
        <v>1200</v>
      </c>
      <c r="G22" s="503">
        <f t="shared" si="3"/>
        <v>1220</v>
      </c>
      <c r="H22" s="498">
        <f>SUM($F$9:F22)/A22</f>
        <v>668.57142857142856</v>
      </c>
      <c r="I22" s="499">
        <f>SUM($G$9:G22)/A22</f>
        <v>679</v>
      </c>
      <c r="J22" s="443">
        <f t="shared" si="5"/>
        <v>10589.021000000001</v>
      </c>
      <c r="K22" s="459">
        <f>K21+E22-G22</f>
        <v>10632.6</v>
      </c>
      <c r="L22" s="495">
        <f t="shared" si="6"/>
        <v>15.838279273504275</v>
      </c>
      <c r="M22" s="464">
        <f t="shared" si="6"/>
        <v>15.659204712812961</v>
      </c>
      <c r="N22" s="366"/>
      <c r="O22" s="446">
        <v>600</v>
      </c>
      <c r="P22" s="446">
        <v>610</v>
      </c>
      <c r="Q22" s="446">
        <v>600</v>
      </c>
      <c r="R22" s="446">
        <v>610</v>
      </c>
      <c r="S22" s="647">
        <f t="shared" si="4"/>
        <v>9.8046490740740744</v>
      </c>
      <c r="T22" s="305"/>
      <c r="U22" s="305"/>
    </row>
    <row r="23" spans="1:21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1425">
        <f t="shared" si="2"/>
        <v>0</v>
      </c>
      <c r="E23" s="1426"/>
      <c r="F23" s="446">
        <f t="shared" si="3"/>
        <v>960</v>
      </c>
      <c r="G23" s="503">
        <f t="shared" si="3"/>
        <v>976</v>
      </c>
      <c r="H23" s="504">
        <f>SUM($F$9:F23)/A23</f>
        <v>688</v>
      </c>
      <c r="I23" s="499">
        <f>SUM($G$9:G23)/A23</f>
        <v>698.8</v>
      </c>
      <c r="J23" s="504">
        <f t="shared" si="5"/>
        <v>9629.0210000000006</v>
      </c>
      <c r="K23" s="459">
        <f t="shared" si="5"/>
        <v>9656.6</v>
      </c>
      <c r="L23" s="505">
        <f t="shared" si="6"/>
        <v>13.995670058139536</v>
      </c>
      <c r="M23" s="464">
        <f t="shared" si="6"/>
        <v>13.818832283915285</v>
      </c>
      <c r="N23" s="366"/>
      <c r="O23" s="446">
        <v>360</v>
      </c>
      <c r="P23" s="446">
        <v>366</v>
      </c>
      <c r="Q23" s="446">
        <v>600</v>
      </c>
      <c r="R23" s="446">
        <v>610</v>
      </c>
      <c r="S23" s="647">
        <f t="shared" si="4"/>
        <v>8.9157601851851851</v>
      </c>
      <c r="T23" s="305"/>
      <c r="U23" s="305"/>
    </row>
    <row r="24" spans="1:21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1425">
        <f t="shared" si="2"/>
        <v>0</v>
      </c>
      <c r="E24" s="1426"/>
      <c r="F24" s="446">
        <f t="shared" si="3"/>
        <v>1200</v>
      </c>
      <c r="G24" s="503">
        <f t="shared" si="3"/>
        <v>1220</v>
      </c>
      <c r="H24" s="498">
        <f>SUM($F$9:F24)/A24</f>
        <v>720</v>
      </c>
      <c r="I24" s="499">
        <f>SUM($G$9:G24)/A24</f>
        <v>731.375</v>
      </c>
      <c r="J24" s="443">
        <f t="shared" si="5"/>
        <v>8429.0210000000006</v>
      </c>
      <c r="K24" s="459">
        <f>K23+E24-G24</f>
        <v>8436.6</v>
      </c>
      <c r="L24" s="495">
        <f t="shared" si="6"/>
        <v>11.706973611111112</v>
      </c>
      <c r="M24" s="464">
        <f t="shared" si="6"/>
        <v>11.53525893009742</v>
      </c>
      <c r="N24" s="366"/>
      <c r="O24" s="446">
        <v>600</v>
      </c>
      <c r="P24" s="446">
        <v>610</v>
      </c>
      <c r="Q24" s="446">
        <v>600</v>
      </c>
      <c r="R24" s="446">
        <v>610</v>
      </c>
      <c r="S24" s="647">
        <f t="shared" si="4"/>
        <v>7.8046490740740744</v>
      </c>
      <c r="T24" s="305"/>
      <c r="U24" s="305"/>
    </row>
    <row r="25" spans="1:21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1425">
        <f t="shared" si="2"/>
        <v>12500</v>
      </c>
      <c r="E25" s="1426">
        <v>12500</v>
      </c>
      <c r="F25" s="446">
        <f t="shared" si="3"/>
        <v>960</v>
      </c>
      <c r="G25" s="503">
        <f t="shared" si="3"/>
        <v>976</v>
      </c>
      <c r="H25" s="498">
        <f>SUM($F$9:F25)/A25</f>
        <v>734.11764705882354</v>
      </c>
      <c r="I25" s="499">
        <f>SUM($G$9:G25)/A25</f>
        <v>745.76470588235293</v>
      </c>
      <c r="J25" s="443">
        <f t="shared" ref="J25:K39" si="7">J24+D25-F25</f>
        <v>19969.021000000001</v>
      </c>
      <c r="K25" s="459">
        <f>K24+E25-G25</f>
        <v>19960.599999999999</v>
      </c>
      <c r="L25" s="495">
        <f t="shared" ref="L25:M39" si="8">J25/H25</f>
        <v>27.201390785256411</v>
      </c>
      <c r="M25" s="464">
        <f t="shared" si="8"/>
        <v>26.765278435084397</v>
      </c>
      <c r="N25" s="366"/>
      <c r="O25" s="446">
        <v>360</v>
      </c>
      <c r="P25" s="446">
        <v>366</v>
      </c>
      <c r="Q25" s="446">
        <v>600</v>
      </c>
      <c r="R25" s="446">
        <v>610</v>
      </c>
      <c r="S25" s="647">
        <f t="shared" si="4"/>
        <v>18.489834259259261</v>
      </c>
      <c r="T25" s="305"/>
      <c r="U25" s="305"/>
    </row>
    <row r="26" spans="1:21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1425">
        <f t="shared" si="2"/>
        <v>0</v>
      </c>
      <c r="E26" s="1426"/>
      <c r="F26" s="446">
        <f t="shared" si="3"/>
        <v>0</v>
      </c>
      <c r="G26" s="503">
        <f t="shared" si="3"/>
        <v>0</v>
      </c>
      <c r="H26" s="498">
        <f>SUM($F$9:F26)/A26</f>
        <v>693.33333333333337</v>
      </c>
      <c r="I26" s="499">
        <f>SUM($G$9:G26)/A26</f>
        <v>704.33333333333337</v>
      </c>
      <c r="J26" s="443">
        <f t="shared" si="7"/>
        <v>19969.021000000001</v>
      </c>
      <c r="K26" s="459">
        <f>K25+E26-G26</f>
        <v>19960.599999999999</v>
      </c>
      <c r="L26" s="495">
        <f t="shared" si="8"/>
        <v>28.801472596153847</v>
      </c>
      <c r="M26" s="464">
        <f t="shared" si="8"/>
        <v>28.339706578324652</v>
      </c>
      <c r="N26" s="366"/>
      <c r="O26" s="446"/>
      <c r="P26" s="446"/>
      <c r="Q26" s="446"/>
      <c r="R26" s="446"/>
      <c r="S26" s="647">
        <f t="shared" si="4"/>
        <v>18.489834259259261</v>
      </c>
      <c r="T26" s="305"/>
      <c r="U26" s="305"/>
    </row>
    <row r="27" spans="1:21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1425">
        <f t="shared" si="2"/>
        <v>0</v>
      </c>
      <c r="E27" s="1426"/>
      <c r="F27" s="446">
        <f t="shared" si="3"/>
        <v>0</v>
      </c>
      <c r="G27" s="503">
        <f t="shared" si="3"/>
        <v>0</v>
      </c>
      <c r="H27" s="498">
        <f>SUM($F$9:F27)/A27</f>
        <v>656.84210526315792</v>
      </c>
      <c r="I27" s="499">
        <f>SUM($G$9:G27)/A27</f>
        <v>667.26315789473688</v>
      </c>
      <c r="J27" s="443">
        <f t="shared" si="7"/>
        <v>19969.021000000001</v>
      </c>
      <c r="K27" s="459">
        <f>K26+E27-G27</f>
        <v>19960.599999999999</v>
      </c>
      <c r="L27" s="495">
        <f t="shared" si="8"/>
        <v>30.401554407051282</v>
      </c>
      <c r="M27" s="464">
        <f t="shared" si="8"/>
        <v>29.914134721564913</v>
      </c>
      <c r="N27" s="366"/>
      <c r="O27" s="446"/>
      <c r="P27" s="446"/>
      <c r="Q27" s="446"/>
      <c r="R27" s="446"/>
      <c r="S27" s="647">
        <f>J27/$S$8</f>
        <v>18.489834259259261</v>
      </c>
      <c r="T27" s="305"/>
      <c r="U27" s="305"/>
    </row>
    <row r="28" spans="1:21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1425">
        <f t="shared" si="2"/>
        <v>0</v>
      </c>
      <c r="E28" s="1426"/>
      <c r="F28" s="446">
        <f t="shared" si="3"/>
        <v>0</v>
      </c>
      <c r="G28" s="503">
        <f t="shared" si="3"/>
        <v>0</v>
      </c>
      <c r="H28" s="504">
        <f>SUM($F$9:F28)/A28</f>
        <v>624</v>
      </c>
      <c r="I28" s="499">
        <f>SUM($G$9:G28)/A28</f>
        <v>633.9</v>
      </c>
      <c r="J28" s="504">
        <f t="shared" si="7"/>
        <v>19969.021000000001</v>
      </c>
      <c r="K28" s="459">
        <f t="shared" si="7"/>
        <v>19960.599999999999</v>
      </c>
      <c r="L28" s="505">
        <f t="shared" si="8"/>
        <v>32.001636217948722</v>
      </c>
      <c r="M28" s="464">
        <f t="shared" si="8"/>
        <v>31.488562864805171</v>
      </c>
      <c r="N28" s="366"/>
      <c r="O28" s="446"/>
      <c r="P28" s="446"/>
      <c r="Q28" s="446"/>
      <c r="R28" s="446"/>
      <c r="S28" s="647">
        <f t="shared" si="4"/>
        <v>18.489834259259261</v>
      </c>
      <c r="T28" s="305"/>
      <c r="U28" s="305"/>
    </row>
    <row r="29" spans="1:21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1425">
        <f t="shared" si="2"/>
        <v>0</v>
      </c>
      <c r="E29" s="1426"/>
      <c r="F29" s="446">
        <f t="shared" si="3"/>
        <v>0</v>
      </c>
      <c r="G29" s="503">
        <f t="shared" si="3"/>
        <v>0</v>
      </c>
      <c r="H29" s="498">
        <f>SUM($F$9:F29)/A29</f>
        <v>594.28571428571433</v>
      </c>
      <c r="I29" s="499">
        <f>SUM($G$9:G29)/A29</f>
        <v>603.71428571428567</v>
      </c>
      <c r="J29" s="443">
        <f t="shared" si="7"/>
        <v>19969.021000000001</v>
      </c>
      <c r="K29" s="459">
        <f t="shared" si="7"/>
        <v>19960.599999999999</v>
      </c>
      <c r="L29" s="495">
        <f t="shared" si="8"/>
        <v>33.60171802884615</v>
      </c>
      <c r="M29" s="464">
        <f t="shared" si="8"/>
        <v>33.062991008045437</v>
      </c>
      <c r="N29" s="366"/>
      <c r="O29" s="446"/>
      <c r="P29" s="446"/>
      <c r="Q29" s="446"/>
      <c r="R29" s="446"/>
      <c r="S29" s="647">
        <f t="shared" si="4"/>
        <v>18.489834259259261</v>
      </c>
      <c r="T29" s="305"/>
      <c r="U29" s="305"/>
    </row>
    <row r="30" spans="1:21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1425">
        <f t="shared" si="2"/>
        <v>0</v>
      </c>
      <c r="E30" s="1426"/>
      <c r="F30" s="446">
        <f t="shared" si="3"/>
        <v>0</v>
      </c>
      <c r="G30" s="503">
        <f t="shared" si="3"/>
        <v>0</v>
      </c>
      <c r="H30" s="498">
        <f>SUM($F$9:F30)/A30</f>
        <v>567.27272727272725</v>
      </c>
      <c r="I30" s="499">
        <f>SUM($G$9:G30)/A30</f>
        <v>576.27272727272725</v>
      </c>
      <c r="J30" s="443">
        <f t="shared" si="7"/>
        <v>19969.021000000001</v>
      </c>
      <c r="K30" s="459">
        <f t="shared" si="7"/>
        <v>19960.599999999999</v>
      </c>
      <c r="L30" s="495">
        <f t="shared" si="8"/>
        <v>35.201799839743593</v>
      </c>
      <c r="M30" s="464">
        <f t="shared" si="8"/>
        <v>34.637419151285691</v>
      </c>
      <c r="N30" s="366"/>
      <c r="O30" s="446"/>
      <c r="P30" s="446"/>
      <c r="Q30" s="446"/>
      <c r="R30" s="446"/>
      <c r="S30" s="647">
        <f t="shared" si="4"/>
        <v>18.489834259259261</v>
      </c>
      <c r="T30" s="305"/>
      <c r="U30" s="305"/>
    </row>
    <row r="31" spans="1:21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1425">
        <f t="shared" si="2"/>
        <v>0</v>
      </c>
      <c r="E31" s="1426"/>
      <c r="F31" s="446">
        <f t="shared" si="3"/>
        <v>0</v>
      </c>
      <c r="G31" s="503">
        <f t="shared" si="3"/>
        <v>0</v>
      </c>
      <c r="H31" s="498">
        <f>SUM($F$9:F31)/A31</f>
        <v>542.60869565217388</v>
      </c>
      <c r="I31" s="499">
        <f>SUM($G$9:G31)/A31</f>
        <v>551.21739130434787</v>
      </c>
      <c r="J31" s="443">
        <f t="shared" si="7"/>
        <v>19969.021000000001</v>
      </c>
      <c r="K31" s="459">
        <f t="shared" si="7"/>
        <v>19960.599999999999</v>
      </c>
      <c r="L31" s="495">
        <f t="shared" si="8"/>
        <v>36.801881650641029</v>
      </c>
      <c r="M31" s="464">
        <f t="shared" si="8"/>
        <v>36.211847294525946</v>
      </c>
      <c r="N31" s="366"/>
      <c r="O31" s="446"/>
      <c r="P31" s="446"/>
      <c r="Q31" s="446"/>
      <c r="R31" s="446"/>
      <c r="S31" s="647">
        <f t="shared" si="4"/>
        <v>18.489834259259261</v>
      </c>
      <c r="T31" s="305"/>
      <c r="U31" s="305"/>
    </row>
    <row r="32" spans="1:21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1425">
        <f t="shared" si="2"/>
        <v>0</v>
      </c>
      <c r="E32" s="1426"/>
      <c r="F32" s="446">
        <f t="shared" si="3"/>
        <v>0</v>
      </c>
      <c r="G32" s="503">
        <f t="shared" si="3"/>
        <v>0</v>
      </c>
      <c r="H32" s="498">
        <f>SUM($F$9:F32)/A32</f>
        <v>520</v>
      </c>
      <c r="I32" s="499">
        <f>SUM($G$9:G32)/A32</f>
        <v>528.25</v>
      </c>
      <c r="J32" s="443">
        <f t="shared" si="7"/>
        <v>19969.021000000001</v>
      </c>
      <c r="K32" s="459">
        <f t="shared" si="7"/>
        <v>19960.599999999999</v>
      </c>
      <c r="L32" s="495">
        <f t="shared" si="8"/>
        <v>38.401963461538465</v>
      </c>
      <c r="M32" s="464">
        <f t="shared" si="8"/>
        <v>37.786275437766207</v>
      </c>
      <c r="N32" s="366"/>
      <c r="O32" s="446"/>
      <c r="P32" s="446"/>
      <c r="Q32" s="446"/>
      <c r="R32" s="446"/>
      <c r="S32" s="647">
        <f t="shared" si="4"/>
        <v>18.489834259259261</v>
      </c>
      <c r="T32" s="305"/>
      <c r="U32" s="305"/>
    </row>
    <row r="33" spans="1:21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1425">
        <f t="shared" si="2"/>
        <v>0</v>
      </c>
      <c r="E33" s="1426"/>
      <c r="F33" s="446">
        <f t="shared" si="3"/>
        <v>0</v>
      </c>
      <c r="G33" s="503">
        <f t="shared" si="3"/>
        <v>0</v>
      </c>
      <c r="H33" s="460">
        <f>SUM($F$9:F33)/A33</f>
        <v>499.2</v>
      </c>
      <c r="I33" s="499">
        <f>SUM($G$9:G33)/A33</f>
        <v>507.12</v>
      </c>
      <c r="J33" s="460">
        <f>J32+D33-F33</f>
        <v>19969.021000000001</v>
      </c>
      <c r="K33" s="459">
        <f t="shared" si="7"/>
        <v>19960.599999999999</v>
      </c>
      <c r="L33" s="506">
        <f t="shared" si="8"/>
        <v>40.0020452724359</v>
      </c>
      <c r="M33" s="464">
        <f t="shared" si="8"/>
        <v>39.360703581006462</v>
      </c>
      <c r="N33" s="366"/>
      <c r="O33" s="446"/>
      <c r="P33" s="446"/>
      <c r="Q33" s="446"/>
      <c r="R33" s="446"/>
      <c r="S33" s="647">
        <f t="shared" si="4"/>
        <v>18.489834259259261</v>
      </c>
      <c r="T33" s="305"/>
      <c r="U33" s="305"/>
    </row>
    <row r="34" spans="1:21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1425">
        <f t="shared" si="2"/>
        <v>0</v>
      </c>
      <c r="E34" s="1426"/>
      <c r="F34" s="446">
        <f t="shared" si="3"/>
        <v>0</v>
      </c>
      <c r="G34" s="503">
        <f t="shared" si="3"/>
        <v>0</v>
      </c>
      <c r="H34" s="498">
        <f>SUM($F$9:F34)/A34</f>
        <v>480</v>
      </c>
      <c r="I34" s="499">
        <f>SUM($G$9:G34)/A34</f>
        <v>487.61538461538464</v>
      </c>
      <c r="J34" s="443">
        <f t="shared" si="7"/>
        <v>19969.021000000001</v>
      </c>
      <c r="K34" s="459">
        <f t="shared" si="7"/>
        <v>19960.599999999999</v>
      </c>
      <c r="L34" s="495">
        <f t="shared" si="8"/>
        <v>41.602127083333336</v>
      </c>
      <c r="M34" s="464">
        <f t="shared" si="8"/>
        <v>40.935131724246723</v>
      </c>
      <c r="N34" s="366"/>
      <c r="O34" s="446"/>
      <c r="P34" s="446"/>
      <c r="Q34" s="446"/>
      <c r="R34" s="446"/>
      <c r="S34" s="647">
        <f t="shared" si="4"/>
        <v>18.489834259259261</v>
      </c>
      <c r="T34" s="305"/>
      <c r="U34" s="305"/>
    </row>
    <row r="35" spans="1:21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1425">
        <f t="shared" si="2"/>
        <v>0</v>
      </c>
      <c r="E35" s="1426"/>
      <c r="F35" s="446">
        <f t="shared" si="3"/>
        <v>0</v>
      </c>
      <c r="G35" s="503">
        <f t="shared" si="3"/>
        <v>0</v>
      </c>
      <c r="H35" s="498">
        <f>SUM($F$9:F35)/A35</f>
        <v>462.22222222222223</v>
      </c>
      <c r="I35" s="499">
        <f>SUM($G$9:G35)/A35</f>
        <v>469.55555555555554</v>
      </c>
      <c r="J35" s="443">
        <f t="shared" si="7"/>
        <v>19969.021000000001</v>
      </c>
      <c r="K35" s="459">
        <f t="shared" si="7"/>
        <v>19960.599999999999</v>
      </c>
      <c r="L35" s="495">
        <f t="shared" si="8"/>
        <v>43.202208894230772</v>
      </c>
      <c r="M35" s="464">
        <f t="shared" si="8"/>
        <v>42.509559867486985</v>
      </c>
      <c r="N35" s="366"/>
      <c r="O35" s="446"/>
      <c r="P35" s="446"/>
      <c r="Q35" s="446"/>
      <c r="R35" s="446"/>
      <c r="S35" s="647">
        <f t="shared" si="4"/>
        <v>18.489834259259261</v>
      </c>
      <c r="T35" s="305"/>
      <c r="U35" s="305"/>
    </row>
    <row r="36" spans="1:21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1425">
        <f t="shared" si="2"/>
        <v>0</v>
      </c>
      <c r="E36" s="1426"/>
      <c r="F36" s="446">
        <f t="shared" si="3"/>
        <v>0</v>
      </c>
      <c r="G36" s="503">
        <f t="shared" si="3"/>
        <v>0</v>
      </c>
      <c r="H36" s="498">
        <f>SUM($F$9:F36)/A36</f>
        <v>445.71428571428572</v>
      </c>
      <c r="I36" s="499">
        <f>SUM($G$9:G36)/A36</f>
        <v>452.78571428571428</v>
      </c>
      <c r="J36" s="443">
        <f t="shared" si="7"/>
        <v>19969.021000000001</v>
      </c>
      <c r="K36" s="459">
        <f t="shared" si="7"/>
        <v>19960.599999999999</v>
      </c>
      <c r="L36" s="495">
        <f t="shared" si="8"/>
        <v>44.802290705128208</v>
      </c>
      <c r="M36" s="464">
        <f t="shared" si="8"/>
        <v>44.083988010727239</v>
      </c>
      <c r="N36" s="366"/>
      <c r="O36" s="446"/>
      <c r="P36" s="446"/>
      <c r="Q36" s="446"/>
      <c r="R36" s="446"/>
      <c r="S36" s="647">
        <f t="shared" si="4"/>
        <v>18.489834259259261</v>
      </c>
      <c r="T36" s="305"/>
      <c r="U36" s="305"/>
    </row>
    <row r="37" spans="1:21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1425">
        <f t="shared" si="2"/>
        <v>0</v>
      </c>
      <c r="E37" s="1426"/>
      <c r="F37" s="446">
        <f t="shared" si="3"/>
        <v>0</v>
      </c>
      <c r="G37" s="503">
        <f t="shared" si="3"/>
        <v>0</v>
      </c>
      <c r="H37" s="498">
        <f>SUM($F$9:F37)/A37</f>
        <v>430.34482758620692</v>
      </c>
      <c r="I37" s="499">
        <f>SUM($G$9:G37)/A37</f>
        <v>437.17241379310343</v>
      </c>
      <c r="J37" s="443">
        <f t="shared" si="7"/>
        <v>19969.021000000001</v>
      </c>
      <c r="K37" s="459">
        <f t="shared" si="7"/>
        <v>19960.599999999999</v>
      </c>
      <c r="L37" s="495">
        <f t="shared" si="8"/>
        <v>46.402372516025643</v>
      </c>
      <c r="M37" s="464">
        <f t="shared" si="8"/>
        <v>45.658416153967501</v>
      </c>
      <c r="N37" s="366"/>
      <c r="O37" s="446"/>
      <c r="P37" s="446"/>
      <c r="Q37" s="446"/>
      <c r="R37" s="446"/>
      <c r="S37" s="647">
        <f t="shared" si="4"/>
        <v>18.489834259259261</v>
      </c>
      <c r="T37" s="305"/>
    </row>
    <row r="38" spans="1:21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1425">
        <f t="shared" si="2"/>
        <v>0</v>
      </c>
      <c r="E38" s="1426"/>
      <c r="F38" s="446">
        <f t="shared" si="3"/>
        <v>0</v>
      </c>
      <c r="G38" s="503">
        <f t="shared" si="3"/>
        <v>0</v>
      </c>
      <c r="H38" s="504">
        <f>SUM($F$9:F38)/A38</f>
        <v>416</v>
      </c>
      <c r="I38" s="499">
        <f>SUM($G$9:G38)/A38</f>
        <v>422.6</v>
      </c>
      <c r="J38" s="504">
        <f t="shared" si="7"/>
        <v>19969.021000000001</v>
      </c>
      <c r="K38" s="459">
        <f t="shared" si="7"/>
        <v>19960.599999999999</v>
      </c>
      <c r="L38" s="505">
        <f t="shared" si="8"/>
        <v>48.002454326923079</v>
      </c>
      <c r="M38" s="464">
        <f t="shared" si="8"/>
        <v>47.232844297207755</v>
      </c>
      <c r="N38" s="366"/>
      <c r="O38" s="446"/>
      <c r="P38" s="446"/>
      <c r="Q38" s="446"/>
      <c r="R38" s="446"/>
      <c r="S38" s="647">
        <f t="shared" si="4"/>
        <v>18.489834259259261</v>
      </c>
      <c r="T38" s="305"/>
    </row>
    <row r="39" spans="1:21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1425">
        <f t="shared" si="2"/>
        <v>0</v>
      </c>
      <c r="E39" s="1426"/>
      <c r="F39" s="446">
        <f t="shared" si="3"/>
        <v>0</v>
      </c>
      <c r="G39" s="503">
        <f t="shared" si="3"/>
        <v>0</v>
      </c>
      <c r="H39" s="498">
        <f>SUM($F$9:F39)/A39</f>
        <v>402.58064516129031</v>
      </c>
      <c r="I39" s="499">
        <f>SUM($G$9:G39)/A39</f>
        <v>408.96774193548384</v>
      </c>
      <c r="J39" s="443">
        <f t="shared" si="7"/>
        <v>19969.021000000001</v>
      </c>
      <c r="K39" s="459">
        <f t="shared" si="7"/>
        <v>19960.599999999999</v>
      </c>
      <c r="L39" s="495">
        <f t="shared" si="8"/>
        <v>49.602536137820515</v>
      </c>
      <c r="M39" s="464">
        <f t="shared" si="8"/>
        <v>48.807272440448017</v>
      </c>
      <c r="N39" s="366"/>
      <c r="O39" s="446"/>
      <c r="P39" s="446"/>
      <c r="Q39" s="446"/>
      <c r="R39" s="446"/>
      <c r="S39" s="647">
        <f t="shared" si="4"/>
        <v>18.489834259259261</v>
      </c>
      <c r="T39" s="305"/>
    </row>
    <row r="40" spans="1:21" s="374" customFormat="1" ht="12" customHeight="1">
      <c r="A40" s="370" t="s">
        <v>29</v>
      </c>
      <c r="B40" s="371"/>
      <c r="C40" s="372"/>
      <c r="D40" s="923">
        <f>SUM(D9:D39)</f>
        <v>20000</v>
      </c>
      <c r="E40" s="923">
        <f>SUM(E9:E39)</f>
        <v>20000</v>
      </c>
      <c r="F40" s="389">
        <f>SUM(F9:F39)</f>
        <v>12480</v>
      </c>
      <c r="G40" s="496">
        <f>SUM(G9:G39)</f>
        <v>12678</v>
      </c>
      <c r="H40" s="389"/>
      <c r="I40" s="496"/>
      <c r="J40" s="641">
        <f>J39</f>
        <v>19969.021000000001</v>
      </c>
      <c r="K40" s="642">
        <f>K39</f>
        <v>19960.599999999999</v>
      </c>
      <c r="L40" s="464"/>
      <c r="M40" s="464"/>
      <c r="N40" s="366"/>
      <c r="O40" s="389">
        <f>SUM(O9:O39)</f>
        <v>8760</v>
      </c>
      <c r="P40" s="496">
        <f>SUM(P9:P39)</f>
        <v>8896</v>
      </c>
      <c r="Q40" s="389">
        <f>SUM(Q9:Q39)</f>
        <v>3720</v>
      </c>
      <c r="R40" s="496">
        <f>SUM(R9:R39)</f>
        <v>3782</v>
      </c>
      <c r="T40" s="305"/>
    </row>
    <row r="41" spans="1:21" s="374" customFormat="1" ht="12" customHeight="1">
      <c r="A41" s="370" t="s">
        <v>15</v>
      </c>
      <c r="B41" s="371"/>
      <c r="C41" s="372"/>
      <c r="D41" s="388">
        <f>D8+D40</f>
        <v>32449.021000000001</v>
      </c>
      <c r="E41" s="388">
        <f>E8+E40</f>
        <v>32638.6</v>
      </c>
      <c r="F41" s="389">
        <f>F40</f>
        <v>12480</v>
      </c>
      <c r="G41" s="496">
        <f>G40</f>
        <v>12678</v>
      </c>
      <c r="H41" s="389"/>
      <c r="I41" s="496"/>
      <c r="J41" s="641">
        <f>D41-F41</f>
        <v>19969.021000000001</v>
      </c>
      <c r="K41" s="641">
        <f>E41-G41</f>
        <v>19960.599999999999</v>
      </c>
      <c r="L41" s="464"/>
      <c r="M41" s="464"/>
      <c r="N41" s="507"/>
      <c r="O41" s="653"/>
      <c r="P41" s="653"/>
      <c r="Q41" s="653"/>
      <c r="R41" s="653"/>
      <c r="T41" s="305"/>
    </row>
    <row r="42" spans="1:21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T42" s="305"/>
    </row>
    <row r="43" spans="1:21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21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21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21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21">
      <c r="D47" s="143"/>
      <c r="E47" s="143"/>
      <c r="F47" s="143"/>
      <c r="G47" s="143"/>
      <c r="H47" s="143"/>
      <c r="I47" s="143"/>
      <c r="J47" s="143"/>
      <c r="K47" s="143"/>
    </row>
    <row r="48" spans="1:21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2287" priority="433" operator="lessThan">
      <formula>15</formula>
    </cfRule>
    <cfRule type="cellIs" dxfId="12286" priority="434" operator="greaterThan">
      <formula>20</formula>
    </cfRule>
    <cfRule type="cellIs" dxfId="12285" priority="435" operator="between">
      <formula>15</formula>
      <formula>20</formula>
    </cfRule>
    <cfRule type="cellIs" dxfId="12284" priority="436" operator="between">
      <formula>15</formula>
      <formula>20</formula>
    </cfRule>
    <cfRule type="cellIs" dxfId="12283" priority="437" operator="lessThan">
      <formula>15</formula>
    </cfRule>
    <cfRule type="cellIs" dxfId="12282" priority="438" operator="greaterThan">
      <formula>20</formula>
    </cfRule>
    <cfRule type="cellIs" dxfId="12281" priority="439" operator="between">
      <formula>15</formula>
      <formula>21</formula>
    </cfRule>
    <cfRule type="cellIs" dxfId="12280" priority="440" operator="lessThan">
      <formula>15</formula>
    </cfRule>
    <cfRule type="cellIs" dxfId="12279" priority="441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31496062992125984"/>
  <pageSetup paperSize="9" orientation="landscape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W49"/>
  <sheetViews>
    <sheetView workbookViewId="0">
      <pane ySplit="8" topLeftCell="A9" activePane="bottomLeft" state="frozen"/>
      <selection pane="bottomLeft" activeCell="F10" sqref="F10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" style="142" customWidth="1"/>
    <col min="12" max="13" width="10.85546875" style="143" customWidth="1"/>
    <col min="14" max="18" width="6.42578125" style="143" customWidth="1"/>
    <col min="19" max="19" width="11.5703125" style="143" bestFit="1" customWidth="1"/>
    <col min="20" max="20" width="11" style="143" customWidth="1"/>
    <col min="21" max="16384" width="9.28515625" style="143"/>
  </cols>
  <sheetData>
    <row r="1" spans="1:23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</row>
    <row r="2" spans="1:23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</row>
    <row r="3" spans="1:23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3" s="1301" customFormat="1" ht="15" customHeight="1">
      <c r="A4" s="1600" t="s">
        <v>33</v>
      </c>
      <c r="B4" s="1600"/>
      <c r="C4" s="316" t="str">
        <f>J4</f>
        <v>FRIT A103-ACV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1123</v>
      </c>
      <c r="K4" s="319"/>
      <c r="L4" s="319"/>
      <c r="M4" s="319"/>
      <c r="O4" s="1422"/>
      <c r="P4" s="1422"/>
      <c r="Q4" s="1422"/>
      <c r="R4" s="1422"/>
      <c r="S4" s="143"/>
    </row>
    <row r="5" spans="1:23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3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3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3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1950</v>
      </c>
    </row>
    <row r="9" spans="1:23" s="367" customFormat="1" ht="12" customHeight="1">
      <c r="A9" s="364">
        <v>1</v>
      </c>
      <c r="B9" s="365">
        <f>'FRIT HGE91-FHG'!B9</f>
        <v>46235</v>
      </c>
      <c r="C9" s="331" t="s">
        <v>349</v>
      </c>
      <c r="D9" s="921">
        <f>E9-E9*N9</f>
        <v>0</v>
      </c>
      <c r="E9" s="922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0</v>
      </c>
      <c r="K9" s="459">
        <f t="shared" si="0"/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  <c r="T9" s="305"/>
    </row>
    <row r="10" spans="1:23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921">
        <f t="shared" ref="D10:D39" si="1">E10-E10*N10</f>
        <v>0</v>
      </c>
      <c r="E10" s="922"/>
      <c r="F10" s="446">
        <f t="shared" ref="F10:G39" si="2">O10+Q10</f>
        <v>0</v>
      </c>
      <c r="G10" s="503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0"/>
        <v>0</v>
      </c>
      <c r="K10" s="459">
        <f t="shared" si="0"/>
        <v>0</v>
      </c>
      <c r="L10" s="495" t="e">
        <f>J10/H10</f>
        <v>#DIV/0!</v>
      </c>
      <c r="M10" s="464" t="e">
        <f>K10/I10</f>
        <v>#DIV/0!</v>
      </c>
      <c r="N10" s="366"/>
      <c r="O10" s="446"/>
      <c r="P10" s="446"/>
      <c r="Q10" s="446"/>
      <c r="R10" s="446"/>
      <c r="S10" s="647">
        <f t="shared" ref="S10:S39" si="3">J10/$S$8</f>
        <v>0</v>
      </c>
      <c r="T10" s="305"/>
    </row>
    <row r="11" spans="1:23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921">
        <f t="shared" si="1"/>
        <v>0</v>
      </c>
      <c r="E11" s="922"/>
      <c r="F11" s="446">
        <f t="shared" si="2"/>
        <v>0</v>
      </c>
      <c r="G11" s="503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0"/>
        <v>0</v>
      </c>
      <c r="K11" s="459">
        <f t="shared" si="0"/>
        <v>0</v>
      </c>
      <c r="L11" s="495" t="e">
        <f t="shared" ref="L11:M26" si="4">J11/H11</f>
        <v>#DIV/0!</v>
      </c>
      <c r="M11" s="464" t="e">
        <f t="shared" si="4"/>
        <v>#DIV/0!</v>
      </c>
      <c r="N11" s="366"/>
      <c r="O11" s="446"/>
      <c r="P11" s="446"/>
      <c r="Q11" s="446"/>
      <c r="R11" s="446"/>
      <c r="S11" s="647">
        <f t="shared" si="3"/>
        <v>0</v>
      </c>
      <c r="T11" s="305"/>
    </row>
    <row r="12" spans="1:23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921">
        <f t="shared" si="1"/>
        <v>0</v>
      </c>
      <c r="E12" s="922"/>
      <c r="F12" s="446">
        <f t="shared" si="2"/>
        <v>0</v>
      </c>
      <c r="G12" s="503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0"/>
        <v>0</v>
      </c>
      <c r="K12" s="459">
        <f t="shared" si="0"/>
        <v>0</v>
      </c>
      <c r="L12" s="495" t="e">
        <f t="shared" si="4"/>
        <v>#DIV/0!</v>
      </c>
      <c r="M12" s="464" t="e">
        <f t="shared" si="4"/>
        <v>#DIV/0!</v>
      </c>
      <c r="N12" s="366"/>
      <c r="O12" s="446"/>
      <c r="P12" s="446"/>
      <c r="Q12" s="446"/>
      <c r="R12" s="446"/>
      <c r="S12" s="647">
        <f t="shared" si="3"/>
        <v>0</v>
      </c>
      <c r="T12" s="305"/>
    </row>
    <row r="13" spans="1:23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921">
        <f>E13-E13*N13</f>
        <v>0</v>
      </c>
      <c r="E13" s="922"/>
      <c r="F13" s="446">
        <f t="shared" si="2"/>
        <v>0</v>
      </c>
      <c r="G13" s="503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0"/>
        <v>0</v>
      </c>
      <c r="K13" s="459">
        <f>K12+E13-G13</f>
        <v>0</v>
      </c>
      <c r="L13" s="505" t="e">
        <f t="shared" si="4"/>
        <v>#DIV/0!</v>
      </c>
      <c r="M13" s="464" t="e">
        <f t="shared" si="4"/>
        <v>#DIV/0!</v>
      </c>
      <c r="N13" s="366"/>
      <c r="O13" s="446"/>
      <c r="P13" s="446"/>
      <c r="Q13" s="446"/>
      <c r="R13" s="446"/>
      <c r="S13" s="647">
        <f t="shared" si="3"/>
        <v>0</v>
      </c>
      <c r="T13" s="305"/>
    </row>
    <row r="14" spans="1:23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921">
        <f t="shared" si="1"/>
        <v>0</v>
      </c>
      <c r="E14" s="922"/>
      <c r="F14" s="446">
        <f t="shared" si="2"/>
        <v>0</v>
      </c>
      <c r="G14" s="503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0"/>
        <v>0</v>
      </c>
      <c r="K14" s="459">
        <f t="shared" si="0"/>
        <v>0</v>
      </c>
      <c r="L14" s="495" t="e">
        <f>J14/H14</f>
        <v>#DIV/0!</v>
      </c>
      <c r="M14" s="464" t="e">
        <f t="shared" si="4"/>
        <v>#DIV/0!</v>
      </c>
      <c r="N14" s="366"/>
      <c r="O14" s="446"/>
      <c r="P14" s="446"/>
      <c r="Q14" s="446"/>
      <c r="R14" s="446"/>
      <c r="S14" s="647">
        <f t="shared" si="3"/>
        <v>0</v>
      </c>
      <c r="T14" s="305"/>
    </row>
    <row r="15" spans="1:23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921">
        <f t="shared" si="1"/>
        <v>0</v>
      </c>
      <c r="E15" s="922"/>
      <c r="F15" s="446">
        <f t="shared" si="2"/>
        <v>0</v>
      </c>
      <c r="G15" s="503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0"/>
        <v>0</v>
      </c>
      <c r="K15" s="459">
        <f t="shared" si="0"/>
        <v>0</v>
      </c>
      <c r="L15" s="495" t="e">
        <f t="shared" si="4"/>
        <v>#DIV/0!</v>
      </c>
      <c r="M15" s="464" t="e">
        <f t="shared" si="4"/>
        <v>#DIV/0!</v>
      </c>
      <c r="N15" s="366"/>
      <c r="O15" s="446"/>
      <c r="P15" s="446"/>
      <c r="Q15" s="446"/>
      <c r="R15" s="446"/>
      <c r="S15" s="647">
        <f t="shared" si="3"/>
        <v>0</v>
      </c>
      <c r="T15" s="305"/>
    </row>
    <row r="16" spans="1:23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921">
        <f t="shared" si="1"/>
        <v>0</v>
      </c>
      <c r="E16" s="922"/>
      <c r="F16" s="446">
        <f t="shared" si="2"/>
        <v>0</v>
      </c>
      <c r="G16" s="503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0"/>
        <v>0</v>
      </c>
      <c r="K16" s="459">
        <f t="shared" si="0"/>
        <v>0</v>
      </c>
      <c r="L16" s="495" t="e">
        <f t="shared" si="4"/>
        <v>#DIV/0!</v>
      </c>
      <c r="M16" s="464" t="e">
        <f t="shared" si="4"/>
        <v>#DIV/0!</v>
      </c>
      <c r="N16" s="366"/>
      <c r="O16" s="446"/>
      <c r="P16" s="446"/>
      <c r="Q16" s="446"/>
      <c r="R16" s="446"/>
      <c r="S16" s="647">
        <f t="shared" si="3"/>
        <v>0</v>
      </c>
      <c r="T16" s="305"/>
    </row>
    <row r="17" spans="1:20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921">
        <f t="shared" si="1"/>
        <v>0</v>
      </c>
      <c r="E17" s="922"/>
      <c r="F17" s="446">
        <f t="shared" si="2"/>
        <v>0</v>
      </c>
      <c r="G17" s="503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0"/>
        <v>0</v>
      </c>
      <c r="K17" s="459">
        <f t="shared" si="0"/>
        <v>0</v>
      </c>
      <c r="L17" s="495" t="e">
        <f t="shared" si="4"/>
        <v>#DIV/0!</v>
      </c>
      <c r="M17" s="464" t="e">
        <f t="shared" si="4"/>
        <v>#DIV/0!</v>
      </c>
      <c r="N17" s="366"/>
      <c r="O17" s="446"/>
      <c r="P17" s="446"/>
      <c r="Q17" s="446"/>
      <c r="R17" s="446"/>
      <c r="S17" s="647">
        <f t="shared" si="3"/>
        <v>0</v>
      </c>
      <c r="T17" s="305"/>
    </row>
    <row r="18" spans="1:20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921">
        <f t="shared" si="1"/>
        <v>0</v>
      </c>
      <c r="E18" s="922"/>
      <c r="F18" s="446">
        <f t="shared" si="2"/>
        <v>0</v>
      </c>
      <c r="G18" s="503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0"/>
        <v>0</v>
      </c>
      <c r="K18" s="459">
        <f t="shared" si="0"/>
        <v>0</v>
      </c>
      <c r="L18" s="505" t="e">
        <f t="shared" si="4"/>
        <v>#DIV/0!</v>
      </c>
      <c r="M18" s="464" t="e">
        <f t="shared" si="4"/>
        <v>#DIV/0!</v>
      </c>
      <c r="N18" s="366"/>
      <c r="O18" s="446"/>
      <c r="P18" s="446"/>
      <c r="Q18" s="446"/>
      <c r="R18" s="446"/>
      <c r="S18" s="647">
        <f t="shared" si="3"/>
        <v>0</v>
      </c>
      <c r="T18" s="305"/>
    </row>
    <row r="19" spans="1:20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921">
        <f t="shared" si="1"/>
        <v>0</v>
      </c>
      <c r="E19" s="922"/>
      <c r="F19" s="446">
        <f t="shared" si="2"/>
        <v>0</v>
      </c>
      <c r="G19" s="503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0"/>
        <v>0</v>
      </c>
      <c r="K19" s="459">
        <f t="shared" si="0"/>
        <v>0</v>
      </c>
      <c r="L19" s="495" t="e">
        <f t="shared" si="4"/>
        <v>#DIV/0!</v>
      </c>
      <c r="M19" s="464" t="e">
        <f t="shared" si="4"/>
        <v>#DIV/0!</v>
      </c>
      <c r="N19" s="366"/>
      <c r="O19" s="446"/>
      <c r="P19" s="446"/>
      <c r="Q19" s="446"/>
      <c r="R19" s="446"/>
      <c r="S19" s="647">
        <f t="shared" si="3"/>
        <v>0</v>
      </c>
      <c r="T19" s="305"/>
    </row>
    <row r="20" spans="1:20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921">
        <f t="shared" si="1"/>
        <v>0</v>
      </c>
      <c r="E20" s="922"/>
      <c r="F20" s="446">
        <f t="shared" si="2"/>
        <v>0</v>
      </c>
      <c r="G20" s="503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0"/>
        <v>0</v>
      </c>
      <c r="K20" s="459">
        <f t="shared" si="0"/>
        <v>0</v>
      </c>
      <c r="L20" s="495" t="e">
        <f t="shared" si="4"/>
        <v>#DIV/0!</v>
      </c>
      <c r="M20" s="464" t="e">
        <f t="shared" si="4"/>
        <v>#DIV/0!</v>
      </c>
      <c r="N20" s="366"/>
      <c r="O20" s="446"/>
      <c r="P20" s="446"/>
      <c r="Q20" s="446"/>
      <c r="R20" s="446"/>
      <c r="S20" s="647">
        <f t="shared" si="3"/>
        <v>0</v>
      </c>
      <c r="T20" s="305"/>
    </row>
    <row r="21" spans="1:20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921">
        <f t="shared" si="1"/>
        <v>0</v>
      </c>
      <c r="E21" s="922"/>
      <c r="F21" s="446">
        <f t="shared" si="2"/>
        <v>0</v>
      </c>
      <c r="G21" s="503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0"/>
        <v>0</v>
      </c>
      <c r="K21" s="459">
        <f>K20+E21-G21</f>
        <v>0</v>
      </c>
      <c r="L21" s="495" t="e">
        <f t="shared" si="4"/>
        <v>#DIV/0!</v>
      </c>
      <c r="M21" s="464" t="e">
        <f t="shared" si="4"/>
        <v>#DIV/0!</v>
      </c>
      <c r="N21" s="366"/>
      <c r="O21" s="446"/>
      <c r="P21" s="446"/>
      <c r="Q21" s="446"/>
      <c r="R21" s="446"/>
      <c r="S21" s="647">
        <f t="shared" si="3"/>
        <v>0</v>
      </c>
      <c r="T21" s="305"/>
    </row>
    <row r="22" spans="1:20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921">
        <f t="shared" si="1"/>
        <v>0</v>
      </c>
      <c r="E22" s="922"/>
      <c r="F22" s="446">
        <f t="shared" si="2"/>
        <v>0</v>
      </c>
      <c r="G22" s="503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0"/>
        <v>0</v>
      </c>
      <c r="K22" s="459">
        <f>K21+E22-G22</f>
        <v>0</v>
      </c>
      <c r="L22" s="495" t="e">
        <f t="shared" si="4"/>
        <v>#DIV/0!</v>
      </c>
      <c r="M22" s="464" t="e">
        <f t="shared" si="4"/>
        <v>#DIV/0!</v>
      </c>
      <c r="N22" s="366"/>
      <c r="O22" s="446"/>
      <c r="P22" s="446"/>
      <c r="Q22" s="446"/>
      <c r="R22" s="446"/>
      <c r="S22" s="647">
        <f t="shared" si="3"/>
        <v>0</v>
      </c>
      <c r="T22" s="305"/>
    </row>
    <row r="23" spans="1:20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921">
        <f t="shared" si="1"/>
        <v>0</v>
      </c>
      <c r="E23" s="922"/>
      <c r="F23" s="446">
        <f t="shared" si="2"/>
        <v>0</v>
      </c>
      <c r="G23" s="503">
        <f t="shared" si="2"/>
        <v>0</v>
      </c>
      <c r="H23" s="504">
        <f>SUM($F$9:F23)/A23</f>
        <v>0</v>
      </c>
      <c r="I23" s="499">
        <f>SUM($G$9:G23)/A23</f>
        <v>0</v>
      </c>
      <c r="J23" s="504">
        <f t="shared" si="0"/>
        <v>0</v>
      </c>
      <c r="K23" s="459">
        <f t="shared" si="0"/>
        <v>0</v>
      </c>
      <c r="L23" s="505" t="e">
        <f t="shared" si="4"/>
        <v>#DIV/0!</v>
      </c>
      <c r="M23" s="464" t="e">
        <f t="shared" si="4"/>
        <v>#DIV/0!</v>
      </c>
      <c r="N23" s="366"/>
      <c r="O23" s="446"/>
      <c r="P23" s="446"/>
      <c r="Q23" s="446"/>
      <c r="R23" s="446"/>
      <c r="S23" s="647">
        <f t="shared" si="3"/>
        <v>0</v>
      </c>
      <c r="T23" s="305"/>
    </row>
    <row r="24" spans="1:20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921">
        <f t="shared" si="1"/>
        <v>0</v>
      </c>
      <c r="E24" s="922"/>
      <c r="F24" s="446">
        <f t="shared" si="2"/>
        <v>0</v>
      </c>
      <c r="G24" s="503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0"/>
        <v>0</v>
      </c>
      <c r="K24" s="459">
        <f>K23+E24-G24</f>
        <v>0</v>
      </c>
      <c r="L24" s="495" t="e">
        <f t="shared" si="4"/>
        <v>#DIV/0!</v>
      </c>
      <c r="M24" s="464" t="e">
        <f t="shared" si="4"/>
        <v>#DIV/0!</v>
      </c>
      <c r="N24" s="366"/>
      <c r="O24" s="446"/>
      <c r="P24" s="446"/>
      <c r="Q24" s="446"/>
      <c r="R24" s="446"/>
      <c r="S24" s="647">
        <f t="shared" si="3"/>
        <v>0</v>
      </c>
      <c r="T24" s="305"/>
    </row>
    <row r="25" spans="1:20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921">
        <f t="shared" si="1"/>
        <v>0</v>
      </c>
      <c r="E25" s="922"/>
      <c r="F25" s="446">
        <f t="shared" si="2"/>
        <v>0</v>
      </c>
      <c r="G25" s="503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5">J24+D25-F25</f>
        <v>0</v>
      </c>
      <c r="K25" s="459">
        <f>K24+E25-G25</f>
        <v>0</v>
      </c>
      <c r="L25" s="495" t="e">
        <f t="shared" si="4"/>
        <v>#DIV/0!</v>
      </c>
      <c r="M25" s="464" t="e">
        <f t="shared" si="4"/>
        <v>#DIV/0!</v>
      </c>
      <c r="N25" s="366"/>
      <c r="O25" s="446"/>
      <c r="P25" s="446"/>
      <c r="Q25" s="446"/>
      <c r="R25" s="446"/>
      <c r="S25" s="647">
        <f t="shared" si="3"/>
        <v>0</v>
      </c>
      <c r="T25" s="305"/>
    </row>
    <row r="26" spans="1:20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921">
        <f t="shared" si="1"/>
        <v>0</v>
      </c>
      <c r="E26" s="922"/>
      <c r="F26" s="446">
        <f t="shared" si="2"/>
        <v>0</v>
      </c>
      <c r="G26" s="503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5"/>
        <v>0</v>
      </c>
      <c r="K26" s="459">
        <f>K25+E26-G26</f>
        <v>0</v>
      </c>
      <c r="L26" s="495" t="e">
        <f t="shared" si="4"/>
        <v>#DIV/0!</v>
      </c>
      <c r="M26" s="464" t="e">
        <f t="shared" si="4"/>
        <v>#DIV/0!</v>
      </c>
      <c r="N26" s="366"/>
      <c r="O26" s="446"/>
      <c r="P26" s="446"/>
      <c r="Q26" s="446"/>
      <c r="R26" s="446"/>
      <c r="S26" s="647">
        <f t="shared" si="3"/>
        <v>0</v>
      </c>
      <c r="T26" s="305"/>
    </row>
    <row r="27" spans="1:20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921">
        <f t="shared" si="1"/>
        <v>0</v>
      </c>
      <c r="E27" s="922"/>
      <c r="F27" s="446">
        <f t="shared" si="2"/>
        <v>0</v>
      </c>
      <c r="G27" s="503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5"/>
        <v>0</v>
      </c>
      <c r="K27" s="459">
        <f>K26+E27-G27</f>
        <v>0</v>
      </c>
      <c r="L27" s="495" t="e">
        <f t="shared" ref="L27:M39" si="6">J27/H27</f>
        <v>#DIV/0!</v>
      </c>
      <c r="M27" s="464" t="e">
        <f t="shared" si="6"/>
        <v>#DIV/0!</v>
      </c>
      <c r="N27" s="366"/>
      <c r="O27" s="446"/>
      <c r="P27" s="446"/>
      <c r="Q27" s="446"/>
      <c r="R27" s="446"/>
      <c r="S27" s="647">
        <f>J27/$S$8</f>
        <v>0</v>
      </c>
      <c r="T27" s="305"/>
    </row>
    <row r="28" spans="1:20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921">
        <f t="shared" si="1"/>
        <v>0</v>
      </c>
      <c r="E28" s="922"/>
      <c r="F28" s="446">
        <f t="shared" si="2"/>
        <v>0</v>
      </c>
      <c r="G28" s="503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5"/>
        <v>0</v>
      </c>
      <c r="K28" s="459">
        <f t="shared" si="5"/>
        <v>0</v>
      </c>
      <c r="L28" s="505" t="e">
        <f t="shared" si="6"/>
        <v>#DIV/0!</v>
      </c>
      <c r="M28" s="464" t="e">
        <f t="shared" si="6"/>
        <v>#DIV/0!</v>
      </c>
      <c r="N28" s="366"/>
      <c r="O28" s="446"/>
      <c r="P28" s="446"/>
      <c r="Q28" s="446"/>
      <c r="R28" s="446"/>
      <c r="S28" s="647">
        <f t="shared" si="3"/>
        <v>0</v>
      </c>
      <c r="T28" s="305"/>
    </row>
    <row r="29" spans="1:20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921">
        <f t="shared" si="1"/>
        <v>0</v>
      </c>
      <c r="E29" s="922"/>
      <c r="F29" s="446">
        <f t="shared" si="2"/>
        <v>0</v>
      </c>
      <c r="G29" s="503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5"/>
        <v>0</v>
      </c>
      <c r="K29" s="459">
        <f t="shared" si="5"/>
        <v>0</v>
      </c>
      <c r="L29" s="495" t="e">
        <f t="shared" si="6"/>
        <v>#DIV/0!</v>
      </c>
      <c r="M29" s="464" t="e">
        <f t="shared" si="6"/>
        <v>#DIV/0!</v>
      </c>
      <c r="N29" s="366"/>
      <c r="O29" s="446"/>
      <c r="P29" s="446"/>
      <c r="Q29" s="446"/>
      <c r="R29" s="446"/>
      <c r="S29" s="647">
        <f t="shared" si="3"/>
        <v>0</v>
      </c>
      <c r="T29" s="305"/>
    </row>
    <row r="30" spans="1:20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921">
        <f t="shared" si="1"/>
        <v>0</v>
      </c>
      <c r="E30" s="922"/>
      <c r="F30" s="446">
        <f t="shared" si="2"/>
        <v>0</v>
      </c>
      <c r="G30" s="503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5"/>
        <v>0</v>
      </c>
      <c r="K30" s="459">
        <f t="shared" si="5"/>
        <v>0</v>
      </c>
      <c r="L30" s="495" t="e">
        <f t="shared" si="6"/>
        <v>#DIV/0!</v>
      </c>
      <c r="M30" s="464" t="e">
        <f t="shared" si="6"/>
        <v>#DIV/0!</v>
      </c>
      <c r="N30" s="366"/>
      <c r="O30" s="446"/>
      <c r="P30" s="446"/>
      <c r="Q30" s="446"/>
      <c r="R30" s="446"/>
      <c r="S30" s="647">
        <f t="shared" si="3"/>
        <v>0</v>
      </c>
      <c r="T30" s="305"/>
    </row>
    <row r="31" spans="1:20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921">
        <f t="shared" si="1"/>
        <v>0</v>
      </c>
      <c r="E31" s="922"/>
      <c r="F31" s="446">
        <f t="shared" si="2"/>
        <v>0</v>
      </c>
      <c r="G31" s="503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5"/>
        <v>0</v>
      </c>
      <c r="K31" s="459">
        <f t="shared" si="5"/>
        <v>0</v>
      </c>
      <c r="L31" s="495" t="e">
        <f t="shared" si="6"/>
        <v>#DIV/0!</v>
      </c>
      <c r="M31" s="464" t="e">
        <f t="shared" si="6"/>
        <v>#DIV/0!</v>
      </c>
      <c r="N31" s="366"/>
      <c r="O31" s="446"/>
      <c r="P31" s="446"/>
      <c r="Q31" s="446"/>
      <c r="R31" s="446"/>
      <c r="S31" s="647">
        <f t="shared" si="3"/>
        <v>0</v>
      </c>
      <c r="T31" s="305"/>
    </row>
    <row r="32" spans="1:20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921">
        <f t="shared" si="1"/>
        <v>0</v>
      </c>
      <c r="E32" s="922"/>
      <c r="F32" s="446">
        <f t="shared" si="2"/>
        <v>0</v>
      </c>
      <c r="G32" s="503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5"/>
        <v>0</v>
      </c>
      <c r="K32" s="459">
        <f t="shared" si="5"/>
        <v>0</v>
      </c>
      <c r="L32" s="495" t="e">
        <f t="shared" si="6"/>
        <v>#DIV/0!</v>
      </c>
      <c r="M32" s="464" t="e">
        <f t="shared" si="6"/>
        <v>#DIV/0!</v>
      </c>
      <c r="N32" s="366"/>
      <c r="O32" s="446"/>
      <c r="P32" s="446"/>
      <c r="Q32" s="446"/>
      <c r="R32" s="446"/>
      <c r="S32" s="647">
        <f t="shared" si="3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921">
        <f t="shared" si="1"/>
        <v>0</v>
      </c>
      <c r="E33" s="922"/>
      <c r="F33" s="446">
        <f t="shared" si="2"/>
        <v>0</v>
      </c>
      <c r="G33" s="503">
        <f t="shared" si="2"/>
        <v>0</v>
      </c>
      <c r="H33" s="460">
        <f>SUM($F$9:F33)/A33</f>
        <v>0</v>
      </c>
      <c r="I33" s="499">
        <f>SUM($G$9:G33)/A33</f>
        <v>0</v>
      </c>
      <c r="J33" s="460">
        <f>J32+D33-F33</f>
        <v>0</v>
      </c>
      <c r="K33" s="459">
        <f t="shared" si="5"/>
        <v>0</v>
      </c>
      <c r="L33" s="506" t="e">
        <f t="shared" si="6"/>
        <v>#DIV/0!</v>
      </c>
      <c r="M33" s="464" t="e">
        <f t="shared" si="6"/>
        <v>#DIV/0!</v>
      </c>
      <c r="N33" s="366"/>
      <c r="O33" s="446"/>
      <c r="P33" s="446"/>
      <c r="Q33" s="446"/>
      <c r="R33" s="446"/>
      <c r="S33" s="647">
        <f t="shared" si="3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921">
        <f t="shared" si="1"/>
        <v>0</v>
      </c>
      <c r="E34" s="922"/>
      <c r="F34" s="446">
        <f t="shared" si="2"/>
        <v>0</v>
      </c>
      <c r="G34" s="503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5"/>
        <v>0</v>
      </c>
      <c r="K34" s="459">
        <f t="shared" si="5"/>
        <v>0</v>
      </c>
      <c r="L34" s="495" t="e">
        <f t="shared" si="6"/>
        <v>#DIV/0!</v>
      </c>
      <c r="M34" s="464" t="e">
        <f t="shared" si="6"/>
        <v>#DIV/0!</v>
      </c>
      <c r="N34" s="366"/>
      <c r="O34" s="446"/>
      <c r="P34" s="446"/>
      <c r="Q34" s="446"/>
      <c r="R34" s="446"/>
      <c r="S34" s="647">
        <f t="shared" si="3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921">
        <f t="shared" si="1"/>
        <v>0</v>
      </c>
      <c r="E35" s="922"/>
      <c r="F35" s="446">
        <f t="shared" si="2"/>
        <v>0</v>
      </c>
      <c r="G35" s="503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5"/>
        <v>0</v>
      </c>
      <c r="K35" s="459">
        <f t="shared" si="5"/>
        <v>0</v>
      </c>
      <c r="L35" s="495" t="e">
        <f t="shared" si="6"/>
        <v>#DIV/0!</v>
      </c>
      <c r="M35" s="464" t="e">
        <f t="shared" si="6"/>
        <v>#DIV/0!</v>
      </c>
      <c r="N35" s="366"/>
      <c r="O35" s="446"/>
      <c r="P35" s="446"/>
      <c r="Q35" s="446"/>
      <c r="R35" s="446"/>
      <c r="S35" s="647">
        <f t="shared" si="3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921">
        <f t="shared" si="1"/>
        <v>0</v>
      </c>
      <c r="E36" s="922"/>
      <c r="F36" s="446">
        <f t="shared" si="2"/>
        <v>0</v>
      </c>
      <c r="G36" s="503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5"/>
        <v>0</v>
      </c>
      <c r="K36" s="459">
        <f t="shared" si="5"/>
        <v>0</v>
      </c>
      <c r="L36" s="495" t="e">
        <f t="shared" si="6"/>
        <v>#DIV/0!</v>
      </c>
      <c r="M36" s="464" t="e">
        <f t="shared" si="6"/>
        <v>#DIV/0!</v>
      </c>
      <c r="N36" s="366"/>
      <c r="O36" s="446"/>
      <c r="P36" s="446"/>
      <c r="Q36" s="446"/>
      <c r="R36" s="446"/>
      <c r="S36" s="647">
        <f t="shared" si="3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921">
        <f t="shared" si="1"/>
        <v>0</v>
      </c>
      <c r="E37" s="922"/>
      <c r="F37" s="446">
        <f t="shared" si="2"/>
        <v>0</v>
      </c>
      <c r="G37" s="503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5"/>
        <v>0</v>
      </c>
      <c r="K37" s="459">
        <f t="shared" si="5"/>
        <v>0</v>
      </c>
      <c r="L37" s="495" t="e">
        <f t="shared" si="6"/>
        <v>#DIV/0!</v>
      </c>
      <c r="M37" s="464" t="e">
        <f t="shared" si="6"/>
        <v>#DIV/0!</v>
      </c>
      <c r="N37" s="366"/>
      <c r="O37" s="446"/>
      <c r="P37" s="446"/>
      <c r="Q37" s="446"/>
      <c r="R37" s="446"/>
      <c r="S37" s="647">
        <f t="shared" si="3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921">
        <f t="shared" si="1"/>
        <v>0</v>
      </c>
      <c r="E38" s="922"/>
      <c r="F38" s="446">
        <f t="shared" si="2"/>
        <v>0</v>
      </c>
      <c r="G38" s="503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5"/>
        <v>0</v>
      </c>
      <c r="K38" s="459">
        <f t="shared" si="5"/>
        <v>0</v>
      </c>
      <c r="L38" s="505" t="e">
        <f t="shared" si="6"/>
        <v>#DIV/0!</v>
      </c>
      <c r="M38" s="464" t="e">
        <f t="shared" si="6"/>
        <v>#DIV/0!</v>
      </c>
      <c r="N38" s="366"/>
      <c r="O38" s="446"/>
      <c r="P38" s="446"/>
      <c r="Q38" s="446"/>
      <c r="R38" s="446"/>
      <c r="S38" s="647">
        <f t="shared" si="3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921">
        <f t="shared" si="1"/>
        <v>0</v>
      </c>
      <c r="E39" s="922"/>
      <c r="F39" s="446">
        <f t="shared" si="2"/>
        <v>0</v>
      </c>
      <c r="G39" s="503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5"/>
        <v>0</v>
      </c>
      <c r="K39" s="459">
        <f t="shared" si="5"/>
        <v>0</v>
      </c>
      <c r="L39" s="495" t="e">
        <f t="shared" si="6"/>
        <v>#DIV/0!</v>
      </c>
      <c r="M39" s="464" t="e">
        <f t="shared" si="6"/>
        <v>#DIV/0!</v>
      </c>
      <c r="N39" s="366"/>
      <c r="O39" s="446"/>
      <c r="P39" s="446"/>
      <c r="Q39" s="446"/>
      <c r="R39" s="446"/>
      <c r="S39" s="647">
        <f t="shared" si="3"/>
        <v>0</v>
      </c>
    </row>
    <row r="40" spans="1:19" s="374" customFormat="1" ht="12" customHeight="1">
      <c r="A40" s="1302" t="s">
        <v>29</v>
      </c>
      <c r="B40" s="1303"/>
      <c r="C40" s="1304"/>
      <c r="D40" s="923">
        <f>SUM(D9:D39)</f>
        <v>0</v>
      </c>
      <c r="E40" s="923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641">
        <f>J39</f>
        <v>0</v>
      </c>
      <c r="K40" s="642">
        <f>K39</f>
        <v>0</v>
      </c>
      <c r="L40" s="464"/>
      <c r="M40" s="464"/>
      <c r="N40" s="366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1302" t="s">
        <v>15</v>
      </c>
      <c r="B41" s="1303"/>
      <c r="C41" s="1304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641">
        <f>D41-F41</f>
        <v>0</v>
      </c>
      <c r="K41" s="641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278" priority="1" operator="lessThan">
      <formula>15</formula>
    </cfRule>
    <cfRule type="cellIs" dxfId="12277" priority="2" operator="greaterThan">
      <formula>20</formula>
    </cfRule>
    <cfRule type="cellIs" dxfId="12276" priority="3" operator="between">
      <formula>15</formula>
      <formula>20</formula>
    </cfRule>
    <cfRule type="cellIs" dxfId="12275" priority="4" operator="between">
      <formula>15</formula>
      <formula>20</formula>
    </cfRule>
    <cfRule type="cellIs" dxfId="12274" priority="5" operator="lessThan">
      <formula>15</formula>
    </cfRule>
    <cfRule type="cellIs" dxfId="12273" priority="6" operator="greaterThan">
      <formula>20</formula>
    </cfRule>
    <cfRule type="cellIs" dxfId="12272" priority="7" operator="between">
      <formula>15</formula>
      <formula>21</formula>
    </cfRule>
    <cfRule type="cellIs" dxfId="12271" priority="8" operator="lessThan">
      <formula>15</formula>
    </cfRule>
    <cfRule type="cellIs" dxfId="12270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31496062992125984"/>
  <pageSetup paperSize="9" orientation="landscape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49"/>
  <sheetViews>
    <sheetView workbookViewId="0">
      <pane ySplit="8" topLeftCell="A12" activePane="bottomLeft" state="frozen"/>
      <selection pane="bottomLeft" activeCell="P26" sqref="P26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4" width="10.140625" style="142" customWidth="1"/>
    <col min="5" max="5" width="12.140625" style="142" customWidth="1"/>
    <col min="6" max="7" width="10.140625" style="142" customWidth="1"/>
    <col min="8" max="9" width="9.28515625" style="142" customWidth="1"/>
    <col min="10" max="11" width="10.28515625" style="142" customWidth="1"/>
    <col min="12" max="13" width="11.140625" style="143" customWidth="1"/>
    <col min="14" max="14" width="6.42578125" style="143" customWidth="1"/>
    <col min="15" max="18" width="10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</row>
    <row r="4" spans="1:29" s="376" customFormat="1" ht="16.5" customHeight="1">
      <c r="A4" s="1600" t="s">
        <v>33</v>
      </c>
      <c r="B4" s="1600"/>
      <c r="C4" s="316" t="s">
        <v>254</v>
      </c>
      <c r="D4" s="383"/>
      <c r="E4" s="383" t="s">
        <v>228</v>
      </c>
      <c r="F4" s="383"/>
      <c r="G4" s="383"/>
      <c r="I4" s="383" t="s">
        <v>120</v>
      </c>
      <c r="J4" s="316" t="s">
        <v>261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52686.112000000001</v>
      </c>
      <c r="E8" s="388">
        <f>K8</f>
        <v>53111</v>
      </c>
      <c r="F8" s="389"/>
      <c r="G8" s="388"/>
      <c r="H8" s="387"/>
      <c r="I8" s="388"/>
      <c r="J8" s="937">
        <f>K8-K8*N8</f>
        <v>52686.112000000001</v>
      </c>
      <c r="K8" s="324">
        <v>53111</v>
      </c>
      <c r="L8" s="462"/>
      <c r="M8" s="463"/>
      <c r="N8" s="366">
        <v>8.0000000000000002E-3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2400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349</v>
      </c>
      <c r="D9" s="1427">
        <f>E9-E9*N9</f>
        <v>0</v>
      </c>
      <c r="E9" s="1428"/>
      <c r="F9" s="446">
        <f>O9+Q9</f>
        <v>2175</v>
      </c>
      <c r="G9" s="503">
        <f>P9+R9</f>
        <v>2197</v>
      </c>
      <c r="H9" s="498">
        <f>SUM($F$9:F9)/A9</f>
        <v>2175</v>
      </c>
      <c r="I9" s="499">
        <f>SUM($G$9:G9)/A9</f>
        <v>2197</v>
      </c>
      <c r="J9" s="443">
        <f t="shared" ref="J9:K24" si="0">J8+D9-F9</f>
        <v>50511.112000000001</v>
      </c>
      <c r="K9" s="459">
        <f t="shared" si="0"/>
        <v>50914</v>
      </c>
      <c r="L9" s="495">
        <f>J9/H9</f>
        <v>23.223499770114945</v>
      </c>
      <c r="M9" s="464">
        <f>K9/I9</f>
        <v>23.174328629949933</v>
      </c>
      <c r="N9" s="366"/>
      <c r="O9" s="446">
        <v>1500</v>
      </c>
      <c r="P9" s="446">
        <v>1515</v>
      </c>
      <c r="Q9" s="446">
        <v>675</v>
      </c>
      <c r="R9" s="446">
        <v>682</v>
      </c>
      <c r="S9" s="647">
        <f>J9/$S$8</f>
        <v>21.046296666666667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1427">
        <f t="shared" ref="D10:D39" si="1">E10-E10*N10</f>
        <v>0</v>
      </c>
      <c r="E10" s="1428"/>
      <c r="F10" s="446">
        <f t="shared" ref="F10:G39" si="2">O10+Q10</f>
        <v>1500</v>
      </c>
      <c r="G10" s="503">
        <f t="shared" si="2"/>
        <v>1515</v>
      </c>
      <c r="H10" s="498">
        <f>SUM($F$9:F10)/A10</f>
        <v>1837.5</v>
      </c>
      <c r="I10" s="499">
        <f>SUM($G$9:G10)/A10</f>
        <v>1856</v>
      </c>
      <c r="J10" s="443">
        <f t="shared" si="0"/>
        <v>49011.112000000001</v>
      </c>
      <c r="K10" s="459">
        <f t="shared" si="0"/>
        <v>49399</v>
      </c>
      <c r="L10" s="495">
        <f t="shared" ref="L10:M25" si="3">J10/H10</f>
        <v>26.672714013605443</v>
      </c>
      <c r="M10" s="464">
        <f t="shared" si="3"/>
        <v>26.615840517241381</v>
      </c>
      <c r="N10" s="366"/>
      <c r="O10" s="446">
        <v>1500</v>
      </c>
      <c r="P10" s="446">
        <v>1515</v>
      </c>
      <c r="Q10" s="446"/>
      <c r="R10" s="446"/>
      <c r="S10" s="647">
        <f t="shared" ref="S10:S39" si="4">J10/$S$8</f>
        <v>20.421296666666667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1427">
        <f t="shared" si="1"/>
        <v>0</v>
      </c>
      <c r="E11" s="1428"/>
      <c r="F11" s="446">
        <f t="shared" si="2"/>
        <v>1575</v>
      </c>
      <c r="G11" s="503">
        <f t="shared" si="2"/>
        <v>1591</v>
      </c>
      <c r="H11" s="498">
        <f>SUM($F$9:F11)/A11</f>
        <v>1750</v>
      </c>
      <c r="I11" s="499">
        <f>SUM($G$9:G11)/A11</f>
        <v>1767.6666666666667</v>
      </c>
      <c r="J11" s="443">
        <f t="shared" si="0"/>
        <v>47436.112000000001</v>
      </c>
      <c r="K11" s="459">
        <f t="shared" si="0"/>
        <v>47808</v>
      </c>
      <c r="L11" s="495">
        <f t="shared" si="3"/>
        <v>27.106349714285717</v>
      </c>
      <c r="M11" s="464">
        <f t="shared" si="3"/>
        <v>27.045823118989251</v>
      </c>
      <c r="N11" s="366"/>
      <c r="O11" s="446">
        <v>900</v>
      </c>
      <c r="P11" s="446">
        <v>909</v>
      </c>
      <c r="Q11" s="446">
        <v>675</v>
      </c>
      <c r="R11" s="446">
        <v>682</v>
      </c>
      <c r="S11" s="647">
        <f t="shared" si="4"/>
        <v>19.765046666666667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1427">
        <f>E12-E12*N12</f>
        <v>0</v>
      </c>
      <c r="E12" s="1428"/>
      <c r="F12" s="446">
        <f t="shared" si="2"/>
        <v>2175</v>
      </c>
      <c r="G12" s="503">
        <f t="shared" si="2"/>
        <v>2197</v>
      </c>
      <c r="H12" s="498">
        <f>SUM($F$9:F12)/A12</f>
        <v>1856.25</v>
      </c>
      <c r="I12" s="499">
        <f>SUM($G$9:G12)/A12</f>
        <v>1875</v>
      </c>
      <c r="J12" s="443">
        <f t="shared" si="0"/>
        <v>45261.112000000001</v>
      </c>
      <c r="K12" s="459">
        <f t="shared" si="0"/>
        <v>45611</v>
      </c>
      <c r="L12" s="495">
        <f t="shared" si="3"/>
        <v>24.383090639730639</v>
      </c>
      <c r="M12" s="464">
        <f t="shared" si="3"/>
        <v>24.325866666666666</v>
      </c>
      <c r="N12" s="366"/>
      <c r="O12" s="446">
        <v>1500</v>
      </c>
      <c r="P12" s="446">
        <v>1515</v>
      </c>
      <c r="Q12" s="446">
        <v>675</v>
      </c>
      <c r="R12" s="446">
        <v>682</v>
      </c>
      <c r="S12" s="647">
        <f t="shared" si="4"/>
        <v>18.858796666666667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1427">
        <f t="shared" si="1"/>
        <v>0</v>
      </c>
      <c r="E13" s="1428"/>
      <c r="F13" s="446">
        <f t="shared" si="2"/>
        <v>1575</v>
      </c>
      <c r="G13" s="503">
        <f t="shared" si="2"/>
        <v>1591</v>
      </c>
      <c r="H13" s="504">
        <f>SUM($F$9:F13)/A13</f>
        <v>1800</v>
      </c>
      <c r="I13" s="499">
        <f>SUM($G$9:G13)/A13</f>
        <v>1818.2</v>
      </c>
      <c r="J13" s="504">
        <f t="shared" si="0"/>
        <v>43686.112000000001</v>
      </c>
      <c r="K13" s="459">
        <f t="shared" si="0"/>
        <v>44020</v>
      </c>
      <c r="L13" s="505">
        <f t="shared" si="3"/>
        <v>24.270062222222222</v>
      </c>
      <c r="M13" s="464">
        <f t="shared" si="3"/>
        <v>24.210757892421075</v>
      </c>
      <c r="N13" s="366"/>
      <c r="O13" s="446">
        <v>900</v>
      </c>
      <c r="P13" s="446">
        <v>909</v>
      </c>
      <c r="Q13" s="446">
        <v>675</v>
      </c>
      <c r="R13" s="446">
        <v>682</v>
      </c>
      <c r="S13" s="647">
        <f t="shared" si="4"/>
        <v>18.202546666666667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1427">
        <f t="shared" si="1"/>
        <v>0</v>
      </c>
      <c r="E14" s="1428"/>
      <c r="F14" s="446">
        <f t="shared" si="2"/>
        <v>2175</v>
      </c>
      <c r="G14" s="503">
        <f t="shared" si="2"/>
        <v>2200</v>
      </c>
      <c r="H14" s="498">
        <f>SUM($F$9:F14)/A14</f>
        <v>1862.5</v>
      </c>
      <c r="I14" s="499">
        <f>SUM($G$9:G14)/A14</f>
        <v>1881.8333333333333</v>
      </c>
      <c r="J14" s="443">
        <f t="shared" si="0"/>
        <v>41511.112000000001</v>
      </c>
      <c r="K14" s="459">
        <f t="shared" si="0"/>
        <v>41820</v>
      </c>
      <c r="L14" s="495">
        <f>J14/H14</f>
        <v>22.287845369127517</v>
      </c>
      <c r="M14" s="464">
        <f t="shared" si="3"/>
        <v>22.223009476574262</v>
      </c>
      <c r="N14" s="366"/>
      <c r="O14" s="446">
        <v>1500</v>
      </c>
      <c r="P14" s="446">
        <v>1517</v>
      </c>
      <c r="Q14" s="446">
        <v>675</v>
      </c>
      <c r="R14" s="446">
        <v>683</v>
      </c>
      <c r="S14" s="647">
        <f t="shared" si="4"/>
        <v>17.296296666666667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1427">
        <f t="shared" si="1"/>
        <v>28000</v>
      </c>
      <c r="E15" s="1428">
        <v>28000</v>
      </c>
      <c r="F15" s="446">
        <f t="shared" si="2"/>
        <v>2175</v>
      </c>
      <c r="G15" s="503">
        <f t="shared" si="2"/>
        <v>2200</v>
      </c>
      <c r="H15" s="498">
        <f>SUM($F$9:F15)/A15</f>
        <v>1907.1428571428571</v>
      </c>
      <c r="I15" s="499">
        <f>SUM($G$9:G15)/A15</f>
        <v>1927.2857142857142</v>
      </c>
      <c r="J15" s="443">
        <f t="shared" si="0"/>
        <v>67336.111999999994</v>
      </c>
      <c r="K15" s="459">
        <f t="shared" si="0"/>
        <v>67620</v>
      </c>
      <c r="L15" s="495">
        <f t="shared" si="3"/>
        <v>35.30732464419475</v>
      </c>
      <c r="M15" s="464">
        <f t="shared" si="3"/>
        <v>35.08561263064265</v>
      </c>
      <c r="N15" s="366"/>
      <c r="O15" s="446">
        <v>1500</v>
      </c>
      <c r="P15" s="446">
        <v>1517</v>
      </c>
      <c r="Q15" s="446">
        <v>675</v>
      </c>
      <c r="R15" s="446">
        <v>683</v>
      </c>
      <c r="S15" s="647">
        <f t="shared" si="4"/>
        <v>28.056713333333331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1427">
        <f t="shared" si="1"/>
        <v>0</v>
      </c>
      <c r="E16" s="1428"/>
      <c r="F16" s="446">
        <f t="shared" si="2"/>
        <v>2175</v>
      </c>
      <c r="G16" s="503">
        <f t="shared" si="2"/>
        <v>2200</v>
      </c>
      <c r="H16" s="498">
        <f>SUM($F$9:F16)/A16</f>
        <v>1940.625</v>
      </c>
      <c r="I16" s="499">
        <f>SUM($G$9:G16)/A16</f>
        <v>1961.375</v>
      </c>
      <c r="J16" s="443">
        <f t="shared" si="0"/>
        <v>65161.111999999994</v>
      </c>
      <c r="K16" s="459">
        <f t="shared" si="0"/>
        <v>65420</v>
      </c>
      <c r="L16" s="495">
        <f t="shared" si="3"/>
        <v>33.577384605475039</v>
      </c>
      <c r="M16" s="464">
        <f t="shared" si="3"/>
        <v>33.354152061691416</v>
      </c>
      <c r="N16" s="366"/>
      <c r="O16" s="446">
        <v>1500</v>
      </c>
      <c r="P16" s="446">
        <v>1517</v>
      </c>
      <c r="Q16" s="446">
        <v>675</v>
      </c>
      <c r="R16" s="446">
        <v>683</v>
      </c>
      <c r="S16" s="647">
        <f t="shared" si="4"/>
        <v>27.150463333333331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1427">
        <f t="shared" si="1"/>
        <v>0</v>
      </c>
      <c r="E17" s="1428"/>
      <c r="F17" s="446">
        <f t="shared" si="2"/>
        <v>1575</v>
      </c>
      <c r="G17" s="503">
        <f t="shared" si="2"/>
        <v>1593</v>
      </c>
      <c r="H17" s="498">
        <f>SUM($F$9:F17)/A17</f>
        <v>1900</v>
      </c>
      <c r="I17" s="499">
        <f>SUM($G$9:G17)/A17</f>
        <v>1920.4444444444443</v>
      </c>
      <c r="J17" s="443">
        <f t="shared" si="0"/>
        <v>63586.111999999994</v>
      </c>
      <c r="K17" s="459">
        <f t="shared" si="0"/>
        <v>63827</v>
      </c>
      <c r="L17" s="495">
        <f t="shared" si="3"/>
        <v>33.466374736842099</v>
      </c>
      <c r="M17" s="464">
        <f t="shared" si="3"/>
        <v>33.235535755612126</v>
      </c>
      <c r="N17" s="366"/>
      <c r="O17" s="446">
        <v>900</v>
      </c>
      <c r="P17" s="446">
        <v>910</v>
      </c>
      <c r="Q17" s="446">
        <v>675</v>
      </c>
      <c r="R17" s="446">
        <v>683</v>
      </c>
      <c r="S17" s="647">
        <f t="shared" si="4"/>
        <v>26.494213333333331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1427">
        <f>E18-E18*N18</f>
        <v>0</v>
      </c>
      <c r="E18" s="1428"/>
      <c r="F18" s="446">
        <f t="shared" si="2"/>
        <v>2175</v>
      </c>
      <c r="G18" s="503">
        <f t="shared" si="2"/>
        <v>2200</v>
      </c>
      <c r="H18" s="504">
        <f>SUM($F$9:F18)/A18</f>
        <v>1927.5</v>
      </c>
      <c r="I18" s="499">
        <f>SUM($G$9:G18)/A18</f>
        <v>1948.4</v>
      </c>
      <c r="J18" s="504">
        <f t="shared" si="0"/>
        <v>61411.111999999994</v>
      </c>
      <c r="K18" s="459">
        <f t="shared" si="0"/>
        <v>61627</v>
      </c>
      <c r="L18" s="505">
        <f t="shared" si="3"/>
        <v>31.860499092088194</v>
      </c>
      <c r="M18" s="464">
        <f t="shared" si="3"/>
        <v>31.629542188462327</v>
      </c>
      <c r="N18" s="366"/>
      <c r="O18" s="446">
        <v>1500</v>
      </c>
      <c r="P18" s="446">
        <v>1517</v>
      </c>
      <c r="Q18" s="446">
        <v>675</v>
      </c>
      <c r="R18" s="446">
        <v>683</v>
      </c>
      <c r="S18" s="647">
        <f t="shared" si="4"/>
        <v>25.587963333333331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1427">
        <f t="shared" si="1"/>
        <v>0</v>
      </c>
      <c r="E19" s="1428"/>
      <c r="F19" s="446">
        <f t="shared" si="2"/>
        <v>2820</v>
      </c>
      <c r="G19" s="503">
        <f t="shared" si="2"/>
        <v>2848</v>
      </c>
      <c r="H19" s="498">
        <f>SUM($F$9:F19)/A19</f>
        <v>2008.6363636363637</v>
      </c>
      <c r="I19" s="499">
        <f>SUM($G$9:G19)/A19</f>
        <v>2030.1818181818182</v>
      </c>
      <c r="J19" s="443">
        <f t="shared" si="0"/>
        <v>58591.111999999994</v>
      </c>
      <c r="K19" s="459">
        <f t="shared" si="0"/>
        <v>58779</v>
      </c>
      <c r="L19" s="495">
        <f t="shared" si="3"/>
        <v>29.169596379271322</v>
      </c>
      <c r="M19" s="464">
        <f t="shared" si="3"/>
        <v>28.952579258463192</v>
      </c>
      <c r="N19" s="366"/>
      <c r="O19" s="446">
        <v>1500</v>
      </c>
      <c r="P19" s="446">
        <v>1515</v>
      </c>
      <c r="Q19" s="446">
        <f>900+420</f>
        <v>1320</v>
      </c>
      <c r="R19" s="446">
        <f>909+424</f>
        <v>1333</v>
      </c>
      <c r="S19" s="647">
        <f t="shared" si="4"/>
        <v>24.41296333333333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1427">
        <f t="shared" si="1"/>
        <v>0</v>
      </c>
      <c r="E20" s="1428"/>
      <c r="F20" s="446">
        <f t="shared" si="2"/>
        <v>2400</v>
      </c>
      <c r="G20" s="503">
        <f t="shared" si="2"/>
        <v>2424</v>
      </c>
      <c r="H20" s="498">
        <f>SUM($F$9:F20)/A20</f>
        <v>2041.25</v>
      </c>
      <c r="I20" s="499">
        <f>SUM($G$9:G20)/A20</f>
        <v>2063</v>
      </c>
      <c r="J20" s="443">
        <f t="shared" si="0"/>
        <v>56191.111999999994</v>
      </c>
      <c r="K20" s="459">
        <f t="shared" si="0"/>
        <v>56355</v>
      </c>
      <c r="L20" s="495">
        <f t="shared" si="3"/>
        <v>27.527795223515</v>
      </c>
      <c r="M20" s="464">
        <f t="shared" si="3"/>
        <v>27.317014057198254</v>
      </c>
      <c r="N20" s="366"/>
      <c r="O20" s="446">
        <v>900</v>
      </c>
      <c r="P20" s="446">
        <v>909</v>
      </c>
      <c r="Q20" s="446">
        <f>1500</f>
        <v>1500</v>
      </c>
      <c r="R20" s="446">
        <f>1515</f>
        <v>1515</v>
      </c>
      <c r="S20" s="647">
        <f t="shared" si="4"/>
        <v>23.41296333333333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1425">
        <f t="shared" si="1"/>
        <v>0</v>
      </c>
      <c r="E21" s="1428"/>
      <c r="F21" s="446">
        <f t="shared" si="2"/>
        <v>2250</v>
      </c>
      <c r="G21" s="503">
        <f t="shared" si="2"/>
        <v>2273</v>
      </c>
      <c r="H21" s="498">
        <f>SUM($F$9:F21)/A21</f>
        <v>2057.3076923076924</v>
      </c>
      <c r="I21" s="499">
        <f>SUM($G$9:G21)/A21</f>
        <v>2079.1538461538462</v>
      </c>
      <c r="J21" s="443">
        <f t="shared" si="0"/>
        <v>53941.111999999994</v>
      </c>
      <c r="K21" s="459">
        <f t="shared" si="0"/>
        <v>54082</v>
      </c>
      <c r="L21" s="495">
        <f t="shared" si="3"/>
        <v>26.219272985604782</v>
      </c>
      <c r="M21" s="464">
        <f t="shared" si="3"/>
        <v>26.011543157349514</v>
      </c>
      <c r="N21" s="366"/>
      <c r="O21" s="446">
        <v>1350</v>
      </c>
      <c r="P21" s="446">
        <v>1364</v>
      </c>
      <c r="Q21" s="446">
        <v>900</v>
      </c>
      <c r="R21" s="446">
        <v>909</v>
      </c>
      <c r="S21" s="647">
        <f t="shared" si="4"/>
        <v>22.47546333333333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1427">
        <f t="shared" si="1"/>
        <v>0</v>
      </c>
      <c r="E22" s="1428"/>
      <c r="F22" s="446">
        <f t="shared" si="2"/>
        <v>3000</v>
      </c>
      <c r="G22" s="503">
        <f t="shared" si="2"/>
        <v>3030</v>
      </c>
      <c r="H22" s="498">
        <f>SUM($F$9:F22)/A22</f>
        <v>2124.6428571428573</v>
      </c>
      <c r="I22" s="499">
        <f>SUM($G$9:G22)/A22</f>
        <v>2147.0714285714284</v>
      </c>
      <c r="J22" s="443">
        <f t="shared" si="0"/>
        <v>50941.111999999994</v>
      </c>
      <c r="K22" s="459">
        <f t="shared" si="0"/>
        <v>51052</v>
      </c>
      <c r="L22" s="495">
        <f t="shared" si="3"/>
        <v>23.976317633215661</v>
      </c>
      <c r="M22" s="464">
        <f t="shared" si="3"/>
        <v>23.777504241658075</v>
      </c>
      <c r="N22" s="366"/>
      <c r="O22" s="446">
        <v>1500</v>
      </c>
      <c r="P22" s="446">
        <v>1515</v>
      </c>
      <c r="Q22" s="446">
        <v>1500</v>
      </c>
      <c r="R22" s="446">
        <v>1515</v>
      </c>
      <c r="S22" s="647">
        <f t="shared" si="4"/>
        <v>21.22546333333333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1427">
        <f t="shared" si="1"/>
        <v>0</v>
      </c>
      <c r="E23" s="1428"/>
      <c r="F23" s="446">
        <f t="shared" si="2"/>
        <v>2400</v>
      </c>
      <c r="G23" s="503">
        <f t="shared" si="2"/>
        <v>2424</v>
      </c>
      <c r="H23" s="504">
        <f>SUM($F$9:F23)/A23</f>
        <v>2143</v>
      </c>
      <c r="I23" s="499">
        <f>SUM($G$9:G23)/A23</f>
        <v>2165.5333333333333</v>
      </c>
      <c r="J23" s="504">
        <f t="shared" si="0"/>
        <v>48541.111999999994</v>
      </c>
      <c r="K23" s="459">
        <f t="shared" si="0"/>
        <v>48628</v>
      </c>
      <c r="L23" s="505">
        <f t="shared" si="3"/>
        <v>22.651008866075593</v>
      </c>
      <c r="M23" s="464">
        <f t="shared" si="3"/>
        <v>22.455438229227596</v>
      </c>
      <c r="N23" s="366"/>
      <c r="O23" s="446">
        <v>900</v>
      </c>
      <c r="P23" s="446">
        <v>909</v>
      </c>
      <c r="Q23" s="446">
        <v>1500</v>
      </c>
      <c r="R23" s="446">
        <v>1515</v>
      </c>
      <c r="S23" s="647">
        <f t="shared" si="4"/>
        <v>20.22546333333333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1427">
        <f t="shared" si="1"/>
        <v>0</v>
      </c>
      <c r="E24" s="1428"/>
      <c r="F24" s="446">
        <f t="shared" si="2"/>
        <v>3000</v>
      </c>
      <c r="G24" s="503">
        <f t="shared" si="2"/>
        <v>3030</v>
      </c>
      <c r="H24" s="498">
        <f>SUM($F$9:F24)/A24</f>
        <v>2196.5625</v>
      </c>
      <c r="I24" s="499">
        <f>SUM($G$9:G24)/A24</f>
        <v>2219.5625</v>
      </c>
      <c r="J24" s="443">
        <f t="shared" si="0"/>
        <v>45541.111999999994</v>
      </c>
      <c r="K24" s="459">
        <f t="shared" si="0"/>
        <v>45598</v>
      </c>
      <c r="L24" s="495">
        <f t="shared" si="3"/>
        <v>20.732900611751312</v>
      </c>
      <c r="M24" s="464">
        <f t="shared" si="3"/>
        <v>20.543688226846506</v>
      </c>
      <c r="N24" s="366"/>
      <c r="O24" s="446">
        <v>1500</v>
      </c>
      <c r="P24" s="446">
        <v>1515</v>
      </c>
      <c r="Q24" s="446">
        <v>1500</v>
      </c>
      <c r="R24" s="446">
        <v>1515</v>
      </c>
      <c r="S24" s="647">
        <f t="shared" si="4"/>
        <v>18.97546333333333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1427">
        <f t="shared" si="1"/>
        <v>0</v>
      </c>
      <c r="E25" s="1428"/>
      <c r="F25" s="446">
        <f t="shared" si="2"/>
        <v>2400</v>
      </c>
      <c r="G25" s="503">
        <f t="shared" si="2"/>
        <v>2424</v>
      </c>
      <c r="H25" s="498">
        <f>SUM($F$9:F25)/A25</f>
        <v>2208.5294117647059</v>
      </c>
      <c r="I25" s="499">
        <f>SUM($G$9:G25)/A25</f>
        <v>2231.5882352941176</v>
      </c>
      <c r="J25" s="443">
        <f t="shared" ref="J25:K39" si="5">J24+D25-F25</f>
        <v>43141.111999999994</v>
      </c>
      <c r="K25" s="459">
        <f t="shared" si="5"/>
        <v>43174</v>
      </c>
      <c r="L25" s="495">
        <f t="shared" si="3"/>
        <v>19.533863470502062</v>
      </c>
      <c r="M25" s="464">
        <f t="shared" si="3"/>
        <v>19.346759100614175</v>
      </c>
      <c r="N25" s="366"/>
      <c r="O25" s="446">
        <v>900</v>
      </c>
      <c r="P25" s="446">
        <v>909</v>
      </c>
      <c r="Q25" s="446">
        <v>1500</v>
      </c>
      <c r="R25" s="446">
        <v>1515</v>
      </c>
      <c r="S25" s="647">
        <f t="shared" si="4"/>
        <v>17.97546333333333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1427">
        <f t="shared" si="1"/>
        <v>0</v>
      </c>
      <c r="E26" s="1428"/>
      <c r="F26" s="446">
        <f t="shared" si="2"/>
        <v>0</v>
      </c>
      <c r="G26" s="503">
        <f t="shared" si="2"/>
        <v>0</v>
      </c>
      <c r="H26" s="498">
        <f>SUM($F$9:F26)/A26</f>
        <v>2085.8333333333335</v>
      </c>
      <c r="I26" s="499">
        <f>SUM($G$9:G26)/A26</f>
        <v>2107.6111111111113</v>
      </c>
      <c r="J26" s="443">
        <f t="shared" si="5"/>
        <v>43141.111999999994</v>
      </c>
      <c r="K26" s="459">
        <f t="shared" si="5"/>
        <v>43174</v>
      </c>
      <c r="L26" s="495">
        <f t="shared" ref="L26:M39" si="6">J26/H26</f>
        <v>20.682914262884534</v>
      </c>
      <c r="M26" s="464">
        <f t="shared" si="6"/>
        <v>20.484803753591478</v>
      </c>
      <c r="N26" s="366"/>
      <c r="O26" s="446"/>
      <c r="P26" s="446"/>
      <c r="Q26" s="446"/>
      <c r="R26" s="446"/>
      <c r="S26" s="647">
        <f t="shared" si="4"/>
        <v>17.97546333333333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1427">
        <f t="shared" si="1"/>
        <v>0</v>
      </c>
      <c r="E27" s="1428"/>
      <c r="F27" s="446">
        <f t="shared" si="2"/>
        <v>0</v>
      </c>
      <c r="G27" s="503">
        <f t="shared" si="2"/>
        <v>0</v>
      </c>
      <c r="H27" s="498">
        <f>SUM($F$9:F27)/A27</f>
        <v>1976.0526315789473</v>
      </c>
      <c r="I27" s="499">
        <f>SUM($G$9:G27)/A27</f>
        <v>1996.6842105263158</v>
      </c>
      <c r="J27" s="443">
        <f t="shared" si="5"/>
        <v>43141.111999999994</v>
      </c>
      <c r="K27" s="459">
        <f t="shared" si="5"/>
        <v>43174</v>
      </c>
      <c r="L27" s="495">
        <f t="shared" si="6"/>
        <v>21.831965055267009</v>
      </c>
      <c r="M27" s="464">
        <f t="shared" si="6"/>
        <v>21.622848406568785</v>
      </c>
      <c r="N27" s="366"/>
      <c r="O27" s="446"/>
      <c r="P27" s="446"/>
      <c r="Q27" s="446"/>
      <c r="R27" s="446"/>
      <c r="S27" s="647">
        <f t="shared" si="4"/>
        <v>17.97546333333333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1427">
        <f t="shared" si="1"/>
        <v>0</v>
      </c>
      <c r="E28" s="1428"/>
      <c r="F28" s="446">
        <f t="shared" si="2"/>
        <v>0</v>
      </c>
      <c r="G28" s="503">
        <f t="shared" si="2"/>
        <v>0</v>
      </c>
      <c r="H28" s="504">
        <f>SUM($F$9:F28)/A28</f>
        <v>1877.25</v>
      </c>
      <c r="I28" s="499">
        <f>SUM($G$9:G28)/A28</f>
        <v>1896.85</v>
      </c>
      <c r="J28" s="504">
        <f t="shared" si="5"/>
        <v>43141.111999999994</v>
      </c>
      <c r="K28" s="459">
        <f t="shared" si="5"/>
        <v>43174</v>
      </c>
      <c r="L28" s="505">
        <f t="shared" si="6"/>
        <v>22.981015847649484</v>
      </c>
      <c r="M28" s="464">
        <f t="shared" si="6"/>
        <v>22.760893059546092</v>
      </c>
      <c r="N28" s="366"/>
      <c r="O28" s="446"/>
      <c r="P28" s="446"/>
      <c r="Q28" s="446"/>
      <c r="R28" s="446"/>
      <c r="S28" s="647">
        <f t="shared" si="4"/>
        <v>17.97546333333333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1427">
        <f t="shared" si="1"/>
        <v>0</v>
      </c>
      <c r="E29" s="1428"/>
      <c r="F29" s="446">
        <f t="shared" si="2"/>
        <v>0</v>
      </c>
      <c r="G29" s="503">
        <f t="shared" si="2"/>
        <v>0</v>
      </c>
      <c r="H29" s="498">
        <f>SUM($F$9:F29)/A29</f>
        <v>1787.8571428571429</v>
      </c>
      <c r="I29" s="499">
        <f>SUM($G$9:G29)/A29</f>
        <v>1806.5238095238096</v>
      </c>
      <c r="J29" s="443">
        <f t="shared" si="5"/>
        <v>43141.111999999994</v>
      </c>
      <c r="K29" s="459">
        <f t="shared" si="5"/>
        <v>43174</v>
      </c>
      <c r="L29" s="495">
        <f t="shared" si="6"/>
        <v>24.130066640031959</v>
      </c>
      <c r="M29" s="464">
        <f t="shared" si="6"/>
        <v>23.898937712523391</v>
      </c>
      <c r="N29" s="366"/>
      <c r="O29" s="446"/>
      <c r="P29" s="446"/>
      <c r="Q29" s="446"/>
      <c r="R29" s="446"/>
      <c r="S29" s="647">
        <f t="shared" si="4"/>
        <v>17.97546333333333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1427">
        <f t="shared" si="1"/>
        <v>0</v>
      </c>
      <c r="E30" s="1428"/>
      <c r="F30" s="446">
        <f t="shared" si="2"/>
        <v>0</v>
      </c>
      <c r="G30" s="503">
        <f t="shared" si="2"/>
        <v>0</v>
      </c>
      <c r="H30" s="498">
        <f>SUM($F$9:F30)/A30</f>
        <v>1706.590909090909</v>
      </c>
      <c r="I30" s="499">
        <f>SUM($G$9:G30)/A30</f>
        <v>1724.409090909091</v>
      </c>
      <c r="J30" s="443">
        <f t="shared" si="5"/>
        <v>43141.111999999994</v>
      </c>
      <c r="K30" s="459">
        <f t="shared" si="5"/>
        <v>43174</v>
      </c>
      <c r="L30" s="495">
        <f t="shared" si="6"/>
        <v>25.279117432414434</v>
      </c>
      <c r="M30" s="464">
        <f t="shared" si="6"/>
        <v>25.036982365500698</v>
      </c>
      <c r="N30" s="366"/>
      <c r="O30" s="446"/>
      <c r="P30" s="446"/>
      <c r="Q30" s="446"/>
      <c r="R30" s="446"/>
      <c r="S30" s="647">
        <f t="shared" si="4"/>
        <v>17.97546333333333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1427">
        <f t="shared" si="1"/>
        <v>0</v>
      </c>
      <c r="E31" s="1428"/>
      <c r="F31" s="446">
        <f t="shared" si="2"/>
        <v>0</v>
      </c>
      <c r="G31" s="503">
        <f t="shared" si="2"/>
        <v>0</v>
      </c>
      <c r="H31" s="498">
        <f>SUM($F$9:F31)/A31</f>
        <v>1632.391304347826</v>
      </c>
      <c r="I31" s="499">
        <f>SUM($G$9:G31)/A31</f>
        <v>1649.4347826086957</v>
      </c>
      <c r="J31" s="443">
        <f t="shared" si="5"/>
        <v>43141.111999999994</v>
      </c>
      <c r="K31" s="459">
        <f t="shared" si="5"/>
        <v>43174</v>
      </c>
      <c r="L31" s="495">
        <f t="shared" si="6"/>
        <v>26.428168224796909</v>
      </c>
      <c r="M31" s="464">
        <f t="shared" si="6"/>
        <v>26.175027018478001</v>
      </c>
      <c r="N31" s="366"/>
      <c r="O31" s="446"/>
      <c r="P31" s="446"/>
      <c r="Q31" s="446"/>
      <c r="R31" s="446"/>
      <c r="S31" s="647">
        <f t="shared" si="4"/>
        <v>17.97546333333333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1427">
        <f t="shared" si="1"/>
        <v>0</v>
      </c>
      <c r="E32" s="1428"/>
      <c r="F32" s="446">
        <f t="shared" si="2"/>
        <v>0</v>
      </c>
      <c r="G32" s="503">
        <f t="shared" si="2"/>
        <v>0</v>
      </c>
      <c r="H32" s="498">
        <f>SUM($F$9:F32)/A32</f>
        <v>1564.375</v>
      </c>
      <c r="I32" s="499">
        <f>SUM($G$9:G32)/A32</f>
        <v>1580.7083333333333</v>
      </c>
      <c r="J32" s="443">
        <f t="shared" si="5"/>
        <v>43141.111999999994</v>
      </c>
      <c r="K32" s="459">
        <f t="shared" si="5"/>
        <v>43174</v>
      </c>
      <c r="L32" s="495">
        <f t="shared" si="6"/>
        <v>27.577219017179381</v>
      </c>
      <c r="M32" s="464">
        <f t="shared" si="6"/>
        <v>27.313071671455308</v>
      </c>
      <c r="N32" s="366"/>
      <c r="O32" s="446"/>
      <c r="P32" s="446"/>
      <c r="Q32" s="446"/>
      <c r="R32" s="446"/>
      <c r="S32" s="647">
        <f t="shared" si="4"/>
        <v>17.97546333333333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1427">
        <f t="shared" si="1"/>
        <v>0</v>
      </c>
      <c r="E33" s="1428"/>
      <c r="F33" s="446">
        <f t="shared" si="2"/>
        <v>0</v>
      </c>
      <c r="G33" s="503">
        <f t="shared" si="2"/>
        <v>0</v>
      </c>
      <c r="H33" s="460">
        <f>SUM($F$9:F33)/A33</f>
        <v>1501.8</v>
      </c>
      <c r="I33" s="499">
        <f>SUM($G$9:G33)/A33</f>
        <v>1517.48</v>
      </c>
      <c r="J33" s="460">
        <f t="shared" si="5"/>
        <v>43141.111999999994</v>
      </c>
      <c r="K33" s="459">
        <f t="shared" si="5"/>
        <v>43174</v>
      </c>
      <c r="L33" s="506">
        <f t="shared" si="6"/>
        <v>28.726269809561856</v>
      </c>
      <c r="M33" s="464">
        <f t="shared" si="6"/>
        <v>28.451116324432611</v>
      </c>
      <c r="N33" s="366"/>
      <c r="O33" s="446"/>
      <c r="P33" s="446"/>
      <c r="Q33" s="446"/>
      <c r="R33" s="446"/>
      <c r="S33" s="647">
        <f t="shared" si="4"/>
        <v>17.97546333333333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1427">
        <f t="shared" si="1"/>
        <v>0</v>
      </c>
      <c r="E34" s="1428"/>
      <c r="F34" s="446">
        <f t="shared" si="2"/>
        <v>0</v>
      </c>
      <c r="G34" s="503">
        <f t="shared" si="2"/>
        <v>0</v>
      </c>
      <c r="H34" s="498">
        <f>SUM($F$9:F34)/A34</f>
        <v>1444.0384615384614</v>
      </c>
      <c r="I34" s="499">
        <f>SUM($G$9:G34)/A34</f>
        <v>1459.1153846153845</v>
      </c>
      <c r="J34" s="443">
        <f t="shared" si="5"/>
        <v>43141.111999999994</v>
      </c>
      <c r="K34" s="459">
        <f t="shared" si="5"/>
        <v>43174</v>
      </c>
      <c r="L34" s="495">
        <f t="shared" si="6"/>
        <v>29.875320601944331</v>
      </c>
      <c r="M34" s="464">
        <f t="shared" si="6"/>
        <v>29.589160977409918</v>
      </c>
      <c r="N34" s="366"/>
      <c r="O34" s="446"/>
      <c r="P34" s="446"/>
      <c r="Q34" s="446"/>
      <c r="R34" s="446"/>
      <c r="S34" s="647">
        <f t="shared" si="4"/>
        <v>17.97546333333333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1427">
        <f t="shared" si="1"/>
        <v>0</v>
      </c>
      <c r="E35" s="1428"/>
      <c r="F35" s="446">
        <f t="shared" si="2"/>
        <v>0</v>
      </c>
      <c r="G35" s="503">
        <f t="shared" si="2"/>
        <v>0</v>
      </c>
      <c r="H35" s="498">
        <f>SUM($F$9:F35)/A35</f>
        <v>1390.5555555555557</v>
      </c>
      <c r="I35" s="499">
        <f>SUM($G$9:G35)/A35</f>
        <v>1405.0740740740741</v>
      </c>
      <c r="J35" s="443">
        <f t="shared" si="5"/>
        <v>43141.111999999994</v>
      </c>
      <c r="K35" s="459">
        <f t="shared" si="5"/>
        <v>43174</v>
      </c>
      <c r="L35" s="495">
        <f t="shared" si="6"/>
        <v>31.024371394326803</v>
      </c>
      <c r="M35" s="464">
        <f t="shared" si="6"/>
        <v>30.727205630387221</v>
      </c>
      <c r="N35" s="366"/>
      <c r="O35" s="446"/>
      <c r="P35" s="446"/>
      <c r="Q35" s="446"/>
      <c r="R35" s="446"/>
      <c r="S35" s="647">
        <f t="shared" si="4"/>
        <v>17.97546333333333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1427">
        <f t="shared" si="1"/>
        <v>0</v>
      </c>
      <c r="E36" s="1428"/>
      <c r="F36" s="446">
        <f t="shared" si="2"/>
        <v>0</v>
      </c>
      <c r="G36" s="503">
        <f t="shared" si="2"/>
        <v>0</v>
      </c>
      <c r="H36" s="498">
        <f>SUM($F$9:F36)/A36</f>
        <v>1340.8928571428571</v>
      </c>
      <c r="I36" s="499">
        <f>SUM($G$9:G36)/A36</f>
        <v>1354.8928571428571</v>
      </c>
      <c r="J36" s="443">
        <f t="shared" si="5"/>
        <v>43141.111999999994</v>
      </c>
      <c r="K36" s="459">
        <f t="shared" si="5"/>
        <v>43174</v>
      </c>
      <c r="L36" s="495">
        <f t="shared" si="6"/>
        <v>32.173422186709281</v>
      </c>
      <c r="M36" s="464">
        <f t="shared" si="6"/>
        <v>31.865250283364528</v>
      </c>
      <c r="N36" s="366"/>
      <c r="O36" s="446"/>
      <c r="P36" s="446"/>
      <c r="Q36" s="446"/>
      <c r="R36" s="446"/>
      <c r="S36" s="647">
        <f t="shared" si="4"/>
        <v>17.97546333333333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1427">
        <f t="shared" si="1"/>
        <v>0</v>
      </c>
      <c r="E37" s="1428"/>
      <c r="F37" s="446">
        <f t="shared" si="2"/>
        <v>0</v>
      </c>
      <c r="G37" s="503">
        <f t="shared" si="2"/>
        <v>0</v>
      </c>
      <c r="H37" s="498">
        <f>SUM($F$9:F37)/A37</f>
        <v>1294.655172413793</v>
      </c>
      <c r="I37" s="499">
        <f>SUM($G$9:G37)/A37</f>
        <v>1308.1724137931035</v>
      </c>
      <c r="J37" s="443">
        <f t="shared" si="5"/>
        <v>43141.111999999994</v>
      </c>
      <c r="K37" s="459">
        <f t="shared" si="5"/>
        <v>43174</v>
      </c>
      <c r="L37" s="495">
        <f t="shared" si="6"/>
        <v>33.322472979091756</v>
      </c>
      <c r="M37" s="464">
        <f t="shared" si="6"/>
        <v>33.003294936341831</v>
      </c>
      <c r="N37" s="366"/>
      <c r="O37" s="446"/>
      <c r="P37" s="446"/>
      <c r="Q37" s="446"/>
      <c r="R37" s="446"/>
      <c r="S37" s="647">
        <f t="shared" si="4"/>
        <v>17.97546333333333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1425">
        <f t="shared" si="1"/>
        <v>0</v>
      </c>
      <c r="E38" s="1428"/>
      <c r="F38" s="446">
        <f t="shared" si="2"/>
        <v>0</v>
      </c>
      <c r="G38" s="503">
        <f t="shared" si="2"/>
        <v>0</v>
      </c>
      <c r="H38" s="504">
        <f>SUM($F$9:F38)/A38</f>
        <v>1251.5</v>
      </c>
      <c r="I38" s="499">
        <f>SUM($G$9:G38)/A38</f>
        <v>1264.5666666666666</v>
      </c>
      <c r="J38" s="504">
        <f t="shared" si="5"/>
        <v>43141.111999999994</v>
      </c>
      <c r="K38" s="459">
        <f t="shared" si="5"/>
        <v>43174</v>
      </c>
      <c r="L38" s="505">
        <f t="shared" si="6"/>
        <v>34.471523771474224</v>
      </c>
      <c r="M38" s="464">
        <f t="shared" si="6"/>
        <v>34.141339589319138</v>
      </c>
      <c r="N38" s="366"/>
      <c r="O38" s="446"/>
      <c r="P38" s="446"/>
      <c r="Q38" s="446"/>
      <c r="R38" s="446"/>
      <c r="S38" s="647">
        <f t="shared" si="4"/>
        <v>17.97546333333333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1427">
        <f t="shared" si="1"/>
        <v>0</v>
      </c>
      <c r="E39" s="1428"/>
      <c r="F39" s="446">
        <f t="shared" si="2"/>
        <v>0</v>
      </c>
      <c r="G39" s="503">
        <f t="shared" si="2"/>
        <v>0</v>
      </c>
      <c r="H39" s="498">
        <f>SUM($F$9:F39)/A39</f>
        <v>1211.1290322580646</v>
      </c>
      <c r="I39" s="499">
        <f>SUM($G$9:G39)/A39</f>
        <v>1223.7741935483871</v>
      </c>
      <c r="J39" s="443">
        <f t="shared" si="5"/>
        <v>43141.111999999994</v>
      </c>
      <c r="K39" s="459">
        <f t="shared" si="5"/>
        <v>43174</v>
      </c>
      <c r="L39" s="495">
        <f t="shared" si="6"/>
        <v>35.6205745638567</v>
      </c>
      <c r="M39" s="464">
        <f t="shared" si="6"/>
        <v>35.279384242296437</v>
      </c>
      <c r="N39" s="366"/>
      <c r="O39" s="446"/>
      <c r="P39" s="446"/>
      <c r="Q39" s="446"/>
      <c r="R39" s="446"/>
      <c r="S39" s="647">
        <f t="shared" si="4"/>
        <v>17.97546333333333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28000</v>
      </c>
      <c r="E40" s="641">
        <f>SUM(E9:E39)</f>
        <v>28000</v>
      </c>
      <c r="F40" s="389">
        <f>SUM(F9:F39)</f>
        <v>37545</v>
      </c>
      <c r="G40" s="496">
        <f>SUM(G9:G39)</f>
        <v>37937</v>
      </c>
      <c r="H40" s="389"/>
      <c r="I40" s="496"/>
      <c r="J40" s="641">
        <f>J39</f>
        <v>43141.111999999994</v>
      </c>
      <c r="K40" s="642">
        <f>K39</f>
        <v>43174</v>
      </c>
      <c r="L40" s="464"/>
      <c r="M40" s="464"/>
      <c r="N40" s="366"/>
      <c r="O40" s="389">
        <f>SUM(O9:O39)</f>
        <v>21750</v>
      </c>
      <c r="P40" s="496">
        <f>SUM(P9:P39)</f>
        <v>21977</v>
      </c>
      <c r="Q40" s="389">
        <f>SUM(Q9:Q39)</f>
        <v>15795</v>
      </c>
      <c r="R40" s="496">
        <f>SUM(R9:R39)</f>
        <v>15960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80686.111999999994</v>
      </c>
      <c r="E41" s="388">
        <f>E8+E40</f>
        <v>81111</v>
      </c>
      <c r="F41" s="389">
        <f>F40</f>
        <v>37545</v>
      </c>
      <c r="G41" s="496">
        <f>G40</f>
        <v>37937</v>
      </c>
      <c r="H41" s="389"/>
      <c r="I41" s="496"/>
      <c r="J41" s="641">
        <f>D41-F41</f>
        <v>43141.111999999994</v>
      </c>
      <c r="K41" s="641">
        <f>E41-G41</f>
        <v>43174</v>
      </c>
      <c r="L41" s="464"/>
      <c r="M41" s="464"/>
      <c r="N41" s="366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2269" priority="487" operator="lessThan">
      <formula>15</formula>
    </cfRule>
    <cfRule type="cellIs" dxfId="12268" priority="488" operator="greaterThan">
      <formula>20</formula>
    </cfRule>
    <cfRule type="cellIs" dxfId="12267" priority="489" operator="between">
      <formula>15</formula>
      <formula>20</formula>
    </cfRule>
    <cfRule type="cellIs" dxfId="12266" priority="490" operator="between">
      <formula>15</formula>
      <formula>20</formula>
    </cfRule>
    <cfRule type="cellIs" dxfId="12265" priority="491" operator="lessThan">
      <formula>15</formula>
    </cfRule>
    <cfRule type="cellIs" dxfId="12264" priority="492" operator="greaterThan">
      <formula>20</formula>
    </cfRule>
    <cfRule type="cellIs" dxfId="12263" priority="493" operator="between">
      <formula>15</formula>
      <formula>21</formula>
    </cfRule>
    <cfRule type="cellIs" dxfId="12262" priority="494" operator="lessThan">
      <formula>15</formula>
    </cfRule>
    <cfRule type="cellIs" dxfId="12261" priority="495" operator="greaterThan">
      <formula>21</formula>
    </cfRule>
  </conditionalFormatting>
  <hyperlinks>
    <hyperlink ref="M5" location="'TỔNG HỢP THÁNG'!A1" display="'TỔNG HỢP THÁNG'!A1"/>
  </hyperlinks>
  <pageMargins left="0.39370078740157483" right="0.19685039370078741" top="0" bottom="0" header="0.23622047244094491" footer="0.31496062992125984"/>
  <pageSetup paperSize="8" orientation="landscape" horizontalDpi="4294967292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Z49"/>
  <sheetViews>
    <sheetView workbookViewId="0">
      <pane ySplit="8" topLeftCell="A9" activePane="bottomLeft" state="frozen"/>
      <selection pane="bottomLeft" activeCell="K31" sqref="K31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5" width="6.42578125" style="143" customWidth="1"/>
    <col min="16" max="16" width="11.5703125" style="143" bestFit="1" customWidth="1"/>
    <col min="17" max="17" width="9.42578125" style="143" bestFit="1" customWidth="1"/>
    <col min="18" max="16384" width="9.28515625" style="143"/>
  </cols>
  <sheetData>
    <row r="1" spans="1:26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660"/>
    </row>
    <row r="4" spans="1:26" s="376" customFormat="1" ht="18.75" customHeight="1">
      <c r="A4" s="1600" t="s">
        <v>33</v>
      </c>
      <c r="B4" s="1600"/>
      <c r="C4" s="316" t="s">
        <v>252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251</v>
      </c>
      <c r="K4" s="319"/>
      <c r="L4" s="319"/>
      <c r="M4" s="319"/>
      <c r="O4" s="661"/>
      <c r="P4" s="143"/>
    </row>
    <row r="5" spans="1:26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P5" s="143"/>
      <c r="R5" s="621"/>
      <c r="S5" s="621"/>
      <c r="T5" s="621"/>
    </row>
    <row r="6" spans="1:26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651"/>
      <c r="P6" s="143"/>
      <c r="R6" s="621"/>
      <c r="S6" s="621"/>
      <c r="T6" s="621"/>
    </row>
    <row r="7" spans="1:26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651"/>
      <c r="P7" s="143"/>
      <c r="R7" s="621"/>
      <c r="S7" s="621"/>
      <c r="T7" s="621"/>
    </row>
    <row r="8" spans="1:26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>
        <v>0.03</v>
      </c>
      <c r="O8" s="652" t="s">
        <v>336</v>
      </c>
      <c r="P8" s="143">
        <v>666.9</v>
      </c>
    </row>
    <row r="9" spans="1:26" s="367" customFormat="1" ht="12" customHeight="1">
      <c r="A9" s="364">
        <v>1</v>
      </c>
      <c r="B9" s="365">
        <f>'FRIT HGE91-FHG'!B9</f>
        <v>46235</v>
      </c>
      <c r="C9" s="331" t="s">
        <v>349</v>
      </c>
      <c r="D9" s="502">
        <f>E9-E9*N9</f>
        <v>0</v>
      </c>
      <c r="E9" s="499"/>
      <c r="F9" s="724"/>
      <c r="G9" s="503"/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>J9/H9</f>
        <v>#DIV/0!</v>
      </c>
      <c r="M9" s="464" t="e">
        <f>K9/I9</f>
        <v>#DIV/0!</v>
      </c>
      <c r="N9" s="366"/>
      <c r="O9" s="652"/>
      <c r="P9" s="647">
        <f>J9/$P$8</f>
        <v>0</v>
      </c>
    </row>
    <row r="10" spans="1:26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502">
        <f t="shared" ref="D10:D39" si="0">E10-E10*N10</f>
        <v>0</v>
      </c>
      <c r="E10" s="499"/>
      <c r="F10" s="724"/>
      <c r="G10" s="503"/>
      <c r="H10" s="498">
        <f>SUM($F$9:F10)/A10</f>
        <v>0</v>
      </c>
      <c r="I10" s="499">
        <f>SUM($G$9:G10)/A10</f>
        <v>0</v>
      </c>
      <c r="J10" s="443">
        <f>J9+D10-F10</f>
        <v>0</v>
      </c>
      <c r="K10" s="459">
        <f t="shared" ref="K10:K39" si="1">K9+E10-G10</f>
        <v>0</v>
      </c>
      <c r="L10" s="495" t="e">
        <f>J10/H10</f>
        <v>#DIV/0!</v>
      </c>
      <c r="M10" s="464" t="e">
        <f>K10/I10</f>
        <v>#DIV/0!</v>
      </c>
      <c r="N10" s="366"/>
      <c r="O10" s="652"/>
      <c r="P10" s="647">
        <f t="shared" ref="P10:P39" si="2">J10/$P$8</f>
        <v>0</v>
      </c>
    </row>
    <row r="11" spans="1:26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502">
        <f t="shared" si="0"/>
        <v>0</v>
      </c>
      <c r="E11" s="499"/>
      <c r="F11" s="724"/>
      <c r="G11" s="503"/>
      <c r="H11" s="498">
        <f>SUM($F$9:F11)/A11</f>
        <v>0</v>
      </c>
      <c r="I11" s="499">
        <f>SUM($G$9:G11)/A11</f>
        <v>0</v>
      </c>
      <c r="J11" s="443">
        <f>J10+D11-F11</f>
        <v>0</v>
      </c>
      <c r="K11" s="459">
        <f t="shared" si="1"/>
        <v>0</v>
      </c>
      <c r="L11" s="495" t="e">
        <f t="shared" ref="L11:L23" si="3">J11/H11</f>
        <v>#DIV/0!</v>
      </c>
      <c r="M11" s="464" t="e">
        <f t="shared" ref="M11:M23" si="4">K11/I11</f>
        <v>#DIV/0!</v>
      </c>
      <c r="N11" s="366"/>
      <c r="O11" s="652"/>
      <c r="P11" s="647">
        <f t="shared" si="2"/>
        <v>0</v>
      </c>
    </row>
    <row r="12" spans="1:26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502">
        <f t="shared" si="0"/>
        <v>0</v>
      </c>
      <c r="E12" s="499"/>
      <c r="F12" s="724"/>
      <c r="G12" s="503"/>
      <c r="H12" s="498">
        <f>SUM($F$9:F12)/A12</f>
        <v>0</v>
      </c>
      <c r="I12" s="499">
        <f>SUM($G$9:G12)/A12</f>
        <v>0</v>
      </c>
      <c r="J12" s="443">
        <f t="shared" ref="J12:J22" si="5">J11+D12-F12</f>
        <v>0</v>
      </c>
      <c r="K12" s="459">
        <f t="shared" si="1"/>
        <v>0</v>
      </c>
      <c r="L12" s="495" t="e">
        <f t="shared" si="3"/>
        <v>#DIV/0!</v>
      </c>
      <c r="M12" s="464" t="e">
        <f t="shared" si="4"/>
        <v>#DIV/0!</v>
      </c>
      <c r="N12" s="366"/>
      <c r="O12" s="652"/>
      <c r="P12" s="647">
        <f t="shared" si="2"/>
        <v>0</v>
      </c>
    </row>
    <row r="13" spans="1:26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502">
        <f t="shared" si="0"/>
        <v>0</v>
      </c>
      <c r="E13" s="499"/>
      <c r="F13" s="724"/>
      <c r="G13" s="503"/>
      <c r="H13" s="504">
        <f>SUM($F$9:F13)/A13</f>
        <v>0</v>
      </c>
      <c r="I13" s="499">
        <f>SUM($G$9:G13)/A13</f>
        <v>0</v>
      </c>
      <c r="J13" s="504">
        <f t="shared" si="5"/>
        <v>0</v>
      </c>
      <c r="K13" s="459">
        <f t="shared" si="1"/>
        <v>0</v>
      </c>
      <c r="L13" s="505" t="e">
        <f t="shared" si="3"/>
        <v>#DIV/0!</v>
      </c>
      <c r="M13" s="464" t="e">
        <f t="shared" si="4"/>
        <v>#DIV/0!</v>
      </c>
      <c r="N13" s="366"/>
      <c r="O13" s="652"/>
      <c r="P13" s="647">
        <f t="shared" si="2"/>
        <v>0</v>
      </c>
    </row>
    <row r="14" spans="1:26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502">
        <f t="shared" si="0"/>
        <v>0</v>
      </c>
      <c r="E14" s="499"/>
      <c r="F14" s="724"/>
      <c r="G14" s="503"/>
      <c r="H14" s="498">
        <f>SUM($F$9:F14)/A14</f>
        <v>0</v>
      </c>
      <c r="I14" s="499">
        <f>SUM($G$9:G14)/A14</f>
        <v>0</v>
      </c>
      <c r="J14" s="443">
        <f t="shared" si="5"/>
        <v>0</v>
      </c>
      <c r="K14" s="459">
        <f t="shared" si="1"/>
        <v>0</v>
      </c>
      <c r="L14" s="495" t="e">
        <f t="shared" si="3"/>
        <v>#DIV/0!</v>
      </c>
      <c r="M14" s="464" t="e">
        <f t="shared" si="4"/>
        <v>#DIV/0!</v>
      </c>
      <c r="N14" s="366"/>
      <c r="O14" s="652"/>
      <c r="P14" s="647">
        <f t="shared" si="2"/>
        <v>0</v>
      </c>
    </row>
    <row r="15" spans="1:26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502">
        <f t="shared" si="0"/>
        <v>0</v>
      </c>
      <c r="E15" s="499"/>
      <c r="F15" s="724"/>
      <c r="G15" s="503"/>
      <c r="H15" s="498">
        <f>SUM($F$9:F15)/A15</f>
        <v>0</v>
      </c>
      <c r="I15" s="499">
        <f>SUM($G$9:G15)/A15</f>
        <v>0</v>
      </c>
      <c r="J15" s="443">
        <f>J14+D15-F15</f>
        <v>0</v>
      </c>
      <c r="K15" s="459">
        <f t="shared" si="1"/>
        <v>0</v>
      </c>
      <c r="L15" s="495" t="e">
        <f t="shared" si="3"/>
        <v>#DIV/0!</v>
      </c>
      <c r="M15" s="464" t="e">
        <f t="shared" si="4"/>
        <v>#DIV/0!</v>
      </c>
      <c r="N15" s="366"/>
      <c r="O15" s="652"/>
      <c r="P15" s="647">
        <f t="shared" si="2"/>
        <v>0</v>
      </c>
    </row>
    <row r="16" spans="1:26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502">
        <f t="shared" si="0"/>
        <v>0</v>
      </c>
      <c r="E16" s="499"/>
      <c r="F16" s="724"/>
      <c r="G16" s="503"/>
      <c r="H16" s="498">
        <f>SUM($F$9:F16)/A16</f>
        <v>0</v>
      </c>
      <c r="I16" s="499">
        <f>SUM($G$9:G16)/A16</f>
        <v>0</v>
      </c>
      <c r="J16" s="443">
        <f>J15+D16-F16</f>
        <v>0</v>
      </c>
      <c r="K16" s="459">
        <f t="shared" si="1"/>
        <v>0</v>
      </c>
      <c r="L16" s="495" t="e">
        <f t="shared" si="3"/>
        <v>#DIV/0!</v>
      </c>
      <c r="M16" s="464" t="e">
        <f t="shared" si="4"/>
        <v>#DIV/0!</v>
      </c>
      <c r="N16" s="366"/>
      <c r="O16" s="652"/>
      <c r="P16" s="647">
        <f t="shared" si="2"/>
        <v>0</v>
      </c>
    </row>
    <row r="17" spans="1:16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502">
        <f t="shared" si="0"/>
        <v>0</v>
      </c>
      <c r="E17" s="499"/>
      <c r="F17" s="586"/>
      <c r="G17" s="503"/>
      <c r="H17" s="498">
        <f>SUM($F$9:F17)/A17</f>
        <v>0</v>
      </c>
      <c r="I17" s="499">
        <f>SUM($G$9:G17)/A17</f>
        <v>0</v>
      </c>
      <c r="J17" s="443">
        <f t="shared" si="5"/>
        <v>0</v>
      </c>
      <c r="K17" s="459">
        <f t="shared" si="1"/>
        <v>0</v>
      </c>
      <c r="L17" s="495" t="e">
        <f t="shared" si="3"/>
        <v>#DIV/0!</v>
      </c>
      <c r="M17" s="464" t="e">
        <f t="shared" si="4"/>
        <v>#DIV/0!</v>
      </c>
      <c r="N17" s="366"/>
      <c r="O17" s="652"/>
      <c r="P17" s="647">
        <f t="shared" si="2"/>
        <v>0</v>
      </c>
    </row>
    <row r="18" spans="1:16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502">
        <f t="shared" si="0"/>
        <v>0</v>
      </c>
      <c r="E18" s="499"/>
      <c r="F18" s="586"/>
      <c r="G18" s="503"/>
      <c r="H18" s="504">
        <f>SUM($F$9:F18)/A18</f>
        <v>0</v>
      </c>
      <c r="I18" s="499">
        <f>SUM($G$9:G18)/A18</f>
        <v>0</v>
      </c>
      <c r="J18" s="504">
        <f t="shared" si="5"/>
        <v>0</v>
      </c>
      <c r="K18" s="459">
        <f t="shared" si="1"/>
        <v>0</v>
      </c>
      <c r="L18" s="505" t="e">
        <f t="shared" si="3"/>
        <v>#DIV/0!</v>
      </c>
      <c r="M18" s="464" t="e">
        <f t="shared" si="4"/>
        <v>#DIV/0!</v>
      </c>
      <c r="N18" s="366"/>
      <c r="O18" s="652"/>
      <c r="P18" s="647">
        <f t="shared" si="2"/>
        <v>0</v>
      </c>
    </row>
    <row r="19" spans="1:16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502">
        <f t="shared" si="0"/>
        <v>0</v>
      </c>
      <c r="E19" s="499"/>
      <c r="F19" s="586"/>
      <c r="G19" s="503"/>
      <c r="H19" s="498">
        <f>SUM($F$9:F19)/A19</f>
        <v>0</v>
      </c>
      <c r="I19" s="499">
        <f>SUM($G$9:G19)/A19</f>
        <v>0</v>
      </c>
      <c r="J19" s="443">
        <f t="shared" si="5"/>
        <v>0</v>
      </c>
      <c r="K19" s="459">
        <f t="shared" si="1"/>
        <v>0</v>
      </c>
      <c r="L19" s="495" t="e">
        <f t="shared" si="3"/>
        <v>#DIV/0!</v>
      </c>
      <c r="M19" s="464" t="e">
        <f t="shared" si="4"/>
        <v>#DIV/0!</v>
      </c>
      <c r="N19" s="366"/>
      <c r="O19" s="652"/>
      <c r="P19" s="647">
        <f t="shared" si="2"/>
        <v>0</v>
      </c>
    </row>
    <row r="20" spans="1:16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0"/>
        <v>0</v>
      </c>
      <c r="E20" s="499"/>
      <c r="F20" s="586"/>
      <c r="G20" s="503"/>
      <c r="H20" s="498">
        <f>SUM($F$9:F20)/A20</f>
        <v>0</v>
      </c>
      <c r="I20" s="499">
        <f>SUM($G$9:G20)/A20</f>
        <v>0</v>
      </c>
      <c r="J20" s="443">
        <f t="shared" si="5"/>
        <v>0</v>
      </c>
      <c r="K20" s="459">
        <f t="shared" si="1"/>
        <v>0</v>
      </c>
      <c r="L20" s="495" t="e">
        <f t="shared" si="3"/>
        <v>#DIV/0!</v>
      </c>
      <c r="M20" s="464" t="e">
        <f t="shared" si="4"/>
        <v>#DIV/0!</v>
      </c>
      <c r="N20" s="366"/>
      <c r="O20" s="652"/>
      <c r="P20" s="647">
        <f t="shared" si="2"/>
        <v>0</v>
      </c>
    </row>
    <row r="21" spans="1:16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502">
        <f t="shared" si="0"/>
        <v>0</v>
      </c>
      <c r="E21" s="499"/>
      <c r="F21" s="586"/>
      <c r="G21" s="503"/>
      <c r="H21" s="498">
        <f>SUM($F$9:F21)/A21</f>
        <v>0</v>
      </c>
      <c r="I21" s="499">
        <f>SUM($G$9:G21)/A21</f>
        <v>0</v>
      </c>
      <c r="J21" s="443">
        <f t="shared" si="5"/>
        <v>0</v>
      </c>
      <c r="K21" s="459">
        <f t="shared" si="1"/>
        <v>0</v>
      </c>
      <c r="L21" s="495" t="e">
        <f t="shared" si="3"/>
        <v>#DIV/0!</v>
      </c>
      <c r="M21" s="464" t="e">
        <f t="shared" si="4"/>
        <v>#DIV/0!</v>
      </c>
      <c r="N21" s="366"/>
      <c r="O21" s="652"/>
      <c r="P21" s="647">
        <f t="shared" si="2"/>
        <v>0</v>
      </c>
    </row>
    <row r="22" spans="1:16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502">
        <f t="shared" si="0"/>
        <v>0</v>
      </c>
      <c r="E22" s="499"/>
      <c r="F22" s="586"/>
      <c r="G22" s="503"/>
      <c r="H22" s="498">
        <f>SUM($F$9:F22)/A22</f>
        <v>0</v>
      </c>
      <c r="I22" s="499">
        <f>SUM($G$9:G22)/A22</f>
        <v>0</v>
      </c>
      <c r="J22" s="443">
        <f t="shared" si="5"/>
        <v>0</v>
      </c>
      <c r="K22" s="459">
        <f t="shared" si="1"/>
        <v>0</v>
      </c>
      <c r="L22" s="495" t="e">
        <f t="shared" si="3"/>
        <v>#DIV/0!</v>
      </c>
      <c r="M22" s="464" t="e">
        <f t="shared" si="4"/>
        <v>#DIV/0!</v>
      </c>
      <c r="N22" s="366"/>
      <c r="O22" s="652"/>
      <c r="P22" s="647">
        <f t="shared" si="2"/>
        <v>0</v>
      </c>
    </row>
    <row r="23" spans="1:16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502">
        <f t="shared" si="0"/>
        <v>0</v>
      </c>
      <c r="E23" s="499"/>
      <c r="F23" s="586"/>
      <c r="G23" s="503"/>
      <c r="H23" s="504">
        <f>SUM($F$9:F23)/A23</f>
        <v>0</v>
      </c>
      <c r="I23" s="499">
        <f>SUM($G$9:G23)/A23</f>
        <v>0</v>
      </c>
      <c r="J23" s="504">
        <f>J22+D23-F23</f>
        <v>0</v>
      </c>
      <c r="K23" s="459">
        <f t="shared" si="1"/>
        <v>0</v>
      </c>
      <c r="L23" s="505" t="e">
        <f t="shared" si="3"/>
        <v>#DIV/0!</v>
      </c>
      <c r="M23" s="464" t="e">
        <f t="shared" si="4"/>
        <v>#DIV/0!</v>
      </c>
      <c r="N23" s="366"/>
      <c r="O23" s="652"/>
      <c r="P23" s="647">
        <f t="shared" si="2"/>
        <v>0</v>
      </c>
    </row>
    <row r="24" spans="1:16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502">
        <f t="shared" si="0"/>
        <v>0</v>
      </c>
      <c r="E24" s="499"/>
      <c r="F24" s="586"/>
      <c r="G24" s="503"/>
      <c r="H24" s="498">
        <f>SUM($F$9:F24)/A24</f>
        <v>0</v>
      </c>
      <c r="I24" s="499">
        <f>SUM($G$9:G24)/A24</f>
        <v>0</v>
      </c>
      <c r="J24" s="443">
        <f t="shared" ref="J24:J39" si="6">J23+D24-F24</f>
        <v>0</v>
      </c>
      <c r="K24" s="459">
        <f t="shared" si="1"/>
        <v>0</v>
      </c>
      <c r="L24" s="495" t="e">
        <f t="shared" ref="L24:L39" si="7">J24/H24</f>
        <v>#DIV/0!</v>
      </c>
      <c r="M24" s="464" t="e">
        <f t="shared" ref="M24:M39" si="8">K24/I24</f>
        <v>#DIV/0!</v>
      </c>
      <c r="N24" s="366"/>
      <c r="O24" s="652"/>
      <c r="P24" s="647">
        <f t="shared" si="2"/>
        <v>0</v>
      </c>
    </row>
    <row r="25" spans="1:16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502">
        <f t="shared" si="0"/>
        <v>0</v>
      </c>
      <c r="E25" s="499"/>
      <c r="F25" s="586"/>
      <c r="G25" s="503"/>
      <c r="H25" s="498">
        <f>SUM($F$9:F25)/A25</f>
        <v>0</v>
      </c>
      <c r="I25" s="499">
        <f>SUM($G$9:G25)/A25</f>
        <v>0</v>
      </c>
      <c r="J25" s="443">
        <f t="shared" si="6"/>
        <v>0</v>
      </c>
      <c r="K25" s="459">
        <f t="shared" si="1"/>
        <v>0</v>
      </c>
      <c r="L25" s="495" t="e">
        <f t="shared" si="7"/>
        <v>#DIV/0!</v>
      </c>
      <c r="M25" s="464" t="e">
        <f t="shared" si="8"/>
        <v>#DIV/0!</v>
      </c>
      <c r="N25" s="366"/>
      <c r="O25" s="652"/>
      <c r="P25" s="647">
        <f t="shared" si="2"/>
        <v>0</v>
      </c>
    </row>
    <row r="26" spans="1:16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502">
        <f t="shared" si="0"/>
        <v>0</v>
      </c>
      <c r="E26" s="499"/>
      <c r="F26" s="586"/>
      <c r="G26" s="503"/>
      <c r="H26" s="498">
        <f>SUM($F$9:F26)/A26</f>
        <v>0</v>
      </c>
      <c r="I26" s="499">
        <f>SUM($G$9:G26)/A26</f>
        <v>0</v>
      </c>
      <c r="J26" s="443">
        <f t="shared" si="6"/>
        <v>0</v>
      </c>
      <c r="K26" s="459">
        <f t="shared" si="1"/>
        <v>0</v>
      </c>
      <c r="L26" s="495" t="e">
        <f t="shared" si="7"/>
        <v>#DIV/0!</v>
      </c>
      <c r="M26" s="464" t="e">
        <f t="shared" si="8"/>
        <v>#DIV/0!</v>
      </c>
      <c r="N26" s="366"/>
      <c r="O26" s="652"/>
      <c r="P26" s="647">
        <f t="shared" si="2"/>
        <v>0</v>
      </c>
    </row>
    <row r="27" spans="1:16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0"/>
        <v>0</v>
      </c>
      <c r="E27" s="499"/>
      <c r="F27" s="586"/>
      <c r="G27" s="503"/>
      <c r="H27" s="498">
        <f>SUM($F$9:F27)/A27</f>
        <v>0</v>
      </c>
      <c r="I27" s="499">
        <f>SUM($G$9:G27)/A27</f>
        <v>0</v>
      </c>
      <c r="J27" s="443">
        <f t="shared" si="6"/>
        <v>0</v>
      </c>
      <c r="K27" s="459">
        <f t="shared" si="1"/>
        <v>0</v>
      </c>
      <c r="L27" s="495" t="e">
        <f t="shared" si="7"/>
        <v>#DIV/0!</v>
      </c>
      <c r="M27" s="464" t="e">
        <f t="shared" si="8"/>
        <v>#DIV/0!</v>
      </c>
      <c r="N27" s="366"/>
      <c r="O27" s="652"/>
      <c r="P27" s="647">
        <f t="shared" si="2"/>
        <v>0</v>
      </c>
    </row>
    <row r="28" spans="1:16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502">
        <f t="shared" si="0"/>
        <v>0</v>
      </c>
      <c r="E28" s="499"/>
      <c r="F28" s="586"/>
      <c r="G28" s="503"/>
      <c r="H28" s="504">
        <f>SUM($F$9:F28)/A28</f>
        <v>0</v>
      </c>
      <c r="I28" s="499">
        <f>SUM($G$9:G28)/A28</f>
        <v>0</v>
      </c>
      <c r="J28" s="504">
        <f t="shared" si="6"/>
        <v>0</v>
      </c>
      <c r="K28" s="459">
        <f t="shared" si="1"/>
        <v>0</v>
      </c>
      <c r="L28" s="505" t="e">
        <f t="shared" si="7"/>
        <v>#DIV/0!</v>
      </c>
      <c r="M28" s="464" t="e">
        <f t="shared" si="8"/>
        <v>#DIV/0!</v>
      </c>
      <c r="N28" s="366"/>
      <c r="O28" s="652"/>
      <c r="P28" s="647">
        <f t="shared" si="2"/>
        <v>0</v>
      </c>
    </row>
    <row r="29" spans="1:16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502">
        <f t="shared" si="0"/>
        <v>0</v>
      </c>
      <c r="E29" s="499"/>
      <c r="F29" s="586"/>
      <c r="G29" s="503"/>
      <c r="H29" s="498">
        <f>SUM($F$9:F29)/A29</f>
        <v>0</v>
      </c>
      <c r="I29" s="499">
        <f>SUM($G$9:G29)/A29</f>
        <v>0</v>
      </c>
      <c r="J29" s="443">
        <f t="shared" si="6"/>
        <v>0</v>
      </c>
      <c r="K29" s="459">
        <f t="shared" si="1"/>
        <v>0</v>
      </c>
      <c r="L29" s="495" t="e">
        <f t="shared" si="7"/>
        <v>#DIV/0!</v>
      </c>
      <c r="M29" s="464" t="e">
        <f t="shared" si="8"/>
        <v>#DIV/0!</v>
      </c>
      <c r="N29" s="366"/>
      <c r="O29" s="652"/>
      <c r="P29" s="647">
        <f t="shared" si="2"/>
        <v>0</v>
      </c>
    </row>
    <row r="30" spans="1:16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502">
        <f t="shared" si="0"/>
        <v>0</v>
      </c>
      <c r="E30" s="499"/>
      <c r="F30" s="586"/>
      <c r="G30" s="503"/>
      <c r="H30" s="498">
        <f>SUM($F$9:F30)/A30</f>
        <v>0</v>
      </c>
      <c r="I30" s="499">
        <f>SUM($G$9:G30)/A30</f>
        <v>0</v>
      </c>
      <c r="J30" s="443">
        <f t="shared" si="6"/>
        <v>0</v>
      </c>
      <c r="K30" s="459">
        <f t="shared" si="1"/>
        <v>0</v>
      </c>
      <c r="L30" s="495" t="e">
        <f t="shared" si="7"/>
        <v>#DIV/0!</v>
      </c>
      <c r="M30" s="464" t="e">
        <f t="shared" si="8"/>
        <v>#DIV/0!</v>
      </c>
      <c r="N30" s="366"/>
      <c r="O30" s="652"/>
      <c r="P30" s="647">
        <f t="shared" si="2"/>
        <v>0</v>
      </c>
    </row>
    <row r="31" spans="1:16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502">
        <f t="shared" si="0"/>
        <v>0</v>
      </c>
      <c r="E31" s="499"/>
      <c r="F31" s="586"/>
      <c r="G31" s="503"/>
      <c r="H31" s="498">
        <f>SUM($F$9:F31)/A31</f>
        <v>0</v>
      </c>
      <c r="I31" s="499">
        <f>SUM($G$9:G31)/A31</f>
        <v>0</v>
      </c>
      <c r="J31" s="443">
        <f t="shared" si="6"/>
        <v>0</v>
      </c>
      <c r="K31" s="459">
        <f t="shared" si="1"/>
        <v>0</v>
      </c>
      <c r="L31" s="495" t="e">
        <f t="shared" si="7"/>
        <v>#DIV/0!</v>
      </c>
      <c r="M31" s="464" t="e">
        <f t="shared" si="8"/>
        <v>#DIV/0!</v>
      </c>
      <c r="N31" s="366"/>
      <c r="O31" s="652"/>
      <c r="P31" s="647">
        <f t="shared" si="2"/>
        <v>0</v>
      </c>
    </row>
    <row r="32" spans="1:16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502">
        <f t="shared" si="0"/>
        <v>0</v>
      </c>
      <c r="E32" s="499"/>
      <c r="F32" s="586"/>
      <c r="G32" s="503"/>
      <c r="H32" s="498">
        <f>SUM($F$9:F32)/A32</f>
        <v>0</v>
      </c>
      <c r="I32" s="499">
        <f>SUM($G$9:G32)/A32</f>
        <v>0</v>
      </c>
      <c r="J32" s="443">
        <f t="shared" si="6"/>
        <v>0</v>
      </c>
      <c r="K32" s="459">
        <f t="shared" si="1"/>
        <v>0</v>
      </c>
      <c r="L32" s="495" t="e">
        <f t="shared" si="7"/>
        <v>#DIV/0!</v>
      </c>
      <c r="M32" s="464" t="e">
        <f t="shared" si="8"/>
        <v>#DIV/0!</v>
      </c>
      <c r="N32" s="366"/>
      <c r="O32" s="652"/>
      <c r="P32" s="647">
        <f t="shared" si="2"/>
        <v>0</v>
      </c>
    </row>
    <row r="33" spans="1:16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0"/>
        <v>0</v>
      </c>
      <c r="E33" s="499"/>
      <c r="F33" s="586"/>
      <c r="G33" s="503"/>
      <c r="H33" s="460">
        <f>SUM($F$9:F33)/A33</f>
        <v>0</v>
      </c>
      <c r="I33" s="499">
        <f>SUM($G$9:G33)/A33</f>
        <v>0</v>
      </c>
      <c r="J33" s="460">
        <f t="shared" si="6"/>
        <v>0</v>
      </c>
      <c r="K33" s="459">
        <f t="shared" si="1"/>
        <v>0</v>
      </c>
      <c r="L33" s="506" t="e">
        <f t="shared" si="7"/>
        <v>#DIV/0!</v>
      </c>
      <c r="M33" s="464" t="e">
        <f t="shared" si="8"/>
        <v>#DIV/0!</v>
      </c>
      <c r="N33" s="366"/>
      <c r="O33" s="652"/>
      <c r="P33" s="647">
        <f t="shared" si="2"/>
        <v>0</v>
      </c>
    </row>
    <row r="34" spans="1:16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502">
        <f t="shared" si="0"/>
        <v>0</v>
      </c>
      <c r="E34" s="499"/>
      <c r="F34" s="586"/>
      <c r="G34" s="503"/>
      <c r="H34" s="498">
        <f>SUM($F$9:F34)/A34</f>
        <v>0</v>
      </c>
      <c r="I34" s="499">
        <f>SUM($G$9:G34)/A34</f>
        <v>0</v>
      </c>
      <c r="J34" s="443">
        <f t="shared" si="6"/>
        <v>0</v>
      </c>
      <c r="K34" s="459">
        <f t="shared" si="1"/>
        <v>0</v>
      </c>
      <c r="L34" s="495" t="e">
        <f t="shared" si="7"/>
        <v>#DIV/0!</v>
      </c>
      <c r="M34" s="464" t="e">
        <f t="shared" si="8"/>
        <v>#DIV/0!</v>
      </c>
      <c r="N34" s="366"/>
      <c r="O34" s="652"/>
      <c r="P34" s="647">
        <f t="shared" si="2"/>
        <v>0</v>
      </c>
    </row>
    <row r="35" spans="1:16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502">
        <f t="shared" si="0"/>
        <v>0</v>
      </c>
      <c r="E35" s="499"/>
      <c r="F35" s="586"/>
      <c r="G35" s="503"/>
      <c r="H35" s="498">
        <f>SUM($F$9:F35)/A35</f>
        <v>0</v>
      </c>
      <c r="I35" s="499">
        <f>SUM($G$9:G35)/A35</f>
        <v>0</v>
      </c>
      <c r="J35" s="443">
        <f t="shared" si="6"/>
        <v>0</v>
      </c>
      <c r="K35" s="459">
        <f t="shared" si="1"/>
        <v>0</v>
      </c>
      <c r="L35" s="495" t="e">
        <f t="shared" si="7"/>
        <v>#DIV/0!</v>
      </c>
      <c r="M35" s="464" t="e">
        <f t="shared" si="8"/>
        <v>#DIV/0!</v>
      </c>
      <c r="N35" s="366"/>
      <c r="O35" s="652"/>
      <c r="P35" s="647">
        <f t="shared" si="2"/>
        <v>0</v>
      </c>
    </row>
    <row r="36" spans="1:16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502">
        <f t="shared" si="0"/>
        <v>0</v>
      </c>
      <c r="E36" s="499"/>
      <c r="F36" s="586"/>
      <c r="G36" s="503"/>
      <c r="H36" s="498">
        <f>SUM($F$9:F36)/A36</f>
        <v>0</v>
      </c>
      <c r="I36" s="499">
        <f>SUM($G$9:G36)/A36</f>
        <v>0</v>
      </c>
      <c r="J36" s="443">
        <f t="shared" si="6"/>
        <v>0</v>
      </c>
      <c r="K36" s="459">
        <f t="shared" si="1"/>
        <v>0</v>
      </c>
      <c r="L36" s="495" t="e">
        <f t="shared" si="7"/>
        <v>#DIV/0!</v>
      </c>
      <c r="M36" s="464" t="e">
        <f t="shared" si="8"/>
        <v>#DIV/0!</v>
      </c>
      <c r="N36" s="366"/>
      <c r="O36" s="652"/>
      <c r="P36" s="647">
        <f t="shared" si="2"/>
        <v>0</v>
      </c>
    </row>
    <row r="37" spans="1:16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502">
        <f t="shared" si="0"/>
        <v>0</v>
      </c>
      <c r="E37" s="499"/>
      <c r="F37" s="586"/>
      <c r="G37" s="503"/>
      <c r="H37" s="498">
        <f>SUM($F$9:F37)/A37</f>
        <v>0</v>
      </c>
      <c r="I37" s="499">
        <f>SUM($G$9:G37)/A37</f>
        <v>0</v>
      </c>
      <c r="J37" s="443">
        <f t="shared" si="6"/>
        <v>0</v>
      </c>
      <c r="K37" s="459">
        <f t="shared" si="1"/>
        <v>0</v>
      </c>
      <c r="L37" s="495" t="e">
        <f t="shared" si="7"/>
        <v>#DIV/0!</v>
      </c>
      <c r="M37" s="464" t="e">
        <f t="shared" si="8"/>
        <v>#DIV/0!</v>
      </c>
      <c r="N37" s="366"/>
      <c r="O37" s="652"/>
      <c r="P37" s="647">
        <f t="shared" si="2"/>
        <v>0</v>
      </c>
    </row>
    <row r="38" spans="1:16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502">
        <f t="shared" si="0"/>
        <v>0</v>
      </c>
      <c r="E38" s="499"/>
      <c r="F38" s="586"/>
      <c r="G38" s="503"/>
      <c r="H38" s="504">
        <f>SUM($F$9:F38)/A38</f>
        <v>0</v>
      </c>
      <c r="I38" s="499">
        <f>SUM($G$9:G38)/A38</f>
        <v>0</v>
      </c>
      <c r="J38" s="504">
        <f t="shared" si="6"/>
        <v>0</v>
      </c>
      <c r="K38" s="459">
        <f t="shared" si="1"/>
        <v>0</v>
      </c>
      <c r="L38" s="505" t="e">
        <f t="shared" si="7"/>
        <v>#DIV/0!</v>
      </c>
      <c r="M38" s="464" t="e">
        <f t="shared" si="8"/>
        <v>#DIV/0!</v>
      </c>
      <c r="N38" s="366"/>
      <c r="O38" s="652"/>
      <c r="P38" s="647">
        <f t="shared" si="2"/>
        <v>0</v>
      </c>
    </row>
    <row r="39" spans="1:16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502">
        <f t="shared" si="0"/>
        <v>0</v>
      </c>
      <c r="E39" s="499"/>
      <c r="F39" s="586"/>
      <c r="G39" s="503"/>
      <c r="H39" s="498">
        <f>SUM($F$9:F39)/A39</f>
        <v>0</v>
      </c>
      <c r="I39" s="499">
        <f>SUM($G$9:G39)/A39</f>
        <v>0</v>
      </c>
      <c r="J39" s="443">
        <f t="shared" si="6"/>
        <v>0</v>
      </c>
      <c r="K39" s="459">
        <f t="shared" si="1"/>
        <v>0</v>
      </c>
      <c r="L39" s="495" t="e">
        <f t="shared" si="7"/>
        <v>#DIV/0!</v>
      </c>
      <c r="M39" s="464" t="e">
        <f t="shared" si="8"/>
        <v>#DIV/0!</v>
      </c>
      <c r="N39" s="366"/>
      <c r="O39" s="652"/>
      <c r="P39" s="647">
        <f t="shared" si="2"/>
        <v>0</v>
      </c>
    </row>
    <row r="40" spans="1:16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666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653"/>
    </row>
    <row r="41" spans="1:16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653"/>
    </row>
    <row r="42" spans="1:16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6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6">
      <c r="D47" s="143"/>
      <c r="E47" s="143"/>
      <c r="F47" s="143"/>
      <c r="G47" s="143"/>
      <c r="H47" s="143"/>
      <c r="I47" s="143"/>
      <c r="J47" s="143"/>
      <c r="K47" s="143"/>
    </row>
    <row r="48" spans="1:16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2">
    <mergeCell ref="C6:C7"/>
    <mergeCell ref="A8:C8"/>
    <mergeCell ref="A4:B4"/>
    <mergeCell ref="L6:M6"/>
    <mergeCell ref="A3:N3"/>
    <mergeCell ref="F6:G6"/>
    <mergeCell ref="H6:I6"/>
    <mergeCell ref="J6:K6"/>
    <mergeCell ref="D6:E6"/>
    <mergeCell ref="A6:A7"/>
    <mergeCell ref="B6:B7"/>
    <mergeCell ref="N6:N7"/>
  </mergeCells>
  <conditionalFormatting sqref="M9:M39">
    <cfRule type="cellIs" dxfId="12260" priority="442" operator="lessThan">
      <formula>15</formula>
    </cfRule>
    <cfRule type="cellIs" dxfId="12259" priority="443" operator="greaterThan">
      <formula>20</formula>
    </cfRule>
    <cfRule type="cellIs" dxfId="12258" priority="444" operator="between">
      <formula>15</formula>
      <formula>20</formula>
    </cfRule>
    <cfRule type="cellIs" dxfId="12257" priority="445" operator="between">
      <formula>15</formula>
      <formula>20</formula>
    </cfRule>
    <cfRule type="cellIs" dxfId="12256" priority="446" operator="lessThan">
      <formula>15</formula>
    </cfRule>
    <cfRule type="cellIs" dxfId="12255" priority="447" operator="greaterThan">
      <formula>20</formula>
    </cfRule>
    <cfRule type="cellIs" dxfId="12254" priority="448" operator="between">
      <formula>15</formula>
      <formula>21</formula>
    </cfRule>
    <cfRule type="cellIs" dxfId="12253" priority="449" operator="lessThan">
      <formula>15</formula>
    </cfRule>
    <cfRule type="cellIs" dxfId="12252" priority="450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T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0" width="10.28515625" style="142" customWidth="1"/>
    <col min="11" max="11" width="11.7109375" style="142" customWidth="1"/>
    <col min="12" max="13" width="11.28515625" style="143" customWidth="1"/>
    <col min="14" max="14" width="6.42578125" style="143" customWidth="1"/>
    <col min="15" max="18" width="12.140625" style="143" customWidth="1"/>
    <col min="19" max="19" width="11.5703125" style="143" bestFit="1" customWidth="1"/>
    <col min="20" max="20" width="11.85546875" style="143" customWidth="1"/>
    <col min="21" max="16384" width="9.28515625" style="143"/>
  </cols>
  <sheetData>
    <row r="1" spans="1:20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</row>
    <row r="2" spans="1:20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</row>
    <row r="3" spans="1:20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0" s="948" customFormat="1" ht="18.75" customHeight="1">
      <c r="A4" s="1600" t="s">
        <v>33</v>
      </c>
      <c r="B4" s="1600"/>
      <c r="C4" s="316" t="str">
        <f>J4</f>
        <v>E.Cao lanh N2A QĐ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759</v>
      </c>
      <c r="K4" s="319"/>
      <c r="L4" s="319"/>
      <c r="M4" s="319"/>
      <c r="O4" s="1422"/>
      <c r="P4" s="1422"/>
      <c r="Q4" s="1422"/>
      <c r="R4" s="1422"/>
      <c r="S4" s="143"/>
    </row>
    <row r="5" spans="1:20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0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0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0" s="305" customFormat="1" ht="12" customHeight="1">
      <c r="A8" s="1597" t="s">
        <v>3</v>
      </c>
      <c r="B8" s="1598"/>
      <c r="C8" s="1599"/>
      <c r="D8" s="387">
        <f>J8</f>
        <v>76887.320000000007</v>
      </c>
      <c r="E8" s="388">
        <f>K8</f>
        <v>108292</v>
      </c>
      <c r="F8" s="389">
        <f>F40</f>
        <v>30498</v>
      </c>
      <c r="G8" s="388">
        <f>G40</f>
        <v>41750</v>
      </c>
      <c r="H8" s="387"/>
      <c r="I8" s="388"/>
      <c r="J8" s="937">
        <f>K8-K8*N8</f>
        <v>76887.320000000007</v>
      </c>
      <c r="K8" s="939">
        <v>108292</v>
      </c>
      <c r="L8" s="462"/>
      <c r="M8" s="463"/>
      <c r="N8" s="366">
        <v>0.28999999999999998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750</v>
      </c>
    </row>
    <row r="9" spans="1:20" s="367" customFormat="1" ht="12" customHeight="1">
      <c r="A9" s="364">
        <v>1</v>
      </c>
      <c r="B9" s="365">
        <f>'FRIT HGE91-FHG'!B9</f>
        <v>46235</v>
      </c>
      <c r="C9" s="331" t="s">
        <v>349</v>
      </c>
      <c r="D9" s="502">
        <f t="shared" ref="D9:D27" si="0">E9-E9*N9</f>
        <v>0</v>
      </c>
      <c r="E9" s="499"/>
      <c r="F9" s="446">
        <f>O9+Q9</f>
        <v>975</v>
      </c>
      <c r="G9" s="503">
        <f>P9+R9</f>
        <v>1355</v>
      </c>
      <c r="H9" s="498">
        <f>SUM($F$9:F9)/A9</f>
        <v>975</v>
      </c>
      <c r="I9" s="499">
        <f>SUM($G$9:G9)/A9</f>
        <v>1355</v>
      </c>
      <c r="J9" s="443">
        <f t="shared" ref="J9:K24" si="1">J8+D9-F9</f>
        <v>75912.320000000007</v>
      </c>
      <c r="K9" s="459">
        <f t="shared" si="1"/>
        <v>106937</v>
      </c>
      <c r="L9" s="495">
        <f>J9/H9</f>
        <v>77.858789743589753</v>
      </c>
      <c r="M9" s="464">
        <f>K9/I9</f>
        <v>78.920295202952033</v>
      </c>
      <c r="N9" s="366"/>
      <c r="O9" s="446">
        <f>525+450</f>
        <v>975</v>
      </c>
      <c r="P9" s="446">
        <f>730+625</f>
        <v>1355</v>
      </c>
      <c r="Q9" s="446"/>
      <c r="R9" s="446"/>
      <c r="S9" s="647">
        <f>J9/$S$8</f>
        <v>101.21642666666668</v>
      </c>
    </row>
    <row r="10" spans="1:20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502">
        <f t="shared" si="0"/>
        <v>0</v>
      </c>
      <c r="E10" s="499"/>
      <c r="F10" s="446">
        <f t="shared" ref="F10:G39" si="2">O10+Q10</f>
        <v>1470</v>
      </c>
      <c r="G10" s="503">
        <f t="shared" si="2"/>
        <v>2028</v>
      </c>
      <c r="H10" s="498">
        <f>SUM($F$9:F10)/A10</f>
        <v>1222.5</v>
      </c>
      <c r="I10" s="499">
        <f>SUM($G$9:G10)/A10</f>
        <v>1691.5</v>
      </c>
      <c r="J10" s="443">
        <f t="shared" si="1"/>
        <v>74442.320000000007</v>
      </c>
      <c r="K10" s="459">
        <f t="shared" si="1"/>
        <v>104909</v>
      </c>
      <c r="L10" s="495">
        <f t="shared" ref="L10:M39" si="3">J10/H10</f>
        <v>60.893513292433546</v>
      </c>
      <c r="M10" s="464">
        <f t="shared" si="3"/>
        <v>62.021282885013299</v>
      </c>
      <c r="N10" s="366"/>
      <c r="O10" s="446">
        <f>525+450</f>
        <v>975</v>
      </c>
      <c r="P10" s="446">
        <f>724+621</f>
        <v>1345</v>
      </c>
      <c r="Q10" s="446">
        <v>495</v>
      </c>
      <c r="R10" s="446">
        <v>683</v>
      </c>
      <c r="S10" s="647">
        <f>J10/$S$8</f>
        <v>99.25642666666667</v>
      </c>
    </row>
    <row r="11" spans="1:20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502">
        <f t="shared" si="0"/>
        <v>0</v>
      </c>
      <c r="E11" s="499"/>
      <c r="F11" s="446">
        <f t="shared" si="2"/>
        <v>1215</v>
      </c>
      <c r="G11" s="503">
        <f t="shared" si="2"/>
        <v>1676</v>
      </c>
      <c r="H11" s="498">
        <f>SUM($F$9:F11)/A11</f>
        <v>1220</v>
      </c>
      <c r="I11" s="499">
        <f>SUM($G$9:G11)/A11</f>
        <v>1686.3333333333333</v>
      </c>
      <c r="J11" s="443">
        <f t="shared" si="1"/>
        <v>73227.320000000007</v>
      </c>
      <c r="K11" s="459">
        <f t="shared" si="1"/>
        <v>103233</v>
      </c>
      <c r="L11" s="495">
        <f t="shared" si="3"/>
        <v>60.022393442622956</v>
      </c>
      <c r="M11" s="464">
        <f t="shared" si="3"/>
        <v>61.217434275548527</v>
      </c>
      <c r="N11" s="366"/>
      <c r="O11" s="446">
        <f>900+315</f>
        <v>1215</v>
      </c>
      <c r="P11" s="446">
        <f>1242+434</f>
        <v>1676</v>
      </c>
      <c r="Q11" s="446"/>
      <c r="R11" s="446"/>
      <c r="S11" s="647">
        <f t="shared" ref="S11:S39" si="4">J11/$S$8</f>
        <v>97.636426666666679</v>
      </c>
    </row>
    <row r="12" spans="1:20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502">
        <f t="shared" si="0"/>
        <v>0</v>
      </c>
      <c r="E12" s="499"/>
      <c r="F12" s="446">
        <f t="shared" si="2"/>
        <v>1470</v>
      </c>
      <c r="G12" s="503">
        <f t="shared" si="2"/>
        <v>2043</v>
      </c>
      <c r="H12" s="498">
        <f>SUM($F$9:F12)/A12</f>
        <v>1282.5</v>
      </c>
      <c r="I12" s="499">
        <f>SUM($G$9:G12)/A12</f>
        <v>1775.5</v>
      </c>
      <c r="J12" s="443">
        <f t="shared" si="1"/>
        <v>71757.320000000007</v>
      </c>
      <c r="K12" s="459">
        <f t="shared" si="1"/>
        <v>101190</v>
      </c>
      <c r="L12" s="495">
        <f t="shared" si="3"/>
        <v>55.951126705653024</v>
      </c>
      <c r="M12" s="464">
        <f t="shared" si="3"/>
        <v>56.992396508025905</v>
      </c>
      <c r="N12" s="366"/>
      <c r="O12" s="446">
        <f>450+525</f>
        <v>975</v>
      </c>
      <c r="P12" s="446">
        <f>625+730</f>
        <v>1355</v>
      </c>
      <c r="Q12" s="446">
        <v>495</v>
      </c>
      <c r="R12" s="446">
        <v>688</v>
      </c>
      <c r="S12" s="647">
        <f t="shared" si="4"/>
        <v>95.676426666666671</v>
      </c>
    </row>
    <row r="13" spans="1:20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502">
        <f t="shared" si="0"/>
        <v>0</v>
      </c>
      <c r="E13" s="499"/>
      <c r="F13" s="446">
        <f t="shared" si="2"/>
        <v>1710</v>
      </c>
      <c r="G13" s="503">
        <f t="shared" si="2"/>
        <v>2376</v>
      </c>
      <c r="H13" s="504">
        <f>SUM($F$9:F13)/A13</f>
        <v>1368</v>
      </c>
      <c r="I13" s="499">
        <f>SUM($G$9:G13)/A13</f>
        <v>1895.6</v>
      </c>
      <c r="J13" s="504">
        <f t="shared" si="1"/>
        <v>70047.320000000007</v>
      </c>
      <c r="K13" s="459">
        <f t="shared" si="1"/>
        <v>98814</v>
      </c>
      <c r="L13" s="505">
        <f t="shared" si="3"/>
        <v>51.204181286549712</v>
      </c>
      <c r="M13" s="464">
        <f t="shared" si="3"/>
        <v>52.128086094112682</v>
      </c>
      <c r="N13" s="366"/>
      <c r="O13" s="446">
        <f>900+315</f>
        <v>1215</v>
      </c>
      <c r="P13" s="446">
        <f>1250+438</f>
        <v>1688</v>
      </c>
      <c r="Q13" s="446">
        <f>495</f>
        <v>495</v>
      </c>
      <c r="R13" s="446">
        <f>688</f>
        <v>688</v>
      </c>
      <c r="S13" s="647">
        <f t="shared" si="4"/>
        <v>93.39642666666667</v>
      </c>
    </row>
    <row r="14" spans="1:20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921">
        <f t="shared" si="0"/>
        <v>0</v>
      </c>
      <c r="E14" s="499"/>
      <c r="F14" s="446">
        <f t="shared" si="2"/>
        <v>1470</v>
      </c>
      <c r="G14" s="503">
        <f t="shared" si="2"/>
        <v>2043</v>
      </c>
      <c r="H14" s="498">
        <f>SUM($F$9:F14)/A14</f>
        <v>1385</v>
      </c>
      <c r="I14" s="499">
        <f>SUM($G$9:G14)/A14</f>
        <v>1920.1666666666667</v>
      </c>
      <c r="J14" s="443">
        <f t="shared" si="1"/>
        <v>68577.320000000007</v>
      </c>
      <c r="K14" s="459">
        <f t="shared" si="1"/>
        <v>96771</v>
      </c>
      <c r="L14" s="495">
        <f>J14/H14</f>
        <v>49.514310469314083</v>
      </c>
      <c r="M14" s="464">
        <f t="shared" si="3"/>
        <v>50.397187744119435</v>
      </c>
      <c r="N14" s="366"/>
      <c r="O14" s="446">
        <f>525+450</f>
        <v>975</v>
      </c>
      <c r="P14" s="446">
        <f>730+625</f>
        <v>1355</v>
      </c>
      <c r="Q14" s="446">
        <v>495</v>
      </c>
      <c r="R14" s="446">
        <v>688</v>
      </c>
      <c r="S14" s="647">
        <f t="shared" si="4"/>
        <v>91.436426666666677</v>
      </c>
    </row>
    <row r="15" spans="1:20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502">
        <f t="shared" si="0"/>
        <v>0</v>
      </c>
      <c r="E15" s="499"/>
      <c r="F15" s="446">
        <f t="shared" si="2"/>
        <v>1470</v>
      </c>
      <c r="G15" s="503">
        <f t="shared" si="2"/>
        <v>2014</v>
      </c>
      <c r="H15" s="498">
        <f>SUM($F$9:F15)/A15</f>
        <v>1397.1428571428571</v>
      </c>
      <c r="I15" s="499">
        <f>SUM($G$9:G15)/A15</f>
        <v>1933.5714285714287</v>
      </c>
      <c r="J15" s="443">
        <f t="shared" si="1"/>
        <v>67107.320000000007</v>
      </c>
      <c r="K15" s="459">
        <f t="shared" si="1"/>
        <v>94757</v>
      </c>
      <c r="L15" s="495">
        <f t="shared" si="3"/>
        <v>48.03182413087935</v>
      </c>
      <c r="M15" s="464">
        <f t="shared" si="3"/>
        <v>49.006206132249723</v>
      </c>
      <c r="N15" s="366"/>
      <c r="O15" s="446">
        <f>450+525</f>
        <v>975</v>
      </c>
      <c r="P15" s="446">
        <f>616+720</f>
        <v>1336</v>
      </c>
      <c r="Q15" s="446">
        <v>495</v>
      </c>
      <c r="R15" s="446">
        <v>678</v>
      </c>
      <c r="S15" s="647">
        <f t="shared" si="4"/>
        <v>89.476426666666683</v>
      </c>
    </row>
    <row r="16" spans="1:20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502">
        <f t="shared" si="0"/>
        <v>0</v>
      </c>
      <c r="E16" s="499"/>
      <c r="F16" s="446">
        <f t="shared" si="2"/>
        <v>2415</v>
      </c>
      <c r="G16" s="503">
        <f t="shared" si="2"/>
        <v>3285</v>
      </c>
      <c r="H16" s="498">
        <f>SUM($F$9:F16)/A16</f>
        <v>1524.375</v>
      </c>
      <c r="I16" s="499">
        <f>SUM($G$9:G16)/A16</f>
        <v>2102.5</v>
      </c>
      <c r="J16" s="443">
        <f t="shared" si="1"/>
        <v>64692.320000000007</v>
      </c>
      <c r="K16" s="459">
        <f t="shared" si="1"/>
        <v>91472</v>
      </c>
      <c r="L16" s="495">
        <f t="shared" si="3"/>
        <v>42.438586305863062</v>
      </c>
      <c r="M16" s="464">
        <f t="shared" si="3"/>
        <v>43.506302021403094</v>
      </c>
      <c r="N16" s="366"/>
      <c r="O16" s="446">
        <f>900+525</f>
        <v>1425</v>
      </c>
      <c r="P16" s="446">
        <f>1224+715</f>
        <v>1939</v>
      </c>
      <c r="Q16" s="446">
        <v>990</v>
      </c>
      <c r="R16" s="446">
        <v>1346</v>
      </c>
      <c r="S16" s="647">
        <f t="shared" si="4"/>
        <v>86.25642666666667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921">
        <f t="shared" si="0"/>
        <v>0</v>
      </c>
      <c r="E17" s="499"/>
      <c r="F17" s="446">
        <f t="shared" si="2"/>
        <v>1260</v>
      </c>
      <c r="G17" s="503">
        <f t="shared" si="2"/>
        <v>1714</v>
      </c>
      <c r="H17" s="498">
        <f>SUM($F$9:F17)/A17</f>
        <v>1495</v>
      </c>
      <c r="I17" s="499">
        <f>SUM($G$9:G17)/A17</f>
        <v>2059.3333333333335</v>
      </c>
      <c r="J17" s="443">
        <f t="shared" si="1"/>
        <v>63432.320000000007</v>
      </c>
      <c r="K17" s="459">
        <f t="shared" si="1"/>
        <v>89758</v>
      </c>
      <c r="L17" s="495">
        <f t="shared" si="3"/>
        <v>42.429645484949837</v>
      </c>
      <c r="M17" s="464">
        <f t="shared" si="3"/>
        <v>43.585950145678211</v>
      </c>
      <c r="N17" s="366"/>
      <c r="O17" s="446">
        <f>450+315</f>
        <v>765</v>
      </c>
      <c r="P17" s="446">
        <f>612+429</f>
        <v>1041</v>
      </c>
      <c r="Q17" s="446">
        <v>495</v>
      </c>
      <c r="R17" s="446">
        <v>673</v>
      </c>
      <c r="S17" s="647">
        <f t="shared" si="4"/>
        <v>84.576426666666677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502">
        <f t="shared" si="0"/>
        <v>0</v>
      </c>
      <c r="E18" s="499"/>
      <c r="F18" s="446">
        <f t="shared" si="2"/>
        <v>1953</v>
      </c>
      <c r="G18" s="503">
        <f t="shared" si="2"/>
        <v>2657</v>
      </c>
      <c r="H18" s="504">
        <f>SUM($F$9:F18)/A18</f>
        <v>1540.8</v>
      </c>
      <c r="I18" s="499">
        <f>SUM($G$9:G18)/A18</f>
        <v>2119.1</v>
      </c>
      <c r="J18" s="504">
        <f t="shared" si="1"/>
        <v>61479.320000000007</v>
      </c>
      <c r="K18" s="459">
        <f t="shared" si="1"/>
        <v>87101</v>
      </c>
      <c r="L18" s="505">
        <f t="shared" si="3"/>
        <v>39.90090861889928</v>
      </c>
      <c r="M18" s="464">
        <f t="shared" si="3"/>
        <v>41.10282667170025</v>
      </c>
      <c r="N18" s="366"/>
      <c r="O18" s="446">
        <f>900+525</f>
        <v>1425</v>
      </c>
      <c r="P18" s="446">
        <f>1224+715</f>
        <v>1939</v>
      </c>
      <c r="Q18" s="446">
        <v>528</v>
      </c>
      <c r="R18" s="446">
        <v>718</v>
      </c>
      <c r="S18" s="647">
        <f t="shared" si="4"/>
        <v>81.972426666666678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502">
        <f t="shared" si="0"/>
        <v>0</v>
      </c>
      <c r="E19" s="499"/>
      <c r="F19" s="446">
        <f t="shared" si="2"/>
        <v>1740</v>
      </c>
      <c r="G19" s="503">
        <f t="shared" si="2"/>
        <v>2368</v>
      </c>
      <c r="H19" s="498">
        <f>SUM($F$9:F19)/A19</f>
        <v>1558.909090909091</v>
      </c>
      <c r="I19" s="499">
        <f>SUM($G$9:G19)/A19</f>
        <v>2141.7272727272725</v>
      </c>
      <c r="J19" s="443">
        <f t="shared" si="1"/>
        <v>59739.320000000007</v>
      </c>
      <c r="K19" s="459">
        <f t="shared" si="1"/>
        <v>84733</v>
      </c>
      <c r="L19" s="495">
        <f t="shared" si="3"/>
        <v>38.321233963144394</v>
      </c>
      <c r="M19" s="464">
        <f t="shared" si="3"/>
        <v>39.562927119147673</v>
      </c>
      <c r="N19" s="366"/>
      <c r="O19" s="446">
        <f>450+525</f>
        <v>975</v>
      </c>
      <c r="P19" s="446">
        <f>612+715</f>
        <v>1327</v>
      </c>
      <c r="Q19" s="446">
        <f>315+450</f>
        <v>765</v>
      </c>
      <c r="R19" s="446">
        <f>429+612</f>
        <v>1041</v>
      </c>
      <c r="S19" s="647">
        <f t="shared" si="4"/>
        <v>79.65242666666667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0"/>
        <v>0</v>
      </c>
      <c r="E20" s="499"/>
      <c r="F20" s="446">
        <f t="shared" si="2"/>
        <v>1740</v>
      </c>
      <c r="G20" s="503">
        <f t="shared" si="2"/>
        <v>2400</v>
      </c>
      <c r="H20" s="498">
        <f>SUM($F$9:F20)/A20</f>
        <v>1574</v>
      </c>
      <c r="I20" s="499">
        <f>SUM($G$9:G20)/A20</f>
        <v>2163.25</v>
      </c>
      <c r="J20" s="443">
        <f t="shared" si="1"/>
        <v>57999.320000000007</v>
      </c>
      <c r="K20" s="459">
        <f t="shared" si="1"/>
        <v>82333</v>
      </c>
      <c r="L20" s="495">
        <f t="shared" si="3"/>
        <v>36.848360864040664</v>
      </c>
      <c r="M20" s="464">
        <f t="shared" si="3"/>
        <v>38.059863631110595</v>
      </c>
      <c r="N20" s="366"/>
      <c r="O20" s="446">
        <f>315+450</f>
        <v>765</v>
      </c>
      <c r="P20" s="446">
        <f>434+621</f>
        <v>1055</v>
      </c>
      <c r="Q20" s="446">
        <f>450+525</f>
        <v>975</v>
      </c>
      <c r="R20" s="446">
        <f>621+724</f>
        <v>1345</v>
      </c>
      <c r="S20" s="647">
        <f t="shared" si="4"/>
        <v>77.332426666666677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921">
        <f t="shared" si="0"/>
        <v>0</v>
      </c>
      <c r="E21" s="499"/>
      <c r="F21" s="446">
        <f t="shared" si="2"/>
        <v>1980</v>
      </c>
      <c r="G21" s="503">
        <f t="shared" si="2"/>
        <v>2731</v>
      </c>
      <c r="H21" s="498">
        <f>SUM($F$9:F21)/A21</f>
        <v>1605.2307692307693</v>
      </c>
      <c r="I21" s="499">
        <f>SUM($G$9:G21)/A21</f>
        <v>2206.9230769230771</v>
      </c>
      <c r="J21" s="443">
        <f t="shared" si="1"/>
        <v>56019.320000000007</v>
      </c>
      <c r="K21" s="459">
        <f>K20+E21-G21</f>
        <v>79602</v>
      </c>
      <c r="L21" s="495">
        <f t="shared" si="3"/>
        <v>34.897985432240752</v>
      </c>
      <c r="M21" s="464">
        <f t="shared" si="3"/>
        <v>36.069222725688391</v>
      </c>
      <c r="N21" s="366"/>
      <c r="O21" s="446">
        <f>315+900</f>
        <v>1215</v>
      </c>
      <c r="P21" s="446">
        <f>434+1242</f>
        <v>1676</v>
      </c>
      <c r="Q21" s="446">
        <f>450+315</f>
        <v>765</v>
      </c>
      <c r="R21" s="446">
        <f>621+434</f>
        <v>1055</v>
      </c>
      <c r="S21" s="647">
        <f t="shared" si="4"/>
        <v>74.692426666666677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502">
        <f t="shared" si="0"/>
        <v>0</v>
      </c>
      <c r="E22" s="499"/>
      <c r="F22" s="446">
        <f t="shared" si="2"/>
        <v>2400</v>
      </c>
      <c r="G22" s="503">
        <f t="shared" si="2"/>
        <v>3288</v>
      </c>
      <c r="H22" s="498">
        <f>SUM($F$9:F22)/A22</f>
        <v>1662</v>
      </c>
      <c r="I22" s="499">
        <f>SUM($G$9:G22)/A22</f>
        <v>2284.1428571428573</v>
      </c>
      <c r="J22" s="443">
        <f t="shared" si="1"/>
        <v>53619.320000000007</v>
      </c>
      <c r="K22" s="459">
        <f>K21+E22-G22</f>
        <v>76314</v>
      </c>
      <c r="L22" s="495">
        <f t="shared" si="3"/>
        <v>32.261925391095069</v>
      </c>
      <c r="M22" s="464">
        <f t="shared" si="3"/>
        <v>33.410344611920692</v>
      </c>
      <c r="N22" s="366"/>
      <c r="O22" s="446">
        <f>525+450</f>
        <v>975</v>
      </c>
      <c r="P22" s="446">
        <f>720+616</f>
        <v>1336</v>
      </c>
      <c r="Q22" s="446">
        <f>525+900</f>
        <v>1425</v>
      </c>
      <c r="R22" s="446">
        <f>720+1232</f>
        <v>1952</v>
      </c>
      <c r="S22" s="647">
        <f t="shared" si="4"/>
        <v>71.492426666666674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502">
        <f t="shared" si="0"/>
        <v>0</v>
      </c>
      <c r="E23" s="499"/>
      <c r="F23" s="446">
        <f t="shared" si="2"/>
        <v>2640</v>
      </c>
      <c r="G23" s="503">
        <f t="shared" si="2"/>
        <v>3568</v>
      </c>
      <c r="H23" s="504">
        <f>SUM($F$9:F23)/A23</f>
        <v>1727.2</v>
      </c>
      <c r="I23" s="499">
        <f>SUM($G$9:G23)/A23</f>
        <v>2369.7333333333331</v>
      </c>
      <c r="J23" s="504">
        <f>J22+D23-F23</f>
        <v>50979.320000000007</v>
      </c>
      <c r="K23" s="459">
        <f t="shared" si="1"/>
        <v>72746</v>
      </c>
      <c r="L23" s="505">
        <f t="shared" si="3"/>
        <v>29.515585919407137</v>
      </c>
      <c r="M23" s="464">
        <f t="shared" si="3"/>
        <v>30.697968829122829</v>
      </c>
      <c r="N23" s="366"/>
      <c r="O23" s="446">
        <f>315+900</f>
        <v>1215</v>
      </c>
      <c r="P23" s="446">
        <f>426+1216</f>
        <v>1642</v>
      </c>
      <c r="Q23" s="446">
        <f>525+900</f>
        <v>1425</v>
      </c>
      <c r="R23" s="446">
        <f>710+1216</f>
        <v>1926</v>
      </c>
      <c r="S23" s="647">
        <f t="shared" si="4"/>
        <v>67.972426666666678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502">
        <f t="shared" si="0"/>
        <v>0</v>
      </c>
      <c r="E24" s="499"/>
      <c r="F24" s="446">
        <f t="shared" si="2"/>
        <v>2400</v>
      </c>
      <c r="G24" s="503">
        <f t="shared" si="2"/>
        <v>3244</v>
      </c>
      <c r="H24" s="498">
        <f>SUM($F$9:F24)/A24</f>
        <v>1769.25</v>
      </c>
      <c r="I24" s="499">
        <f>SUM($G$9:G24)/A24</f>
        <v>2424.375</v>
      </c>
      <c r="J24" s="443">
        <f t="shared" si="1"/>
        <v>48579.320000000007</v>
      </c>
      <c r="K24" s="459">
        <f>K23+E24-G24</f>
        <v>69502</v>
      </c>
      <c r="L24" s="495">
        <f t="shared" si="3"/>
        <v>27.457578069803592</v>
      </c>
      <c r="M24" s="464">
        <f t="shared" si="3"/>
        <v>28.668007218355246</v>
      </c>
      <c r="N24" s="366"/>
      <c r="O24" s="446">
        <f>450+525</f>
        <v>975</v>
      </c>
      <c r="P24" s="446">
        <f>608+710</f>
        <v>1318</v>
      </c>
      <c r="Q24" s="446">
        <f>525+900</f>
        <v>1425</v>
      </c>
      <c r="R24" s="446">
        <f>710+1216</f>
        <v>1926</v>
      </c>
      <c r="S24" s="647">
        <f t="shared" si="4"/>
        <v>64.772426666666675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502">
        <f t="shared" si="0"/>
        <v>0</v>
      </c>
      <c r="E25" s="499"/>
      <c r="F25" s="446">
        <f t="shared" si="2"/>
        <v>2190</v>
      </c>
      <c r="G25" s="503">
        <f t="shared" si="2"/>
        <v>2960</v>
      </c>
      <c r="H25" s="498">
        <f>SUM($F$9:F25)/A25</f>
        <v>1794</v>
      </c>
      <c r="I25" s="499">
        <f>SUM($G$9:G25)/A25</f>
        <v>2455.8823529411766</v>
      </c>
      <c r="J25" s="443">
        <f t="shared" ref="J25:K39" si="5">J24+D25-F25</f>
        <v>46389.320000000007</v>
      </c>
      <c r="K25" s="459">
        <f>K24+E25-G25</f>
        <v>66542</v>
      </c>
      <c r="L25" s="495">
        <f t="shared" si="3"/>
        <v>25.858037904124863</v>
      </c>
      <c r="M25" s="464">
        <f t="shared" si="3"/>
        <v>27.09494610778443</v>
      </c>
      <c r="N25" s="366"/>
      <c r="O25" s="446">
        <f>315+900</f>
        <v>1215</v>
      </c>
      <c r="P25" s="446">
        <f>426+1216</f>
        <v>1642</v>
      </c>
      <c r="Q25" s="446">
        <f>450+525</f>
        <v>975</v>
      </c>
      <c r="R25" s="446">
        <f>608+710</f>
        <v>1318</v>
      </c>
      <c r="S25" s="647">
        <f t="shared" si="4"/>
        <v>61.852426666666673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502">
        <f t="shared" si="0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1694.3333333333333</v>
      </c>
      <c r="I26" s="499">
        <f>SUM($G$9:G26)/A26</f>
        <v>2319.4444444444443</v>
      </c>
      <c r="J26" s="443">
        <f t="shared" si="5"/>
        <v>46389.320000000007</v>
      </c>
      <c r="K26" s="459">
        <f>K25+E26-G26</f>
        <v>66542</v>
      </c>
      <c r="L26" s="495">
        <f t="shared" si="3"/>
        <v>27.379098957308681</v>
      </c>
      <c r="M26" s="464">
        <f t="shared" si="3"/>
        <v>28.688766467065868</v>
      </c>
      <c r="N26" s="366"/>
      <c r="O26" s="446"/>
      <c r="P26" s="446"/>
      <c r="Q26" s="446"/>
      <c r="R26" s="446"/>
      <c r="S26" s="647">
        <f t="shared" si="4"/>
        <v>61.852426666666673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0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1605.1578947368421</v>
      </c>
      <c r="I27" s="499">
        <f>SUM($G$9:G27)/A27</f>
        <v>2197.3684210526317</v>
      </c>
      <c r="J27" s="443">
        <f t="shared" si="5"/>
        <v>46389.320000000007</v>
      </c>
      <c r="K27" s="459">
        <f>K26+E27-G27</f>
        <v>66542</v>
      </c>
      <c r="L27" s="495">
        <f t="shared" si="3"/>
        <v>28.900160010492495</v>
      </c>
      <c r="M27" s="464">
        <f t="shared" si="3"/>
        <v>30.282586826347305</v>
      </c>
      <c r="N27" s="366"/>
      <c r="O27" s="446"/>
      <c r="P27" s="446"/>
      <c r="Q27" s="446"/>
      <c r="R27" s="446"/>
      <c r="S27" s="647">
        <f t="shared" si="4"/>
        <v>61.852426666666673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502">
        <f>E28-E28*N28</f>
        <v>0</v>
      </c>
      <c r="E28" s="499"/>
      <c r="F28" s="446">
        <f t="shared" si="2"/>
        <v>0</v>
      </c>
      <c r="G28" s="503">
        <f t="shared" si="2"/>
        <v>0</v>
      </c>
      <c r="H28" s="504">
        <f>SUM($F$9:F28)/A28</f>
        <v>1524.9</v>
      </c>
      <c r="I28" s="499">
        <f>SUM($G$9:G28)/A28</f>
        <v>2087.5</v>
      </c>
      <c r="J28" s="504">
        <f t="shared" si="5"/>
        <v>46389.320000000007</v>
      </c>
      <c r="K28" s="459">
        <f t="shared" si="5"/>
        <v>66542</v>
      </c>
      <c r="L28" s="505">
        <f t="shared" si="3"/>
        <v>30.42122106367631</v>
      </c>
      <c r="M28" s="464">
        <f t="shared" si="3"/>
        <v>31.876407185628743</v>
      </c>
      <c r="N28" s="366"/>
      <c r="O28" s="446"/>
      <c r="P28" s="446"/>
      <c r="Q28" s="446"/>
      <c r="R28" s="446"/>
      <c r="S28" s="647">
        <f t="shared" si="4"/>
        <v>61.852426666666673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502">
        <f t="shared" ref="D29:D39" si="6">E29-E29*N29</f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1452.2857142857142</v>
      </c>
      <c r="I29" s="499">
        <f>SUM($G$9:G29)/A29</f>
        <v>1988.0952380952381</v>
      </c>
      <c r="J29" s="443">
        <f t="shared" si="5"/>
        <v>46389.320000000007</v>
      </c>
      <c r="K29" s="459">
        <f t="shared" si="5"/>
        <v>66542</v>
      </c>
      <c r="L29" s="495">
        <f t="shared" si="3"/>
        <v>31.942282116860127</v>
      </c>
      <c r="M29" s="464">
        <f t="shared" si="3"/>
        <v>33.47022754491018</v>
      </c>
      <c r="N29" s="366"/>
      <c r="O29" s="446"/>
      <c r="P29" s="446"/>
      <c r="Q29" s="446"/>
      <c r="R29" s="446"/>
      <c r="S29" s="647">
        <f t="shared" si="4"/>
        <v>61.852426666666673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502">
        <f t="shared" si="6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1386.2727272727273</v>
      </c>
      <c r="I30" s="499">
        <f>SUM($G$9:G30)/A30</f>
        <v>1897.7272727272727</v>
      </c>
      <c r="J30" s="443">
        <f t="shared" si="5"/>
        <v>46389.320000000007</v>
      </c>
      <c r="K30" s="459">
        <f t="shared" si="5"/>
        <v>66542</v>
      </c>
      <c r="L30" s="495">
        <f t="shared" si="3"/>
        <v>33.463343170043942</v>
      </c>
      <c r="M30" s="464">
        <f t="shared" si="3"/>
        <v>35.064047904191618</v>
      </c>
      <c r="N30" s="366"/>
      <c r="O30" s="446"/>
      <c r="P30" s="446"/>
      <c r="Q30" s="446"/>
      <c r="R30" s="446"/>
      <c r="S30" s="647">
        <f t="shared" si="4"/>
        <v>61.852426666666673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502">
        <f t="shared" si="6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1326</v>
      </c>
      <c r="I31" s="499">
        <f>SUM($G$9:G31)/A31</f>
        <v>1815.2173913043478</v>
      </c>
      <c r="J31" s="443">
        <f t="shared" si="5"/>
        <v>46389.320000000007</v>
      </c>
      <c r="K31" s="459">
        <f t="shared" si="5"/>
        <v>66542</v>
      </c>
      <c r="L31" s="495">
        <f t="shared" si="3"/>
        <v>34.984404223227756</v>
      </c>
      <c r="M31" s="464">
        <f t="shared" si="3"/>
        <v>36.657868263473055</v>
      </c>
      <c r="N31" s="366"/>
      <c r="O31" s="446"/>
      <c r="P31" s="446"/>
      <c r="Q31" s="446"/>
      <c r="R31" s="446"/>
      <c r="S31" s="647">
        <f t="shared" si="4"/>
        <v>61.852426666666673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502">
        <f t="shared" si="6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1270.75</v>
      </c>
      <c r="I32" s="499">
        <f>SUM($G$9:G32)/A32</f>
        <v>1739.5833333333333</v>
      </c>
      <c r="J32" s="443">
        <f t="shared" si="5"/>
        <v>46389.320000000007</v>
      </c>
      <c r="K32" s="459">
        <f t="shared" si="5"/>
        <v>66542</v>
      </c>
      <c r="L32" s="495">
        <f t="shared" si="3"/>
        <v>36.50546527641157</v>
      </c>
      <c r="M32" s="464">
        <f t="shared" si="3"/>
        <v>38.251688622754493</v>
      </c>
      <c r="N32" s="366"/>
      <c r="O32" s="446"/>
      <c r="P32" s="446"/>
      <c r="Q32" s="446"/>
      <c r="R32" s="446"/>
      <c r="S32" s="647">
        <f t="shared" si="4"/>
        <v>61.852426666666673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6"/>
        <v>0</v>
      </c>
      <c r="E33" s="499"/>
      <c r="F33" s="446">
        <f t="shared" si="2"/>
        <v>0</v>
      </c>
      <c r="G33" s="503">
        <f t="shared" si="2"/>
        <v>0</v>
      </c>
      <c r="H33" s="460">
        <f>SUM($F$9:F33)/A33</f>
        <v>1219.92</v>
      </c>
      <c r="I33" s="499">
        <f>SUM($G$9:G33)/A33</f>
        <v>1670</v>
      </c>
      <c r="J33" s="460">
        <f t="shared" si="5"/>
        <v>46389.320000000007</v>
      </c>
      <c r="K33" s="459">
        <f t="shared" si="5"/>
        <v>66542</v>
      </c>
      <c r="L33" s="506">
        <f t="shared" si="3"/>
        <v>38.026526329595384</v>
      </c>
      <c r="M33" s="464">
        <f t="shared" si="3"/>
        <v>39.845508982035931</v>
      </c>
      <c r="N33" s="366"/>
      <c r="O33" s="446"/>
      <c r="P33" s="446"/>
      <c r="Q33" s="446"/>
      <c r="R33" s="446"/>
      <c r="S33" s="647">
        <f t="shared" si="4"/>
        <v>61.852426666666673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502">
        <f t="shared" si="6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1173</v>
      </c>
      <c r="I34" s="499">
        <f>SUM($G$9:G34)/A34</f>
        <v>1605.7692307692307</v>
      </c>
      <c r="J34" s="443">
        <f t="shared" si="5"/>
        <v>46389.320000000007</v>
      </c>
      <c r="K34" s="459">
        <f t="shared" si="5"/>
        <v>66542</v>
      </c>
      <c r="L34" s="495">
        <f t="shared" si="3"/>
        <v>39.547587382779206</v>
      </c>
      <c r="M34" s="464">
        <f t="shared" si="3"/>
        <v>41.439329341317368</v>
      </c>
      <c r="N34" s="366"/>
      <c r="O34" s="446"/>
      <c r="P34" s="446"/>
      <c r="Q34" s="446"/>
      <c r="R34" s="446"/>
      <c r="S34" s="647">
        <f t="shared" si="4"/>
        <v>61.852426666666673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502">
        <f t="shared" si="6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1129.5555555555557</v>
      </c>
      <c r="I35" s="499">
        <f>SUM($G$9:G35)/A35</f>
        <v>1546.2962962962963</v>
      </c>
      <c r="J35" s="443">
        <f t="shared" si="5"/>
        <v>46389.320000000007</v>
      </c>
      <c r="K35" s="459">
        <f t="shared" si="5"/>
        <v>66542</v>
      </c>
      <c r="L35" s="495">
        <f t="shared" si="3"/>
        <v>41.06864843596302</v>
      </c>
      <c r="M35" s="464">
        <f t="shared" si="3"/>
        <v>43.033149700598806</v>
      </c>
      <c r="N35" s="366"/>
      <c r="O35" s="446"/>
      <c r="P35" s="446"/>
      <c r="Q35" s="446"/>
      <c r="R35" s="446"/>
      <c r="S35" s="647">
        <f t="shared" si="4"/>
        <v>61.852426666666673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502">
        <f t="shared" si="6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1089.2142857142858</v>
      </c>
      <c r="I36" s="499">
        <f>SUM($G$9:G36)/A36</f>
        <v>1491.0714285714287</v>
      </c>
      <c r="J36" s="443">
        <f t="shared" si="5"/>
        <v>46389.320000000007</v>
      </c>
      <c r="K36" s="459">
        <f t="shared" si="5"/>
        <v>66542</v>
      </c>
      <c r="L36" s="495">
        <f t="shared" si="3"/>
        <v>42.589709489146834</v>
      </c>
      <c r="M36" s="464">
        <f t="shared" si="3"/>
        <v>44.626970059880236</v>
      </c>
      <c r="N36" s="366"/>
      <c r="O36" s="446"/>
      <c r="P36" s="446"/>
      <c r="Q36" s="446"/>
      <c r="R36" s="446"/>
      <c r="S36" s="647">
        <f t="shared" si="4"/>
        <v>61.852426666666673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502">
        <f t="shared" si="6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1051.655172413793</v>
      </c>
      <c r="I37" s="499">
        <f>SUM($G$9:G37)/A37</f>
        <v>1439.655172413793</v>
      </c>
      <c r="J37" s="443">
        <f t="shared" si="5"/>
        <v>46389.320000000007</v>
      </c>
      <c r="K37" s="459">
        <f t="shared" si="5"/>
        <v>66542</v>
      </c>
      <c r="L37" s="495">
        <f t="shared" si="3"/>
        <v>44.110770542330656</v>
      </c>
      <c r="M37" s="464">
        <f t="shared" si="3"/>
        <v>46.220790419161681</v>
      </c>
      <c r="N37" s="366"/>
      <c r="O37" s="446"/>
      <c r="P37" s="446"/>
      <c r="Q37" s="446"/>
      <c r="R37" s="446"/>
      <c r="S37" s="647">
        <f t="shared" si="4"/>
        <v>61.852426666666673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502">
        <f t="shared" si="6"/>
        <v>0</v>
      </c>
      <c r="E38" s="499"/>
      <c r="F38" s="446">
        <f t="shared" si="2"/>
        <v>0</v>
      </c>
      <c r="G38" s="503">
        <f t="shared" si="2"/>
        <v>0</v>
      </c>
      <c r="H38" s="504">
        <f>SUM($F$9:F38)/A38</f>
        <v>1016.6</v>
      </c>
      <c r="I38" s="499">
        <f>SUM($G$9:G38)/A38</f>
        <v>1391.6666666666667</v>
      </c>
      <c r="J38" s="504">
        <f t="shared" si="5"/>
        <v>46389.320000000007</v>
      </c>
      <c r="K38" s="459">
        <f t="shared" si="5"/>
        <v>66542</v>
      </c>
      <c r="L38" s="505">
        <f t="shared" si="3"/>
        <v>45.631831595514463</v>
      </c>
      <c r="M38" s="464">
        <f t="shared" si="3"/>
        <v>47.814610778443111</v>
      </c>
      <c r="N38" s="366"/>
      <c r="O38" s="446"/>
      <c r="P38" s="446"/>
      <c r="Q38" s="446"/>
      <c r="R38" s="446"/>
      <c r="S38" s="647">
        <f t="shared" si="4"/>
        <v>61.852426666666673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502">
        <f t="shared" si="6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983.80645161290317</v>
      </c>
      <c r="I39" s="499">
        <f>SUM($G$9:G39)/A39</f>
        <v>1346.7741935483871</v>
      </c>
      <c r="J39" s="443">
        <f t="shared" si="5"/>
        <v>46389.320000000007</v>
      </c>
      <c r="K39" s="459">
        <f t="shared" si="5"/>
        <v>66542</v>
      </c>
      <c r="L39" s="495">
        <f t="shared" si="3"/>
        <v>47.152892648698284</v>
      </c>
      <c r="M39" s="464">
        <f t="shared" si="3"/>
        <v>49.408431137724548</v>
      </c>
      <c r="N39" s="366"/>
      <c r="O39" s="446"/>
      <c r="P39" s="446"/>
      <c r="Q39" s="446"/>
      <c r="R39" s="446"/>
      <c r="S39" s="647">
        <f t="shared" si="4"/>
        <v>61.852426666666673</v>
      </c>
    </row>
    <row r="40" spans="1:19" s="374" customFormat="1" ht="12" customHeight="1">
      <c r="A40" s="949" t="s">
        <v>29</v>
      </c>
      <c r="B40" s="950"/>
      <c r="C40" s="951"/>
      <c r="D40" s="388">
        <f>SUM(D9:D39)</f>
        <v>0</v>
      </c>
      <c r="E40" s="388">
        <f>SUM(E9:E39)</f>
        <v>0</v>
      </c>
      <c r="F40" s="389">
        <f>SUM(F9:F39)</f>
        <v>30498</v>
      </c>
      <c r="G40" s="496">
        <f>SUM(G9:G39)</f>
        <v>41750</v>
      </c>
      <c r="H40" s="389"/>
      <c r="I40" s="496"/>
      <c r="J40" s="641">
        <f>J39</f>
        <v>46389.320000000007</v>
      </c>
      <c r="K40" s="642">
        <f>K39</f>
        <v>66542</v>
      </c>
      <c r="L40" s="464"/>
      <c r="M40" s="464"/>
      <c r="N40" s="507"/>
      <c r="O40" s="389">
        <f>SUM(O9:O39)</f>
        <v>18255</v>
      </c>
      <c r="P40" s="496">
        <f>SUM(P9:P39)</f>
        <v>25025</v>
      </c>
      <c r="Q40" s="389">
        <f>SUM(Q9:Q39)</f>
        <v>12243</v>
      </c>
      <c r="R40" s="496">
        <f>SUM(R9:R39)</f>
        <v>16725</v>
      </c>
    </row>
    <row r="41" spans="1:19" s="374" customFormat="1" ht="12" customHeight="1">
      <c r="A41" s="949" t="s">
        <v>15</v>
      </c>
      <c r="B41" s="950"/>
      <c r="C41" s="951"/>
      <c r="D41" s="388">
        <f>D8+D40</f>
        <v>76887.320000000007</v>
      </c>
      <c r="E41" s="388">
        <f>E8+E40</f>
        <v>108292</v>
      </c>
      <c r="F41" s="389">
        <f>F40</f>
        <v>30498</v>
      </c>
      <c r="G41" s="496">
        <f>G40</f>
        <v>41750</v>
      </c>
      <c r="H41" s="389"/>
      <c r="I41" s="496"/>
      <c r="J41" s="641">
        <f>D41-F41</f>
        <v>46389.320000000007</v>
      </c>
      <c r="K41" s="641">
        <f>K40</f>
        <v>66542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251" priority="1" operator="lessThan">
      <formula>15</formula>
    </cfRule>
    <cfRule type="cellIs" dxfId="12250" priority="2" operator="greaterThan">
      <formula>20</formula>
    </cfRule>
    <cfRule type="cellIs" dxfId="12249" priority="3" operator="between">
      <formula>15</formula>
      <formula>20</formula>
    </cfRule>
    <cfRule type="cellIs" dxfId="12248" priority="4" operator="between">
      <formula>15</formula>
      <formula>20</formula>
    </cfRule>
    <cfRule type="cellIs" dxfId="12247" priority="5" operator="lessThan">
      <formula>15</formula>
    </cfRule>
    <cfRule type="cellIs" dxfId="12246" priority="6" operator="greaterThan">
      <formula>20</formula>
    </cfRule>
    <cfRule type="cellIs" dxfId="12245" priority="7" operator="between">
      <formula>15</formula>
      <formula>21</formula>
    </cfRule>
    <cfRule type="cellIs" dxfId="12244" priority="8" operator="lessThan">
      <formula>15</formula>
    </cfRule>
    <cfRule type="cellIs" dxfId="12243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" footer="0.31496062992125984"/>
  <pageSetup paperSize="8" orientation="landscape" horizontalDpi="4294967292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1.28515625" style="143" customWidth="1"/>
    <col min="14" max="14" width="6.42578125" style="143" customWidth="1"/>
    <col min="15" max="18" width="9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034" customFormat="1" ht="18.75" customHeight="1">
      <c r="A4" s="1600" t="s">
        <v>33</v>
      </c>
      <c r="B4" s="1600"/>
      <c r="C4" s="316" t="str">
        <f>J4</f>
        <v>E.Cao lanh BF046A QĐ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1260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1034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120</v>
      </c>
      <c r="G8" s="388">
        <f>G40</f>
        <v>161</v>
      </c>
      <c r="H8" s="387"/>
      <c r="I8" s="388"/>
      <c r="J8" s="937">
        <f>K8-K8*N8</f>
        <v>0</v>
      </c>
      <c r="K8" s="939"/>
      <c r="L8" s="462"/>
      <c r="M8" s="463"/>
      <c r="N8" s="366">
        <v>0.25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225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349</v>
      </c>
      <c r="D9" s="502">
        <f t="shared" ref="D9:D27" si="0"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1">J8+D9-F9</f>
        <v>0</v>
      </c>
      <c r="K9" s="459">
        <f t="shared" si="1"/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502">
        <f t="shared" si="0"/>
        <v>0</v>
      </c>
      <c r="E10" s="499"/>
      <c r="F10" s="446">
        <f t="shared" ref="F10:G39" si="2">O10+Q10</f>
        <v>0</v>
      </c>
      <c r="G10" s="503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1"/>
        <v>0</v>
      </c>
      <c r="K10" s="459">
        <f t="shared" si="1"/>
        <v>0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502">
        <f t="shared" si="0"/>
        <v>0</v>
      </c>
      <c r="E11" s="499"/>
      <c r="F11" s="446">
        <f t="shared" si="2"/>
        <v>0</v>
      </c>
      <c r="G11" s="503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1"/>
        <v>0</v>
      </c>
      <c r="K11" s="459">
        <f t="shared" si="1"/>
        <v>0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502">
        <f t="shared" si="0"/>
        <v>0</v>
      </c>
      <c r="E12" s="499"/>
      <c r="F12" s="446">
        <f t="shared" si="2"/>
        <v>0</v>
      </c>
      <c r="G12" s="503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1"/>
        <v>0</v>
      </c>
      <c r="K12" s="459">
        <f t="shared" si="1"/>
        <v>0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502">
        <f t="shared" si="0"/>
        <v>0</v>
      </c>
      <c r="E13" s="499"/>
      <c r="F13" s="446">
        <f t="shared" si="2"/>
        <v>0</v>
      </c>
      <c r="G13" s="503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1"/>
        <v>0</v>
      </c>
      <c r="K13" s="459">
        <f t="shared" si="1"/>
        <v>0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921">
        <f t="shared" si="0"/>
        <v>0</v>
      </c>
      <c r="E14" s="499"/>
      <c r="F14" s="446">
        <f t="shared" si="2"/>
        <v>0</v>
      </c>
      <c r="G14" s="503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1"/>
        <v>0</v>
      </c>
      <c r="K14" s="459">
        <f t="shared" si="1"/>
        <v>0</v>
      </c>
      <c r="L14" s="495" t="e">
        <f>J14/H14</f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502">
        <f t="shared" si="0"/>
        <v>0</v>
      </c>
      <c r="E15" s="499"/>
      <c r="F15" s="446">
        <f t="shared" si="2"/>
        <v>0</v>
      </c>
      <c r="G15" s="503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1"/>
        <v>0</v>
      </c>
      <c r="K15" s="459">
        <f t="shared" si="1"/>
        <v>0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502">
        <f t="shared" si="0"/>
        <v>1999.5</v>
      </c>
      <c r="E16" s="499">
        <v>2666</v>
      </c>
      <c r="F16" s="446">
        <f t="shared" si="2"/>
        <v>0</v>
      </c>
      <c r="G16" s="503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1"/>
        <v>1999.5</v>
      </c>
      <c r="K16" s="459">
        <f t="shared" si="1"/>
        <v>2666</v>
      </c>
      <c r="L16" s="495" t="e">
        <f t="shared" si="3"/>
        <v>#DIV/0!</v>
      </c>
      <c r="M16" s="464" t="e">
        <f t="shared" si="3"/>
        <v>#DIV/0!</v>
      </c>
      <c r="N16" s="366">
        <v>0.25</v>
      </c>
      <c r="O16" s="446"/>
      <c r="P16" s="446"/>
      <c r="Q16" s="446"/>
      <c r="R16" s="446"/>
      <c r="S16" s="647">
        <f t="shared" si="4"/>
        <v>8.8866666666666667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921">
        <f t="shared" si="0"/>
        <v>0</v>
      </c>
      <c r="E17" s="499"/>
      <c r="F17" s="446">
        <f t="shared" si="2"/>
        <v>0</v>
      </c>
      <c r="G17" s="503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1"/>
        <v>1999.5</v>
      </c>
      <c r="K17" s="459">
        <f t="shared" si="1"/>
        <v>2666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8.8866666666666667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502">
        <f t="shared" si="0"/>
        <v>0</v>
      </c>
      <c r="E18" s="499"/>
      <c r="F18" s="446">
        <f t="shared" si="2"/>
        <v>0</v>
      </c>
      <c r="G18" s="503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1"/>
        <v>1999.5</v>
      </c>
      <c r="K18" s="459">
        <f t="shared" si="1"/>
        <v>2666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8.8866666666666667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502">
        <f t="shared" si="0"/>
        <v>0</v>
      </c>
      <c r="E19" s="499"/>
      <c r="F19" s="446">
        <f t="shared" si="2"/>
        <v>0</v>
      </c>
      <c r="G19" s="503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1"/>
        <v>1999.5</v>
      </c>
      <c r="K19" s="459">
        <f t="shared" si="1"/>
        <v>2666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8.8866666666666667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0"/>
        <v>0</v>
      </c>
      <c r="E20" s="499"/>
      <c r="F20" s="446">
        <f t="shared" si="2"/>
        <v>0</v>
      </c>
      <c r="G20" s="503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1"/>
        <v>1999.5</v>
      </c>
      <c r="K20" s="459">
        <f t="shared" si="1"/>
        <v>2666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8.8866666666666667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921">
        <f t="shared" si="0"/>
        <v>0</v>
      </c>
      <c r="E21" s="499"/>
      <c r="F21" s="446">
        <f t="shared" si="2"/>
        <v>120</v>
      </c>
      <c r="G21" s="503">
        <f t="shared" si="2"/>
        <v>161</v>
      </c>
      <c r="H21" s="498">
        <f>SUM($F$9:F21)/A21</f>
        <v>9.2307692307692299</v>
      </c>
      <c r="I21" s="499">
        <f>SUM($G$9:G21)/A21</f>
        <v>12.384615384615385</v>
      </c>
      <c r="J21" s="443">
        <f t="shared" si="1"/>
        <v>1879.5</v>
      </c>
      <c r="K21" s="459">
        <f>K20+E21-G21</f>
        <v>2505</v>
      </c>
      <c r="L21" s="495">
        <f t="shared" si="3"/>
        <v>203.61250000000001</v>
      </c>
      <c r="M21" s="464">
        <f t="shared" si="3"/>
        <v>202.26708074534162</v>
      </c>
      <c r="N21" s="366"/>
      <c r="O21" s="446">
        <v>120</v>
      </c>
      <c r="P21" s="446">
        <v>161</v>
      </c>
      <c r="Q21" s="446"/>
      <c r="R21" s="446"/>
      <c r="S21" s="647">
        <f t="shared" si="4"/>
        <v>8.3533333333333335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502">
        <f t="shared" si="0"/>
        <v>0</v>
      </c>
      <c r="E22" s="499"/>
      <c r="F22" s="446">
        <f t="shared" si="2"/>
        <v>0</v>
      </c>
      <c r="G22" s="503">
        <f t="shared" si="2"/>
        <v>0</v>
      </c>
      <c r="H22" s="498">
        <f>SUM($F$9:F22)/A22</f>
        <v>8.5714285714285712</v>
      </c>
      <c r="I22" s="499">
        <f>SUM($G$9:G22)/A22</f>
        <v>11.5</v>
      </c>
      <c r="J22" s="443">
        <f t="shared" si="1"/>
        <v>1879.5</v>
      </c>
      <c r="K22" s="459">
        <f>K21+E22-G22</f>
        <v>2505</v>
      </c>
      <c r="L22" s="495">
        <f t="shared" si="3"/>
        <v>219.27500000000001</v>
      </c>
      <c r="M22" s="464">
        <f t="shared" si="3"/>
        <v>217.82608695652175</v>
      </c>
      <c r="N22" s="366"/>
      <c r="O22" s="446"/>
      <c r="P22" s="446"/>
      <c r="Q22" s="446"/>
      <c r="R22" s="446"/>
      <c r="S22" s="647">
        <f t="shared" si="4"/>
        <v>8.3533333333333335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502">
        <f t="shared" si="0"/>
        <v>0</v>
      </c>
      <c r="E23" s="499"/>
      <c r="F23" s="446">
        <f t="shared" si="2"/>
        <v>0</v>
      </c>
      <c r="G23" s="503">
        <f t="shared" si="2"/>
        <v>0</v>
      </c>
      <c r="H23" s="504">
        <f>SUM($F$9:F23)/A23</f>
        <v>8</v>
      </c>
      <c r="I23" s="499">
        <f>SUM($G$9:G23)/A23</f>
        <v>10.733333333333333</v>
      </c>
      <c r="J23" s="504">
        <f>J22+D23-F23</f>
        <v>1879.5</v>
      </c>
      <c r="K23" s="459">
        <f t="shared" si="1"/>
        <v>2505</v>
      </c>
      <c r="L23" s="505">
        <f t="shared" si="3"/>
        <v>234.9375</v>
      </c>
      <c r="M23" s="464">
        <f t="shared" si="3"/>
        <v>233.38509316770188</v>
      </c>
      <c r="N23" s="366"/>
      <c r="O23" s="446"/>
      <c r="P23" s="446"/>
      <c r="Q23" s="446"/>
      <c r="R23" s="446"/>
      <c r="S23" s="647">
        <f t="shared" si="4"/>
        <v>8.3533333333333335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502">
        <f t="shared" si="0"/>
        <v>0</v>
      </c>
      <c r="E24" s="499"/>
      <c r="F24" s="446">
        <f t="shared" si="2"/>
        <v>0</v>
      </c>
      <c r="G24" s="503">
        <f t="shared" si="2"/>
        <v>0</v>
      </c>
      <c r="H24" s="498">
        <f>SUM($F$9:F24)/A24</f>
        <v>7.5</v>
      </c>
      <c r="I24" s="499">
        <f>SUM($G$9:G24)/A24</f>
        <v>10.0625</v>
      </c>
      <c r="J24" s="443">
        <f t="shared" si="1"/>
        <v>1879.5</v>
      </c>
      <c r="K24" s="459">
        <f>K23+E24-G24</f>
        <v>2505</v>
      </c>
      <c r="L24" s="495">
        <f t="shared" si="3"/>
        <v>250.6</v>
      </c>
      <c r="M24" s="464">
        <f t="shared" si="3"/>
        <v>248.94409937888199</v>
      </c>
      <c r="N24" s="366"/>
      <c r="O24" s="446"/>
      <c r="P24" s="446"/>
      <c r="Q24" s="446"/>
      <c r="R24" s="446"/>
      <c r="S24" s="647">
        <f t="shared" si="4"/>
        <v>8.3533333333333335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502">
        <f t="shared" si="0"/>
        <v>0</v>
      </c>
      <c r="E25" s="499"/>
      <c r="F25" s="446">
        <f t="shared" si="2"/>
        <v>0</v>
      </c>
      <c r="G25" s="503">
        <f t="shared" si="2"/>
        <v>0</v>
      </c>
      <c r="H25" s="498">
        <f>SUM($F$9:F25)/A25</f>
        <v>7.0588235294117645</v>
      </c>
      <c r="I25" s="499">
        <f>SUM($G$9:G25)/A25</f>
        <v>9.4705882352941178</v>
      </c>
      <c r="J25" s="443">
        <f t="shared" ref="J25:K39" si="5">J24+D25-F25</f>
        <v>1879.5</v>
      </c>
      <c r="K25" s="459">
        <f>K24+E25-G25</f>
        <v>2505</v>
      </c>
      <c r="L25" s="495">
        <f t="shared" si="3"/>
        <v>266.26249999999999</v>
      </c>
      <c r="M25" s="464">
        <f t="shared" si="3"/>
        <v>264.50310559006209</v>
      </c>
      <c r="N25" s="366"/>
      <c r="O25" s="446"/>
      <c r="P25" s="446"/>
      <c r="Q25" s="446"/>
      <c r="R25" s="446"/>
      <c r="S25" s="647">
        <f t="shared" si="4"/>
        <v>8.3533333333333335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502">
        <f t="shared" si="0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6.666666666666667</v>
      </c>
      <c r="I26" s="499">
        <f>SUM($G$9:G26)/A26</f>
        <v>8.9444444444444446</v>
      </c>
      <c r="J26" s="443">
        <f t="shared" si="5"/>
        <v>1879.5</v>
      </c>
      <c r="K26" s="459">
        <f>K25+E26-G26</f>
        <v>2505</v>
      </c>
      <c r="L26" s="495">
        <f t="shared" si="3"/>
        <v>281.92500000000001</v>
      </c>
      <c r="M26" s="464">
        <f t="shared" si="3"/>
        <v>280.06211180124222</v>
      </c>
      <c r="N26" s="366"/>
      <c r="O26" s="446"/>
      <c r="P26" s="446"/>
      <c r="Q26" s="446"/>
      <c r="R26" s="446"/>
      <c r="S26" s="647">
        <f t="shared" si="4"/>
        <v>8.3533333333333335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0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6.3157894736842106</v>
      </c>
      <c r="I27" s="499">
        <f>SUM($G$9:G27)/A27</f>
        <v>8.473684210526315</v>
      </c>
      <c r="J27" s="443">
        <f t="shared" si="5"/>
        <v>1879.5</v>
      </c>
      <c r="K27" s="459">
        <f>K26+E27-G27</f>
        <v>2505</v>
      </c>
      <c r="L27" s="495">
        <f t="shared" si="3"/>
        <v>297.58749999999998</v>
      </c>
      <c r="M27" s="464">
        <f t="shared" si="3"/>
        <v>295.62111801242241</v>
      </c>
      <c r="N27" s="366"/>
      <c r="O27" s="446"/>
      <c r="P27" s="446"/>
      <c r="Q27" s="446"/>
      <c r="R27" s="446"/>
      <c r="S27" s="647">
        <f t="shared" si="4"/>
        <v>8.3533333333333335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502">
        <f>E28-E28*N28</f>
        <v>0</v>
      </c>
      <c r="E28" s="499"/>
      <c r="F28" s="446">
        <f t="shared" si="2"/>
        <v>0</v>
      </c>
      <c r="G28" s="503">
        <f t="shared" si="2"/>
        <v>0</v>
      </c>
      <c r="H28" s="504">
        <f>SUM($F$9:F28)/A28</f>
        <v>6</v>
      </c>
      <c r="I28" s="499">
        <f>SUM($G$9:G28)/A28</f>
        <v>8.0500000000000007</v>
      </c>
      <c r="J28" s="504">
        <f t="shared" si="5"/>
        <v>1879.5</v>
      </c>
      <c r="K28" s="459">
        <f t="shared" si="5"/>
        <v>2505</v>
      </c>
      <c r="L28" s="505">
        <f t="shared" si="3"/>
        <v>313.25</v>
      </c>
      <c r="M28" s="464">
        <f t="shared" si="3"/>
        <v>311.18012422360243</v>
      </c>
      <c r="N28" s="366"/>
      <c r="O28" s="446"/>
      <c r="P28" s="446"/>
      <c r="Q28" s="446"/>
      <c r="R28" s="446"/>
      <c r="S28" s="647">
        <f t="shared" si="4"/>
        <v>8.3533333333333335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921">
        <f t="shared" ref="D29:D39" si="6">E29-E29*N29</f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5.7142857142857144</v>
      </c>
      <c r="I29" s="499">
        <f>SUM($G$9:G29)/A29</f>
        <v>7.666666666666667</v>
      </c>
      <c r="J29" s="443">
        <f t="shared" si="5"/>
        <v>1879.5</v>
      </c>
      <c r="K29" s="459">
        <f t="shared" si="5"/>
        <v>2505</v>
      </c>
      <c r="L29" s="495">
        <f t="shared" si="3"/>
        <v>328.91249999999997</v>
      </c>
      <c r="M29" s="464">
        <f t="shared" si="3"/>
        <v>326.73913043478262</v>
      </c>
      <c r="N29" s="366"/>
      <c r="O29" s="446"/>
      <c r="P29" s="446"/>
      <c r="Q29" s="446"/>
      <c r="R29" s="446"/>
      <c r="S29" s="647">
        <f t="shared" si="4"/>
        <v>8.3533333333333335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502">
        <f t="shared" si="6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5.4545454545454541</v>
      </c>
      <c r="I30" s="499">
        <f>SUM($G$9:G30)/A30</f>
        <v>7.3181818181818183</v>
      </c>
      <c r="J30" s="443">
        <f t="shared" si="5"/>
        <v>1879.5</v>
      </c>
      <c r="K30" s="459">
        <f t="shared" si="5"/>
        <v>2505</v>
      </c>
      <c r="L30" s="495">
        <f t="shared" si="3"/>
        <v>344.57500000000005</v>
      </c>
      <c r="M30" s="464">
        <f t="shared" si="3"/>
        <v>342.2981366459627</v>
      </c>
      <c r="N30" s="366"/>
      <c r="O30" s="446"/>
      <c r="P30" s="446"/>
      <c r="Q30" s="446"/>
      <c r="R30" s="446"/>
      <c r="S30" s="647">
        <f t="shared" si="4"/>
        <v>8.3533333333333335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502">
        <f t="shared" si="6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5.2173913043478262</v>
      </c>
      <c r="I31" s="499">
        <f>SUM($G$9:G31)/A31</f>
        <v>7</v>
      </c>
      <c r="J31" s="443">
        <f t="shared" si="5"/>
        <v>1879.5</v>
      </c>
      <c r="K31" s="459">
        <f t="shared" si="5"/>
        <v>2505</v>
      </c>
      <c r="L31" s="495">
        <f t="shared" si="3"/>
        <v>360.23750000000001</v>
      </c>
      <c r="M31" s="464">
        <f t="shared" si="3"/>
        <v>357.85714285714283</v>
      </c>
      <c r="N31" s="366"/>
      <c r="O31" s="446"/>
      <c r="P31" s="446"/>
      <c r="Q31" s="446"/>
      <c r="R31" s="446"/>
      <c r="S31" s="647">
        <f t="shared" si="4"/>
        <v>8.3533333333333335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502">
        <f t="shared" si="6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5</v>
      </c>
      <c r="I32" s="499">
        <f>SUM($G$9:G32)/A32</f>
        <v>6.708333333333333</v>
      </c>
      <c r="J32" s="443">
        <f t="shared" si="5"/>
        <v>1879.5</v>
      </c>
      <c r="K32" s="459">
        <f t="shared" si="5"/>
        <v>2505</v>
      </c>
      <c r="L32" s="495">
        <f t="shared" si="3"/>
        <v>375.9</v>
      </c>
      <c r="M32" s="464">
        <f t="shared" si="3"/>
        <v>373.41614906832302</v>
      </c>
      <c r="N32" s="366"/>
      <c r="O32" s="446"/>
      <c r="P32" s="446"/>
      <c r="Q32" s="446"/>
      <c r="R32" s="446"/>
      <c r="S32" s="647">
        <f t="shared" si="4"/>
        <v>8.3533333333333335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6"/>
        <v>0</v>
      </c>
      <c r="E33" s="499"/>
      <c r="F33" s="446">
        <f t="shared" si="2"/>
        <v>0</v>
      </c>
      <c r="G33" s="503">
        <f t="shared" si="2"/>
        <v>0</v>
      </c>
      <c r="H33" s="460">
        <f>SUM($F$9:F33)/A33</f>
        <v>4.8</v>
      </c>
      <c r="I33" s="499">
        <f>SUM($G$9:G33)/A33</f>
        <v>6.44</v>
      </c>
      <c r="J33" s="460">
        <f t="shared" si="5"/>
        <v>1879.5</v>
      </c>
      <c r="K33" s="459">
        <f t="shared" si="5"/>
        <v>2505</v>
      </c>
      <c r="L33" s="506">
        <f t="shared" si="3"/>
        <v>391.5625</v>
      </c>
      <c r="M33" s="464">
        <f t="shared" si="3"/>
        <v>388.9751552795031</v>
      </c>
      <c r="N33" s="366"/>
      <c r="O33" s="446"/>
      <c r="P33" s="446"/>
      <c r="Q33" s="446"/>
      <c r="R33" s="446"/>
      <c r="S33" s="647">
        <f t="shared" si="4"/>
        <v>8.3533333333333335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502">
        <f t="shared" si="6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4.615384615384615</v>
      </c>
      <c r="I34" s="499">
        <f>SUM($G$9:G34)/A34</f>
        <v>6.1923076923076925</v>
      </c>
      <c r="J34" s="443">
        <f t="shared" si="5"/>
        <v>1879.5</v>
      </c>
      <c r="K34" s="459">
        <f t="shared" si="5"/>
        <v>2505</v>
      </c>
      <c r="L34" s="495">
        <f t="shared" si="3"/>
        <v>407.22500000000002</v>
      </c>
      <c r="M34" s="464">
        <f t="shared" si="3"/>
        <v>404.53416149068323</v>
      </c>
      <c r="N34" s="366"/>
      <c r="O34" s="446"/>
      <c r="P34" s="446"/>
      <c r="Q34" s="446"/>
      <c r="R34" s="446"/>
      <c r="S34" s="647">
        <f t="shared" si="4"/>
        <v>8.3533333333333335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502">
        <f t="shared" si="6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4.4444444444444446</v>
      </c>
      <c r="I35" s="499">
        <f>SUM($G$9:G35)/A35</f>
        <v>5.9629629629629628</v>
      </c>
      <c r="J35" s="443">
        <f t="shared" si="5"/>
        <v>1879.5</v>
      </c>
      <c r="K35" s="459">
        <f t="shared" si="5"/>
        <v>2505</v>
      </c>
      <c r="L35" s="495">
        <f t="shared" si="3"/>
        <v>422.88749999999999</v>
      </c>
      <c r="M35" s="464">
        <f t="shared" si="3"/>
        <v>420.09316770186336</v>
      </c>
      <c r="N35" s="366"/>
      <c r="O35" s="446"/>
      <c r="P35" s="446"/>
      <c r="Q35" s="446"/>
      <c r="R35" s="446"/>
      <c r="S35" s="647">
        <f t="shared" si="4"/>
        <v>8.3533333333333335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502">
        <f t="shared" si="6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4.2857142857142856</v>
      </c>
      <c r="I36" s="499">
        <f>SUM($G$9:G36)/A36</f>
        <v>5.75</v>
      </c>
      <c r="J36" s="443">
        <f t="shared" si="5"/>
        <v>1879.5</v>
      </c>
      <c r="K36" s="459">
        <f t="shared" si="5"/>
        <v>2505</v>
      </c>
      <c r="L36" s="495">
        <f t="shared" si="3"/>
        <v>438.55</v>
      </c>
      <c r="M36" s="464">
        <f t="shared" si="3"/>
        <v>435.6521739130435</v>
      </c>
      <c r="N36" s="366"/>
      <c r="O36" s="446"/>
      <c r="P36" s="446"/>
      <c r="Q36" s="446"/>
      <c r="R36" s="446"/>
      <c r="S36" s="647">
        <f t="shared" si="4"/>
        <v>8.3533333333333335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502">
        <f t="shared" si="6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4.1379310344827589</v>
      </c>
      <c r="I37" s="499">
        <f>SUM($G$9:G37)/A37</f>
        <v>5.5517241379310347</v>
      </c>
      <c r="J37" s="443">
        <f t="shared" si="5"/>
        <v>1879.5</v>
      </c>
      <c r="K37" s="459">
        <f t="shared" si="5"/>
        <v>2505</v>
      </c>
      <c r="L37" s="495">
        <f t="shared" si="3"/>
        <v>454.21249999999998</v>
      </c>
      <c r="M37" s="464">
        <f t="shared" si="3"/>
        <v>451.21118012422357</v>
      </c>
      <c r="N37" s="366"/>
      <c r="O37" s="446"/>
      <c r="P37" s="446"/>
      <c r="Q37" s="446"/>
      <c r="R37" s="446"/>
      <c r="S37" s="647">
        <f t="shared" si="4"/>
        <v>8.3533333333333335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502">
        <f t="shared" si="6"/>
        <v>0</v>
      </c>
      <c r="E38" s="499"/>
      <c r="F38" s="446">
        <f t="shared" si="2"/>
        <v>0</v>
      </c>
      <c r="G38" s="503">
        <f t="shared" si="2"/>
        <v>0</v>
      </c>
      <c r="H38" s="504">
        <f>SUM($F$9:F38)/A38</f>
        <v>4</v>
      </c>
      <c r="I38" s="499">
        <f>SUM($G$9:G38)/A38</f>
        <v>5.3666666666666663</v>
      </c>
      <c r="J38" s="504">
        <f t="shared" si="5"/>
        <v>1879.5</v>
      </c>
      <c r="K38" s="459">
        <f t="shared" si="5"/>
        <v>2505</v>
      </c>
      <c r="L38" s="505">
        <f t="shared" si="3"/>
        <v>469.875</v>
      </c>
      <c r="M38" s="464">
        <f t="shared" si="3"/>
        <v>466.77018633540376</v>
      </c>
      <c r="N38" s="366"/>
      <c r="O38" s="446"/>
      <c r="P38" s="446"/>
      <c r="Q38" s="446"/>
      <c r="R38" s="446"/>
      <c r="S38" s="647">
        <f t="shared" si="4"/>
        <v>8.3533333333333335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502">
        <f t="shared" si="6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3.870967741935484</v>
      </c>
      <c r="I39" s="499">
        <f>SUM($G$9:G39)/A39</f>
        <v>5.193548387096774</v>
      </c>
      <c r="J39" s="443">
        <f t="shared" si="5"/>
        <v>1879.5</v>
      </c>
      <c r="K39" s="459">
        <f t="shared" si="5"/>
        <v>2505</v>
      </c>
      <c r="L39" s="495">
        <f t="shared" si="3"/>
        <v>485.53749999999997</v>
      </c>
      <c r="M39" s="464">
        <f t="shared" si="3"/>
        <v>482.32919254658384</v>
      </c>
      <c r="N39" s="366"/>
      <c r="O39" s="446"/>
      <c r="P39" s="446"/>
      <c r="Q39" s="446"/>
      <c r="R39" s="446"/>
      <c r="S39" s="647">
        <f t="shared" si="4"/>
        <v>8.3533333333333335</v>
      </c>
    </row>
    <row r="40" spans="1:19" s="374" customFormat="1" ht="12" customHeight="1">
      <c r="A40" s="1035" t="s">
        <v>29</v>
      </c>
      <c r="B40" s="1036"/>
      <c r="C40" s="1037"/>
      <c r="D40" s="388">
        <f>SUM(D9:D39)</f>
        <v>1999.5</v>
      </c>
      <c r="E40" s="388">
        <f>SUM(E9:E39)</f>
        <v>2666</v>
      </c>
      <c r="F40" s="389">
        <f>SUM(F9:F39)</f>
        <v>120</v>
      </c>
      <c r="G40" s="496">
        <f>SUM(G9:G39)</f>
        <v>161</v>
      </c>
      <c r="H40" s="389"/>
      <c r="I40" s="496"/>
      <c r="J40" s="641">
        <f>J39</f>
        <v>1879.5</v>
      </c>
      <c r="K40" s="642">
        <f>K39</f>
        <v>2505</v>
      </c>
      <c r="L40" s="464"/>
      <c r="M40" s="464"/>
      <c r="N40" s="507"/>
      <c r="O40" s="389">
        <f>SUM(O9:O39)</f>
        <v>120</v>
      </c>
      <c r="P40" s="496">
        <f>SUM(P9:P39)</f>
        <v>161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1035" t="s">
        <v>15</v>
      </c>
      <c r="B41" s="1036"/>
      <c r="C41" s="1037"/>
      <c r="D41" s="388">
        <f>D8+D40</f>
        <v>1999.5</v>
      </c>
      <c r="E41" s="388">
        <f>E8+E40</f>
        <v>2666</v>
      </c>
      <c r="F41" s="389">
        <f>F40</f>
        <v>120</v>
      </c>
      <c r="G41" s="496">
        <f>G40</f>
        <v>161</v>
      </c>
      <c r="H41" s="389"/>
      <c r="I41" s="496"/>
      <c r="J41" s="641">
        <f>D41-F41</f>
        <v>1879.5</v>
      </c>
      <c r="K41" s="641">
        <f>K40</f>
        <v>2505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242" priority="1" operator="lessThan">
      <formula>15</formula>
    </cfRule>
    <cfRule type="cellIs" dxfId="12241" priority="2" operator="greaterThan">
      <formula>20</formula>
    </cfRule>
    <cfRule type="cellIs" dxfId="12240" priority="3" operator="between">
      <formula>15</formula>
      <formula>20</formula>
    </cfRule>
    <cfRule type="cellIs" dxfId="12239" priority="4" operator="between">
      <formula>15</formula>
      <formula>20</formula>
    </cfRule>
    <cfRule type="cellIs" dxfId="12238" priority="5" operator="lessThan">
      <formula>15</formula>
    </cfRule>
    <cfRule type="cellIs" dxfId="12237" priority="6" operator="greaterThan">
      <formula>20</formula>
    </cfRule>
    <cfRule type="cellIs" dxfId="12236" priority="7" operator="between">
      <formula>15</formula>
      <formula>21</formula>
    </cfRule>
    <cfRule type="cellIs" dxfId="12235" priority="8" operator="lessThan">
      <formula>15</formula>
    </cfRule>
    <cfRule type="cellIs" dxfId="12234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" footer="0.31496062992125984"/>
  <pageSetup paperSize="8" orientation="landscape" horizontalDpi="4294967292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49"/>
  <sheetViews>
    <sheetView workbookViewId="0">
      <pane ySplit="8" topLeftCell="A17" activePane="bottomLeft" state="frozen"/>
      <selection pane="bottomLeft" activeCell="P9" sqref="P9:R38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1.28515625" style="143" customWidth="1"/>
    <col min="14" max="14" width="6.42578125" style="143" customWidth="1"/>
    <col min="15" max="18" width="9.285156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tr">
        <f>J4</f>
        <v>BẢ MEN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1121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621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937">
        <f>K8-K8*N8</f>
        <v>0</v>
      </c>
      <c r="K8" s="939">
        <v>0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975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349</v>
      </c>
      <c r="D9" s="502">
        <f t="shared" ref="D9:D27" si="0"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 t="shared" ref="J9:K11" si="1">J8+D9-F9</f>
        <v>0</v>
      </c>
      <c r="K9" s="459">
        <f t="shared" si="1"/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502">
        <f t="shared" si="0"/>
        <v>0</v>
      </c>
      <c r="E10" s="499"/>
      <c r="F10" s="446">
        <f t="shared" ref="F10:G39" si="2">O10+Q10</f>
        <v>0</v>
      </c>
      <c r="G10" s="503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1"/>
        <v>0</v>
      </c>
      <c r="K10" s="459">
        <f t="shared" si="1"/>
        <v>0</v>
      </c>
      <c r="L10" s="495" t="e">
        <f t="shared" ref="L10:L39" si="3">J10/H10</f>
        <v>#DIV/0!</v>
      </c>
      <c r="M10" s="464" t="e">
        <f t="shared" ref="M10:M39" si="4">K10/I10</f>
        <v>#DIV/0!</v>
      </c>
      <c r="N10" s="366"/>
      <c r="O10" s="446"/>
      <c r="P10" s="446"/>
      <c r="Q10" s="446"/>
      <c r="R10" s="446"/>
      <c r="S10" s="647">
        <f t="shared" ref="S10:S39" si="5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502">
        <f t="shared" si="0"/>
        <v>0</v>
      </c>
      <c r="E11" s="499"/>
      <c r="F11" s="446">
        <f t="shared" si="2"/>
        <v>0</v>
      </c>
      <c r="G11" s="503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1"/>
        <v>0</v>
      </c>
      <c r="K11" s="459">
        <f t="shared" si="1"/>
        <v>0</v>
      </c>
      <c r="L11" s="495" t="e">
        <f t="shared" si="3"/>
        <v>#DIV/0!</v>
      </c>
      <c r="M11" s="464" t="e">
        <f t="shared" si="4"/>
        <v>#DIV/0!</v>
      </c>
      <c r="N11" s="366"/>
      <c r="O11" s="446"/>
      <c r="P11" s="446"/>
      <c r="Q11" s="446"/>
      <c r="R11" s="446"/>
      <c r="S11" s="647">
        <f t="shared" si="5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502">
        <f t="shared" si="0"/>
        <v>0</v>
      </c>
      <c r="E12" s="499"/>
      <c r="F12" s="446">
        <f t="shared" si="2"/>
        <v>0</v>
      </c>
      <c r="G12" s="503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ref="J12:K27" si="6">J11+D12-F12</f>
        <v>0</v>
      </c>
      <c r="K12" s="459">
        <f t="shared" si="6"/>
        <v>0</v>
      </c>
      <c r="L12" s="495" t="e">
        <f t="shared" si="3"/>
        <v>#DIV/0!</v>
      </c>
      <c r="M12" s="464" t="e">
        <f t="shared" si="4"/>
        <v>#DIV/0!</v>
      </c>
      <c r="N12" s="366"/>
      <c r="O12" s="446"/>
      <c r="P12" s="446"/>
      <c r="Q12" s="446"/>
      <c r="R12" s="446"/>
      <c r="S12" s="647">
        <f t="shared" si="5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502">
        <f t="shared" si="0"/>
        <v>0</v>
      </c>
      <c r="E13" s="499"/>
      <c r="F13" s="446">
        <f t="shared" si="2"/>
        <v>0</v>
      </c>
      <c r="G13" s="503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6"/>
        <v>0</v>
      </c>
      <c r="K13" s="459">
        <f t="shared" si="6"/>
        <v>0</v>
      </c>
      <c r="L13" s="505" t="e">
        <f t="shared" si="3"/>
        <v>#DIV/0!</v>
      </c>
      <c r="M13" s="464" t="e">
        <f t="shared" si="4"/>
        <v>#DIV/0!</v>
      </c>
      <c r="N13" s="366"/>
      <c r="O13" s="446"/>
      <c r="P13" s="446"/>
      <c r="Q13" s="446"/>
      <c r="R13" s="446"/>
      <c r="S13" s="647">
        <f t="shared" si="5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502">
        <f t="shared" si="0"/>
        <v>0</v>
      </c>
      <c r="E14" s="499"/>
      <c r="F14" s="446">
        <f t="shared" si="2"/>
        <v>0</v>
      </c>
      <c r="G14" s="503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6"/>
        <v>0</v>
      </c>
      <c r="K14" s="459">
        <f t="shared" si="6"/>
        <v>0</v>
      </c>
      <c r="L14" s="495" t="e">
        <f>J14/H14</f>
        <v>#DIV/0!</v>
      </c>
      <c r="M14" s="464" t="e">
        <f t="shared" si="4"/>
        <v>#DIV/0!</v>
      </c>
      <c r="N14" s="366"/>
      <c r="O14" s="446"/>
      <c r="P14" s="446"/>
      <c r="Q14" s="446"/>
      <c r="R14" s="446"/>
      <c r="S14" s="647">
        <f t="shared" si="5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502">
        <f t="shared" si="0"/>
        <v>0</v>
      </c>
      <c r="E15" s="499"/>
      <c r="F15" s="446">
        <f t="shared" si="2"/>
        <v>0</v>
      </c>
      <c r="G15" s="503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6"/>
        <v>0</v>
      </c>
      <c r="K15" s="459">
        <f t="shared" si="6"/>
        <v>0</v>
      </c>
      <c r="L15" s="495" t="e">
        <f t="shared" si="3"/>
        <v>#DIV/0!</v>
      </c>
      <c r="M15" s="464" t="e">
        <f t="shared" si="4"/>
        <v>#DIV/0!</v>
      </c>
      <c r="N15" s="366"/>
      <c r="O15" s="446"/>
      <c r="P15" s="446"/>
      <c r="Q15" s="446"/>
      <c r="R15" s="446"/>
      <c r="S15" s="647">
        <f t="shared" si="5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502">
        <f t="shared" si="0"/>
        <v>0</v>
      </c>
      <c r="E16" s="499"/>
      <c r="F16" s="446">
        <f t="shared" si="2"/>
        <v>0</v>
      </c>
      <c r="G16" s="503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6"/>
        <v>0</v>
      </c>
      <c r="K16" s="459">
        <f t="shared" si="6"/>
        <v>0</v>
      </c>
      <c r="L16" s="495" t="e">
        <f t="shared" si="3"/>
        <v>#DIV/0!</v>
      </c>
      <c r="M16" s="464" t="e">
        <f t="shared" si="4"/>
        <v>#DIV/0!</v>
      </c>
      <c r="N16" s="366"/>
      <c r="O16" s="446"/>
      <c r="P16" s="446"/>
      <c r="Q16" s="446"/>
      <c r="R16" s="446"/>
      <c r="S16" s="647">
        <f t="shared" si="5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502">
        <f t="shared" si="0"/>
        <v>0</v>
      </c>
      <c r="E17" s="499"/>
      <c r="F17" s="446">
        <f t="shared" si="2"/>
        <v>0</v>
      </c>
      <c r="G17" s="503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6"/>
        <v>0</v>
      </c>
      <c r="K17" s="459">
        <f t="shared" si="6"/>
        <v>0</v>
      </c>
      <c r="L17" s="495" t="e">
        <f t="shared" si="3"/>
        <v>#DIV/0!</v>
      </c>
      <c r="M17" s="464" t="e">
        <f t="shared" si="4"/>
        <v>#DIV/0!</v>
      </c>
      <c r="N17" s="366"/>
      <c r="O17" s="446"/>
      <c r="P17" s="446"/>
      <c r="Q17" s="446"/>
      <c r="R17" s="446"/>
      <c r="S17" s="647">
        <f t="shared" si="5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502">
        <f t="shared" si="0"/>
        <v>0</v>
      </c>
      <c r="E18" s="499"/>
      <c r="F18" s="446">
        <f t="shared" si="2"/>
        <v>0</v>
      </c>
      <c r="G18" s="503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6"/>
        <v>0</v>
      </c>
      <c r="K18" s="459">
        <f t="shared" si="6"/>
        <v>0</v>
      </c>
      <c r="L18" s="505" t="e">
        <f t="shared" si="3"/>
        <v>#DIV/0!</v>
      </c>
      <c r="M18" s="464" t="e">
        <f t="shared" si="4"/>
        <v>#DIV/0!</v>
      </c>
      <c r="N18" s="366"/>
      <c r="O18" s="446"/>
      <c r="P18" s="446"/>
      <c r="Q18" s="446"/>
      <c r="R18" s="446"/>
      <c r="S18" s="647">
        <f t="shared" si="5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502">
        <f t="shared" si="0"/>
        <v>0</v>
      </c>
      <c r="E19" s="499"/>
      <c r="F19" s="446">
        <f t="shared" si="2"/>
        <v>0</v>
      </c>
      <c r="G19" s="503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6"/>
        <v>0</v>
      </c>
      <c r="K19" s="459">
        <f t="shared" si="6"/>
        <v>0</v>
      </c>
      <c r="L19" s="495" t="e">
        <f t="shared" si="3"/>
        <v>#DIV/0!</v>
      </c>
      <c r="M19" s="464" t="e">
        <f t="shared" si="4"/>
        <v>#DIV/0!</v>
      </c>
      <c r="N19" s="366"/>
      <c r="O19" s="446"/>
      <c r="P19" s="446"/>
      <c r="Q19" s="446"/>
      <c r="R19" s="446"/>
      <c r="S19" s="647">
        <f t="shared" si="5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0"/>
        <v>0</v>
      </c>
      <c r="E20" s="499"/>
      <c r="F20" s="446">
        <f t="shared" si="2"/>
        <v>0</v>
      </c>
      <c r="G20" s="503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6"/>
        <v>0</v>
      </c>
      <c r="K20" s="459">
        <f t="shared" si="6"/>
        <v>0</v>
      </c>
      <c r="L20" s="495" t="e">
        <f t="shared" si="3"/>
        <v>#DIV/0!</v>
      </c>
      <c r="M20" s="464" t="e">
        <f t="shared" si="4"/>
        <v>#DIV/0!</v>
      </c>
      <c r="N20" s="366"/>
      <c r="O20" s="446"/>
      <c r="P20" s="446"/>
      <c r="Q20" s="446"/>
      <c r="R20" s="446"/>
      <c r="S20" s="647">
        <f t="shared" si="5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502">
        <f t="shared" si="0"/>
        <v>0</v>
      </c>
      <c r="E21" s="499"/>
      <c r="F21" s="446">
        <f t="shared" si="2"/>
        <v>0</v>
      </c>
      <c r="G21" s="503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6"/>
        <v>0</v>
      </c>
      <c r="K21" s="459">
        <f>K20+E21-G21</f>
        <v>0</v>
      </c>
      <c r="L21" s="495" t="e">
        <f t="shared" si="3"/>
        <v>#DIV/0!</v>
      </c>
      <c r="M21" s="464" t="e">
        <f t="shared" si="4"/>
        <v>#DIV/0!</v>
      </c>
      <c r="N21" s="366"/>
      <c r="O21" s="446"/>
      <c r="P21" s="446"/>
      <c r="Q21" s="446"/>
      <c r="R21" s="446"/>
      <c r="S21" s="647">
        <f t="shared" si="5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502">
        <f t="shared" si="0"/>
        <v>0</v>
      </c>
      <c r="E22" s="499"/>
      <c r="F22" s="446">
        <f t="shared" si="2"/>
        <v>0</v>
      </c>
      <c r="G22" s="503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6"/>
        <v>0</v>
      </c>
      <c r="K22" s="459">
        <f>K21+E22-G22</f>
        <v>0</v>
      </c>
      <c r="L22" s="495" t="e">
        <f t="shared" si="3"/>
        <v>#DIV/0!</v>
      </c>
      <c r="M22" s="464" t="e">
        <f t="shared" si="4"/>
        <v>#DIV/0!</v>
      </c>
      <c r="N22" s="366"/>
      <c r="O22" s="446"/>
      <c r="P22" s="446"/>
      <c r="Q22" s="446"/>
      <c r="R22" s="446"/>
      <c r="S22" s="647">
        <f t="shared" si="5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502">
        <f t="shared" si="0"/>
        <v>0</v>
      </c>
      <c r="E23" s="499"/>
      <c r="F23" s="446">
        <f t="shared" si="2"/>
        <v>0</v>
      </c>
      <c r="G23" s="503">
        <f t="shared" si="2"/>
        <v>0</v>
      </c>
      <c r="H23" s="504">
        <f>SUM($F$9:F23)/A23</f>
        <v>0</v>
      </c>
      <c r="I23" s="499">
        <f>SUM($G$9:G23)/A23</f>
        <v>0</v>
      </c>
      <c r="J23" s="504">
        <f>J22+D23-F23</f>
        <v>0</v>
      </c>
      <c r="K23" s="459">
        <f t="shared" si="6"/>
        <v>0</v>
      </c>
      <c r="L23" s="505" t="e">
        <f t="shared" si="3"/>
        <v>#DIV/0!</v>
      </c>
      <c r="M23" s="464" t="e">
        <f t="shared" si="4"/>
        <v>#DIV/0!</v>
      </c>
      <c r="N23" s="366"/>
      <c r="O23" s="446"/>
      <c r="P23" s="446"/>
      <c r="Q23" s="446"/>
      <c r="R23" s="446"/>
      <c r="S23" s="647">
        <f t="shared" si="5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502">
        <f t="shared" si="0"/>
        <v>0</v>
      </c>
      <c r="E24" s="499"/>
      <c r="F24" s="446">
        <f t="shared" si="2"/>
        <v>0</v>
      </c>
      <c r="G24" s="503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6"/>
        <v>0</v>
      </c>
      <c r="K24" s="459">
        <f>K23+E24-G24</f>
        <v>0</v>
      </c>
      <c r="L24" s="495" t="e">
        <f t="shared" si="3"/>
        <v>#DIV/0!</v>
      </c>
      <c r="M24" s="464" t="e">
        <f t="shared" si="4"/>
        <v>#DIV/0!</v>
      </c>
      <c r="N24" s="366"/>
      <c r="O24" s="446"/>
      <c r="P24" s="446"/>
      <c r="Q24" s="446"/>
      <c r="R24" s="446"/>
      <c r="S24" s="647">
        <f t="shared" si="5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502">
        <f t="shared" si="0"/>
        <v>0</v>
      </c>
      <c r="E25" s="499"/>
      <c r="F25" s="446">
        <f t="shared" si="2"/>
        <v>0</v>
      </c>
      <c r="G25" s="503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si="6"/>
        <v>0</v>
      </c>
      <c r="K25" s="459">
        <f>K24+E25-G25</f>
        <v>0</v>
      </c>
      <c r="L25" s="495" t="e">
        <f t="shared" si="3"/>
        <v>#DIV/0!</v>
      </c>
      <c r="M25" s="464" t="e">
        <f t="shared" si="4"/>
        <v>#DIV/0!</v>
      </c>
      <c r="N25" s="366"/>
      <c r="O25" s="446"/>
      <c r="P25" s="446"/>
      <c r="Q25" s="446"/>
      <c r="R25" s="446"/>
      <c r="S25" s="647">
        <f t="shared" si="5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502">
        <f t="shared" si="0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6"/>
        <v>0</v>
      </c>
      <c r="K26" s="459">
        <f>K25+E26-G26</f>
        <v>0</v>
      </c>
      <c r="L26" s="495" t="e">
        <f t="shared" si="3"/>
        <v>#DIV/0!</v>
      </c>
      <c r="M26" s="464" t="e">
        <f t="shared" si="4"/>
        <v>#DIV/0!</v>
      </c>
      <c r="N26" s="366"/>
      <c r="O26" s="446"/>
      <c r="P26" s="446"/>
      <c r="Q26" s="446"/>
      <c r="R26" s="446"/>
      <c r="S26" s="647">
        <f t="shared" si="5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0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6"/>
        <v>0</v>
      </c>
      <c r="K27" s="459">
        <f>K26+E27-G27</f>
        <v>0</v>
      </c>
      <c r="L27" s="495" t="e">
        <f t="shared" si="3"/>
        <v>#DIV/0!</v>
      </c>
      <c r="M27" s="464" t="e">
        <f t="shared" si="4"/>
        <v>#DIV/0!</v>
      </c>
      <c r="N27" s="366"/>
      <c r="O27" s="446"/>
      <c r="P27" s="446"/>
      <c r="Q27" s="446"/>
      <c r="R27" s="446"/>
      <c r="S27" s="647">
        <f t="shared" si="5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502">
        <f>E28-E28*N28</f>
        <v>0</v>
      </c>
      <c r="E28" s="499"/>
      <c r="F28" s="446">
        <f t="shared" si="2"/>
        <v>0</v>
      </c>
      <c r="G28" s="503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ref="J28:J39" si="7">J27+D28-F28</f>
        <v>0</v>
      </c>
      <c r="K28" s="459">
        <f t="shared" ref="K28:K39" si="8">K27+E28-G28</f>
        <v>0</v>
      </c>
      <c r="L28" s="505" t="e">
        <f t="shared" si="3"/>
        <v>#DIV/0!</v>
      </c>
      <c r="M28" s="464" t="e">
        <f t="shared" si="4"/>
        <v>#DIV/0!</v>
      </c>
      <c r="N28" s="366"/>
      <c r="O28" s="446"/>
      <c r="P28" s="446"/>
      <c r="Q28" s="446"/>
      <c r="R28" s="446"/>
      <c r="S28" s="647">
        <f t="shared" si="5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502">
        <f t="shared" ref="D29:D39" si="9">E29-E29*N29</f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7"/>
        <v>0</v>
      </c>
      <c r="K29" s="459">
        <f t="shared" si="8"/>
        <v>0</v>
      </c>
      <c r="L29" s="495" t="e">
        <f t="shared" si="3"/>
        <v>#DIV/0!</v>
      </c>
      <c r="M29" s="464" t="e">
        <f t="shared" si="4"/>
        <v>#DIV/0!</v>
      </c>
      <c r="N29" s="366"/>
      <c r="O29" s="446"/>
      <c r="P29" s="446"/>
      <c r="Q29" s="446"/>
      <c r="R29" s="446"/>
      <c r="S29" s="647">
        <f t="shared" si="5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502">
        <f t="shared" si="9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7"/>
        <v>0</v>
      </c>
      <c r="K30" s="459">
        <f t="shared" si="8"/>
        <v>0</v>
      </c>
      <c r="L30" s="495" t="e">
        <f t="shared" si="3"/>
        <v>#DIV/0!</v>
      </c>
      <c r="M30" s="464" t="e">
        <f t="shared" si="4"/>
        <v>#DIV/0!</v>
      </c>
      <c r="N30" s="366"/>
      <c r="O30" s="446"/>
      <c r="P30" s="446"/>
      <c r="Q30" s="446"/>
      <c r="R30" s="446"/>
      <c r="S30" s="647">
        <f t="shared" si="5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502">
        <f t="shared" si="9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7"/>
        <v>0</v>
      </c>
      <c r="K31" s="459">
        <f t="shared" si="8"/>
        <v>0</v>
      </c>
      <c r="L31" s="495" t="e">
        <f t="shared" si="3"/>
        <v>#DIV/0!</v>
      </c>
      <c r="M31" s="464" t="e">
        <f t="shared" si="4"/>
        <v>#DIV/0!</v>
      </c>
      <c r="N31" s="366"/>
      <c r="O31" s="446"/>
      <c r="P31" s="446"/>
      <c r="Q31" s="446"/>
      <c r="R31" s="446"/>
      <c r="S31" s="647">
        <f t="shared" si="5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502">
        <f t="shared" si="9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7"/>
        <v>0</v>
      </c>
      <c r="K32" s="459">
        <f t="shared" si="8"/>
        <v>0</v>
      </c>
      <c r="L32" s="495" t="e">
        <f t="shared" si="3"/>
        <v>#DIV/0!</v>
      </c>
      <c r="M32" s="464" t="e">
        <f t="shared" si="4"/>
        <v>#DIV/0!</v>
      </c>
      <c r="N32" s="366"/>
      <c r="O32" s="446"/>
      <c r="P32" s="446"/>
      <c r="Q32" s="446"/>
      <c r="R32" s="446"/>
      <c r="S32" s="647">
        <f t="shared" si="5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9"/>
        <v>0</v>
      </c>
      <c r="E33" s="499"/>
      <c r="F33" s="446">
        <f t="shared" si="2"/>
        <v>0</v>
      </c>
      <c r="G33" s="503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7"/>
        <v>0</v>
      </c>
      <c r="K33" s="459">
        <f t="shared" si="8"/>
        <v>0</v>
      </c>
      <c r="L33" s="506" t="e">
        <f t="shared" si="3"/>
        <v>#DIV/0!</v>
      </c>
      <c r="M33" s="464" t="e">
        <f t="shared" si="4"/>
        <v>#DIV/0!</v>
      </c>
      <c r="N33" s="366"/>
      <c r="O33" s="446"/>
      <c r="P33" s="446"/>
      <c r="Q33" s="446"/>
      <c r="R33" s="446"/>
      <c r="S33" s="647">
        <f t="shared" si="5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921">
        <f t="shared" si="9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7"/>
        <v>0</v>
      </c>
      <c r="K34" s="459">
        <f t="shared" si="8"/>
        <v>0</v>
      </c>
      <c r="L34" s="495" t="e">
        <f t="shared" si="3"/>
        <v>#DIV/0!</v>
      </c>
      <c r="M34" s="464" t="e">
        <f t="shared" si="4"/>
        <v>#DIV/0!</v>
      </c>
      <c r="N34" s="366"/>
      <c r="O34" s="446"/>
      <c r="P34" s="446"/>
      <c r="Q34" s="446"/>
      <c r="R34" s="446"/>
      <c r="S34" s="647">
        <f t="shared" si="5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921">
        <f t="shared" si="9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7"/>
        <v>0</v>
      </c>
      <c r="K35" s="459">
        <f t="shared" si="8"/>
        <v>0</v>
      </c>
      <c r="L35" s="495" t="e">
        <f t="shared" si="3"/>
        <v>#DIV/0!</v>
      </c>
      <c r="M35" s="464" t="e">
        <f t="shared" si="4"/>
        <v>#DIV/0!</v>
      </c>
      <c r="N35" s="366"/>
      <c r="O35" s="446"/>
      <c r="P35" s="446"/>
      <c r="Q35" s="446"/>
      <c r="R35" s="446"/>
      <c r="S35" s="647">
        <f t="shared" si="5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502">
        <f t="shared" si="9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7"/>
        <v>0</v>
      </c>
      <c r="K36" s="459">
        <f t="shared" si="8"/>
        <v>0</v>
      </c>
      <c r="L36" s="495" t="e">
        <f t="shared" si="3"/>
        <v>#DIV/0!</v>
      </c>
      <c r="M36" s="464" t="e">
        <f t="shared" si="4"/>
        <v>#DIV/0!</v>
      </c>
      <c r="N36" s="366"/>
      <c r="O36" s="446"/>
      <c r="P36" s="446"/>
      <c r="Q36" s="446"/>
      <c r="R36" s="446"/>
      <c r="S36" s="647">
        <f t="shared" si="5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502">
        <f t="shared" si="9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7"/>
        <v>0</v>
      </c>
      <c r="K37" s="459">
        <f t="shared" si="8"/>
        <v>0</v>
      </c>
      <c r="L37" s="495" t="e">
        <f t="shared" si="3"/>
        <v>#DIV/0!</v>
      </c>
      <c r="M37" s="464" t="e">
        <f t="shared" si="4"/>
        <v>#DIV/0!</v>
      </c>
      <c r="N37" s="366"/>
      <c r="O37" s="446"/>
      <c r="P37" s="446"/>
      <c r="Q37" s="446"/>
      <c r="R37" s="446"/>
      <c r="S37" s="647">
        <f t="shared" si="5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502">
        <f t="shared" si="9"/>
        <v>0</v>
      </c>
      <c r="E38" s="499"/>
      <c r="F38" s="446">
        <f t="shared" si="2"/>
        <v>0</v>
      </c>
      <c r="G38" s="503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7"/>
        <v>0</v>
      </c>
      <c r="K38" s="459">
        <f t="shared" si="8"/>
        <v>0</v>
      </c>
      <c r="L38" s="505" t="e">
        <f t="shared" si="3"/>
        <v>#DIV/0!</v>
      </c>
      <c r="M38" s="464" t="e">
        <f t="shared" si="4"/>
        <v>#DIV/0!</v>
      </c>
      <c r="N38" s="366"/>
      <c r="O38" s="446"/>
      <c r="P38" s="446"/>
      <c r="Q38" s="446"/>
      <c r="R38" s="446"/>
      <c r="S38" s="647">
        <f t="shared" si="5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502">
        <f t="shared" si="9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7"/>
        <v>0</v>
      </c>
      <c r="K39" s="459">
        <f t="shared" si="8"/>
        <v>0</v>
      </c>
      <c r="L39" s="495" t="e">
        <f t="shared" si="3"/>
        <v>#DIV/0!</v>
      </c>
      <c r="M39" s="464" t="e">
        <f t="shared" si="4"/>
        <v>#DIV/0!</v>
      </c>
      <c r="N39" s="366"/>
      <c r="O39" s="446"/>
      <c r="P39" s="446"/>
      <c r="Q39" s="446"/>
      <c r="R39" s="446"/>
      <c r="S39" s="647">
        <f t="shared" si="5"/>
        <v>0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641">
        <f>J39</f>
        <v>0</v>
      </c>
      <c r="K40" s="642">
        <f>K39</f>
        <v>0</v>
      </c>
      <c r="L40" s="464"/>
      <c r="M40" s="464"/>
      <c r="N40" s="366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641">
        <f>D41-F41</f>
        <v>0</v>
      </c>
      <c r="K41" s="641">
        <f>K40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2233" priority="451" operator="lessThan">
      <formula>15</formula>
    </cfRule>
    <cfRule type="cellIs" dxfId="12232" priority="452" operator="greaterThan">
      <formula>20</formula>
    </cfRule>
    <cfRule type="cellIs" dxfId="12231" priority="453" operator="between">
      <formula>15</formula>
      <formula>20</formula>
    </cfRule>
    <cfRule type="cellIs" dxfId="12230" priority="454" operator="between">
      <formula>15</formula>
      <formula>20</formula>
    </cfRule>
    <cfRule type="cellIs" dxfId="12229" priority="455" operator="lessThan">
      <formula>15</formula>
    </cfRule>
    <cfRule type="cellIs" dxfId="12228" priority="456" operator="greaterThan">
      <formula>20</formula>
    </cfRule>
    <cfRule type="cellIs" dxfId="12227" priority="457" operator="between">
      <formula>15</formula>
      <formula>21</formula>
    </cfRule>
    <cfRule type="cellIs" dxfId="12226" priority="458" operator="lessThan">
      <formula>15</formula>
    </cfRule>
    <cfRule type="cellIs" dxfId="12225" priority="45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" footer="0.31496062992125984"/>
  <pageSetup paperSize="8" orientation="landscape" horizontalDpi="4294967292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49"/>
  <sheetViews>
    <sheetView zoomScaleNormal="100" workbookViewId="0">
      <pane ySplit="8" topLeftCell="A9" activePane="bottomLeft" state="frozen"/>
      <selection pane="bottomLeft" activeCell="E27" sqref="E27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1.28515625" style="143" customWidth="1"/>
    <col min="14" max="14" width="6.42578125" style="143" customWidth="1"/>
    <col min="15" max="18" width="11.710937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654" customFormat="1" ht="18.75" customHeight="1">
      <c r="A4" s="1600" t="s">
        <v>33</v>
      </c>
      <c r="B4" s="1600"/>
      <c r="C4" s="316" t="str">
        <f>J4</f>
        <v>E. KAO LANH AA INDO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345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654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143"/>
    </row>
    <row r="8" spans="1:29" s="305" customFormat="1" ht="12" customHeight="1">
      <c r="A8" s="1597" t="s">
        <v>3</v>
      </c>
      <c r="B8" s="1598"/>
      <c r="C8" s="1599"/>
      <c r="D8" s="387">
        <f>J8</f>
        <v>69608.33</v>
      </c>
      <c r="E8" s="388">
        <f>K8</f>
        <v>93434</v>
      </c>
      <c r="F8" s="389">
        <f>F40</f>
        <v>15512</v>
      </c>
      <c r="G8" s="388">
        <f>G40</f>
        <v>21039</v>
      </c>
      <c r="H8" s="387"/>
      <c r="I8" s="388"/>
      <c r="J8" s="624">
        <f>K8-K8*N8</f>
        <v>69608.33</v>
      </c>
      <c r="K8" s="324">
        <v>93434</v>
      </c>
      <c r="L8" s="462"/>
      <c r="M8" s="463"/>
      <c r="N8" s="366">
        <v>0.255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1080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349</v>
      </c>
      <c r="D9" s="502">
        <f t="shared" ref="D9:D27" si="0">E9-E9*N9</f>
        <v>0</v>
      </c>
      <c r="E9" s="499"/>
      <c r="F9" s="446">
        <f>O9+Q9</f>
        <v>1080</v>
      </c>
      <c r="G9" s="503">
        <f>P9+R9</f>
        <v>1436</v>
      </c>
      <c r="H9" s="498">
        <f>SUM($F$9:F9)/A9</f>
        <v>1080</v>
      </c>
      <c r="I9" s="499">
        <f>SUM($G$9:G9)/A9</f>
        <v>1436</v>
      </c>
      <c r="J9" s="443">
        <f t="shared" ref="J9:K24" si="1">J8+D9-F9</f>
        <v>68528.33</v>
      </c>
      <c r="K9" s="459">
        <f t="shared" si="1"/>
        <v>91998</v>
      </c>
      <c r="L9" s="495">
        <f>J9/H9</f>
        <v>63.452157407407412</v>
      </c>
      <c r="M9" s="464">
        <f>K9/I9</f>
        <v>64.065459610027858</v>
      </c>
      <c r="N9" s="366"/>
      <c r="O9" s="446">
        <f>450</f>
        <v>450</v>
      </c>
      <c r="P9" s="446">
        <f>596</f>
        <v>596</v>
      </c>
      <c r="Q9" s="446">
        <v>630</v>
      </c>
      <c r="R9" s="446">
        <v>840</v>
      </c>
      <c r="S9" s="647">
        <f>J9/$S$8</f>
        <v>63.452157407407412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502">
        <f t="shared" si="0"/>
        <v>0</v>
      </c>
      <c r="E10" s="499"/>
      <c r="F10" s="446">
        <f t="shared" ref="F10:G39" si="2">O10+Q10</f>
        <v>450</v>
      </c>
      <c r="G10" s="503">
        <f t="shared" si="2"/>
        <v>608</v>
      </c>
      <c r="H10" s="498">
        <f>SUM($F$9:F10)/A10</f>
        <v>765</v>
      </c>
      <c r="I10" s="499">
        <f>SUM($G$9:G10)/A10</f>
        <v>1022</v>
      </c>
      <c r="J10" s="443">
        <f t="shared" si="1"/>
        <v>68078.33</v>
      </c>
      <c r="K10" s="459">
        <f t="shared" si="1"/>
        <v>91390</v>
      </c>
      <c r="L10" s="495">
        <f t="shared" ref="L10:M39" si="3">J10/H10</f>
        <v>88.991281045751634</v>
      </c>
      <c r="M10" s="464">
        <f t="shared" si="3"/>
        <v>89.422700587084151</v>
      </c>
      <c r="N10" s="366"/>
      <c r="O10" s="446">
        <f>450</f>
        <v>450</v>
      </c>
      <c r="P10" s="446">
        <f>608</f>
        <v>608</v>
      </c>
      <c r="Q10" s="446"/>
      <c r="R10" s="446"/>
      <c r="S10" s="647">
        <f t="shared" ref="S10:S39" si="4">J10/$S$8</f>
        <v>63.035490740740741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921">
        <f t="shared" si="0"/>
        <v>0</v>
      </c>
      <c r="E11" s="499"/>
      <c r="F11" s="446">
        <f t="shared" si="2"/>
        <v>900</v>
      </c>
      <c r="G11" s="503">
        <f t="shared" si="2"/>
        <v>1216</v>
      </c>
      <c r="H11" s="498">
        <f>SUM($F$9:F11)/A11</f>
        <v>810</v>
      </c>
      <c r="I11" s="499">
        <f>SUM($G$9:G11)/A11</f>
        <v>1086.6666666666667</v>
      </c>
      <c r="J11" s="443">
        <f t="shared" si="1"/>
        <v>67178.33</v>
      </c>
      <c r="K11" s="459">
        <f t="shared" si="1"/>
        <v>90174</v>
      </c>
      <c r="L11" s="495">
        <f t="shared" si="3"/>
        <v>82.936209876543217</v>
      </c>
      <c r="M11" s="464">
        <f t="shared" si="3"/>
        <v>82.98220858895705</v>
      </c>
      <c r="N11" s="366"/>
      <c r="O11" s="446">
        <f>270</f>
        <v>270</v>
      </c>
      <c r="P11" s="446">
        <f>365</f>
        <v>365</v>
      </c>
      <c r="Q11" s="446">
        <v>630</v>
      </c>
      <c r="R11" s="446">
        <v>851</v>
      </c>
      <c r="S11" s="647">
        <f t="shared" si="4"/>
        <v>62.202157407407412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502">
        <f t="shared" si="0"/>
        <v>0</v>
      </c>
      <c r="E12" s="499"/>
      <c r="F12" s="446">
        <f t="shared" si="2"/>
        <v>1080</v>
      </c>
      <c r="G12" s="503">
        <f t="shared" si="2"/>
        <v>1480</v>
      </c>
      <c r="H12" s="498">
        <f>SUM($F$9:F12)/A12</f>
        <v>877.5</v>
      </c>
      <c r="I12" s="499">
        <f>SUM($G$9:G12)/A12</f>
        <v>1185</v>
      </c>
      <c r="J12" s="443">
        <f t="shared" si="1"/>
        <v>66098.33</v>
      </c>
      <c r="K12" s="459">
        <f t="shared" si="1"/>
        <v>88694</v>
      </c>
      <c r="L12" s="495">
        <f t="shared" si="3"/>
        <v>75.325732193732193</v>
      </c>
      <c r="M12" s="464">
        <f t="shared" si="3"/>
        <v>74.847257383966252</v>
      </c>
      <c r="N12" s="366"/>
      <c r="O12" s="446">
        <f>450</f>
        <v>450</v>
      </c>
      <c r="P12" s="446">
        <v>617</v>
      </c>
      <c r="Q12" s="446">
        <v>630</v>
      </c>
      <c r="R12" s="446">
        <v>863</v>
      </c>
      <c r="S12" s="647">
        <f t="shared" si="4"/>
        <v>61.202157407407412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502">
        <f t="shared" si="0"/>
        <v>0</v>
      </c>
      <c r="E13" s="499"/>
      <c r="F13" s="446">
        <f t="shared" si="2"/>
        <v>900</v>
      </c>
      <c r="G13" s="503">
        <f t="shared" si="2"/>
        <v>1233</v>
      </c>
      <c r="H13" s="504">
        <f>SUM($F$9:F13)/A13</f>
        <v>882</v>
      </c>
      <c r="I13" s="499">
        <f>SUM($G$9:G13)/A13</f>
        <v>1194.5999999999999</v>
      </c>
      <c r="J13" s="504">
        <f t="shared" si="1"/>
        <v>65198.33</v>
      </c>
      <c r="K13" s="459">
        <f t="shared" si="1"/>
        <v>87461</v>
      </c>
      <c r="L13" s="505">
        <f t="shared" si="3"/>
        <v>73.921009070294787</v>
      </c>
      <c r="M13" s="464">
        <f t="shared" si="3"/>
        <v>73.213627992633519</v>
      </c>
      <c r="N13" s="366"/>
      <c r="O13" s="446">
        <v>270</v>
      </c>
      <c r="P13" s="446">
        <v>370</v>
      </c>
      <c r="Q13" s="446">
        <v>630</v>
      </c>
      <c r="R13" s="446">
        <v>863</v>
      </c>
      <c r="S13" s="647">
        <f t="shared" si="4"/>
        <v>60.368824074074077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502">
        <f t="shared" si="0"/>
        <v>0</v>
      </c>
      <c r="E14" s="499"/>
      <c r="F14" s="446">
        <f t="shared" si="2"/>
        <v>1080</v>
      </c>
      <c r="G14" s="503">
        <f t="shared" si="2"/>
        <v>1459</v>
      </c>
      <c r="H14" s="498">
        <f>SUM($F$9:F14)/A14</f>
        <v>915</v>
      </c>
      <c r="I14" s="499">
        <f>SUM($G$9:G14)/A14</f>
        <v>1238.6666666666667</v>
      </c>
      <c r="J14" s="443">
        <f t="shared" si="1"/>
        <v>64118.33</v>
      </c>
      <c r="K14" s="459">
        <f t="shared" si="1"/>
        <v>86002</v>
      </c>
      <c r="L14" s="495">
        <f>J14/H14</f>
        <v>70.074677595628415</v>
      </c>
      <c r="M14" s="464">
        <f t="shared" si="3"/>
        <v>69.431108719052745</v>
      </c>
      <c r="N14" s="366"/>
      <c r="O14" s="446">
        <v>450</v>
      </c>
      <c r="P14" s="446">
        <v>608</v>
      </c>
      <c r="Q14" s="446">
        <v>630</v>
      </c>
      <c r="R14" s="446">
        <v>851</v>
      </c>
      <c r="S14" s="647">
        <f t="shared" si="4"/>
        <v>59.368824074074077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502">
        <f t="shared" si="0"/>
        <v>0</v>
      </c>
      <c r="E15" s="499"/>
      <c r="F15" s="446">
        <f t="shared" si="2"/>
        <v>1080</v>
      </c>
      <c r="G15" s="503">
        <f t="shared" si="2"/>
        <v>1450</v>
      </c>
      <c r="H15" s="498">
        <f>SUM($F$9:F15)/A15</f>
        <v>938.57142857142856</v>
      </c>
      <c r="I15" s="499">
        <f>SUM($G$9:G15)/A15</f>
        <v>1268.8571428571429</v>
      </c>
      <c r="J15" s="443">
        <f t="shared" si="1"/>
        <v>63038.33</v>
      </c>
      <c r="K15" s="459">
        <f t="shared" si="1"/>
        <v>84552</v>
      </c>
      <c r="L15" s="495">
        <f t="shared" si="3"/>
        <v>67.164126331811261</v>
      </c>
      <c r="M15" s="464">
        <f t="shared" si="3"/>
        <v>66.636343165953619</v>
      </c>
      <c r="N15" s="366"/>
      <c r="O15" s="446">
        <v>450</v>
      </c>
      <c r="P15" s="446">
        <v>604</v>
      </c>
      <c r="Q15" s="446">
        <v>630</v>
      </c>
      <c r="R15" s="446">
        <v>846</v>
      </c>
      <c r="S15" s="647">
        <f t="shared" si="4"/>
        <v>58.368824074074077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502">
        <f t="shared" si="0"/>
        <v>0</v>
      </c>
      <c r="E16" s="499"/>
      <c r="F16" s="446">
        <f t="shared" si="2"/>
        <v>1080</v>
      </c>
      <c r="G16" s="503">
        <f t="shared" si="2"/>
        <v>1440</v>
      </c>
      <c r="H16" s="498">
        <f>SUM($F$9:F16)/A16</f>
        <v>956.25</v>
      </c>
      <c r="I16" s="499">
        <f>SUM($G$9:G16)/A16</f>
        <v>1290.25</v>
      </c>
      <c r="J16" s="443">
        <f t="shared" si="1"/>
        <v>61958.33</v>
      </c>
      <c r="K16" s="459">
        <f t="shared" si="1"/>
        <v>83112</v>
      </c>
      <c r="L16" s="495">
        <f t="shared" si="3"/>
        <v>64.793024836601305</v>
      </c>
      <c r="M16" s="464">
        <f t="shared" si="3"/>
        <v>64.415423367564429</v>
      </c>
      <c r="N16" s="366"/>
      <c r="O16" s="446">
        <v>450</v>
      </c>
      <c r="P16" s="446">
        <v>600</v>
      </c>
      <c r="Q16" s="446">
        <v>630</v>
      </c>
      <c r="R16" s="446">
        <v>840</v>
      </c>
      <c r="S16" s="647">
        <f t="shared" si="4"/>
        <v>57.368824074074077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502">
        <f t="shared" si="0"/>
        <v>0</v>
      </c>
      <c r="E17" s="499"/>
      <c r="F17" s="446">
        <f t="shared" si="2"/>
        <v>900</v>
      </c>
      <c r="G17" s="503">
        <f t="shared" si="2"/>
        <v>1200</v>
      </c>
      <c r="H17" s="498">
        <f>SUM($F$9:F17)/A17</f>
        <v>950</v>
      </c>
      <c r="I17" s="499">
        <f>SUM($G$9:G17)/A17</f>
        <v>1280.2222222222222</v>
      </c>
      <c r="J17" s="443">
        <f t="shared" si="1"/>
        <v>61058.33</v>
      </c>
      <c r="K17" s="459">
        <f t="shared" si="1"/>
        <v>81912</v>
      </c>
      <c r="L17" s="495">
        <f t="shared" si="3"/>
        <v>64.271926315789472</v>
      </c>
      <c r="M17" s="464">
        <f t="shared" si="3"/>
        <v>63.982641902447497</v>
      </c>
      <c r="N17" s="366"/>
      <c r="O17" s="446">
        <v>270</v>
      </c>
      <c r="P17" s="446">
        <v>360</v>
      </c>
      <c r="Q17" s="446">
        <v>630</v>
      </c>
      <c r="R17" s="446">
        <v>840</v>
      </c>
      <c r="S17" s="647">
        <f t="shared" si="4"/>
        <v>56.535490740740741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502">
        <f t="shared" si="0"/>
        <v>0</v>
      </c>
      <c r="E18" s="499"/>
      <c r="F18" s="446">
        <f t="shared" si="2"/>
        <v>1080</v>
      </c>
      <c r="G18" s="503">
        <f t="shared" si="2"/>
        <v>1440</v>
      </c>
      <c r="H18" s="504">
        <f>SUM($F$9:F18)/A18</f>
        <v>963</v>
      </c>
      <c r="I18" s="499">
        <f>SUM($G$9:G18)/A18</f>
        <v>1296.2</v>
      </c>
      <c r="J18" s="504">
        <f t="shared" si="1"/>
        <v>59978.33</v>
      </c>
      <c r="K18" s="459">
        <f t="shared" si="1"/>
        <v>80472</v>
      </c>
      <c r="L18" s="505">
        <f t="shared" si="3"/>
        <v>62.28279335410177</v>
      </c>
      <c r="M18" s="464">
        <f t="shared" si="3"/>
        <v>62.08301188088258</v>
      </c>
      <c r="N18" s="366"/>
      <c r="O18" s="446">
        <v>450</v>
      </c>
      <c r="P18" s="446">
        <v>600</v>
      </c>
      <c r="Q18" s="446">
        <v>630</v>
      </c>
      <c r="R18" s="446">
        <v>840</v>
      </c>
      <c r="S18" s="647">
        <f t="shared" si="4"/>
        <v>55.535490740740741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502">
        <f t="shared" si="0"/>
        <v>0</v>
      </c>
      <c r="E19" s="499"/>
      <c r="F19" s="446">
        <f t="shared" si="2"/>
        <v>1112</v>
      </c>
      <c r="G19" s="503">
        <f t="shared" si="2"/>
        <v>1483</v>
      </c>
      <c r="H19" s="498">
        <f>SUM($F$9:F19)/A19</f>
        <v>976.5454545454545</v>
      </c>
      <c r="I19" s="499">
        <f>SUM($G$9:G19)/A19</f>
        <v>1313.1818181818182</v>
      </c>
      <c r="J19" s="443">
        <f t="shared" si="1"/>
        <v>58866.33</v>
      </c>
      <c r="K19" s="459">
        <f t="shared" si="1"/>
        <v>78989</v>
      </c>
      <c r="L19" s="495">
        <f t="shared" si="3"/>
        <v>60.280174083038546</v>
      </c>
      <c r="M19" s="464">
        <f t="shared" si="3"/>
        <v>60.150848044305988</v>
      </c>
      <c r="N19" s="366"/>
      <c r="O19" s="446">
        <v>450</v>
      </c>
      <c r="P19" s="446">
        <v>600</v>
      </c>
      <c r="Q19" s="446">
        <f>270+392</f>
        <v>662</v>
      </c>
      <c r="R19" s="446">
        <f>360+523</f>
        <v>883</v>
      </c>
      <c r="S19" s="647">
        <f t="shared" si="4"/>
        <v>54.505861111111116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0"/>
        <v>0</v>
      </c>
      <c r="E20" s="499"/>
      <c r="F20" s="446">
        <f t="shared" si="2"/>
        <v>720</v>
      </c>
      <c r="G20" s="503">
        <f t="shared" si="2"/>
        <v>954</v>
      </c>
      <c r="H20" s="498">
        <f>SUM($F$9:F20)/A20</f>
        <v>955.16666666666663</v>
      </c>
      <c r="I20" s="499">
        <f>SUM($G$9:G20)/A20</f>
        <v>1283.25</v>
      </c>
      <c r="J20" s="443">
        <f t="shared" si="1"/>
        <v>58146.33</v>
      </c>
      <c r="K20" s="459">
        <f t="shared" si="1"/>
        <v>78035</v>
      </c>
      <c r="L20" s="495">
        <f t="shared" si="3"/>
        <v>60.875585412667952</v>
      </c>
      <c r="M20" s="464">
        <f t="shared" si="3"/>
        <v>60.810442236508862</v>
      </c>
      <c r="N20" s="366"/>
      <c r="O20" s="446">
        <v>270</v>
      </c>
      <c r="P20" s="446">
        <f>358</f>
        <v>358</v>
      </c>
      <c r="Q20" s="446">
        <f>450</f>
        <v>450</v>
      </c>
      <c r="R20" s="446">
        <f>596</f>
        <v>596</v>
      </c>
      <c r="S20" s="647">
        <f t="shared" si="4"/>
        <v>53.839194444444445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502">
        <f t="shared" si="0"/>
        <v>0</v>
      </c>
      <c r="E21" s="499"/>
      <c r="F21" s="446">
        <f t="shared" si="2"/>
        <v>810</v>
      </c>
      <c r="G21" s="503">
        <f t="shared" si="2"/>
        <v>1182</v>
      </c>
      <c r="H21" s="498">
        <f>SUM($F$9:F21)/A21</f>
        <v>944</v>
      </c>
      <c r="I21" s="499">
        <f>SUM($G$9:G21)/A21</f>
        <v>1275.4615384615386</v>
      </c>
      <c r="J21" s="443">
        <f t="shared" si="1"/>
        <v>57336.33</v>
      </c>
      <c r="K21" s="459">
        <f>K20+E21-G21</f>
        <v>76853</v>
      </c>
      <c r="L21" s="495">
        <f t="shared" si="3"/>
        <v>60.737637711864409</v>
      </c>
      <c r="M21" s="464">
        <f t="shared" si="3"/>
        <v>60.255050961944391</v>
      </c>
      <c r="N21" s="366"/>
      <c r="O21" s="446">
        <v>540</v>
      </c>
      <c r="P21" s="446">
        <v>788</v>
      </c>
      <c r="Q21" s="446">
        <v>270</v>
      </c>
      <c r="R21" s="446">
        <v>394</v>
      </c>
      <c r="S21" s="647">
        <f t="shared" si="4"/>
        <v>53.089194444444445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921">
        <f t="shared" si="0"/>
        <v>0</v>
      </c>
      <c r="E22" s="499"/>
      <c r="F22" s="446">
        <f t="shared" si="2"/>
        <v>900</v>
      </c>
      <c r="G22" s="503">
        <f t="shared" si="2"/>
        <v>1314</v>
      </c>
      <c r="H22" s="498">
        <f>SUM($F$9:F22)/A22</f>
        <v>940.85714285714289</v>
      </c>
      <c r="I22" s="499">
        <f>SUM($G$9:G22)/A22</f>
        <v>1278.2142857142858</v>
      </c>
      <c r="J22" s="443">
        <f t="shared" si="1"/>
        <v>56436.33</v>
      </c>
      <c r="K22" s="459">
        <f>K21+E22-G22</f>
        <v>75539</v>
      </c>
      <c r="L22" s="495">
        <f t="shared" si="3"/>
        <v>59.983952323109627</v>
      </c>
      <c r="M22" s="464">
        <f t="shared" si="3"/>
        <v>59.097289745739033</v>
      </c>
      <c r="N22" s="366"/>
      <c r="O22" s="446">
        <v>450</v>
      </c>
      <c r="P22" s="446">
        <v>657</v>
      </c>
      <c r="Q22" s="446">
        <v>450</v>
      </c>
      <c r="R22" s="446">
        <v>657</v>
      </c>
      <c r="S22" s="647">
        <f t="shared" si="4"/>
        <v>52.255861111111116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502">
        <f t="shared" si="0"/>
        <v>0</v>
      </c>
      <c r="E23" s="499"/>
      <c r="F23" s="446">
        <f t="shared" si="2"/>
        <v>720</v>
      </c>
      <c r="G23" s="503">
        <f t="shared" si="2"/>
        <v>968</v>
      </c>
      <c r="H23" s="504">
        <f>SUM($F$9:F23)/A23</f>
        <v>926.13333333333333</v>
      </c>
      <c r="I23" s="499">
        <f>SUM($G$9:G23)/A23</f>
        <v>1257.5333333333333</v>
      </c>
      <c r="J23" s="504">
        <f>J22+D23-F23</f>
        <v>55716.33</v>
      </c>
      <c r="K23" s="459">
        <f t="shared" si="1"/>
        <v>74571</v>
      </c>
      <c r="L23" s="505">
        <f t="shared" si="3"/>
        <v>60.160160524042617</v>
      </c>
      <c r="M23" s="464">
        <f t="shared" si="3"/>
        <v>59.299422149180934</v>
      </c>
      <c r="N23" s="366"/>
      <c r="O23" s="446">
        <f>270</f>
        <v>270</v>
      </c>
      <c r="P23" s="446">
        <f>363</f>
        <v>363</v>
      </c>
      <c r="Q23" s="446">
        <v>450</v>
      </c>
      <c r="R23" s="446">
        <v>605</v>
      </c>
      <c r="S23" s="647">
        <f t="shared" si="4"/>
        <v>51.589194444444445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502">
        <f t="shared" si="0"/>
        <v>0</v>
      </c>
      <c r="E24" s="499"/>
      <c r="F24" s="446">
        <f t="shared" si="2"/>
        <v>900</v>
      </c>
      <c r="G24" s="503">
        <f t="shared" si="2"/>
        <v>1210</v>
      </c>
      <c r="H24" s="498">
        <f>SUM($F$9:F24)/A24</f>
        <v>924.5</v>
      </c>
      <c r="I24" s="499">
        <f>SUM($G$9:G24)/A24</f>
        <v>1254.5625</v>
      </c>
      <c r="J24" s="443">
        <f t="shared" si="1"/>
        <v>54816.33</v>
      </c>
      <c r="K24" s="459">
        <f>K23+E24-G24</f>
        <v>73361</v>
      </c>
      <c r="L24" s="495">
        <f t="shared" si="3"/>
        <v>59.292947539210388</v>
      </c>
      <c r="M24" s="464">
        <f t="shared" si="3"/>
        <v>58.475364918049124</v>
      </c>
      <c r="N24" s="366"/>
      <c r="O24" s="446">
        <v>450</v>
      </c>
      <c r="P24" s="446">
        <v>605</v>
      </c>
      <c r="Q24" s="446">
        <v>450</v>
      </c>
      <c r="R24" s="446">
        <v>605</v>
      </c>
      <c r="S24" s="647">
        <f t="shared" si="4"/>
        <v>50.755861111111116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502">
        <f t="shared" si="0"/>
        <v>0</v>
      </c>
      <c r="E25" s="499"/>
      <c r="F25" s="446">
        <f t="shared" si="2"/>
        <v>720</v>
      </c>
      <c r="G25" s="503">
        <f t="shared" si="2"/>
        <v>966</v>
      </c>
      <c r="H25" s="498">
        <f>SUM($F$9:F25)/A25</f>
        <v>912.47058823529414</v>
      </c>
      <c r="I25" s="499">
        <f>SUM($G$9:G25)/A25</f>
        <v>1237.5882352941176</v>
      </c>
      <c r="J25" s="443">
        <f t="shared" ref="J25:K39" si="5">J24+D25-F25</f>
        <v>54096.33</v>
      </c>
      <c r="K25" s="459">
        <f>K24+E25-G25</f>
        <v>72395</v>
      </c>
      <c r="L25" s="495">
        <f t="shared" si="3"/>
        <v>59.285560211449202</v>
      </c>
      <c r="M25" s="464">
        <f t="shared" si="3"/>
        <v>58.496839203384198</v>
      </c>
      <c r="N25" s="366"/>
      <c r="O25" s="446">
        <v>270</v>
      </c>
      <c r="P25" s="446">
        <v>362</v>
      </c>
      <c r="Q25" s="446">
        <v>450</v>
      </c>
      <c r="R25" s="446">
        <v>604</v>
      </c>
      <c r="S25" s="647">
        <f t="shared" si="4"/>
        <v>50.089194444444445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502">
        <f t="shared" si="0"/>
        <v>27000</v>
      </c>
      <c r="E26" s="499">
        <v>27000</v>
      </c>
      <c r="F26" s="446">
        <f t="shared" si="2"/>
        <v>0</v>
      </c>
      <c r="G26" s="503">
        <f t="shared" si="2"/>
        <v>0</v>
      </c>
      <c r="H26" s="498">
        <f>SUM($F$9:F26)/A26</f>
        <v>861.77777777777783</v>
      </c>
      <c r="I26" s="499">
        <f>SUM($G$9:G26)/A26</f>
        <v>1168.8333333333333</v>
      </c>
      <c r="J26" s="443">
        <f t="shared" si="5"/>
        <v>81096.33</v>
      </c>
      <c r="K26" s="459">
        <f>K25+E26-G26</f>
        <v>99395</v>
      </c>
      <c r="L26" s="495">
        <f t="shared" si="3"/>
        <v>94.103528880866421</v>
      </c>
      <c r="M26" s="464">
        <f t="shared" si="3"/>
        <v>85.03778696706118</v>
      </c>
      <c r="N26" s="366"/>
      <c r="O26" s="446"/>
      <c r="P26" s="446"/>
      <c r="Q26" s="446"/>
      <c r="R26" s="446"/>
      <c r="S26" s="647">
        <f t="shared" si="4"/>
        <v>75.089194444444445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0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816.42105263157896</v>
      </c>
      <c r="I27" s="499">
        <f>SUM($G$9:G27)/A27</f>
        <v>1107.3157894736842</v>
      </c>
      <c r="J27" s="443">
        <f t="shared" si="5"/>
        <v>81096.33</v>
      </c>
      <c r="K27" s="459">
        <f>K26+E27-G27</f>
        <v>99395</v>
      </c>
      <c r="L27" s="495">
        <f t="shared" si="3"/>
        <v>99.331502707581222</v>
      </c>
      <c r="M27" s="464">
        <f t="shared" si="3"/>
        <v>89.762108465231236</v>
      </c>
      <c r="N27" s="366"/>
      <c r="O27" s="446"/>
      <c r="P27" s="446"/>
      <c r="Q27" s="446"/>
      <c r="R27" s="446"/>
      <c r="S27" s="647">
        <f t="shared" si="4"/>
        <v>75.089194444444445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502">
        <f>E28-E28*N28</f>
        <v>0</v>
      </c>
      <c r="E28" s="499"/>
      <c r="F28" s="446">
        <f t="shared" si="2"/>
        <v>0</v>
      </c>
      <c r="G28" s="503">
        <f t="shared" si="2"/>
        <v>0</v>
      </c>
      <c r="H28" s="504">
        <f>SUM($F$9:F28)/A28</f>
        <v>775.6</v>
      </c>
      <c r="I28" s="499">
        <f>SUM($G$9:G28)/A28</f>
        <v>1051.95</v>
      </c>
      <c r="J28" s="504">
        <f t="shared" si="5"/>
        <v>81096.33</v>
      </c>
      <c r="K28" s="459">
        <f t="shared" si="5"/>
        <v>99395</v>
      </c>
      <c r="L28" s="505">
        <f t="shared" si="3"/>
        <v>104.55947653429602</v>
      </c>
      <c r="M28" s="464">
        <f t="shared" si="3"/>
        <v>94.486429963401292</v>
      </c>
      <c r="N28" s="366"/>
      <c r="O28" s="446"/>
      <c r="P28" s="446"/>
      <c r="Q28" s="446"/>
      <c r="R28" s="446"/>
      <c r="S28" s="647">
        <f t="shared" si="4"/>
        <v>75.089194444444445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502">
        <f t="shared" ref="D29:D39" si="6">E29-E29*N29</f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738.66666666666663</v>
      </c>
      <c r="I29" s="499">
        <f>SUM($G$9:G29)/A29</f>
        <v>1001.8571428571429</v>
      </c>
      <c r="J29" s="443">
        <f t="shared" si="5"/>
        <v>81096.33</v>
      </c>
      <c r="K29" s="459">
        <f t="shared" si="5"/>
        <v>99395</v>
      </c>
      <c r="L29" s="495">
        <f t="shared" si="3"/>
        <v>109.78745036101084</v>
      </c>
      <c r="M29" s="464">
        <f t="shared" si="3"/>
        <v>99.210751461571363</v>
      </c>
      <c r="N29" s="366"/>
      <c r="O29" s="446"/>
      <c r="P29" s="446"/>
      <c r="Q29" s="446"/>
      <c r="R29" s="446"/>
      <c r="S29" s="647">
        <f t="shared" si="4"/>
        <v>75.089194444444445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502">
        <f t="shared" si="6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705.09090909090912</v>
      </c>
      <c r="I30" s="499">
        <f>SUM($G$9:G30)/A30</f>
        <v>956.31818181818187</v>
      </c>
      <c r="J30" s="443">
        <f t="shared" si="5"/>
        <v>81096.33</v>
      </c>
      <c r="K30" s="459">
        <f t="shared" si="5"/>
        <v>99395</v>
      </c>
      <c r="L30" s="495">
        <f t="shared" si="3"/>
        <v>115.01542418772563</v>
      </c>
      <c r="M30" s="464">
        <f t="shared" si="3"/>
        <v>103.93507295974143</v>
      </c>
      <c r="N30" s="366"/>
      <c r="O30" s="446"/>
      <c r="P30" s="446"/>
      <c r="Q30" s="446"/>
      <c r="R30" s="446"/>
      <c r="S30" s="647">
        <f t="shared" si="4"/>
        <v>75.089194444444445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502">
        <f t="shared" ref="D31:D33" si="7">E31-E31*N31</f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674.43478260869563</v>
      </c>
      <c r="I31" s="499">
        <f>SUM($G$9:G31)/A31</f>
        <v>914.73913043478262</v>
      </c>
      <c r="J31" s="443">
        <f t="shared" si="5"/>
        <v>81096.33</v>
      </c>
      <c r="K31" s="459">
        <f t="shared" si="5"/>
        <v>99395</v>
      </c>
      <c r="L31" s="495">
        <f t="shared" si="3"/>
        <v>120.24339801444044</v>
      </c>
      <c r="M31" s="464">
        <f t="shared" si="3"/>
        <v>108.65939445791149</v>
      </c>
      <c r="N31" s="366"/>
      <c r="O31" s="446"/>
      <c r="P31" s="446"/>
      <c r="Q31" s="446"/>
      <c r="R31" s="446"/>
      <c r="S31" s="647">
        <f t="shared" si="4"/>
        <v>75.089194444444445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502">
        <f t="shared" si="7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646.33333333333337</v>
      </c>
      <c r="I32" s="499">
        <f>SUM($G$9:G32)/A32</f>
        <v>876.625</v>
      </c>
      <c r="J32" s="443">
        <f t="shared" si="5"/>
        <v>81096.33</v>
      </c>
      <c r="K32" s="459">
        <f t="shared" si="5"/>
        <v>99395</v>
      </c>
      <c r="L32" s="495">
        <f t="shared" si="3"/>
        <v>125.47137184115523</v>
      </c>
      <c r="M32" s="464">
        <f t="shared" si="3"/>
        <v>113.38371595608156</v>
      </c>
      <c r="N32" s="366"/>
      <c r="O32" s="446"/>
      <c r="P32" s="446"/>
      <c r="Q32" s="446"/>
      <c r="R32" s="446"/>
      <c r="S32" s="647">
        <f t="shared" si="4"/>
        <v>75.089194444444445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7"/>
        <v>0</v>
      </c>
      <c r="E33" s="499"/>
      <c r="F33" s="446">
        <f t="shared" si="2"/>
        <v>0</v>
      </c>
      <c r="G33" s="503">
        <f t="shared" si="2"/>
        <v>0</v>
      </c>
      <c r="H33" s="460">
        <f>SUM($F$9:F33)/A33</f>
        <v>620.48</v>
      </c>
      <c r="I33" s="499">
        <f>SUM($G$9:G33)/A33</f>
        <v>841.56</v>
      </c>
      <c r="J33" s="460">
        <f t="shared" si="5"/>
        <v>81096.33</v>
      </c>
      <c r="K33" s="459">
        <f t="shared" si="5"/>
        <v>99395</v>
      </c>
      <c r="L33" s="506">
        <f t="shared" si="3"/>
        <v>130.69934566787003</v>
      </c>
      <c r="M33" s="464">
        <f t="shared" si="3"/>
        <v>118.10803745425163</v>
      </c>
      <c r="N33" s="366"/>
      <c r="O33" s="446"/>
      <c r="P33" s="446"/>
      <c r="Q33" s="446"/>
      <c r="R33" s="446"/>
      <c r="S33" s="647">
        <f t="shared" si="4"/>
        <v>75.089194444444445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502">
        <f t="shared" si="6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596.61538461538464</v>
      </c>
      <c r="I34" s="499">
        <f>SUM($G$9:G34)/A34</f>
        <v>809.19230769230774</v>
      </c>
      <c r="J34" s="443">
        <f t="shared" si="5"/>
        <v>81096.33</v>
      </c>
      <c r="K34" s="459">
        <f t="shared" si="5"/>
        <v>99395</v>
      </c>
      <c r="L34" s="495">
        <f t="shared" si="3"/>
        <v>135.92731949458482</v>
      </c>
      <c r="M34" s="464">
        <f t="shared" si="3"/>
        <v>122.83235895242169</v>
      </c>
      <c r="N34" s="366"/>
      <c r="O34" s="446"/>
      <c r="P34" s="446"/>
      <c r="Q34" s="446"/>
      <c r="R34" s="446"/>
      <c r="S34" s="647">
        <f t="shared" si="4"/>
        <v>75.089194444444445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502">
        <f t="shared" si="6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574.51851851851848</v>
      </c>
      <c r="I35" s="499">
        <f>SUM($G$9:G35)/A35</f>
        <v>779.22222222222217</v>
      </c>
      <c r="J35" s="443">
        <f t="shared" si="5"/>
        <v>81096.33</v>
      </c>
      <c r="K35" s="459">
        <f t="shared" si="5"/>
        <v>99395</v>
      </c>
      <c r="L35" s="495">
        <f t="shared" si="3"/>
        <v>141.15529332129967</v>
      </c>
      <c r="M35" s="464">
        <f t="shared" si="3"/>
        <v>127.55668045059177</v>
      </c>
      <c r="N35" s="366"/>
      <c r="O35" s="446"/>
      <c r="P35" s="446"/>
      <c r="Q35" s="446"/>
      <c r="R35" s="446"/>
      <c r="S35" s="647">
        <f t="shared" si="4"/>
        <v>75.089194444444445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502">
        <f t="shared" si="6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554</v>
      </c>
      <c r="I36" s="499">
        <f>SUM($G$9:G36)/A36</f>
        <v>751.39285714285711</v>
      </c>
      <c r="J36" s="443">
        <f t="shared" si="5"/>
        <v>81096.33</v>
      </c>
      <c r="K36" s="459">
        <f t="shared" si="5"/>
        <v>99395</v>
      </c>
      <c r="L36" s="495">
        <f t="shared" si="3"/>
        <v>146.38326714801445</v>
      </c>
      <c r="M36" s="464">
        <f t="shared" si="3"/>
        <v>132.28100194876183</v>
      </c>
      <c r="N36" s="366"/>
      <c r="O36" s="446"/>
      <c r="P36" s="446"/>
      <c r="Q36" s="446"/>
      <c r="R36" s="446"/>
      <c r="S36" s="647">
        <f t="shared" si="4"/>
        <v>75.089194444444445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502">
        <f t="shared" si="6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534.89655172413791</v>
      </c>
      <c r="I37" s="499">
        <f>SUM($G$9:G37)/A37</f>
        <v>725.48275862068965</v>
      </c>
      <c r="J37" s="443">
        <f t="shared" si="5"/>
        <v>81096.33</v>
      </c>
      <c r="K37" s="459">
        <f t="shared" si="5"/>
        <v>99395</v>
      </c>
      <c r="L37" s="495">
        <f t="shared" si="3"/>
        <v>151.61124097472924</v>
      </c>
      <c r="M37" s="464">
        <f t="shared" si="3"/>
        <v>137.0053234469319</v>
      </c>
      <c r="N37" s="366"/>
      <c r="O37" s="446"/>
      <c r="P37" s="446"/>
      <c r="Q37" s="446"/>
      <c r="R37" s="446"/>
      <c r="S37" s="647">
        <f t="shared" si="4"/>
        <v>75.089194444444445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502">
        <f t="shared" si="6"/>
        <v>0</v>
      </c>
      <c r="E38" s="499"/>
      <c r="F38" s="446">
        <f t="shared" si="2"/>
        <v>0</v>
      </c>
      <c r="G38" s="503">
        <f t="shared" si="2"/>
        <v>0</v>
      </c>
      <c r="H38" s="504">
        <f>SUM($F$9:F38)/A38</f>
        <v>517.06666666666672</v>
      </c>
      <c r="I38" s="499">
        <f>SUM($G$9:G38)/A38</f>
        <v>701.3</v>
      </c>
      <c r="J38" s="504">
        <f t="shared" si="5"/>
        <v>81096.33</v>
      </c>
      <c r="K38" s="459">
        <f t="shared" si="5"/>
        <v>99395</v>
      </c>
      <c r="L38" s="505">
        <f t="shared" si="3"/>
        <v>156.83921480144403</v>
      </c>
      <c r="M38" s="464">
        <f t="shared" si="3"/>
        <v>141.72964494510197</v>
      </c>
      <c r="N38" s="366"/>
      <c r="O38" s="446"/>
      <c r="P38" s="446"/>
      <c r="Q38" s="446"/>
      <c r="R38" s="446"/>
      <c r="S38" s="647">
        <f t="shared" si="4"/>
        <v>75.089194444444445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502">
        <f t="shared" si="6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500.38709677419354</v>
      </c>
      <c r="I39" s="499">
        <f>SUM($G$9:G39)/A39</f>
        <v>678.67741935483866</v>
      </c>
      <c r="J39" s="443">
        <f t="shared" si="5"/>
        <v>81096.33</v>
      </c>
      <c r="K39" s="459">
        <f t="shared" si="5"/>
        <v>99395</v>
      </c>
      <c r="L39" s="495">
        <f t="shared" si="3"/>
        <v>162.06718862815885</v>
      </c>
      <c r="M39" s="464">
        <f t="shared" si="3"/>
        <v>146.45396644327204</v>
      </c>
      <c r="N39" s="366"/>
      <c r="O39" s="446"/>
      <c r="P39" s="446"/>
      <c r="Q39" s="446"/>
      <c r="R39" s="446"/>
      <c r="S39" s="647">
        <f t="shared" si="4"/>
        <v>75.089194444444445</v>
      </c>
    </row>
    <row r="40" spans="1:19" s="374" customFormat="1" ht="12" customHeight="1">
      <c r="A40" s="655" t="s">
        <v>29</v>
      </c>
      <c r="B40" s="656"/>
      <c r="C40" s="657"/>
      <c r="D40" s="388">
        <f>SUM(D9:D39)</f>
        <v>27000</v>
      </c>
      <c r="E40" s="388">
        <f>SUM(E9:E39)</f>
        <v>27000</v>
      </c>
      <c r="F40" s="389">
        <f>SUM(F9:F39)</f>
        <v>15512</v>
      </c>
      <c r="G40" s="496">
        <f>SUM(G9:G39)</f>
        <v>21039</v>
      </c>
      <c r="H40" s="389"/>
      <c r="I40" s="496"/>
      <c r="J40" s="389">
        <f>J39</f>
        <v>81096.33</v>
      </c>
      <c r="K40" s="461">
        <f>K39</f>
        <v>99395</v>
      </c>
      <c r="L40" s="464"/>
      <c r="M40" s="464"/>
      <c r="N40" s="507"/>
      <c r="O40" s="389">
        <f>SUM(O9:O39)</f>
        <v>6660</v>
      </c>
      <c r="P40" s="496">
        <f>SUM(P9:P39)</f>
        <v>9061</v>
      </c>
      <c r="Q40" s="389">
        <f>SUM(Q9:Q39)</f>
        <v>8852</v>
      </c>
      <c r="R40" s="496">
        <f>SUM(R9:R39)</f>
        <v>11978</v>
      </c>
    </row>
    <row r="41" spans="1:19" s="374" customFormat="1" ht="12" customHeight="1">
      <c r="A41" s="655" t="s">
        <v>15</v>
      </c>
      <c r="B41" s="656"/>
      <c r="C41" s="657"/>
      <c r="D41" s="388">
        <f>D8+D40</f>
        <v>96608.33</v>
      </c>
      <c r="E41" s="388">
        <f>E8+E40</f>
        <v>120434</v>
      </c>
      <c r="F41" s="389">
        <f>F40</f>
        <v>15512</v>
      </c>
      <c r="G41" s="496">
        <f>G40</f>
        <v>21039</v>
      </c>
      <c r="H41" s="389"/>
      <c r="I41" s="496"/>
      <c r="J41" s="389">
        <f>D41-F41</f>
        <v>81096.33</v>
      </c>
      <c r="K41" s="389">
        <f>K40</f>
        <v>99395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224" priority="1" operator="lessThan">
      <formula>15</formula>
    </cfRule>
    <cfRule type="cellIs" dxfId="12223" priority="2" operator="greaterThan">
      <formula>20</formula>
    </cfRule>
    <cfRule type="cellIs" dxfId="12222" priority="3" operator="between">
      <formula>15</formula>
      <formula>20</formula>
    </cfRule>
    <cfRule type="cellIs" dxfId="12221" priority="4" operator="between">
      <formula>15</formula>
      <formula>20</formula>
    </cfRule>
    <cfRule type="cellIs" dxfId="12220" priority="5" operator="lessThan">
      <formula>15</formula>
    </cfRule>
    <cfRule type="cellIs" dxfId="12219" priority="6" operator="greaterThan">
      <formula>20</formula>
    </cfRule>
    <cfRule type="cellIs" dxfId="12218" priority="7" operator="between">
      <formula>15</formula>
      <formula>21</formula>
    </cfRule>
    <cfRule type="cellIs" dxfId="12217" priority="8" operator="lessThan">
      <formula>15</formula>
    </cfRule>
    <cfRule type="cellIs" dxfId="12216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" footer="0.31496062992125984"/>
  <pageSetup paperSize="8" orientation="landscape" horizontalDpi="4294967292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49"/>
  <sheetViews>
    <sheetView zoomScaleNormal="100"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1.28515625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215" customFormat="1" ht="18.75" customHeight="1">
      <c r="A4" s="1600" t="s">
        <v>33</v>
      </c>
      <c r="B4" s="1600"/>
      <c r="C4" s="316" t="str">
        <f>J4</f>
        <v>E. KAO LANH VCT04A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1014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1215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/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495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349</v>
      </c>
      <c r="D9" s="502">
        <f t="shared" ref="D9:D27" si="0"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1">J8+D9-F9</f>
        <v>0</v>
      </c>
      <c r="K9" s="459">
        <f t="shared" si="1"/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502">
        <f t="shared" si="0"/>
        <v>0</v>
      </c>
      <c r="E10" s="499"/>
      <c r="F10" s="446">
        <f t="shared" ref="F10:G39" si="2">O10+Q10</f>
        <v>0</v>
      </c>
      <c r="G10" s="503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1"/>
        <v>0</v>
      </c>
      <c r="K10" s="459">
        <f t="shared" si="1"/>
        <v>0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921">
        <f t="shared" si="0"/>
        <v>0</v>
      </c>
      <c r="E11" s="499"/>
      <c r="F11" s="446">
        <f t="shared" si="2"/>
        <v>0</v>
      </c>
      <c r="G11" s="503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1"/>
        <v>0</v>
      </c>
      <c r="K11" s="459">
        <f t="shared" si="1"/>
        <v>0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502">
        <f t="shared" si="0"/>
        <v>0</v>
      </c>
      <c r="E12" s="499"/>
      <c r="F12" s="446">
        <f t="shared" si="2"/>
        <v>0</v>
      </c>
      <c r="G12" s="503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1"/>
        <v>0</v>
      </c>
      <c r="K12" s="459">
        <f t="shared" si="1"/>
        <v>0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502">
        <f t="shared" si="0"/>
        <v>0</v>
      </c>
      <c r="E13" s="499"/>
      <c r="F13" s="446">
        <f t="shared" si="2"/>
        <v>0</v>
      </c>
      <c r="G13" s="503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1"/>
        <v>0</v>
      </c>
      <c r="K13" s="459">
        <f t="shared" si="1"/>
        <v>0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502">
        <f t="shared" si="0"/>
        <v>0</v>
      </c>
      <c r="E14" s="499"/>
      <c r="F14" s="446">
        <f t="shared" si="2"/>
        <v>0</v>
      </c>
      <c r="G14" s="503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1"/>
        <v>0</v>
      </c>
      <c r="K14" s="459">
        <f t="shared" si="1"/>
        <v>0</v>
      </c>
      <c r="L14" s="495" t="e">
        <f>J14/H14</f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502">
        <f t="shared" si="0"/>
        <v>0</v>
      </c>
      <c r="E15" s="499"/>
      <c r="F15" s="446">
        <f t="shared" si="2"/>
        <v>0</v>
      </c>
      <c r="G15" s="503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1"/>
        <v>0</v>
      </c>
      <c r="K15" s="459">
        <f t="shared" si="1"/>
        <v>0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502">
        <f t="shared" si="0"/>
        <v>0</v>
      </c>
      <c r="E16" s="499"/>
      <c r="F16" s="446">
        <f t="shared" si="2"/>
        <v>0</v>
      </c>
      <c r="G16" s="503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1"/>
        <v>0</v>
      </c>
      <c r="K16" s="459">
        <f t="shared" si="1"/>
        <v>0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502">
        <f t="shared" si="0"/>
        <v>0</v>
      </c>
      <c r="E17" s="499"/>
      <c r="F17" s="446">
        <f t="shared" si="2"/>
        <v>0</v>
      </c>
      <c r="G17" s="503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1"/>
        <v>0</v>
      </c>
      <c r="K17" s="459">
        <f t="shared" si="1"/>
        <v>0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502">
        <f t="shared" si="0"/>
        <v>0</v>
      </c>
      <c r="E18" s="499"/>
      <c r="F18" s="446">
        <f t="shared" si="2"/>
        <v>0</v>
      </c>
      <c r="G18" s="503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1"/>
        <v>0</v>
      </c>
      <c r="K18" s="459">
        <f t="shared" si="1"/>
        <v>0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502">
        <f t="shared" si="0"/>
        <v>0</v>
      </c>
      <c r="E19" s="499"/>
      <c r="F19" s="446">
        <f t="shared" si="2"/>
        <v>0</v>
      </c>
      <c r="G19" s="503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1"/>
        <v>0</v>
      </c>
      <c r="K19" s="459">
        <f t="shared" si="1"/>
        <v>0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0"/>
        <v>0</v>
      </c>
      <c r="E20" s="499"/>
      <c r="F20" s="446">
        <f t="shared" si="2"/>
        <v>0</v>
      </c>
      <c r="G20" s="503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1"/>
        <v>0</v>
      </c>
      <c r="K20" s="459">
        <f t="shared" si="1"/>
        <v>0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502">
        <f t="shared" si="0"/>
        <v>0</v>
      </c>
      <c r="E21" s="499"/>
      <c r="F21" s="446">
        <f t="shared" si="2"/>
        <v>0</v>
      </c>
      <c r="G21" s="503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1"/>
        <v>0</v>
      </c>
      <c r="K21" s="459">
        <f>K20+E21-G21</f>
        <v>0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921">
        <f t="shared" si="0"/>
        <v>0</v>
      </c>
      <c r="E22" s="499"/>
      <c r="F22" s="446">
        <f t="shared" si="2"/>
        <v>0</v>
      </c>
      <c r="G22" s="503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1"/>
        <v>0</v>
      </c>
      <c r="K22" s="459">
        <f>K21+E22-G22</f>
        <v>0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502">
        <f t="shared" si="0"/>
        <v>0</v>
      </c>
      <c r="E23" s="499"/>
      <c r="F23" s="446">
        <f t="shared" si="2"/>
        <v>0</v>
      </c>
      <c r="G23" s="503">
        <f t="shared" si="2"/>
        <v>0</v>
      </c>
      <c r="H23" s="504">
        <f>SUM($F$9:F23)/A23</f>
        <v>0</v>
      </c>
      <c r="I23" s="499">
        <f>SUM($G$9:G23)/A23</f>
        <v>0</v>
      </c>
      <c r="J23" s="504">
        <f>J22+D23-F23</f>
        <v>0</v>
      </c>
      <c r="K23" s="459">
        <f t="shared" si="1"/>
        <v>0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502">
        <f t="shared" si="0"/>
        <v>0</v>
      </c>
      <c r="E24" s="499"/>
      <c r="F24" s="446">
        <f t="shared" si="2"/>
        <v>0</v>
      </c>
      <c r="G24" s="503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1"/>
        <v>0</v>
      </c>
      <c r="K24" s="459">
        <f>K23+E24-G24</f>
        <v>0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502">
        <f t="shared" si="0"/>
        <v>0</v>
      </c>
      <c r="E25" s="499"/>
      <c r="F25" s="446">
        <f t="shared" si="2"/>
        <v>0</v>
      </c>
      <c r="G25" s="503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5">J24+D25-F25</f>
        <v>0</v>
      </c>
      <c r="K25" s="459">
        <f>K24+E25-G25</f>
        <v>0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502">
        <f t="shared" si="0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5"/>
        <v>0</v>
      </c>
      <c r="K26" s="459">
        <f>K25+E26-G26</f>
        <v>0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0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5"/>
        <v>0</v>
      </c>
      <c r="K27" s="459">
        <f>K26+E27-G27</f>
        <v>0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502">
        <f>E28-E28*N28</f>
        <v>0</v>
      </c>
      <c r="E28" s="499"/>
      <c r="F28" s="446">
        <f t="shared" si="2"/>
        <v>0</v>
      </c>
      <c r="G28" s="503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5"/>
        <v>0</v>
      </c>
      <c r="K28" s="459">
        <f t="shared" si="5"/>
        <v>0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502">
        <f t="shared" ref="D29:D39" si="6">E29-E29*N29</f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5"/>
        <v>0</v>
      </c>
      <c r="K29" s="459">
        <f t="shared" si="5"/>
        <v>0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502">
        <f t="shared" si="6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5"/>
        <v>0</v>
      </c>
      <c r="K30" s="459">
        <f t="shared" si="5"/>
        <v>0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502">
        <f t="shared" si="6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5"/>
        <v>0</v>
      </c>
      <c r="K31" s="459">
        <f t="shared" si="5"/>
        <v>0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502">
        <f t="shared" si="6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5"/>
        <v>0</v>
      </c>
      <c r="K32" s="459">
        <f t="shared" si="5"/>
        <v>0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6"/>
        <v>0</v>
      </c>
      <c r="E33" s="499"/>
      <c r="F33" s="446">
        <f t="shared" si="2"/>
        <v>0</v>
      </c>
      <c r="G33" s="503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5"/>
        <v>0</v>
      </c>
      <c r="K33" s="459">
        <f t="shared" si="5"/>
        <v>0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502">
        <f t="shared" si="6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5"/>
        <v>0</v>
      </c>
      <c r="K34" s="459">
        <f t="shared" si="5"/>
        <v>0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502">
        <f t="shared" si="6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5"/>
        <v>0</v>
      </c>
      <c r="K35" s="459">
        <f t="shared" si="5"/>
        <v>0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502">
        <f t="shared" si="6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5"/>
        <v>0</v>
      </c>
      <c r="K36" s="459">
        <f t="shared" si="5"/>
        <v>0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502">
        <f t="shared" si="6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5"/>
        <v>0</v>
      </c>
      <c r="K37" s="459">
        <f t="shared" si="5"/>
        <v>0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502">
        <f t="shared" si="6"/>
        <v>0</v>
      </c>
      <c r="E38" s="499"/>
      <c r="F38" s="446">
        <f t="shared" si="2"/>
        <v>0</v>
      </c>
      <c r="G38" s="503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5"/>
        <v>0</v>
      </c>
      <c r="K38" s="459">
        <f t="shared" si="5"/>
        <v>0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502">
        <f t="shared" si="6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5"/>
        <v>0</v>
      </c>
      <c r="K39" s="459">
        <f t="shared" si="5"/>
        <v>0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1216" t="s">
        <v>29</v>
      </c>
      <c r="B40" s="1217"/>
      <c r="C40" s="1218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1216" t="s">
        <v>15</v>
      </c>
      <c r="B41" s="1217"/>
      <c r="C41" s="1218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K40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215" priority="1" operator="lessThan">
      <formula>15</formula>
    </cfRule>
    <cfRule type="cellIs" dxfId="12214" priority="2" operator="greaterThan">
      <formula>20</formula>
    </cfRule>
    <cfRule type="cellIs" dxfId="12213" priority="3" operator="between">
      <formula>15</formula>
      <formula>20</formula>
    </cfRule>
    <cfRule type="cellIs" dxfId="12212" priority="4" operator="between">
      <formula>15</formula>
      <formula>20</formula>
    </cfRule>
    <cfRule type="cellIs" dxfId="12211" priority="5" operator="lessThan">
      <formula>15</formula>
    </cfRule>
    <cfRule type="cellIs" dxfId="12210" priority="6" operator="greaterThan">
      <formula>20</formula>
    </cfRule>
    <cfRule type="cellIs" dxfId="12209" priority="7" operator="between">
      <formula>15</formula>
      <formula>21</formula>
    </cfRule>
    <cfRule type="cellIs" dxfId="12208" priority="8" operator="lessThan">
      <formula>15</formula>
    </cfRule>
    <cfRule type="cellIs" dxfId="12207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" footer="0.31496062992125984"/>
  <pageSetup paperSize="8" orientation="landscape" horizontalDpi="4294967292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49"/>
  <sheetViews>
    <sheetView zoomScaleNormal="100" workbookViewId="0">
      <pane ySplit="8" topLeftCell="A9" activePane="bottomLeft" state="frozen"/>
      <selection pane="bottomLeft" activeCell="V35" sqref="V3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1.28515625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238" customFormat="1" ht="18.75" customHeight="1">
      <c r="A4" s="1600" t="s">
        <v>33</v>
      </c>
      <c r="B4" s="1600"/>
      <c r="C4" s="316" t="str">
        <f>J4</f>
        <v>E. KAO LANH 168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1032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1238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/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495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349</v>
      </c>
      <c r="D9" s="502">
        <f t="shared" ref="D9:D27" si="0"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1">J8+D9-F9</f>
        <v>0</v>
      </c>
      <c r="K9" s="459">
        <f t="shared" si="1"/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502">
        <f t="shared" si="0"/>
        <v>0</v>
      </c>
      <c r="E10" s="499"/>
      <c r="F10" s="446">
        <f t="shared" ref="F10:G39" si="2">O10+Q10</f>
        <v>0</v>
      </c>
      <c r="G10" s="503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1"/>
        <v>0</v>
      </c>
      <c r="K10" s="459">
        <f t="shared" si="1"/>
        <v>0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921">
        <f t="shared" si="0"/>
        <v>0</v>
      </c>
      <c r="E11" s="499"/>
      <c r="F11" s="446">
        <f t="shared" si="2"/>
        <v>0</v>
      </c>
      <c r="G11" s="503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1"/>
        <v>0</v>
      </c>
      <c r="K11" s="459">
        <f t="shared" si="1"/>
        <v>0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502">
        <f t="shared" si="0"/>
        <v>0</v>
      </c>
      <c r="E12" s="499"/>
      <c r="F12" s="446">
        <f t="shared" si="2"/>
        <v>0</v>
      </c>
      <c r="G12" s="503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1"/>
        <v>0</v>
      </c>
      <c r="K12" s="459">
        <f t="shared" si="1"/>
        <v>0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502">
        <f t="shared" si="0"/>
        <v>0</v>
      </c>
      <c r="E13" s="499"/>
      <c r="F13" s="446">
        <f t="shared" si="2"/>
        <v>0</v>
      </c>
      <c r="G13" s="503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1"/>
        <v>0</v>
      </c>
      <c r="K13" s="459">
        <f t="shared" si="1"/>
        <v>0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502">
        <f t="shared" si="0"/>
        <v>0</v>
      </c>
      <c r="E14" s="499"/>
      <c r="F14" s="446">
        <f t="shared" si="2"/>
        <v>0</v>
      </c>
      <c r="G14" s="503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1"/>
        <v>0</v>
      </c>
      <c r="K14" s="459">
        <f t="shared" si="1"/>
        <v>0</v>
      </c>
      <c r="L14" s="495" t="e">
        <f>J14/H14</f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502">
        <f t="shared" si="0"/>
        <v>0</v>
      </c>
      <c r="E15" s="499"/>
      <c r="F15" s="446">
        <f t="shared" si="2"/>
        <v>0</v>
      </c>
      <c r="G15" s="503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1"/>
        <v>0</v>
      </c>
      <c r="K15" s="459">
        <f t="shared" si="1"/>
        <v>0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502">
        <f t="shared" si="0"/>
        <v>0</v>
      </c>
      <c r="E16" s="499"/>
      <c r="F16" s="446">
        <f t="shared" si="2"/>
        <v>0</v>
      </c>
      <c r="G16" s="503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1"/>
        <v>0</v>
      </c>
      <c r="K16" s="459">
        <f t="shared" si="1"/>
        <v>0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502">
        <f t="shared" si="0"/>
        <v>0</v>
      </c>
      <c r="E17" s="499"/>
      <c r="F17" s="446">
        <f t="shared" si="2"/>
        <v>0</v>
      </c>
      <c r="G17" s="503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1"/>
        <v>0</v>
      </c>
      <c r="K17" s="459">
        <f t="shared" si="1"/>
        <v>0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502">
        <f t="shared" si="0"/>
        <v>0</v>
      </c>
      <c r="E18" s="499"/>
      <c r="F18" s="446">
        <f t="shared" si="2"/>
        <v>0</v>
      </c>
      <c r="G18" s="503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1"/>
        <v>0</v>
      </c>
      <c r="K18" s="459">
        <f t="shared" si="1"/>
        <v>0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502">
        <f t="shared" si="0"/>
        <v>0</v>
      </c>
      <c r="E19" s="499"/>
      <c r="F19" s="446">
        <f t="shared" si="2"/>
        <v>0</v>
      </c>
      <c r="G19" s="503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1"/>
        <v>0</v>
      </c>
      <c r="K19" s="459">
        <f t="shared" si="1"/>
        <v>0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0"/>
        <v>0</v>
      </c>
      <c r="E20" s="499"/>
      <c r="F20" s="446">
        <f t="shared" si="2"/>
        <v>0</v>
      </c>
      <c r="G20" s="503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1"/>
        <v>0</v>
      </c>
      <c r="K20" s="459">
        <f t="shared" si="1"/>
        <v>0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502">
        <f t="shared" si="0"/>
        <v>0</v>
      </c>
      <c r="E21" s="499"/>
      <c r="F21" s="446">
        <f t="shared" si="2"/>
        <v>0</v>
      </c>
      <c r="G21" s="503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1"/>
        <v>0</v>
      </c>
      <c r="K21" s="459">
        <f>K20+E21-G21</f>
        <v>0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921">
        <f t="shared" si="0"/>
        <v>0</v>
      </c>
      <c r="E22" s="499"/>
      <c r="F22" s="446">
        <f t="shared" si="2"/>
        <v>0</v>
      </c>
      <c r="G22" s="503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1"/>
        <v>0</v>
      </c>
      <c r="K22" s="459">
        <f>K21+E22-G22</f>
        <v>0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502">
        <f t="shared" si="0"/>
        <v>0</v>
      </c>
      <c r="E23" s="499"/>
      <c r="F23" s="446">
        <f t="shared" si="2"/>
        <v>0</v>
      </c>
      <c r="G23" s="503">
        <f t="shared" si="2"/>
        <v>0</v>
      </c>
      <c r="H23" s="504">
        <f>SUM($F$9:F23)/A23</f>
        <v>0</v>
      </c>
      <c r="I23" s="499">
        <f>SUM($G$9:G23)/A23</f>
        <v>0</v>
      </c>
      <c r="J23" s="504">
        <f>J22+D23-F23</f>
        <v>0</v>
      </c>
      <c r="K23" s="459">
        <f t="shared" si="1"/>
        <v>0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502">
        <f t="shared" si="0"/>
        <v>0</v>
      </c>
      <c r="E24" s="499"/>
      <c r="F24" s="446">
        <f t="shared" si="2"/>
        <v>0</v>
      </c>
      <c r="G24" s="503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1"/>
        <v>0</v>
      </c>
      <c r="K24" s="459">
        <f>K23+E24-G24</f>
        <v>0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502">
        <f t="shared" si="0"/>
        <v>0</v>
      </c>
      <c r="E25" s="499"/>
      <c r="F25" s="446">
        <f t="shared" si="2"/>
        <v>0</v>
      </c>
      <c r="G25" s="503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5">J24+D25-F25</f>
        <v>0</v>
      </c>
      <c r="K25" s="459">
        <f>K24+E25-G25</f>
        <v>0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502">
        <f t="shared" si="0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5"/>
        <v>0</v>
      </c>
      <c r="K26" s="459">
        <f>K25+E26-G26</f>
        <v>0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0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5"/>
        <v>0</v>
      </c>
      <c r="K27" s="459">
        <f>K26+E27-G27</f>
        <v>0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502">
        <f>E28-E28*N28</f>
        <v>0</v>
      </c>
      <c r="E28" s="499"/>
      <c r="F28" s="446">
        <f t="shared" si="2"/>
        <v>0</v>
      </c>
      <c r="G28" s="503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5"/>
        <v>0</v>
      </c>
      <c r="K28" s="459">
        <f t="shared" si="5"/>
        <v>0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502">
        <f t="shared" ref="D29:D39" si="6">E29-E29*N29</f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5"/>
        <v>0</v>
      </c>
      <c r="K29" s="459">
        <f t="shared" si="5"/>
        <v>0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502">
        <f t="shared" si="6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5"/>
        <v>0</v>
      </c>
      <c r="K30" s="459">
        <f t="shared" si="5"/>
        <v>0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502">
        <f t="shared" si="6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5"/>
        <v>0</v>
      </c>
      <c r="K31" s="459">
        <f t="shared" si="5"/>
        <v>0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502">
        <f t="shared" si="6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5"/>
        <v>0</v>
      </c>
      <c r="K32" s="459">
        <f t="shared" si="5"/>
        <v>0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6"/>
        <v>0</v>
      </c>
      <c r="E33" s="499"/>
      <c r="F33" s="446">
        <f t="shared" si="2"/>
        <v>0</v>
      </c>
      <c r="G33" s="503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5"/>
        <v>0</v>
      </c>
      <c r="K33" s="459">
        <f t="shared" si="5"/>
        <v>0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502">
        <f t="shared" si="6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5"/>
        <v>0</v>
      </c>
      <c r="K34" s="459">
        <f t="shared" si="5"/>
        <v>0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502">
        <f t="shared" si="6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5"/>
        <v>0</v>
      </c>
      <c r="K35" s="459">
        <f t="shared" si="5"/>
        <v>0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502">
        <f t="shared" si="6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5"/>
        <v>0</v>
      </c>
      <c r="K36" s="459">
        <f t="shared" si="5"/>
        <v>0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502">
        <f t="shared" si="6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5"/>
        <v>0</v>
      </c>
      <c r="K37" s="459">
        <f t="shared" si="5"/>
        <v>0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502">
        <f t="shared" si="6"/>
        <v>0</v>
      </c>
      <c r="E38" s="499"/>
      <c r="F38" s="446">
        <f t="shared" si="2"/>
        <v>0</v>
      </c>
      <c r="G38" s="503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5"/>
        <v>0</v>
      </c>
      <c r="K38" s="459">
        <f t="shared" si="5"/>
        <v>0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502">
        <f t="shared" si="6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5"/>
        <v>0</v>
      </c>
      <c r="K39" s="459">
        <f t="shared" si="5"/>
        <v>0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1239" t="s">
        <v>29</v>
      </c>
      <c r="B40" s="1240"/>
      <c r="C40" s="1241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1239" t="s">
        <v>15</v>
      </c>
      <c r="B41" s="1240"/>
      <c r="C41" s="1241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K40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206" priority="1" operator="lessThan">
      <formula>15</formula>
    </cfRule>
    <cfRule type="cellIs" dxfId="12205" priority="2" operator="greaterThan">
      <formula>20</formula>
    </cfRule>
    <cfRule type="cellIs" dxfId="12204" priority="3" operator="between">
      <formula>15</formula>
      <formula>20</formula>
    </cfRule>
    <cfRule type="cellIs" dxfId="12203" priority="4" operator="between">
      <formula>15</formula>
      <formula>20</formula>
    </cfRule>
    <cfRule type="cellIs" dxfId="12202" priority="5" operator="lessThan">
      <formula>15</formula>
    </cfRule>
    <cfRule type="cellIs" dxfId="12201" priority="6" operator="greaterThan">
      <formula>20</formula>
    </cfRule>
    <cfRule type="cellIs" dxfId="12200" priority="7" operator="between">
      <formula>15</formula>
      <formula>21</formula>
    </cfRule>
    <cfRule type="cellIs" dxfId="12199" priority="8" operator="lessThan">
      <formula>15</formula>
    </cfRule>
    <cfRule type="cellIs" dxfId="12198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" footer="0.31496062992125984"/>
  <pageSetup paperSize="8" orientation="landscape" horizontalDpi="4294967292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0" width="12.140625" style="142" customWidth="1"/>
    <col min="11" max="11" width="11.5703125" style="142" customWidth="1"/>
    <col min="12" max="13" width="12" style="143" customWidth="1"/>
    <col min="14" max="14" width="6.42578125" style="143" customWidth="1"/>
    <col min="15" max="18" width="9.710937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  <c r="V3" s="324"/>
    </row>
    <row r="4" spans="1:29" s="376" customFormat="1" ht="18.75" customHeight="1">
      <c r="A4" s="1600" t="s">
        <v>33</v>
      </c>
      <c r="B4" s="1600"/>
      <c r="C4" s="316" t="str">
        <f>J4</f>
        <v>TRÀNG THẠCH KALI K200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1191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  <c r="V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324"/>
      <c r="U6" s="324"/>
      <c r="V6" s="324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67228</v>
      </c>
      <c r="E8" s="388">
        <f>K8</f>
        <v>67228</v>
      </c>
      <c r="F8" s="389">
        <f>F40</f>
        <v>20722</v>
      </c>
      <c r="G8" s="388">
        <f>G40</f>
        <v>20722</v>
      </c>
      <c r="H8" s="387"/>
      <c r="I8" s="388"/>
      <c r="J8" s="624">
        <f>K8-K8*N8</f>
        <v>67228</v>
      </c>
      <c r="K8" s="324">
        <v>67228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1200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349</v>
      </c>
      <c r="D9" s="502">
        <f>E9-(E9*N9)</f>
        <v>0</v>
      </c>
      <c r="E9" s="499"/>
      <c r="F9" s="446">
        <f>O9+Q9</f>
        <v>1238</v>
      </c>
      <c r="G9" s="503">
        <f>P9+R9</f>
        <v>1238</v>
      </c>
      <c r="H9" s="498">
        <f>SUM($F$9:F9)/A9</f>
        <v>1238</v>
      </c>
      <c r="I9" s="499">
        <f>SUM($G$9:G9)/A9</f>
        <v>1238</v>
      </c>
      <c r="J9" s="443">
        <f>J8+D9-F9</f>
        <v>65990</v>
      </c>
      <c r="K9" s="459">
        <f>K8+E9-G9</f>
        <v>65990</v>
      </c>
      <c r="L9" s="495">
        <f>J9/H9</f>
        <v>53.303715670436191</v>
      </c>
      <c r="M9" s="464">
        <f>K9/I9</f>
        <v>53.303715670436191</v>
      </c>
      <c r="N9" s="366"/>
      <c r="O9" s="446">
        <v>788</v>
      </c>
      <c r="P9" s="446">
        <f>O9</f>
        <v>788</v>
      </c>
      <c r="Q9" s="446">
        <v>450</v>
      </c>
      <c r="R9" s="446">
        <f>Q9</f>
        <v>450</v>
      </c>
      <c r="S9" s="647">
        <f>J9/$S$8</f>
        <v>54.991666666666667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502">
        <f t="shared" ref="D10:D16" si="0">E10-(E10*N10)</f>
        <v>0</v>
      </c>
      <c r="E10" s="499"/>
      <c r="F10" s="446">
        <f t="shared" ref="F10:G39" si="1">O10+Q10</f>
        <v>788</v>
      </c>
      <c r="G10" s="503">
        <f t="shared" si="1"/>
        <v>788</v>
      </c>
      <c r="H10" s="498">
        <f>SUM($F$9:F10)/A10</f>
        <v>1013</v>
      </c>
      <c r="I10" s="499">
        <f>SUM($G$9:G10)/A10</f>
        <v>1013</v>
      </c>
      <c r="J10" s="443">
        <f>J9+D10-F10</f>
        <v>65202</v>
      </c>
      <c r="K10" s="459">
        <f>K9+E10-G10</f>
        <v>65202</v>
      </c>
      <c r="L10" s="495">
        <f>J10/H10</f>
        <v>64.36525172754196</v>
      </c>
      <c r="M10" s="464">
        <f>K10/I10</f>
        <v>64.36525172754196</v>
      </c>
      <c r="N10" s="366"/>
      <c r="O10" s="446">
        <v>788</v>
      </c>
      <c r="P10" s="446">
        <f t="shared" ref="P10:R39" si="2">O10</f>
        <v>788</v>
      </c>
      <c r="Q10" s="446"/>
      <c r="R10" s="446">
        <f t="shared" si="2"/>
        <v>0</v>
      </c>
      <c r="S10" s="647">
        <f t="shared" ref="S10:S39" si="3">J10/$S$8</f>
        <v>54.335000000000001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502">
        <f t="shared" si="0"/>
        <v>0</v>
      </c>
      <c r="E11" s="499"/>
      <c r="F11" s="446">
        <f t="shared" si="1"/>
        <v>923</v>
      </c>
      <c r="G11" s="503">
        <f t="shared" si="1"/>
        <v>923</v>
      </c>
      <c r="H11" s="498">
        <f>SUM($F$9:F11)/A11</f>
        <v>983</v>
      </c>
      <c r="I11" s="499">
        <f>SUM($G$9:G11)/A11</f>
        <v>983</v>
      </c>
      <c r="J11" s="443">
        <f t="shared" ref="J11:K24" si="4">J10+D11-F11</f>
        <v>64279</v>
      </c>
      <c r="K11" s="459">
        <f t="shared" si="4"/>
        <v>64279</v>
      </c>
      <c r="L11" s="495">
        <f t="shared" ref="L11:M24" si="5">J11/H11</f>
        <v>65.390640895218723</v>
      </c>
      <c r="M11" s="464">
        <f t="shared" si="5"/>
        <v>65.390640895218723</v>
      </c>
      <c r="N11" s="366"/>
      <c r="O11" s="446">
        <v>473</v>
      </c>
      <c r="P11" s="446">
        <f t="shared" si="2"/>
        <v>473</v>
      </c>
      <c r="Q11" s="446">
        <v>450</v>
      </c>
      <c r="R11" s="446">
        <f t="shared" si="2"/>
        <v>450</v>
      </c>
      <c r="S11" s="647">
        <f t="shared" si="3"/>
        <v>53.56583333333333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502">
        <f t="shared" si="0"/>
        <v>0</v>
      </c>
      <c r="E12" s="499"/>
      <c r="F12" s="446">
        <f t="shared" si="1"/>
        <v>1238</v>
      </c>
      <c r="G12" s="503">
        <f t="shared" si="1"/>
        <v>1238</v>
      </c>
      <c r="H12" s="498">
        <f>SUM($F$9:F12)/A12</f>
        <v>1046.75</v>
      </c>
      <c r="I12" s="499">
        <f>SUM($G$9:G12)/A12</f>
        <v>1046.75</v>
      </c>
      <c r="J12" s="443">
        <f t="shared" si="4"/>
        <v>63041</v>
      </c>
      <c r="K12" s="459">
        <f t="shared" si="4"/>
        <v>63041</v>
      </c>
      <c r="L12" s="495">
        <f t="shared" si="5"/>
        <v>60.225459756388823</v>
      </c>
      <c r="M12" s="464">
        <f t="shared" si="5"/>
        <v>60.225459756388823</v>
      </c>
      <c r="N12" s="366"/>
      <c r="O12" s="446">
        <v>788</v>
      </c>
      <c r="P12" s="446">
        <f t="shared" si="2"/>
        <v>788</v>
      </c>
      <c r="Q12" s="446">
        <v>450</v>
      </c>
      <c r="R12" s="446">
        <f t="shared" si="2"/>
        <v>450</v>
      </c>
      <c r="S12" s="647">
        <f t="shared" si="3"/>
        <v>52.534166666666664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502">
        <f t="shared" si="0"/>
        <v>56000</v>
      </c>
      <c r="E13" s="499">
        <f>28000+28000</f>
        <v>56000</v>
      </c>
      <c r="F13" s="446">
        <f t="shared" si="1"/>
        <v>923</v>
      </c>
      <c r="G13" s="503">
        <f t="shared" si="1"/>
        <v>923</v>
      </c>
      <c r="H13" s="504">
        <f>SUM($F$9:F13)/A13</f>
        <v>1022</v>
      </c>
      <c r="I13" s="499">
        <f>SUM($G$9:G13)/A13</f>
        <v>1022</v>
      </c>
      <c r="J13" s="504">
        <f t="shared" si="4"/>
        <v>118118</v>
      </c>
      <c r="K13" s="459">
        <f t="shared" si="4"/>
        <v>118118</v>
      </c>
      <c r="L13" s="505">
        <f t="shared" si="5"/>
        <v>115.57534246575342</v>
      </c>
      <c r="M13" s="464">
        <f t="shared" si="5"/>
        <v>115.57534246575342</v>
      </c>
      <c r="N13" s="366"/>
      <c r="O13" s="446">
        <v>473</v>
      </c>
      <c r="P13" s="446">
        <f t="shared" si="2"/>
        <v>473</v>
      </c>
      <c r="Q13" s="446">
        <v>450</v>
      </c>
      <c r="R13" s="446">
        <f t="shared" si="2"/>
        <v>450</v>
      </c>
      <c r="S13" s="647">
        <f t="shared" si="3"/>
        <v>98.431666666666672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502">
        <f t="shared" si="0"/>
        <v>0</v>
      </c>
      <c r="E14" s="499"/>
      <c r="F14" s="446">
        <f t="shared" si="1"/>
        <v>1238</v>
      </c>
      <c r="G14" s="503">
        <f t="shared" si="1"/>
        <v>1238</v>
      </c>
      <c r="H14" s="498">
        <f>SUM($F$9:F14)/A14</f>
        <v>1058</v>
      </c>
      <c r="I14" s="499">
        <f>SUM($G$9:G14)/A14</f>
        <v>1058</v>
      </c>
      <c r="J14" s="443">
        <f t="shared" si="4"/>
        <v>116880</v>
      </c>
      <c r="K14" s="459">
        <f t="shared" si="4"/>
        <v>116880</v>
      </c>
      <c r="L14" s="495">
        <f>J14/H14</f>
        <v>110.47258979206049</v>
      </c>
      <c r="M14" s="464">
        <f t="shared" si="5"/>
        <v>110.47258979206049</v>
      </c>
      <c r="N14" s="366"/>
      <c r="O14" s="446">
        <v>788</v>
      </c>
      <c r="P14" s="446">
        <f t="shared" si="2"/>
        <v>788</v>
      </c>
      <c r="Q14" s="446">
        <v>450</v>
      </c>
      <c r="R14" s="446">
        <f t="shared" si="2"/>
        <v>450</v>
      </c>
      <c r="S14" s="647">
        <f t="shared" si="3"/>
        <v>97.4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502">
        <f t="shared" si="0"/>
        <v>0</v>
      </c>
      <c r="E15" s="499"/>
      <c r="F15" s="446">
        <f t="shared" si="1"/>
        <v>1238</v>
      </c>
      <c r="G15" s="503">
        <f t="shared" si="1"/>
        <v>1238</v>
      </c>
      <c r="H15" s="498">
        <f>SUM($F$9:F15)/A15</f>
        <v>1083.7142857142858</v>
      </c>
      <c r="I15" s="499">
        <f>SUM($G$9:G15)/A15</f>
        <v>1083.7142857142858</v>
      </c>
      <c r="J15" s="443">
        <f t="shared" si="4"/>
        <v>115642</v>
      </c>
      <c r="K15" s="459">
        <f t="shared" si="4"/>
        <v>115642</v>
      </c>
      <c r="L15" s="495">
        <f t="shared" si="5"/>
        <v>106.70893751647772</v>
      </c>
      <c r="M15" s="464">
        <f t="shared" si="5"/>
        <v>106.70893751647772</v>
      </c>
      <c r="N15" s="366"/>
      <c r="O15" s="446">
        <v>788</v>
      </c>
      <c r="P15" s="446">
        <f t="shared" si="2"/>
        <v>788</v>
      </c>
      <c r="Q15" s="446">
        <v>450</v>
      </c>
      <c r="R15" s="446">
        <f t="shared" si="2"/>
        <v>450</v>
      </c>
      <c r="S15" s="647">
        <f t="shared" si="3"/>
        <v>96.368333333333339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502">
        <f t="shared" si="0"/>
        <v>0</v>
      </c>
      <c r="E16" s="499"/>
      <c r="F16" s="446">
        <f t="shared" si="1"/>
        <v>1238</v>
      </c>
      <c r="G16" s="503">
        <f t="shared" si="1"/>
        <v>1238</v>
      </c>
      <c r="H16" s="498">
        <f>SUM($F$9:F16)/A16</f>
        <v>1103</v>
      </c>
      <c r="I16" s="499">
        <f>SUM($G$9:G16)/A16</f>
        <v>1103</v>
      </c>
      <c r="J16" s="443">
        <f t="shared" si="4"/>
        <v>114404</v>
      </c>
      <c r="K16" s="459">
        <f t="shared" si="4"/>
        <v>114404</v>
      </c>
      <c r="L16" s="495">
        <f t="shared" si="5"/>
        <v>103.7207615593835</v>
      </c>
      <c r="M16" s="464">
        <f t="shared" si="5"/>
        <v>103.7207615593835</v>
      </c>
      <c r="N16" s="366"/>
      <c r="O16" s="446">
        <v>788</v>
      </c>
      <c r="P16" s="446">
        <f t="shared" si="2"/>
        <v>788</v>
      </c>
      <c r="Q16" s="446">
        <v>450</v>
      </c>
      <c r="R16" s="446">
        <f t="shared" si="2"/>
        <v>450</v>
      </c>
      <c r="S16" s="647">
        <f t="shared" si="3"/>
        <v>95.336666666666673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502">
        <f t="shared" ref="D17:D39" si="6">E17-E17*N17</f>
        <v>0</v>
      </c>
      <c r="E17" s="499"/>
      <c r="F17" s="446">
        <f t="shared" si="1"/>
        <v>923</v>
      </c>
      <c r="G17" s="503">
        <f t="shared" si="1"/>
        <v>923</v>
      </c>
      <c r="H17" s="498">
        <f>SUM($F$9:F17)/A17</f>
        <v>1083</v>
      </c>
      <c r="I17" s="499">
        <f>SUM($G$9:G17)/A17</f>
        <v>1083</v>
      </c>
      <c r="J17" s="443">
        <f t="shared" si="4"/>
        <v>113481</v>
      </c>
      <c r="K17" s="459">
        <f t="shared" si="4"/>
        <v>113481</v>
      </c>
      <c r="L17" s="495">
        <f t="shared" si="5"/>
        <v>104.78393351800554</v>
      </c>
      <c r="M17" s="464">
        <f t="shared" si="5"/>
        <v>104.78393351800554</v>
      </c>
      <c r="N17" s="366"/>
      <c r="O17" s="446">
        <v>473</v>
      </c>
      <c r="P17" s="446">
        <f t="shared" si="2"/>
        <v>473</v>
      </c>
      <c r="Q17" s="446">
        <v>450</v>
      </c>
      <c r="R17" s="446">
        <f t="shared" si="2"/>
        <v>450</v>
      </c>
      <c r="S17" s="647">
        <f t="shared" si="3"/>
        <v>94.567499999999995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502">
        <f t="shared" si="6"/>
        <v>0</v>
      </c>
      <c r="E18" s="499"/>
      <c r="F18" s="446">
        <f t="shared" si="1"/>
        <v>1238</v>
      </c>
      <c r="G18" s="503">
        <f t="shared" si="1"/>
        <v>1238</v>
      </c>
      <c r="H18" s="504">
        <f>SUM($F$9:F18)/A18</f>
        <v>1098.5</v>
      </c>
      <c r="I18" s="499">
        <f>SUM($G$9:G18)/A18</f>
        <v>1098.5</v>
      </c>
      <c r="J18" s="504">
        <f t="shared" si="4"/>
        <v>112243</v>
      </c>
      <c r="K18" s="459">
        <f t="shared" si="4"/>
        <v>112243</v>
      </c>
      <c r="L18" s="505">
        <f t="shared" si="5"/>
        <v>102.17842512517069</v>
      </c>
      <c r="M18" s="464">
        <f t="shared" si="5"/>
        <v>102.17842512517069</v>
      </c>
      <c r="N18" s="366"/>
      <c r="O18" s="446">
        <v>788</v>
      </c>
      <c r="P18" s="446">
        <f t="shared" si="2"/>
        <v>788</v>
      </c>
      <c r="Q18" s="446">
        <v>450</v>
      </c>
      <c r="R18" s="446">
        <f t="shared" si="2"/>
        <v>450</v>
      </c>
      <c r="S18" s="647">
        <f t="shared" si="3"/>
        <v>93.535833333333329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502">
        <f t="shared" si="6"/>
        <v>0</v>
      </c>
      <c r="E19" s="499"/>
      <c r="F19" s="446">
        <f t="shared" si="1"/>
        <v>1541</v>
      </c>
      <c r="G19" s="503">
        <f t="shared" si="1"/>
        <v>1541</v>
      </c>
      <c r="H19" s="498">
        <f>SUM($F$9:F19)/A19</f>
        <v>1138.7272727272727</v>
      </c>
      <c r="I19" s="499">
        <f>SUM($G$9:G19)/A19</f>
        <v>1138.7272727272727</v>
      </c>
      <c r="J19" s="443">
        <f t="shared" si="4"/>
        <v>110702</v>
      </c>
      <c r="K19" s="459">
        <f t="shared" si="4"/>
        <v>110702</v>
      </c>
      <c r="L19" s="495">
        <f t="shared" si="5"/>
        <v>97.215551652562667</v>
      </c>
      <c r="M19" s="464">
        <f t="shared" si="5"/>
        <v>97.215551652562667</v>
      </c>
      <c r="N19" s="366"/>
      <c r="O19" s="446">
        <v>788</v>
      </c>
      <c r="P19" s="446">
        <f t="shared" si="2"/>
        <v>788</v>
      </c>
      <c r="Q19" s="446">
        <f>473+280</f>
        <v>753</v>
      </c>
      <c r="R19" s="446">
        <f t="shared" si="2"/>
        <v>753</v>
      </c>
      <c r="S19" s="647">
        <f t="shared" si="3"/>
        <v>92.251666666666665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6"/>
        <v>0</v>
      </c>
      <c r="E20" s="499"/>
      <c r="F20" s="446">
        <f t="shared" si="1"/>
        <v>1261</v>
      </c>
      <c r="G20" s="503">
        <f t="shared" si="1"/>
        <v>1261</v>
      </c>
      <c r="H20" s="498">
        <f>SUM($F$9:F20)/A20</f>
        <v>1148.9166666666667</v>
      </c>
      <c r="I20" s="499">
        <f>SUM($G$9:G20)/A20</f>
        <v>1148.9166666666667</v>
      </c>
      <c r="J20" s="443">
        <f t="shared" si="4"/>
        <v>109441</v>
      </c>
      <c r="K20" s="459">
        <f t="shared" si="4"/>
        <v>109441</v>
      </c>
      <c r="L20" s="495">
        <f t="shared" si="5"/>
        <v>95.255820700660038</v>
      </c>
      <c r="M20" s="464">
        <f t="shared" si="5"/>
        <v>95.255820700660038</v>
      </c>
      <c r="N20" s="366"/>
      <c r="O20" s="446">
        <v>473</v>
      </c>
      <c r="P20" s="446">
        <f t="shared" si="2"/>
        <v>473</v>
      </c>
      <c r="Q20" s="446">
        <f>788</f>
        <v>788</v>
      </c>
      <c r="R20" s="446">
        <f t="shared" si="2"/>
        <v>788</v>
      </c>
      <c r="S20" s="647">
        <f t="shared" si="3"/>
        <v>91.200833333333335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502">
        <f t="shared" si="6"/>
        <v>0</v>
      </c>
      <c r="E21" s="499"/>
      <c r="F21" s="446">
        <f t="shared" si="1"/>
        <v>1261</v>
      </c>
      <c r="G21" s="503">
        <f t="shared" si="1"/>
        <v>1261</v>
      </c>
      <c r="H21" s="498">
        <f>SUM($F$9:F21)/A21</f>
        <v>1157.5384615384614</v>
      </c>
      <c r="I21" s="499">
        <f>SUM($G$9:G21)/A21</f>
        <v>1157.5384615384614</v>
      </c>
      <c r="J21" s="443">
        <f t="shared" si="4"/>
        <v>108180</v>
      </c>
      <c r="K21" s="459">
        <f>K20+E21-G21</f>
        <v>108180</v>
      </c>
      <c r="L21" s="495">
        <f t="shared" si="5"/>
        <v>93.456937799043075</v>
      </c>
      <c r="M21" s="464">
        <f t="shared" si="5"/>
        <v>93.456937799043075</v>
      </c>
      <c r="N21" s="366"/>
      <c r="O21" s="446">
        <v>788</v>
      </c>
      <c r="P21" s="446">
        <f t="shared" si="2"/>
        <v>788</v>
      </c>
      <c r="Q21" s="446">
        <v>473</v>
      </c>
      <c r="R21" s="446">
        <f t="shared" si="2"/>
        <v>473</v>
      </c>
      <c r="S21" s="647">
        <f t="shared" si="3"/>
        <v>90.15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502">
        <f t="shared" si="6"/>
        <v>0</v>
      </c>
      <c r="E22" s="499"/>
      <c r="F22" s="446">
        <f t="shared" si="1"/>
        <v>1576</v>
      </c>
      <c r="G22" s="503">
        <f t="shared" si="1"/>
        <v>1576</v>
      </c>
      <c r="H22" s="498">
        <f>SUM($F$9:F22)/A22</f>
        <v>1187.4285714285713</v>
      </c>
      <c r="I22" s="499">
        <f>SUM($G$9:G22)/A22</f>
        <v>1187.4285714285713</v>
      </c>
      <c r="J22" s="443">
        <f t="shared" si="4"/>
        <v>106604</v>
      </c>
      <c r="K22" s="459">
        <f>K21+E22-G22</f>
        <v>106604</v>
      </c>
      <c r="L22" s="495">
        <f t="shared" si="5"/>
        <v>89.777189605389808</v>
      </c>
      <c r="M22" s="464">
        <f t="shared" si="5"/>
        <v>89.777189605389808</v>
      </c>
      <c r="N22" s="366"/>
      <c r="O22" s="446">
        <v>788</v>
      </c>
      <c r="P22" s="446">
        <f t="shared" si="2"/>
        <v>788</v>
      </c>
      <c r="Q22" s="446">
        <v>788</v>
      </c>
      <c r="R22" s="446">
        <f t="shared" si="2"/>
        <v>788</v>
      </c>
      <c r="S22" s="647">
        <f t="shared" si="3"/>
        <v>88.836666666666673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502">
        <f t="shared" si="6"/>
        <v>0</v>
      </c>
      <c r="E23" s="499"/>
      <c r="F23" s="446">
        <f t="shared" si="1"/>
        <v>1261</v>
      </c>
      <c r="G23" s="503">
        <f t="shared" si="1"/>
        <v>1261</v>
      </c>
      <c r="H23" s="504">
        <f>SUM($F$9:F23)/A23</f>
        <v>1192.3333333333333</v>
      </c>
      <c r="I23" s="499">
        <f>SUM($G$9:G23)/A23</f>
        <v>1192.3333333333333</v>
      </c>
      <c r="J23" s="504">
        <f t="shared" si="4"/>
        <v>105343</v>
      </c>
      <c r="K23" s="459">
        <f t="shared" si="4"/>
        <v>105343</v>
      </c>
      <c r="L23" s="505">
        <f t="shared" si="5"/>
        <v>88.350293542074368</v>
      </c>
      <c r="M23" s="464">
        <f t="shared" si="5"/>
        <v>88.350293542074368</v>
      </c>
      <c r="N23" s="366"/>
      <c r="O23" s="446">
        <v>473</v>
      </c>
      <c r="P23" s="446">
        <f t="shared" si="2"/>
        <v>473</v>
      </c>
      <c r="Q23" s="446">
        <v>788</v>
      </c>
      <c r="R23" s="446">
        <f t="shared" si="2"/>
        <v>788</v>
      </c>
      <c r="S23" s="647">
        <f t="shared" si="3"/>
        <v>87.785833333333329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502">
        <f t="shared" si="6"/>
        <v>0</v>
      </c>
      <c r="E24" s="499"/>
      <c r="F24" s="446">
        <f t="shared" si="1"/>
        <v>1576</v>
      </c>
      <c r="G24" s="503">
        <f t="shared" si="1"/>
        <v>1576</v>
      </c>
      <c r="H24" s="498">
        <f>SUM($F$9:F24)/A24</f>
        <v>1216.3125</v>
      </c>
      <c r="I24" s="499">
        <f>SUM($G$9:G24)/A24</f>
        <v>1216.3125</v>
      </c>
      <c r="J24" s="443">
        <f t="shared" si="4"/>
        <v>103767</v>
      </c>
      <c r="K24" s="459">
        <f>K23+E24-G24</f>
        <v>103767</v>
      </c>
      <c r="L24" s="495">
        <f t="shared" si="5"/>
        <v>85.312779404963777</v>
      </c>
      <c r="M24" s="464">
        <f t="shared" si="5"/>
        <v>85.312779404963777</v>
      </c>
      <c r="N24" s="366"/>
      <c r="O24" s="446">
        <v>788</v>
      </c>
      <c r="P24" s="446">
        <f t="shared" si="2"/>
        <v>788</v>
      </c>
      <c r="Q24" s="446">
        <v>788</v>
      </c>
      <c r="R24" s="446">
        <f t="shared" si="2"/>
        <v>788</v>
      </c>
      <c r="S24" s="647">
        <f t="shared" si="3"/>
        <v>86.472499999999997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502">
        <f t="shared" si="6"/>
        <v>0</v>
      </c>
      <c r="E25" s="499"/>
      <c r="F25" s="446">
        <f t="shared" si="1"/>
        <v>1261</v>
      </c>
      <c r="G25" s="503">
        <f t="shared" si="1"/>
        <v>1261</v>
      </c>
      <c r="H25" s="498">
        <f>SUM($F$9:F25)/A25</f>
        <v>1218.9411764705883</v>
      </c>
      <c r="I25" s="499">
        <f>SUM($G$9:G25)/A25</f>
        <v>1218.9411764705883</v>
      </c>
      <c r="J25" s="443">
        <f t="shared" ref="J25:K39" si="7">J24+D25-F25</f>
        <v>102506</v>
      </c>
      <c r="K25" s="459">
        <f>K24+E25-G25</f>
        <v>102506</v>
      </c>
      <c r="L25" s="495">
        <f t="shared" ref="L25:M39" si="8">J25/H25</f>
        <v>84.094295917382482</v>
      </c>
      <c r="M25" s="464">
        <f t="shared" si="8"/>
        <v>84.094295917382482</v>
      </c>
      <c r="N25" s="366"/>
      <c r="O25" s="446">
        <v>473</v>
      </c>
      <c r="P25" s="446">
        <f t="shared" si="2"/>
        <v>473</v>
      </c>
      <c r="Q25" s="446">
        <v>788</v>
      </c>
      <c r="R25" s="446">
        <f t="shared" si="2"/>
        <v>788</v>
      </c>
      <c r="S25" s="647">
        <f t="shared" si="3"/>
        <v>85.421666666666667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502">
        <f t="shared" si="6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1151.2222222222222</v>
      </c>
      <c r="I26" s="499">
        <f>SUM($G$9:G26)/A26</f>
        <v>1151.2222222222222</v>
      </c>
      <c r="J26" s="443">
        <f t="shared" si="7"/>
        <v>102506</v>
      </c>
      <c r="K26" s="459">
        <f>K25+E26-G26</f>
        <v>102506</v>
      </c>
      <c r="L26" s="495">
        <f t="shared" si="8"/>
        <v>89.041019206640286</v>
      </c>
      <c r="M26" s="464">
        <f t="shared" si="8"/>
        <v>89.041019206640286</v>
      </c>
      <c r="N26" s="366"/>
      <c r="O26" s="446"/>
      <c r="P26" s="446">
        <f t="shared" si="2"/>
        <v>0</v>
      </c>
      <c r="Q26" s="446"/>
      <c r="R26" s="446">
        <f t="shared" si="2"/>
        <v>0</v>
      </c>
      <c r="S26" s="647">
        <f t="shared" si="3"/>
        <v>85.421666666666667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6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1090.6315789473683</v>
      </c>
      <c r="I27" s="499">
        <f>SUM($G$9:G27)/A27</f>
        <v>1090.6315789473683</v>
      </c>
      <c r="J27" s="443">
        <f t="shared" si="7"/>
        <v>102506</v>
      </c>
      <c r="K27" s="459">
        <f>K26+E27-G27</f>
        <v>102506</v>
      </c>
      <c r="L27" s="495">
        <f t="shared" si="8"/>
        <v>93.98774249589809</v>
      </c>
      <c r="M27" s="464">
        <f t="shared" si="8"/>
        <v>93.98774249589809</v>
      </c>
      <c r="N27" s="366"/>
      <c r="O27" s="446"/>
      <c r="P27" s="446">
        <f t="shared" si="2"/>
        <v>0</v>
      </c>
      <c r="Q27" s="446"/>
      <c r="R27" s="446">
        <f t="shared" si="2"/>
        <v>0</v>
      </c>
      <c r="S27" s="647">
        <f t="shared" si="3"/>
        <v>85.421666666666667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502">
        <f t="shared" si="6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1036.0999999999999</v>
      </c>
      <c r="I28" s="499">
        <f>SUM($G$9:G28)/A28</f>
        <v>1036.0999999999999</v>
      </c>
      <c r="J28" s="504">
        <f t="shared" si="7"/>
        <v>102506</v>
      </c>
      <c r="K28" s="459">
        <f t="shared" si="7"/>
        <v>102506</v>
      </c>
      <c r="L28" s="505">
        <f t="shared" si="8"/>
        <v>98.934465785155879</v>
      </c>
      <c r="M28" s="464">
        <f t="shared" si="8"/>
        <v>98.934465785155879</v>
      </c>
      <c r="N28" s="366"/>
      <c r="O28" s="446"/>
      <c r="P28" s="446">
        <f t="shared" si="2"/>
        <v>0</v>
      </c>
      <c r="Q28" s="446"/>
      <c r="R28" s="446">
        <f t="shared" si="2"/>
        <v>0</v>
      </c>
      <c r="S28" s="647">
        <f t="shared" si="3"/>
        <v>85.421666666666667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502">
        <f t="shared" si="6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986.76190476190482</v>
      </c>
      <c r="I29" s="499">
        <f>SUM($G$9:G29)/A29</f>
        <v>986.76190476190482</v>
      </c>
      <c r="J29" s="443">
        <f t="shared" si="7"/>
        <v>102506</v>
      </c>
      <c r="K29" s="459">
        <f t="shared" si="7"/>
        <v>102506</v>
      </c>
      <c r="L29" s="495">
        <f t="shared" si="8"/>
        <v>103.88118907441365</v>
      </c>
      <c r="M29" s="464">
        <f t="shared" si="8"/>
        <v>103.88118907441365</v>
      </c>
      <c r="N29" s="366"/>
      <c r="O29" s="446"/>
      <c r="P29" s="446">
        <f t="shared" si="2"/>
        <v>0</v>
      </c>
      <c r="Q29" s="446"/>
      <c r="R29" s="446">
        <f t="shared" si="2"/>
        <v>0</v>
      </c>
      <c r="S29" s="647">
        <f t="shared" si="3"/>
        <v>85.421666666666667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502">
        <f t="shared" si="6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941.90909090909088</v>
      </c>
      <c r="I30" s="499">
        <f>SUM($G$9:G30)/A30</f>
        <v>941.90909090909088</v>
      </c>
      <c r="J30" s="443">
        <f t="shared" si="7"/>
        <v>102506</v>
      </c>
      <c r="K30" s="459">
        <f t="shared" si="7"/>
        <v>102506</v>
      </c>
      <c r="L30" s="495">
        <f t="shared" si="8"/>
        <v>108.82791236367146</v>
      </c>
      <c r="M30" s="464">
        <f t="shared" si="8"/>
        <v>108.82791236367146</v>
      </c>
      <c r="N30" s="366"/>
      <c r="O30" s="446"/>
      <c r="P30" s="446">
        <f t="shared" si="2"/>
        <v>0</v>
      </c>
      <c r="Q30" s="446"/>
      <c r="R30" s="446">
        <f t="shared" si="2"/>
        <v>0</v>
      </c>
      <c r="S30" s="647">
        <f t="shared" si="3"/>
        <v>85.421666666666667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502">
        <f t="shared" si="6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900.95652173913038</v>
      </c>
      <c r="I31" s="499">
        <f>SUM($G$9:G31)/A31</f>
        <v>900.95652173913038</v>
      </c>
      <c r="J31" s="443">
        <f t="shared" si="7"/>
        <v>102506</v>
      </c>
      <c r="K31" s="459">
        <f t="shared" si="7"/>
        <v>102506</v>
      </c>
      <c r="L31" s="495">
        <f t="shared" si="8"/>
        <v>113.77463565292926</v>
      </c>
      <c r="M31" s="464">
        <f t="shared" si="8"/>
        <v>113.77463565292926</v>
      </c>
      <c r="N31" s="366"/>
      <c r="O31" s="446"/>
      <c r="P31" s="446">
        <f t="shared" si="2"/>
        <v>0</v>
      </c>
      <c r="Q31" s="446"/>
      <c r="R31" s="446">
        <f t="shared" si="2"/>
        <v>0</v>
      </c>
      <c r="S31" s="647">
        <f t="shared" si="3"/>
        <v>85.421666666666667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502">
        <f t="shared" si="6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863.41666666666663</v>
      </c>
      <c r="I32" s="499">
        <f>SUM($G$9:G32)/A32</f>
        <v>863.41666666666663</v>
      </c>
      <c r="J32" s="443">
        <f t="shared" si="7"/>
        <v>102506</v>
      </c>
      <c r="K32" s="459">
        <f t="shared" si="7"/>
        <v>102506</v>
      </c>
      <c r="L32" s="495">
        <f t="shared" si="8"/>
        <v>118.72135894218705</v>
      </c>
      <c r="M32" s="464">
        <f t="shared" si="8"/>
        <v>118.72135894218705</v>
      </c>
      <c r="N32" s="366"/>
      <c r="O32" s="446"/>
      <c r="P32" s="446">
        <f t="shared" si="2"/>
        <v>0</v>
      </c>
      <c r="Q32" s="446"/>
      <c r="R32" s="446">
        <f t="shared" si="2"/>
        <v>0</v>
      </c>
      <c r="S32" s="647">
        <f t="shared" si="3"/>
        <v>85.421666666666667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6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828.88</v>
      </c>
      <c r="I33" s="499">
        <f>SUM($G$9:G33)/A33</f>
        <v>828.88</v>
      </c>
      <c r="J33" s="460">
        <f t="shared" si="7"/>
        <v>102506</v>
      </c>
      <c r="K33" s="459">
        <f t="shared" si="7"/>
        <v>102506</v>
      </c>
      <c r="L33" s="506">
        <f t="shared" si="8"/>
        <v>123.66808223144484</v>
      </c>
      <c r="M33" s="464">
        <f t="shared" si="8"/>
        <v>123.66808223144484</v>
      </c>
      <c r="N33" s="366"/>
      <c r="O33" s="446"/>
      <c r="P33" s="446">
        <f t="shared" si="2"/>
        <v>0</v>
      </c>
      <c r="Q33" s="446"/>
      <c r="R33" s="446">
        <f t="shared" si="2"/>
        <v>0</v>
      </c>
      <c r="S33" s="647">
        <f t="shared" si="3"/>
        <v>85.421666666666667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502">
        <f t="shared" si="6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797</v>
      </c>
      <c r="I34" s="499">
        <f>SUM($G$9:G34)/A34</f>
        <v>797</v>
      </c>
      <c r="J34" s="443">
        <f t="shared" si="7"/>
        <v>102506</v>
      </c>
      <c r="K34" s="459">
        <f t="shared" si="7"/>
        <v>102506</v>
      </c>
      <c r="L34" s="495">
        <f t="shared" si="8"/>
        <v>128.61480552070265</v>
      </c>
      <c r="M34" s="464">
        <f t="shared" si="8"/>
        <v>128.61480552070265</v>
      </c>
      <c r="N34" s="366"/>
      <c r="O34" s="446"/>
      <c r="P34" s="446">
        <f t="shared" si="2"/>
        <v>0</v>
      </c>
      <c r="Q34" s="446"/>
      <c r="R34" s="446">
        <f t="shared" si="2"/>
        <v>0</v>
      </c>
      <c r="S34" s="647">
        <f t="shared" si="3"/>
        <v>85.421666666666667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502">
        <f t="shared" si="6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767.48148148148152</v>
      </c>
      <c r="I35" s="499">
        <f>SUM($G$9:G35)/A35</f>
        <v>767.48148148148152</v>
      </c>
      <c r="J35" s="443">
        <f t="shared" si="7"/>
        <v>102506</v>
      </c>
      <c r="K35" s="459">
        <f t="shared" si="7"/>
        <v>102506</v>
      </c>
      <c r="L35" s="495">
        <f t="shared" si="8"/>
        <v>133.56152880996041</v>
      </c>
      <c r="M35" s="464">
        <f t="shared" si="8"/>
        <v>133.56152880996041</v>
      </c>
      <c r="N35" s="366"/>
      <c r="O35" s="446"/>
      <c r="P35" s="446">
        <f t="shared" si="2"/>
        <v>0</v>
      </c>
      <c r="Q35" s="446"/>
      <c r="R35" s="446">
        <f t="shared" si="2"/>
        <v>0</v>
      </c>
      <c r="S35" s="647">
        <f t="shared" si="3"/>
        <v>85.421666666666667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502">
        <f t="shared" si="6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740.07142857142856</v>
      </c>
      <c r="I36" s="499">
        <f>SUM($G$9:G36)/A36</f>
        <v>740.07142857142856</v>
      </c>
      <c r="J36" s="443">
        <f t="shared" si="7"/>
        <v>102506</v>
      </c>
      <c r="K36" s="459">
        <f t="shared" si="7"/>
        <v>102506</v>
      </c>
      <c r="L36" s="495">
        <f t="shared" si="8"/>
        <v>138.50825209921823</v>
      </c>
      <c r="M36" s="464">
        <f t="shared" si="8"/>
        <v>138.50825209921823</v>
      </c>
      <c r="N36" s="366"/>
      <c r="O36" s="446"/>
      <c r="P36" s="446">
        <f t="shared" si="2"/>
        <v>0</v>
      </c>
      <c r="Q36" s="446"/>
      <c r="R36" s="446">
        <f t="shared" si="2"/>
        <v>0</v>
      </c>
      <c r="S36" s="647">
        <f t="shared" si="3"/>
        <v>85.421666666666667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502">
        <f t="shared" si="6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714.55172413793105</v>
      </c>
      <c r="I37" s="499">
        <f>SUM($G$9:G37)/A37</f>
        <v>714.55172413793105</v>
      </c>
      <c r="J37" s="443">
        <f t="shared" si="7"/>
        <v>102506</v>
      </c>
      <c r="K37" s="459">
        <f t="shared" si="7"/>
        <v>102506</v>
      </c>
      <c r="L37" s="495">
        <f t="shared" si="8"/>
        <v>143.45497538847602</v>
      </c>
      <c r="M37" s="464">
        <f t="shared" si="8"/>
        <v>143.45497538847602</v>
      </c>
      <c r="N37" s="366"/>
      <c r="O37" s="446"/>
      <c r="P37" s="446">
        <f t="shared" si="2"/>
        <v>0</v>
      </c>
      <c r="Q37" s="446"/>
      <c r="R37" s="446">
        <f t="shared" si="2"/>
        <v>0</v>
      </c>
      <c r="S37" s="647">
        <f t="shared" si="3"/>
        <v>85.421666666666667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502">
        <f t="shared" si="6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690.73333333333335</v>
      </c>
      <c r="I38" s="499">
        <f>SUM($G$9:G38)/A38</f>
        <v>690.73333333333335</v>
      </c>
      <c r="J38" s="504">
        <f t="shared" si="7"/>
        <v>102506</v>
      </c>
      <c r="K38" s="459">
        <f t="shared" si="7"/>
        <v>102506</v>
      </c>
      <c r="L38" s="505">
        <f t="shared" si="8"/>
        <v>148.4016986777338</v>
      </c>
      <c r="M38" s="464">
        <f t="shared" si="8"/>
        <v>148.4016986777338</v>
      </c>
      <c r="N38" s="366"/>
      <c r="O38" s="446"/>
      <c r="P38" s="446">
        <f t="shared" si="2"/>
        <v>0</v>
      </c>
      <c r="Q38" s="446"/>
      <c r="R38" s="446">
        <f t="shared" si="2"/>
        <v>0</v>
      </c>
      <c r="S38" s="647">
        <f t="shared" si="3"/>
        <v>85.421666666666667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502">
        <f t="shared" si="6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668.45161290322585</v>
      </c>
      <c r="I39" s="499">
        <f>SUM($G$9:G39)/A39</f>
        <v>668.45161290322585</v>
      </c>
      <c r="J39" s="443">
        <f t="shared" si="7"/>
        <v>102506</v>
      </c>
      <c r="K39" s="459">
        <f t="shared" si="7"/>
        <v>102506</v>
      </c>
      <c r="L39" s="495">
        <f t="shared" si="8"/>
        <v>153.34842196699159</v>
      </c>
      <c r="M39" s="464">
        <f t="shared" si="8"/>
        <v>153.34842196699159</v>
      </c>
      <c r="N39" s="366"/>
      <c r="O39" s="446"/>
      <c r="P39" s="446">
        <f t="shared" si="2"/>
        <v>0</v>
      </c>
      <c r="Q39" s="446"/>
      <c r="R39" s="446">
        <f t="shared" si="2"/>
        <v>0</v>
      </c>
      <c r="S39" s="647">
        <f t="shared" si="3"/>
        <v>85.421666666666667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56000</v>
      </c>
      <c r="E40" s="388">
        <f>SUM(E9:E39)</f>
        <v>56000</v>
      </c>
      <c r="F40" s="389">
        <f>SUM(F9:F39)</f>
        <v>20722</v>
      </c>
      <c r="G40" s="496">
        <f>F40</f>
        <v>20722</v>
      </c>
      <c r="H40" s="389"/>
      <c r="I40" s="496"/>
      <c r="J40" s="389">
        <f>J39</f>
        <v>102506</v>
      </c>
      <c r="K40" s="461">
        <f>K39</f>
        <v>102506</v>
      </c>
      <c r="L40" s="464"/>
      <c r="M40" s="464"/>
      <c r="N40" s="507"/>
      <c r="O40" s="389">
        <f>SUM(O9:O39)</f>
        <v>11506</v>
      </c>
      <c r="P40" s="496">
        <f>SUM(P9:P39)</f>
        <v>11506</v>
      </c>
      <c r="Q40" s="389">
        <f>SUM(Q9:Q39)</f>
        <v>9216</v>
      </c>
      <c r="R40" s="496">
        <f>SUM(R9:R39)</f>
        <v>9216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123228</v>
      </c>
      <c r="E41" s="388">
        <f>E8+E40</f>
        <v>123228</v>
      </c>
      <c r="F41" s="389">
        <f>F40</f>
        <v>20722</v>
      </c>
      <c r="G41" s="496">
        <f>F41</f>
        <v>20722</v>
      </c>
      <c r="H41" s="389"/>
      <c r="I41" s="496"/>
      <c r="J41" s="389">
        <f>D41-F41</f>
        <v>102506</v>
      </c>
      <c r="K41" s="389">
        <f>E41-G41</f>
        <v>102506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2197" priority="451" operator="lessThan">
      <formula>15</formula>
    </cfRule>
    <cfRule type="cellIs" dxfId="12196" priority="452" operator="greaterThan">
      <formula>20</formula>
    </cfRule>
    <cfRule type="cellIs" dxfId="12195" priority="453" operator="between">
      <formula>15</formula>
      <formula>20</formula>
    </cfRule>
    <cfRule type="cellIs" dxfId="12194" priority="454" operator="between">
      <formula>15</formula>
      <formula>20</formula>
    </cfRule>
    <cfRule type="cellIs" dxfId="12193" priority="455" operator="lessThan">
      <formula>15</formula>
    </cfRule>
    <cfRule type="cellIs" dxfId="12192" priority="456" operator="greaterThan">
      <formula>20</formula>
    </cfRule>
    <cfRule type="cellIs" dxfId="12191" priority="457" operator="between">
      <formula>15</formula>
      <formula>21</formula>
    </cfRule>
    <cfRule type="cellIs" dxfId="12190" priority="458" operator="lessThan">
      <formula>15</formula>
    </cfRule>
    <cfRule type="cellIs" dxfId="12189" priority="45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9" orientation="landscape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0" width="12.140625" style="142" customWidth="1"/>
    <col min="11" max="11" width="11.5703125" style="142" customWidth="1"/>
    <col min="12" max="13" width="12" style="143" customWidth="1"/>
    <col min="14" max="14" width="6.42578125" style="143" customWidth="1"/>
    <col min="15" max="18" width="10.1406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  <c r="V3" s="324"/>
    </row>
    <row r="4" spans="1:29" s="1211" customFormat="1" ht="18.75" customHeight="1">
      <c r="A4" s="1600" t="s">
        <v>33</v>
      </c>
      <c r="B4" s="1600"/>
      <c r="C4" s="316" t="str">
        <f>J4</f>
        <v xml:space="preserve"> FT3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1040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  <c r="V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324"/>
      <c r="U6" s="324"/>
      <c r="V6" s="324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40803</v>
      </c>
      <c r="E8" s="388">
        <f>K8</f>
        <v>40803</v>
      </c>
      <c r="F8" s="389">
        <f>F40</f>
        <v>22356</v>
      </c>
      <c r="G8" s="388">
        <f>G40</f>
        <v>22356</v>
      </c>
      <c r="H8" s="387"/>
      <c r="I8" s="388"/>
      <c r="J8" s="624">
        <f>K8-K8*N8</f>
        <v>40803</v>
      </c>
      <c r="K8" s="324">
        <v>40803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1320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349</v>
      </c>
      <c r="D9" s="502">
        <f>E9-(E9*N9)</f>
        <v>0</v>
      </c>
      <c r="E9" s="499"/>
      <c r="F9" s="446">
        <f>O9+Q9</f>
        <v>1365</v>
      </c>
      <c r="G9" s="503">
        <f>P9+R9</f>
        <v>1365</v>
      </c>
      <c r="H9" s="498">
        <f>SUM($F$9:F9)/A9</f>
        <v>1365</v>
      </c>
      <c r="I9" s="499">
        <f>SUM($G$9:G9)/A9</f>
        <v>1365</v>
      </c>
      <c r="J9" s="443">
        <f>J8+D9-F9</f>
        <v>39438</v>
      </c>
      <c r="K9" s="459">
        <f>K8+E9-G9</f>
        <v>39438</v>
      </c>
      <c r="L9" s="495">
        <f>J9/H9</f>
        <v>28.892307692307693</v>
      </c>
      <c r="M9" s="464">
        <f>K9/I9</f>
        <v>28.892307692307693</v>
      </c>
      <c r="N9" s="366"/>
      <c r="O9" s="446">
        <v>825</v>
      </c>
      <c r="P9" s="446">
        <f>O9</f>
        <v>825</v>
      </c>
      <c r="Q9" s="446">
        <v>540</v>
      </c>
      <c r="R9" s="446">
        <f>Q9</f>
        <v>540</v>
      </c>
      <c r="S9" s="647">
        <f>J9/$S$8</f>
        <v>29.877272727272729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502">
        <f t="shared" ref="D10:D16" si="0">E10-(E10*N10)</f>
        <v>0</v>
      </c>
      <c r="E10" s="499"/>
      <c r="F10" s="446">
        <f t="shared" ref="F10:G39" si="1">O10+Q10</f>
        <v>825</v>
      </c>
      <c r="G10" s="503">
        <f t="shared" si="1"/>
        <v>825</v>
      </c>
      <c r="H10" s="498">
        <f>SUM($F$9:F10)/A10</f>
        <v>1095</v>
      </c>
      <c r="I10" s="499">
        <f>SUM($G$9:G10)/A10</f>
        <v>1095</v>
      </c>
      <c r="J10" s="443">
        <f>J9+D10-F10</f>
        <v>38613</v>
      </c>
      <c r="K10" s="459">
        <f>K9+E10-G10</f>
        <v>38613</v>
      </c>
      <c r="L10" s="495">
        <f>J10/H10</f>
        <v>35.263013698630139</v>
      </c>
      <c r="M10" s="464">
        <f>K10/I10</f>
        <v>35.263013698630139</v>
      </c>
      <c r="N10" s="366"/>
      <c r="O10" s="446">
        <v>825</v>
      </c>
      <c r="P10" s="446">
        <f t="shared" ref="P10:P39" si="2">O10</f>
        <v>825</v>
      </c>
      <c r="Q10" s="446"/>
      <c r="R10" s="446">
        <f t="shared" ref="R10:R39" si="3">Q10</f>
        <v>0</v>
      </c>
      <c r="S10" s="647">
        <f t="shared" ref="S10:S39" si="4">J10/$S$8</f>
        <v>29.252272727272729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502">
        <f t="shared" si="0"/>
        <v>0</v>
      </c>
      <c r="E11" s="499"/>
      <c r="F11" s="446">
        <f t="shared" si="1"/>
        <v>1035</v>
      </c>
      <c r="G11" s="503">
        <f t="shared" si="1"/>
        <v>1035</v>
      </c>
      <c r="H11" s="498">
        <f>SUM($F$9:F11)/A11</f>
        <v>1075</v>
      </c>
      <c r="I11" s="499">
        <f>SUM($G$9:G11)/A11</f>
        <v>1075</v>
      </c>
      <c r="J11" s="443">
        <f t="shared" ref="J11:K26" si="5">J10+D11-F11</f>
        <v>37578</v>
      </c>
      <c r="K11" s="459">
        <f t="shared" si="5"/>
        <v>37578</v>
      </c>
      <c r="L11" s="495">
        <f t="shared" ref="L11:M26" si="6">J11/H11</f>
        <v>34.95627906976744</v>
      </c>
      <c r="M11" s="464">
        <f t="shared" si="6"/>
        <v>34.95627906976744</v>
      </c>
      <c r="N11" s="366"/>
      <c r="O11" s="446">
        <v>495</v>
      </c>
      <c r="P11" s="446">
        <f t="shared" si="2"/>
        <v>495</v>
      </c>
      <c r="Q11" s="446">
        <v>540</v>
      </c>
      <c r="R11" s="446">
        <f t="shared" si="3"/>
        <v>540</v>
      </c>
      <c r="S11" s="647">
        <f t="shared" si="4"/>
        <v>28.468181818181819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502">
        <f t="shared" si="0"/>
        <v>0</v>
      </c>
      <c r="E12" s="499"/>
      <c r="F12" s="446">
        <f t="shared" si="1"/>
        <v>1365</v>
      </c>
      <c r="G12" s="503">
        <f t="shared" si="1"/>
        <v>1365</v>
      </c>
      <c r="H12" s="498">
        <f>SUM($F$9:F12)/A12</f>
        <v>1147.5</v>
      </c>
      <c r="I12" s="499">
        <f>SUM($G$9:G12)/A12</f>
        <v>1147.5</v>
      </c>
      <c r="J12" s="443">
        <f t="shared" si="5"/>
        <v>36213</v>
      </c>
      <c r="K12" s="459">
        <f t="shared" si="5"/>
        <v>36213</v>
      </c>
      <c r="L12" s="495">
        <f t="shared" si="6"/>
        <v>31.558169934640524</v>
      </c>
      <c r="M12" s="464">
        <f t="shared" si="6"/>
        <v>31.558169934640524</v>
      </c>
      <c r="N12" s="366"/>
      <c r="O12" s="446">
        <v>825</v>
      </c>
      <c r="P12" s="446">
        <f t="shared" si="2"/>
        <v>825</v>
      </c>
      <c r="Q12" s="446">
        <v>540</v>
      </c>
      <c r="R12" s="446">
        <f t="shared" si="3"/>
        <v>540</v>
      </c>
      <c r="S12" s="647">
        <f t="shared" si="4"/>
        <v>27.434090909090909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502">
        <f t="shared" si="0"/>
        <v>0</v>
      </c>
      <c r="E13" s="499"/>
      <c r="F13" s="446">
        <f t="shared" si="1"/>
        <v>1035</v>
      </c>
      <c r="G13" s="503">
        <f t="shared" si="1"/>
        <v>1035</v>
      </c>
      <c r="H13" s="504">
        <f>SUM($F$9:F13)/A13</f>
        <v>1125</v>
      </c>
      <c r="I13" s="499">
        <f>SUM($G$9:G13)/A13</f>
        <v>1125</v>
      </c>
      <c r="J13" s="504">
        <f t="shared" si="5"/>
        <v>35178</v>
      </c>
      <c r="K13" s="459">
        <f t="shared" si="5"/>
        <v>35178</v>
      </c>
      <c r="L13" s="505">
        <f t="shared" si="6"/>
        <v>31.269333333333332</v>
      </c>
      <c r="M13" s="464">
        <f t="shared" si="6"/>
        <v>31.269333333333332</v>
      </c>
      <c r="N13" s="366"/>
      <c r="O13" s="446">
        <v>495</v>
      </c>
      <c r="P13" s="446">
        <f t="shared" si="2"/>
        <v>495</v>
      </c>
      <c r="Q13" s="446">
        <v>540</v>
      </c>
      <c r="R13" s="446">
        <f t="shared" si="3"/>
        <v>540</v>
      </c>
      <c r="S13" s="647">
        <f t="shared" si="4"/>
        <v>26.65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502">
        <f t="shared" si="0"/>
        <v>0</v>
      </c>
      <c r="E14" s="499"/>
      <c r="F14" s="446">
        <f t="shared" si="1"/>
        <v>1365</v>
      </c>
      <c r="G14" s="503">
        <f t="shared" si="1"/>
        <v>1365</v>
      </c>
      <c r="H14" s="498">
        <f>SUM($F$9:F14)/A14</f>
        <v>1165</v>
      </c>
      <c r="I14" s="499">
        <f>SUM($G$9:G14)/A14</f>
        <v>1165</v>
      </c>
      <c r="J14" s="443">
        <f t="shared" si="5"/>
        <v>33813</v>
      </c>
      <c r="K14" s="459">
        <f t="shared" si="5"/>
        <v>33813</v>
      </c>
      <c r="L14" s="495">
        <f>J14/H14</f>
        <v>29.02403433476395</v>
      </c>
      <c r="M14" s="464">
        <f t="shared" si="6"/>
        <v>29.02403433476395</v>
      </c>
      <c r="N14" s="366"/>
      <c r="O14" s="446">
        <v>825</v>
      </c>
      <c r="P14" s="446">
        <f t="shared" si="2"/>
        <v>825</v>
      </c>
      <c r="Q14" s="446">
        <v>540</v>
      </c>
      <c r="R14" s="446">
        <f t="shared" si="3"/>
        <v>540</v>
      </c>
      <c r="S14" s="647">
        <f t="shared" si="4"/>
        <v>25.615909090909092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502">
        <f t="shared" si="0"/>
        <v>0</v>
      </c>
      <c r="E15" s="499"/>
      <c r="F15" s="446">
        <f t="shared" si="1"/>
        <v>1365</v>
      </c>
      <c r="G15" s="503">
        <f t="shared" si="1"/>
        <v>1365</v>
      </c>
      <c r="H15" s="498">
        <f>SUM($F$9:F15)/A15</f>
        <v>1193.5714285714287</v>
      </c>
      <c r="I15" s="499">
        <f>SUM($G$9:G15)/A15</f>
        <v>1193.5714285714287</v>
      </c>
      <c r="J15" s="443">
        <f t="shared" si="5"/>
        <v>32448</v>
      </c>
      <c r="K15" s="459">
        <f t="shared" si="5"/>
        <v>32448</v>
      </c>
      <c r="L15" s="495">
        <f t="shared" si="6"/>
        <v>27.185637342908436</v>
      </c>
      <c r="M15" s="464">
        <f t="shared" si="6"/>
        <v>27.185637342908436</v>
      </c>
      <c r="N15" s="366"/>
      <c r="O15" s="446">
        <v>825</v>
      </c>
      <c r="P15" s="446">
        <f t="shared" si="2"/>
        <v>825</v>
      </c>
      <c r="Q15" s="446">
        <v>540</v>
      </c>
      <c r="R15" s="446">
        <f t="shared" si="3"/>
        <v>540</v>
      </c>
      <c r="S15" s="647">
        <f t="shared" si="4"/>
        <v>24.581818181818182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502">
        <f t="shared" si="0"/>
        <v>0</v>
      </c>
      <c r="E16" s="499"/>
      <c r="F16" s="446">
        <f t="shared" si="1"/>
        <v>1365</v>
      </c>
      <c r="G16" s="503">
        <f t="shared" si="1"/>
        <v>1365</v>
      </c>
      <c r="H16" s="498">
        <f>SUM($F$9:F16)/A16</f>
        <v>1215</v>
      </c>
      <c r="I16" s="499">
        <f>SUM($G$9:G16)/A16</f>
        <v>1215</v>
      </c>
      <c r="J16" s="443">
        <f t="shared" si="5"/>
        <v>31083</v>
      </c>
      <c r="K16" s="459">
        <f t="shared" si="5"/>
        <v>31083</v>
      </c>
      <c r="L16" s="495">
        <f t="shared" si="6"/>
        <v>25.582716049382714</v>
      </c>
      <c r="M16" s="464">
        <f t="shared" si="6"/>
        <v>25.582716049382714</v>
      </c>
      <c r="N16" s="366"/>
      <c r="O16" s="446">
        <v>825</v>
      </c>
      <c r="P16" s="446">
        <f t="shared" si="2"/>
        <v>825</v>
      </c>
      <c r="Q16" s="446">
        <v>540</v>
      </c>
      <c r="R16" s="446">
        <f t="shared" si="3"/>
        <v>540</v>
      </c>
      <c r="S16" s="647">
        <f t="shared" si="4"/>
        <v>23.547727272727272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502">
        <f t="shared" ref="D17:D39" si="7">E17-E17*N17</f>
        <v>0</v>
      </c>
      <c r="E17" s="499"/>
      <c r="F17" s="446">
        <f t="shared" si="1"/>
        <v>1035</v>
      </c>
      <c r="G17" s="503">
        <f t="shared" si="1"/>
        <v>1035</v>
      </c>
      <c r="H17" s="498">
        <f>SUM($F$9:F17)/A17</f>
        <v>1195</v>
      </c>
      <c r="I17" s="499">
        <f>SUM($G$9:G17)/A17</f>
        <v>1195</v>
      </c>
      <c r="J17" s="443">
        <f t="shared" si="5"/>
        <v>30048</v>
      </c>
      <c r="K17" s="459">
        <f t="shared" si="5"/>
        <v>30048</v>
      </c>
      <c r="L17" s="495">
        <f t="shared" si="6"/>
        <v>25.144769874476989</v>
      </c>
      <c r="M17" s="464">
        <f t="shared" si="6"/>
        <v>25.144769874476989</v>
      </c>
      <c r="N17" s="366"/>
      <c r="O17" s="446">
        <v>495</v>
      </c>
      <c r="P17" s="446">
        <f t="shared" si="2"/>
        <v>495</v>
      </c>
      <c r="Q17" s="446">
        <v>540</v>
      </c>
      <c r="R17" s="446">
        <f t="shared" si="3"/>
        <v>540</v>
      </c>
      <c r="S17" s="647">
        <f t="shared" si="4"/>
        <v>22.763636363636362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502">
        <f t="shared" si="7"/>
        <v>0</v>
      </c>
      <c r="E18" s="499"/>
      <c r="F18" s="446">
        <f t="shared" si="1"/>
        <v>1365</v>
      </c>
      <c r="G18" s="503">
        <f t="shared" si="1"/>
        <v>1365</v>
      </c>
      <c r="H18" s="504">
        <f>SUM($F$9:F18)/A18</f>
        <v>1212</v>
      </c>
      <c r="I18" s="499">
        <f>SUM($G$9:G18)/A18</f>
        <v>1212</v>
      </c>
      <c r="J18" s="504">
        <f t="shared" si="5"/>
        <v>28683</v>
      </c>
      <c r="K18" s="459">
        <f t="shared" si="5"/>
        <v>28683</v>
      </c>
      <c r="L18" s="505">
        <f t="shared" si="6"/>
        <v>23.665841584158414</v>
      </c>
      <c r="M18" s="464">
        <f t="shared" si="6"/>
        <v>23.665841584158414</v>
      </c>
      <c r="N18" s="366"/>
      <c r="O18" s="446">
        <v>825</v>
      </c>
      <c r="P18" s="446">
        <f t="shared" si="2"/>
        <v>825</v>
      </c>
      <c r="Q18" s="446">
        <v>540</v>
      </c>
      <c r="R18" s="446">
        <f t="shared" si="3"/>
        <v>540</v>
      </c>
      <c r="S18" s="647">
        <f t="shared" si="4"/>
        <v>21.729545454545455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502">
        <f t="shared" si="7"/>
        <v>0</v>
      </c>
      <c r="E19" s="499"/>
      <c r="F19" s="446">
        <f t="shared" si="1"/>
        <v>1656</v>
      </c>
      <c r="G19" s="503">
        <f t="shared" si="1"/>
        <v>1656</v>
      </c>
      <c r="H19" s="498">
        <f>SUM($F$9:F19)/A19</f>
        <v>1252.3636363636363</v>
      </c>
      <c r="I19" s="499">
        <f>SUM($G$9:G19)/A19</f>
        <v>1252.3636363636363</v>
      </c>
      <c r="J19" s="443">
        <f t="shared" si="5"/>
        <v>27027</v>
      </c>
      <c r="K19" s="459">
        <f t="shared" si="5"/>
        <v>27027</v>
      </c>
      <c r="L19" s="495">
        <f t="shared" si="6"/>
        <v>21.58079268292683</v>
      </c>
      <c r="M19" s="464">
        <f t="shared" si="6"/>
        <v>21.58079268292683</v>
      </c>
      <c r="N19" s="366"/>
      <c r="O19" s="446">
        <v>825</v>
      </c>
      <c r="P19" s="446">
        <f t="shared" si="2"/>
        <v>825</v>
      </c>
      <c r="Q19" s="446">
        <f>495+336</f>
        <v>831</v>
      </c>
      <c r="R19" s="446">
        <f t="shared" si="3"/>
        <v>831</v>
      </c>
      <c r="S19" s="647">
        <f t="shared" si="4"/>
        <v>20.475000000000001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7"/>
        <v>26000</v>
      </c>
      <c r="E20" s="499">
        <v>26000</v>
      </c>
      <c r="F20" s="446">
        <f t="shared" si="1"/>
        <v>1320</v>
      </c>
      <c r="G20" s="503">
        <f t="shared" si="1"/>
        <v>1320</v>
      </c>
      <c r="H20" s="498">
        <f>SUM($F$9:F20)/A20</f>
        <v>1258</v>
      </c>
      <c r="I20" s="499">
        <f>SUM($G$9:G20)/A20</f>
        <v>1258</v>
      </c>
      <c r="J20" s="443">
        <f t="shared" si="5"/>
        <v>51707</v>
      </c>
      <c r="K20" s="459">
        <f t="shared" si="5"/>
        <v>51707</v>
      </c>
      <c r="L20" s="495">
        <f t="shared" si="6"/>
        <v>41.102543720190781</v>
      </c>
      <c r="M20" s="464">
        <f t="shared" si="6"/>
        <v>41.102543720190781</v>
      </c>
      <c r="N20" s="366"/>
      <c r="O20" s="446">
        <v>495</v>
      </c>
      <c r="P20" s="446">
        <f t="shared" si="2"/>
        <v>495</v>
      </c>
      <c r="Q20" s="446">
        <f>825</f>
        <v>825</v>
      </c>
      <c r="R20" s="446">
        <f t="shared" si="3"/>
        <v>825</v>
      </c>
      <c r="S20" s="647">
        <f t="shared" si="4"/>
        <v>39.171969696969697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502">
        <f t="shared" si="7"/>
        <v>0</v>
      </c>
      <c r="E21" s="499"/>
      <c r="F21" s="446">
        <f t="shared" si="1"/>
        <v>1320</v>
      </c>
      <c r="G21" s="503">
        <f t="shared" si="1"/>
        <v>1320</v>
      </c>
      <c r="H21" s="498">
        <f>SUM($F$9:F21)/A21</f>
        <v>1262.7692307692307</v>
      </c>
      <c r="I21" s="499">
        <f>SUM($G$9:G21)/A21</f>
        <v>1262.7692307692307</v>
      </c>
      <c r="J21" s="443">
        <f t="shared" si="5"/>
        <v>50387</v>
      </c>
      <c r="K21" s="459">
        <f>K20+E21-G21</f>
        <v>50387</v>
      </c>
      <c r="L21" s="495">
        <f t="shared" si="6"/>
        <v>39.901985867446399</v>
      </c>
      <c r="M21" s="464">
        <f t="shared" si="6"/>
        <v>39.901985867446399</v>
      </c>
      <c r="N21" s="366"/>
      <c r="O21" s="446">
        <v>825</v>
      </c>
      <c r="P21" s="446">
        <f t="shared" si="2"/>
        <v>825</v>
      </c>
      <c r="Q21" s="446">
        <v>495</v>
      </c>
      <c r="R21" s="446">
        <f t="shared" si="3"/>
        <v>495</v>
      </c>
      <c r="S21" s="647">
        <f t="shared" si="4"/>
        <v>38.171969696969697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502">
        <f t="shared" si="7"/>
        <v>0</v>
      </c>
      <c r="E22" s="499"/>
      <c r="F22" s="446">
        <f t="shared" si="1"/>
        <v>1650</v>
      </c>
      <c r="G22" s="503">
        <f t="shared" si="1"/>
        <v>1650</v>
      </c>
      <c r="H22" s="498">
        <f>SUM($F$9:F22)/A22</f>
        <v>1290.4285714285713</v>
      </c>
      <c r="I22" s="499">
        <f>SUM($G$9:G22)/A22</f>
        <v>1290.4285714285713</v>
      </c>
      <c r="J22" s="443">
        <f t="shared" si="5"/>
        <v>48737</v>
      </c>
      <c r="K22" s="459">
        <f>K21+E22-G22</f>
        <v>48737</v>
      </c>
      <c r="L22" s="495">
        <f t="shared" si="6"/>
        <v>37.768072622606006</v>
      </c>
      <c r="M22" s="464">
        <f t="shared" si="6"/>
        <v>37.768072622606006</v>
      </c>
      <c r="N22" s="366"/>
      <c r="O22" s="446">
        <v>825</v>
      </c>
      <c r="P22" s="446">
        <f t="shared" si="2"/>
        <v>825</v>
      </c>
      <c r="Q22" s="446">
        <v>825</v>
      </c>
      <c r="R22" s="446">
        <f t="shared" si="3"/>
        <v>825</v>
      </c>
      <c r="S22" s="647">
        <f t="shared" si="4"/>
        <v>36.921969696969697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502">
        <f t="shared" si="7"/>
        <v>0</v>
      </c>
      <c r="E23" s="499"/>
      <c r="F23" s="446">
        <f t="shared" si="1"/>
        <v>1320</v>
      </c>
      <c r="G23" s="503">
        <f t="shared" si="1"/>
        <v>1320</v>
      </c>
      <c r="H23" s="504">
        <f>SUM($F$9:F23)/A23</f>
        <v>1292.4000000000001</v>
      </c>
      <c r="I23" s="499">
        <f>SUM($G$9:G23)/A23</f>
        <v>1292.4000000000001</v>
      </c>
      <c r="J23" s="504">
        <f t="shared" si="5"/>
        <v>47417</v>
      </c>
      <c r="K23" s="459">
        <f t="shared" si="5"/>
        <v>47417</v>
      </c>
      <c r="L23" s="505">
        <f t="shared" si="6"/>
        <v>36.689105540080469</v>
      </c>
      <c r="M23" s="464">
        <f t="shared" si="6"/>
        <v>36.689105540080469</v>
      </c>
      <c r="N23" s="366"/>
      <c r="O23" s="446">
        <v>495</v>
      </c>
      <c r="P23" s="446">
        <f t="shared" si="2"/>
        <v>495</v>
      </c>
      <c r="Q23" s="446">
        <v>825</v>
      </c>
      <c r="R23" s="446">
        <f t="shared" si="3"/>
        <v>825</v>
      </c>
      <c r="S23" s="647">
        <f t="shared" si="4"/>
        <v>35.921969696969697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502">
        <f t="shared" si="7"/>
        <v>0</v>
      </c>
      <c r="E24" s="499"/>
      <c r="F24" s="446">
        <f t="shared" si="1"/>
        <v>1650</v>
      </c>
      <c r="G24" s="503">
        <f t="shared" si="1"/>
        <v>1650</v>
      </c>
      <c r="H24" s="498">
        <f>SUM($F$9:F24)/A24</f>
        <v>1314.75</v>
      </c>
      <c r="I24" s="499">
        <f>SUM($G$9:G24)/A24</f>
        <v>1314.75</v>
      </c>
      <c r="J24" s="443">
        <f t="shared" si="5"/>
        <v>45767</v>
      </c>
      <c r="K24" s="459">
        <f>K23+E24-G24</f>
        <v>45767</v>
      </c>
      <c r="L24" s="495">
        <f t="shared" si="6"/>
        <v>34.810420231983265</v>
      </c>
      <c r="M24" s="464">
        <f t="shared" si="6"/>
        <v>34.810420231983265</v>
      </c>
      <c r="N24" s="366"/>
      <c r="O24" s="446">
        <v>825</v>
      </c>
      <c r="P24" s="446">
        <f t="shared" si="2"/>
        <v>825</v>
      </c>
      <c r="Q24" s="446">
        <v>825</v>
      </c>
      <c r="R24" s="446">
        <f t="shared" si="3"/>
        <v>825</v>
      </c>
      <c r="S24" s="647">
        <f t="shared" si="4"/>
        <v>34.671969696969697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502">
        <f t="shared" si="7"/>
        <v>0</v>
      </c>
      <c r="E25" s="499"/>
      <c r="F25" s="446">
        <f t="shared" si="1"/>
        <v>1320</v>
      </c>
      <c r="G25" s="503">
        <f t="shared" si="1"/>
        <v>1320</v>
      </c>
      <c r="H25" s="498">
        <f>SUM($F$9:F25)/A25</f>
        <v>1315.0588235294117</v>
      </c>
      <c r="I25" s="499">
        <f>SUM($G$9:G25)/A25</f>
        <v>1315.0588235294117</v>
      </c>
      <c r="J25" s="443">
        <f t="shared" si="5"/>
        <v>44447</v>
      </c>
      <c r="K25" s="459">
        <f>K24+E25-G25</f>
        <v>44447</v>
      </c>
      <c r="L25" s="495">
        <f t="shared" si="6"/>
        <v>33.798488101628202</v>
      </c>
      <c r="M25" s="464">
        <f t="shared" si="6"/>
        <v>33.798488101628202</v>
      </c>
      <c r="N25" s="366"/>
      <c r="O25" s="446">
        <v>495</v>
      </c>
      <c r="P25" s="446">
        <f t="shared" si="2"/>
        <v>495</v>
      </c>
      <c r="Q25" s="446">
        <v>825</v>
      </c>
      <c r="R25" s="446">
        <f t="shared" si="3"/>
        <v>825</v>
      </c>
      <c r="S25" s="647">
        <f t="shared" si="4"/>
        <v>33.671969696969697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502">
        <f t="shared" si="7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1242</v>
      </c>
      <c r="I26" s="499">
        <f>SUM($G$9:G26)/A26</f>
        <v>1242</v>
      </c>
      <c r="J26" s="443">
        <f t="shared" si="5"/>
        <v>44447</v>
      </c>
      <c r="K26" s="459">
        <f>K25+E26-G26</f>
        <v>44447</v>
      </c>
      <c r="L26" s="495">
        <f t="shared" si="6"/>
        <v>35.786634460547504</v>
      </c>
      <c r="M26" s="464">
        <f t="shared" si="6"/>
        <v>35.786634460547504</v>
      </c>
      <c r="N26" s="366"/>
      <c r="O26" s="446"/>
      <c r="P26" s="446">
        <f t="shared" si="2"/>
        <v>0</v>
      </c>
      <c r="Q26" s="446"/>
      <c r="R26" s="446">
        <f t="shared" si="3"/>
        <v>0</v>
      </c>
      <c r="S26" s="647">
        <f t="shared" si="4"/>
        <v>33.671969696969697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7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1176.6315789473683</v>
      </c>
      <c r="I27" s="499">
        <f>SUM($G$9:G27)/A27</f>
        <v>1176.6315789473683</v>
      </c>
      <c r="J27" s="443">
        <f t="shared" ref="J27:K39" si="8">J26+D27-F27</f>
        <v>44447</v>
      </c>
      <c r="K27" s="459">
        <f>K26+E27-G27</f>
        <v>44447</v>
      </c>
      <c r="L27" s="495">
        <f t="shared" ref="L27:M39" si="9">J27/H27</f>
        <v>37.774780819466812</v>
      </c>
      <c r="M27" s="464">
        <f t="shared" si="9"/>
        <v>37.774780819466812</v>
      </c>
      <c r="N27" s="366"/>
      <c r="O27" s="446"/>
      <c r="P27" s="446">
        <f t="shared" si="2"/>
        <v>0</v>
      </c>
      <c r="Q27" s="446"/>
      <c r="R27" s="446">
        <f t="shared" si="3"/>
        <v>0</v>
      </c>
      <c r="S27" s="647">
        <f t="shared" si="4"/>
        <v>33.671969696969697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502">
        <f t="shared" si="7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1117.8</v>
      </c>
      <c r="I28" s="499">
        <f>SUM($G$9:G28)/A28</f>
        <v>1117.8</v>
      </c>
      <c r="J28" s="504">
        <f t="shared" si="8"/>
        <v>44447</v>
      </c>
      <c r="K28" s="459">
        <f t="shared" si="8"/>
        <v>44447</v>
      </c>
      <c r="L28" s="505">
        <f t="shared" si="9"/>
        <v>39.762927178386114</v>
      </c>
      <c r="M28" s="464">
        <f t="shared" si="9"/>
        <v>39.762927178386114</v>
      </c>
      <c r="N28" s="366"/>
      <c r="O28" s="446"/>
      <c r="P28" s="446">
        <f t="shared" si="2"/>
        <v>0</v>
      </c>
      <c r="Q28" s="446"/>
      <c r="R28" s="446">
        <f t="shared" si="3"/>
        <v>0</v>
      </c>
      <c r="S28" s="647">
        <f t="shared" si="4"/>
        <v>33.671969696969697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502">
        <f t="shared" si="7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1064.5714285714287</v>
      </c>
      <c r="I29" s="499">
        <f>SUM($G$9:G29)/A29</f>
        <v>1064.5714285714287</v>
      </c>
      <c r="J29" s="443">
        <f t="shared" si="8"/>
        <v>44447</v>
      </c>
      <c r="K29" s="459">
        <f t="shared" si="8"/>
        <v>44447</v>
      </c>
      <c r="L29" s="495">
        <f t="shared" si="9"/>
        <v>41.751073537305416</v>
      </c>
      <c r="M29" s="464">
        <f t="shared" si="9"/>
        <v>41.751073537305416</v>
      </c>
      <c r="N29" s="366"/>
      <c r="O29" s="446"/>
      <c r="P29" s="446">
        <f t="shared" si="2"/>
        <v>0</v>
      </c>
      <c r="Q29" s="446"/>
      <c r="R29" s="446">
        <f t="shared" si="3"/>
        <v>0</v>
      </c>
      <c r="S29" s="647">
        <f t="shared" si="4"/>
        <v>33.671969696969697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502">
        <f t="shared" si="7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1016.1818181818181</v>
      </c>
      <c r="I30" s="499">
        <f>SUM($G$9:G30)/A30</f>
        <v>1016.1818181818181</v>
      </c>
      <c r="J30" s="443">
        <f t="shared" si="8"/>
        <v>44447</v>
      </c>
      <c r="K30" s="459">
        <f t="shared" si="8"/>
        <v>44447</v>
      </c>
      <c r="L30" s="495">
        <f t="shared" si="9"/>
        <v>43.739219896224732</v>
      </c>
      <c r="M30" s="464">
        <f t="shared" si="9"/>
        <v>43.739219896224732</v>
      </c>
      <c r="N30" s="366"/>
      <c r="O30" s="446"/>
      <c r="P30" s="446">
        <f t="shared" si="2"/>
        <v>0</v>
      </c>
      <c r="Q30" s="446"/>
      <c r="R30" s="446">
        <f t="shared" si="3"/>
        <v>0</v>
      </c>
      <c r="S30" s="647">
        <f t="shared" si="4"/>
        <v>33.671969696969697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502">
        <f t="shared" si="7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972</v>
      </c>
      <c r="I31" s="499">
        <f>SUM($G$9:G31)/A31</f>
        <v>972</v>
      </c>
      <c r="J31" s="443">
        <f t="shared" si="8"/>
        <v>44447</v>
      </c>
      <c r="K31" s="459">
        <f t="shared" si="8"/>
        <v>44447</v>
      </c>
      <c r="L31" s="495">
        <f t="shared" si="9"/>
        <v>45.727366255144034</v>
      </c>
      <c r="M31" s="464">
        <f t="shared" si="9"/>
        <v>45.727366255144034</v>
      </c>
      <c r="N31" s="366"/>
      <c r="O31" s="446"/>
      <c r="P31" s="446">
        <f t="shared" si="2"/>
        <v>0</v>
      </c>
      <c r="Q31" s="446"/>
      <c r="R31" s="446">
        <f t="shared" si="3"/>
        <v>0</v>
      </c>
      <c r="S31" s="647">
        <f t="shared" si="4"/>
        <v>33.671969696969697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502">
        <f t="shared" si="7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931.5</v>
      </c>
      <c r="I32" s="499">
        <f>SUM($G$9:G32)/A32</f>
        <v>931.5</v>
      </c>
      <c r="J32" s="443">
        <f t="shared" si="8"/>
        <v>44447</v>
      </c>
      <c r="K32" s="459">
        <f t="shared" si="8"/>
        <v>44447</v>
      </c>
      <c r="L32" s="495">
        <f t="shared" si="9"/>
        <v>47.715512614063336</v>
      </c>
      <c r="M32" s="464">
        <f t="shared" si="9"/>
        <v>47.715512614063336</v>
      </c>
      <c r="N32" s="366"/>
      <c r="O32" s="446"/>
      <c r="P32" s="446">
        <f t="shared" si="2"/>
        <v>0</v>
      </c>
      <c r="Q32" s="446"/>
      <c r="R32" s="446">
        <f t="shared" si="3"/>
        <v>0</v>
      </c>
      <c r="S32" s="647">
        <f t="shared" si="4"/>
        <v>33.671969696969697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7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894.24</v>
      </c>
      <c r="I33" s="499">
        <f>SUM($G$9:G33)/A33</f>
        <v>894.24</v>
      </c>
      <c r="J33" s="460">
        <f t="shared" si="8"/>
        <v>44447</v>
      </c>
      <c r="K33" s="459">
        <f t="shared" si="8"/>
        <v>44447</v>
      </c>
      <c r="L33" s="506">
        <f t="shared" si="9"/>
        <v>49.703658972982645</v>
      </c>
      <c r="M33" s="464">
        <f t="shared" si="9"/>
        <v>49.703658972982645</v>
      </c>
      <c r="N33" s="366"/>
      <c r="O33" s="446"/>
      <c r="P33" s="446">
        <f t="shared" si="2"/>
        <v>0</v>
      </c>
      <c r="Q33" s="446"/>
      <c r="R33" s="446">
        <f t="shared" si="3"/>
        <v>0</v>
      </c>
      <c r="S33" s="647">
        <f t="shared" si="4"/>
        <v>33.671969696969697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502">
        <f t="shared" si="7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859.84615384615381</v>
      </c>
      <c r="I34" s="499">
        <f>SUM($G$9:G34)/A34</f>
        <v>859.84615384615381</v>
      </c>
      <c r="J34" s="443">
        <f t="shared" si="8"/>
        <v>44447</v>
      </c>
      <c r="K34" s="459">
        <f t="shared" si="8"/>
        <v>44447</v>
      </c>
      <c r="L34" s="495">
        <f t="shared" si="9"/>
        <v>51.691805331901953</v>
      </c>
      <c r="M34" s="464">
        <f t="shared" si="9"/>
        <v>51.691805331901953</v>
      </c>
      <c r="N34" s="366"/>
      <c r="O34" s="446"/>
      <c r="P34" s="446">
        <f t="shared" si="2"/>
        <v>0</v>
      </c>
      <c r="Q34" s="446"/>
      <c r="R34" s="446">
        <f t="shared" si="3"/>
        <v>0</v>
      </c>
      <c r="S34" s="647">
        <f t="shared" si="4"/>
        <v>33.671969696969697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502">
        <f t="shared" si="7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828</v>
      </c>
      <c r="I35" s="499">
        <f>SUM($G$9:G35)/A35</f>
        <v>828</v>
      </c>
      <c r="J35" s="443">
        <f t="shared" si="8"/>
        <v>44447</v>
      </c>
      <c r="K35" s="459">
        <f t="shared" si="8"/>
        <v>44447</v>
      </c>
      <c r="L35" s="495">
        <f t="shared" si="9"/>
        <v>53.679951690821255</v>
      </c>
      <c r="M35" s="464">
        <f t="shared" si="9"/>
        <v>53.679951690821255</v>
      </c>
      <c r="N35" s="366"/>
      <c r="O35" s="446"/>
      <c r="P35" s="446">
        <f t="shared" si="2"/>
        <v>0</v>
      </c>
      <c r="Q35" s="446"/>
      <c r="R35" s="446">
        <f t="shared" si="3"/>
        <v>0</v>
      </c>
      <c r="S35" s="647">
        <f t="shared" si="4"/>
        <v>33.671969696969697</v>
      </c>
    </row>
    <row r="36" spans="1:19" s="367" customFormat="1" ht="14.25" customHeight="1">
      <c r="A36" s="364">
        <v>28</v>
      </c>
      <c r="B36" s="365">
        <f>'FRIT HGE91-FHG'!B36</f>
        <v>46262</v>
      </c>
      <c r="C36" s="331" t="s">
        <v>349</v>
      </c>
      <c r="D36" s="502">
        <f t="shared" si="7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798.42857142857144</v>
      </c>
      <c r="I36" s="499">
        <f>SUM($G$9:G36)/A36</f>
        <v>798.42857142857144</v>
      </c>
      <c r="J36" s="443">
        <f t="shared" si="8"/>
        <v>44447</v>
      </c>
      <c r="K36" s="459">
        <f t="shared" si="8"/>
        <v>44447</v>
      </c>
      <c r="L36" s="495">
        <f t="shared" si="9"/>
        <v>55.668098049740564</v>
      </c>
      <c r="M36" s="464">
        <f t="shared" si="9"/>
        <v>55.668098049740564</v>
      </c>
      <c r="N36" s="366"/>
      <c r="O36" s="446"/>
      <c r="P36" s="446">
        <f t="shared" si="2"/>
        <v>0</v>
      </c>
      <c r="Q36" s="446"/>
      <c r="R36" s="446">
        <f t="shared" si="3"/>
        <v>0</v>
      </c>
      <c r="S36" s="647">
        <f t="shared" si="4"/>
        <v>33.671969696969697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502">
        <f t="shared" si="7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770.89655172413791</v>
      </c>
      <c r="I37" s="499">
        <f>SUM($G$9:G37)/A37</f>
        <v>770.89655172413791</v>
      </c>
      <c r="J37" s="443">
        <f t="shared" si="8"/>
        <v>44447</v>
      </c>
      <c r="K37" s="459">
        <f t="shared" si="8"/>
        <v>44447</v>
      </c>
      <c r="L37" s="495">
        <f t="shared" si="9"/>
        <v>57.656244408659866</v>
      </c>
      <c r="M37" s="464">
        <f t="shared" si="9"/>
        <v>57.656244408659866</v>
      </c>
      <c r="N37" s="366"/>
      <c r="O37" s="446"/>
      <c r="P37" s="446">
        <f t="shared" si="2"/>
        <v>0</v>
      </c>
      <c r="Q37" s="446"/>
      <c r="R37" s="446">
        <f t="shared" si="3"/>
        <v>0</v>
      </c>
      <c r="S37" s="647">
        <f t="shared" si="4"/>
        <v>33.671969696969697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502">
        <f t="shared" si="7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745.2</v>
      </c>
      <c r="I38" s="499">
        <f>SUM($G$9:G38)/A38</f>
        <v>745.2</v>
      </c>
      <c r="J38" s="504">
        <f t="shared" si="8"/>
        <v>44447</v>
      </c>
      <c r="K38" s="459">
        <f t="shared" si="8"/>
        <v>44447</v>
      </c>
      <c r="L38" s="505">
        <f t="shared" si="9"/>
        <v>59.644390767579168</v>
      </c>
      <c r="M38" s="464">
        <f t="shared" si="9"/>
        <v>59.644390767579168</v>
      </c>
      <c r="N38" s="366"/>
      <c r="O38" s="446"/>
      <c r="P38" s="446">
        <f t="shared" si="2"/>
        <v>0</v>
      </c>
      <c r="Q38" s="446"/>
      <c r="R38" s="446">
        <f t="shared" si="3"/>
        <v>0</v>
      </c>
      <c r="S38" s="647">
        <f t="shared" si="4"/>
        <v>33.671969696969697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502">
        <f t="shared" si="7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721.16129032258061</v>
      </c>
      <c r="I39" s="499">
        <f>SUM($G$9:G39)/A39</f>
        <v>721.16129032258061</v>
      </c>
      <c r="J39" s="443">
        <f t="shared" si="8"/>
        <v>44447</v>
      </c>
      <c r="K39" s="459">
        <f t="shared" si="8"/>
        <v>44447</v>
      </c>
      <c r="L39" s="495">
        <f t="shared" si="9"/>
        <v>61.632537126498484</v>
      </c>
      <c r="M39" s="464">
        <f t="shared" si="9"/>
        <v>61.632537126498484</v>
      </c>
      <c r="N39" s="366"/>
      <c r="O39" s="446"/>
      <c r="P39" s="446">
        <f t="shared" si="2"/>
        <v>0</v>
      </c>
      <c r="Q39" s="446"/>
      <c r="R39" s="446">
        <f t="shared" si="3"/>
        <v>0</v>
      </c>
      <c r="S39" s="647">
        <f t="shared" si="4"/>
        <v>33.671969696969697</v>
      </c>
    </row>
    <row r="40" spans="1:19" s="374" customFormat="1" ht="12" customHeight="1">
      <c r="A40" s="1212" t="s">
        <v>29</v>
      </c>
      <c r="B40" s="1213"/>
      <c r="C40" s="1214"/>
      <c r="D40" s="388">
        <f>SUM(D9:D39)</f>
        <v>26000</v>
      </c>
      <c r="E40" s="388">
        <f>SUM(E9:E39)</f>
        <v>26000</v>
      </c>
      <c r="F40" s="389">
        <f>SUM(F9:F39)</f>
        <v>22356</v>
      </c>
      <c r="G40" s="496">
        <f>F40</f>
        <v>22356</v>
      </c>
      <c r="H40" s="389"/>
      <c r="I40" s="496"/>
      <c r="J40" s="389">
        <f>J39</f>
        <v>44447</v>
      </c>
      <c r="K40" s="461">
        <f>K39</f>
        <v>44447</v>
      </c>
      <c r="L40" s="464"/>
      <c r="M40" s="464"/>
      <c r="N40" s="507"/>
      <c r="O40" s="389">
        <f>SUM(O9:O39)</f>
        <v>12045</v>
      </c>
      <c r="P40" s="496">
        <f>SUM(P9:P39)</f>
        <v>12045</v>
      </c>
      <c r="Q40" s="389">
        <f>SUM(Q9:Q39)</f>
        <v>10311</v>
      </c>
      <c r="R40" s="496">
        <f>SUM(R9:R39)</f>
        <v>10311</v>
      </c>
    </row>
    <row r="41" spans="1:19" s="374" customFormat="1" ht="12" customHeight="1">
      <c r="A41" s="1212" t="s">
        <v>15</v>
      </c>
      <c r="B41" s="1213"/>
      <c r="C41" s="1214"/>
      <c r="D41" s="388">
        <f>D8+D40</f>
        <v>66803</v>
      </c>
      <c r="E41" s="388">
        <f>E8+E40</f>
        <v>66803</v>
      </c>
      <c r="F41" s="389">
        <f>F40</f>
        <v>22356</v>
      </c>
      <c r="G41" s="496">
        <f>F41</f>
        <v>22356</v>
      </c>
      <c r="H41" s="389"/>
      <c r="I41" s="496"/>
      <c r="J41" s="389">
        <f>D41-F41</f>
        <v>44447</v>
      </c>
      <c r="K41" s="389">
        <f>E41-G41</f>
        <v>44447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188" priority="1" operator="lessThan">
      <formula>15</formula>
    </cfRule>
    <cfRule type="cellIs" dxfId="12187" priority="2" operator="greaterThan">
      <formula>20</formula>
    </cfRule>
    <cfRule type="cellIs" dxfId="12186" priority="3" operator="between">
      <formula>15</formula>
      <formula>20</formula>
    </cfRule>
    <cfRule type="cellIs" dxfId="12185" priority="4" operator="between">
      <formula>15</formula>
      <formula>20</formula>
    </cfRule>
    <cfRule type="cellIs" dxfId="12184" priority="5" operator="lessThan">
      <formula>15</formula>
    </cfRule>
    <cfRule type="cellIs" dxfId="12183" priority="6" operator="greaterThan">
      <formula>20</formula>
    </cfRule>
    <cfRule type="cellIs" dxfId="12182" priority="7" operator="between">
      <formula>15</formula>
      <formula>21</formula>
    </cfRule>
    <cfRule type="cellIs" dxfId="12181" priority="8" operator="lessThan">
      <formula>15</formula>
    </cfRule>
    <cfRule type="cellIs" dxfId="12180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9" orientation="landscape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49"/>
  <sheetViews>
    <sheetView workbookViewId="0">
      <pane ySplit="8" topLeftCell="A9" activePane="bottomLeft" state="frozen"/>
      <selection pane="bottomLeft" activeCell="N9" sqref="N9:R37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4" width="6.42578125" style="143" customWidth="1"/>
    <col min="15" max="18" width="11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  <c r="V3" s="324"/>
      <c r="W3" s="324"/>
    </row>
    <row r="4" spans="1:29" s="376" customFormat="1" ht="18.75" customHeight="1">
      <c r="A4" s="1600" t="s">
        <v>38</v>
      </c>
      <c r="B4" s="1600"/>
      <c r="C4" s="316" t="s">
        <v>126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258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  <c r="V4" s="324"/>
      <c r="W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324"/>
      <c r="U6" s="324"/>
      <c r="V6" s="324"/>
      <c r="W6" s="324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/>
      <c r="G8" s="388">
        <f>G40</f>
        <v>0</v>
      </c>
      <c r="H8" s="387"/>
      <c r="I8" s="388"/>
      <c r="J8" s="624">
        <f>K8-K8*N8</f>
        <v>0</v>
      </c>
      <c r="K8" s="324"/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1261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349</v>
      </c>
      <c r="D9" s="502">
        <f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>J9/H9</f>
        <v>#DIV/0!</v>
      </c>
      <c r="M9" s="464" t="e">
        <f>K9/I9</f>
        <v>#DIV/0!</v>
      </c>
      <c r="N9" s="366"/>
      <c r="O9" s="366"/>
      <c r="P9" s="446">
        <f>O9</f>
        <v>0</v>
      </c>
      <c r="Q9" s="446"/>
      <c r="R9" s="446">
        <f>Q9</f>
        <v>0</v>
      </c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502">
        <f t="shared" ref="D10:D39" si="0">E10-E10*N10</f>
        <v>0</v>
      </c>
      <c r="E10" s="499"/>
      <c r="F10" s="446">
        <f t="shared" ref="F10:G39" si="1">O10+Q10</f>
        <v>0</v>
      </c>
      <c r="G10" s="503">
        <f t="shared" si="1"/>
        <v>0</v>
      </c>
      <c r="H10" s="498">
        <f>SUM($F$9:F10)/A10</f>
        <v>0</v>
      </c>
      <c r="I10" s="499">
        <f>SUM($G$9:G10)/A10</f>
        <v>0</v>
      </c>
      <c r="J10" s="443">
        <f>J9+D10-F10</f>
        <v>0</v>
      </c>
      <c r="K10" s="459">
        <f>K9+E10-G10</f>
        <v>0</v>
      </c>
      <c r="L10" s="495" t="e">
        <f>J10/H10</f>
        <v>#DIV/0!</v>
      </c>
      <c r="M10" s="464" t="e">
        <f>K10/I10</f>
        <v>#DIV/0!</v>
      </c>
      <c r="N10" s="366"/>
      <c r="O10" s="366"/>
      <c r="P10" s="446">
        <f t="shared" ref="P10:P37" si="2">O10</f>
        <v>0</v>
      </c>
      <c r="Q10" s="446"/>
      <c r="R10" s="446">
        <f t="shared" ref="R10:R37" si="3">Q10</f>
        <v>0</v>
      </c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502">
        <f t="shared" si="0"/>
        <v>0</v>
      </c>
      <c r="E11" s="499"/>
      <c r="F11" s="446">
        <f t="shared" si="1"/>
        <v>0</v>
      </c>
      <c r="G11" s="503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ref="J11:J20" si="5">J10+D11-F11</f>
        <v>0</v>
      </c>
      <c r="K11" s="459">
        <f t="shared" ref="K11:K20" si="6">K10+E11-G11</f>
        <v>0</v>
      </c>
      <c r="L11" s="495" t="e">
        <f t="shared" ref="L11:L39" si="7">J11/H11</f>
        <v>#DIV/0!</v>
      </c>
      <c r="M11" s="464" t="e">
        <f t="shared" ref="M11:M39" si="8">K11/I11</f>
        <v>#DIV/0!</v>
      </c>
      <c r="N11" s="366"/>
      <c r="O11" s="366"/>
      <c r="P11" s="446">
        <f t="shared" si="2"/>
        <v>0</v>
      </c>
      <c r="Q11" s="446"/>
      <c r="R11" s="446">
        <f t="shared" si="3"/>
        <v>0</v>
      </c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502">
        <f t="shared" si="0"/>
        <v>0</v>
      </c>
      <c r="E12" s="499"/>
      <c r="F12" s="446">
        <f t="shared" si="1"/>
        <v>0</v>
      </c>
      <c r="G12" s="503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si="5"/>
        <v>0</v>
      </c>
      <c r="K12" s="459">
        <f t="shared" si="6"/>
        <v>0</v>
      </c>
      <c r="L12" s="495" t="e">
        <f t="shared" si="7"/>
        <v>#DIV/0!</v>
      </c>
      <c r="M12" s="464" t="e">
        <f t="shared" si="8"/>
        <v>#DIV/0!</v>
      </c>
      <c r="N12" s="366"/>
      <c r="O12" s="366"/>
      <c r="P12" s="446">
        <f t="shared" si="2"/>
        <v>0</v>
      </c>
      <c r="Q12" s="446"/>
      <c r="R12" s="446">
        <f t="shared" si="3"/>
        <v>0</v>
      </c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502">
        <f t="shared" si="0"/>
        <v>0</v>
      </c>
      <c r="E13" s="499"/>
      <c r="F13" s="446">
        <f t="shared" si="1"/>
        <v>0</v>
      </c>
      <c r="G13" s="503">
        <f t="shared" si="1"/>
        <v>0</v>
      </c>
      <c r="H13" s="504">
        <f>SUM($F$9:F13)/A13</f>
        <v>0</v>
      </c>
      <c r="I13" s="499">
        <f>SUM($G$9:G13)/A13</f>
        <v>0</v>
      </c>
      <c r="J13" s="504">
        <f t="shared" si="5"/>
        <v>0</v>
      </c>
      <c r="K13" s="459">
        <f t="shared" si="6"/>
        <v>0</v>
      </c>
      <c r="L13" s="505" t="e">
        <f t="shared" si="7"/>
        <v>#DIV/0!</v>
      </c>
      <c r="M13" s="464" t="e">
        <f t="shared" si="8"/>
        <v>#DIV/0!</v>
      </c>
      <c r="N13" s="366"/>
      <c r="O13" s="366"/>
      <c r="P13" s="446">
        <f t="shared" si="2"/>
        <v>0</v>
      </c>
      <c r="Q13" s="446"/>
      <c r="R13" s="446">
        <f t="shared" si="3"/>
        <v>0</v>
      </c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502">
        <f t="shared" si="0"/>
        <v>0</v>
      </c>
      <c r="E14" s="499"/>
      <c r="F14" s="446">
        <f t="shared" si="1"/>
        <v>0</v>
      </c>
      <c r="G14" s="503">
        <f t="shared" si="1"/>
        <v>0</v>
      </c>
      <c r="H14" s="498">
        <f>SUM($F$9:F14)/A14</f>
        <v>0</v>
      </c>
      <c r="I14" s="499">
        <f>SUM($G$9:G14)/A14</f>
        <v>0</v>
      </c>
      <c r="J14" s="443">
        <f t="shared" si="5"/>
        <v>0</v>
      </c>
      <c r="K14" s="459">
        <f t="shared" si="6"/>
        <v>0</v>
      </c>
      <c r="L14" s="495" t="e">
        <f t="shared" si="7"/>
        <v>#DIV/0!</v>
      </c>
      <c r="M14" s="464" t="e">
        <f t="shared" si="8"/>
        <v>#DIV/0!</v>
      </c>
      <c r="N14" s="366"/>
      <c r="O14" s="366"/>
      <c r="P14" s="446">
        <f t="shared" si="2"/>
        <v>0</v>
      </c>
      <c r="Q14" s="446"/>
      <c r="R14" s="446">
        <f t="shared" si="3"/>
        <v>0</v>
      </c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502">
        <f t="shared" si="0"/>
        <v>0</v>
      </c>
      <c r="E15" s="499"/>
      <c r="F15" s="446">
        <f t="shared" si="1"/>
        <v>0</v>
      </c>
      <c r="G15" s="503">
        <f t="shared" si="1"/>
        <v>0</v>
      </c>
      <c r="H15" s="498">
        <f>SUM($F$9:F15)/A15</f>
        <v>0</v>
      </c>
      <c r="I15" s="499">
        <f>SUM($G$9:G15)/A15</f>
        <v>0</v>
      </c>
      <c r="J15" s="443">
        <f t="shared" si="5"/>
        <v>0</v>
      </c>
      <c r="K15" s="459">
        <f t="shared" si="6"/>
        <v>0</v>
      </c>
      <c r="L15" s="495" t="e">
        <f t="shared" si="7"/>
        <v>#DIV/0!</v>
      </c>
      <c r="M15" s="464" t="e">
        <f t="shared" si="8"/>
        <v>#DIV/0!</v>
      </c>
      <c r="N15" s="366"/>
      <c r="O15" s="366"/>
      <c r="P15" s="446">
        <f t="shared" si="2"/>
        <v>0</v>
      </c>
      <c r="Q15" s="446"/>
      <c r="R15" s="446">
        <f t="shared" si="3"/>
        <v>0</v>
      </c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502">
        <f t="shared" si="0"/>
        <v>0</v>
      </c>
      <c r="E16" s="499"/>
      <c r="F16" s="446">
        <f t="shared" si="1"/>
        <v>0</v>
      </c>
      <c r="G16" s="503">
        <f t="shared" si="1"/>
        <v>0</v>
      </c>
      <c r="H16" s="498">
        <f>SUM($F$9:F16)/A16</f>
        <v>0</v>
      </c>
      <c r="I16" s="499">
        <f>SUM($G$9:G16)/A16</f>
        <v>0</v>
      </c>
      <c r="J16" s="443">
        <f t="shared" si="5"/>
        <v>0</v>
      </c>
      <c r="K16" s="459">
        <f t="shared" si="6"/>
        <v>0</v>
      </c>
      <c r="L16" s="495" t="e">
        <f t="shared" si="7"/>
        <v>#DIV/0!</v>
      </c>
      <c r="M16" s="464" t="e">
        <f t="shared" si="8"/>
        <v>#DIV/0!</v>
      </c>
      <c r="N16" s="366"/>
      <c r="O16" s="366"/>
      <c r="P16" s="446">
        <f t="shared" si="2"/>
        <v>0</v>
      </c>
      <c r="Q16" s="446"/>
      <c r="R16" s="446">
        <f t="shared" si="3"/>
        <v>0</v>
      </c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502">
        <f t="shared" si="0"/>
        <v>0</v>
      </c>
      <c r="E17" s="499"/>
      <c r="F17" s="446">
        <f t="shared" si="1"/>
        <v>0</v>
      </c>
      <c r="G17" s="503">
        <f t="shared" si="1"/>
        <v>0</v>
      </c>
      <c r="H17" s="498">
        <f>SUM($F$9:F17)/A17</f>
        <v>0</v>
      </c>
      <c r="I17" s="499">
        <f>SUM($G$9:G17)/A17</f>
        <v>0</v>
      </c>
      <c r="J17" s="443">
        <f t="shared" si="5"/>
        <v>0</v>
      </c>
      <c r="K17" s="459">
        <f t="shared" si="6"/>
        <v>0</v>
      </c>
      <c r="L17" s="495" t="e">
        <f t="shared" si="7"/>
        <v>#DIV/0!</v>
      </c>
      <c r="M17" s="464" t="e">
        <f t="shared" si="8"/>
        <v>#DIV/0!</v>
      </c>
      <c r="N17" s="366"/>
      <c r="O17" s="366"/>
      <c r="P17" s="446">
        <f t="shared" si="2"/>
        <v>0</v>
      </c>
      <c r="Q17" s="446"/>
      <c r="R17" s="446">
        <f t="shared" si="3"/>
        <v>0</v>
      </c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502">
        <f t="shared" si="0"/>
        <v>0</v>
      </c>
      <c r="E18" s="499"/>
      <c r="F18" s="446">
        <f t="shared" si="1"/>
        <v>0</v>
      </c>
      <c r="G18" s="503">
        <f t="shared" si="1"/>
        <v>0</v>
      </c>
      <c r="H18" s="504">
        <f>SUM($F$9:F18)/A18</f>
        <v>0</v>
      </c>
      <c r="I18" s="499">
        <f>SUM($G$9:G18)/A18</f>
        <v>0</v>
      </c>
      <c r="J18" s="504">
        <f t="shared" si="5"/>
        <v>0</v>
      </c>
      <c r="K18" s="459">
        <f t="shared" si="6"/>
        <v>0</v>
      </c>
      <c r="L18" s="505" t="e">
        <f t="shared" si="7"/>
        <v>#DIV/0!</v>
      </c>
      <c r="M18" s="464" t="e">
        <f t="shared" si="8"/>
        <v>#DIV/0!</v>
      </c>
      <c r="N18" s="366"/>
      <c r="O18" s="366"/>
      <c r="P18" s="446">
        <f t="shared" si="2"/>
        <v>0</v>
      </c>
      <c r="Q18" s="446"/>
      <c r="R18" s="446">
        <f t="shared" si="3"/>
        <v>0</v>
      </c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502">
        <f t="shared" si="0"/>
        <v>0</v>
      </c>
      <c r="E19" s="499"/>
      <c r="F19" s="446">
        <f t="shared" si="1"/>
        <v>0</v>
      </c>
      <c r="G19" s="503">
        <f t="shared" si="1"/>
        <v>0</v>
      </c>
      <c r="H19" s="498">
        <f>SUM($F$9:F19)/A19</f>
        <v>0</v>
      </c>
      <c r="I19" s="499">
        <f>SUM($G$9:G19)/A19</f>
        <v>0</v>
      </c>
      <c r="J19" s="443">
        <f t="shared" si="5"/>
        <v>0</v>
      </c>
      <c r="K19" s="459">
        <f t="shared" si="6"/>
        <v>0</v>
      </c>
      <c r="L19" s="495" t="e">
        <f t="shared" si="7"/>
        <v>#DIV/0!</v>
      </c>
      <c r="M19" s="464" t="e">
        <f t="shared" si="8"/>
        <v>#DIV/0!</v>
      </c>
      <c r="N19" s="366"/>
      <c r="O19" s="366"/>
      <c r="P19" s="446">
        <f t="shared" si="2"/>
        <v>0</v>
      </c>
      <c r="Q19" s="446"/>
      <c r="R19" s="446">
        <f t="shared" si="3"/>
        <v>0</v>
      </c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0"/>
        <v>0</v>
      </c>
      <c r="E20" s="499"/>
      <c r="F20" s="446">
        <f t="shared" si="1"/>
        <v>0</v>
      </c>
      <c r="G20" s="503">
        <f t="shared" si="1"/>
        <v>0</v>
      </c>
      <c r="H20" s="498">
        <f>SUM($F$9:F20)/A20</f>
        <v>0</v>
      </c>
      <c r="I20" s="499">
        <f>SUM($G$9:G20)/A20</f>
        <v>0</v>
      </c>
      <c r="J20" s="443">
        <f t="shared" si="5"/>
        <v>0</v>
      </c>
      <c r="K20" s="459">
        <f t="shared" si="6"/>
        <v>0</v>
      </c>
      <c r="L20" s="495" t="e">
        <f t="shared" si="7"/>
        <v>#DIV/0!</v>
      </c>
      <c r="M20" s="464" t="e">
        <f t="shared" si="8"/>
        <v>#DIV/0!</v>
      </c>
      <c r="N20" s="366"/>
      <c r="O20" s="366"/>
      <c r="P20" s="446">
        <f t="shared" si="2"/>
        <v>0</v>
      </c>
      <c r="Q20" s="446"/>
      <c r="R20" s="446">
        <f t="shared" si="3"/>
        <v>0</v>
      </c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349</v>
      </c>
      <c r="D21" s="502">
        <f t="shared" si="0"/>
        <v>0</v>
      </c>
      <c r="E21" s="499"/>
      <c r="F21" s="446">
        <f t="shared" si="1"/>
        <v>0</v>
      </c>
      <c r="G21" s="503">
        <f t="shared" si="1"/>
        <v>0</v>
      </c>
      <c r="H21" s="498">
        <f>SUM($F$9:F21)/A21</f>
        <v>0</v>
      </c>
      <c r="I21" s="499">
        <f>SUM($G$9:G21)/A21</f>
        <v>0</v>
      </c>
      <c r="J21" s="443">
        <f t="shared" ref="J21:J39" si="9">J20+D21-F21</f>
        <v>0</v>
      </c>
      <c r="K21" s="459">
        <f t="shared" ref="K21:K39" si="10">K20+E21-G21</f>
        <v>0</v>
      </c>
      <c r="L21" s="495" t="e">
        <f t="shared" si="7"/>
        <v>#DIV/0!</v>
      </c>
      <c r="M21" s="464" t="e">
        <f t="shared" si="8"/>
        <v>#DIV/0!</v>
      </c>
      <c r="N21" s="366"/>
      <c r="O21" s="366"/>
      <c r="P21" s="446">
        <f t="shared" si="2"/>
        <v>0</v>
      </c>
      <c r="Q21" s="446"/>
      <c r="R21" s="446">
        <f t="shared" si="3"/>
        <v>0</v>
      </c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502">
        <f t="shared" si="0"/>
        <v>0</v>
      </c>
      <c r="E22" s="499"/>
      <c r="F22" s="446">
        <f t="shared" si="1"/>
        <v>0</v>
      </c>
      <c r="G22" s="503">
        <f t="shared" si="1"/>
        <v>0</v>
      </c>
      <c r="H22" s="498">
        <f>SUM($F$9:F22)/A22</f>
        <v>0</v>
      </c>
      <c r="I22" s="499">
        <f>SUM($G$9:G22)/A22</f>
        <v>0</v>
      </c>
      <c r="J22" s="443">
        <f t="shared" si="9"/>
        <v>0</v>
      </c>
      <c r="K22" s="459">
        <f t="shared" si="10"/>
        <v>0</v>
      </c>
      <c r="L22" s="495" t="e">
        <f t="shared" si="7"/>
        <v>#DIV/0!</v>
      </c>
      <c r="M22" s="464" t="e">
        <f t="shared" si="8"/>
        <v>#DIV/0!</v>
      </c>
      <c r="N22" s="366"/>
      <c r="O22" s="366"/>
      <c r="P22" s="446">
        <f t="shared" si="2"/>
        <v>0</v>
      </c>
      <c r="Q22" s="446"/>
      <c r="R22" s="446">
        <f t="shared" si="3"/>
        <v>0</v>
      </c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502">
        <f t="shared" si="0"/>
        <v>0</v>
      </c>
      <c r="E23" s="499"/>
      <c r="F23" s="446">
        <f t="shared" si="1"/>
        <v>0</v>
      </c>
      <c r="G23" s="503">
        <f t="shared" si="1"/>
        <v>0</v>
      </c>
      <c r="H23" s="504">
        <f>SUM($F$9:F23)/A23</f>
        <v>0</v>
      </c>
      <c r="I23" s="499">
        <f>SUM($G$9:G23)/A23</f>
        <v>0</v>
      </c>
      <c r="J23" s="504">
        <f t="shared" si="9"/>
        <v>0</v>
      </c>
      <c r="K23" s="459">
        <f t="shared" si="10"/>
        <v>0</v>
      </c>
      <c r="L23" s="505" t="e">
        <f t="shared" si="7"/>
        <v>#DIV/0!</v>
      </c>
      <c r="M23" s="464" t="e">
        <f t="shared" si="8"/>
        <v>#DIV/0!</v>
      </c>
      <c r="N23" s="366"/>
      <c r="O23" s="366"/>
      <c r="P23" s="446">
        <f t="shared" si="2"/>
        <v>0</v>
      </c>
      <c r="Q23" s="446"/>
      <c r="R23" s="446">
        <f t="shared" si="3"/>
        <v>0</v>
      </c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502">
        <f t="shared" si="0"/>
        <v>0</v>
      </c>
      <c r="E24" s="499"/>
      <c r="F24" s="446">
        <f t="shared" si="1"/>
        <v>0</v>
      </c>
      <c r="G24" s="503">
        <f t="shared" si="1"/>
        <v>0</v>
      </c>
      <c r="H24" s="498">
        <f>SUM($F$9:F24)/A24</f>
        <v>0</v>
      </c>
      <c r="I24" s="499">
        <f>SUM($G$9:G24)/A24</f>
        <v>0</v>
      </c>
      <c r="J24" s="443">
        <f t="shared" si="9"/>
        <v>0</v>
      </c>
      <c r="K24" s="459">
        <f t="shared" si="10"/>
        <v>0</v>
      </c>
      <c r="L24" s="495" t="e">
        <f t="shared" si="7"/>
        <v>#DIV/0!</v>
      </c>
      <c r="M24" s="464" t="e">
        <f t="shared" si="8"/>
        <v>#DIV/0!</v>
      </c>
      <c r="N24" s="366"/>
      <c r="O24" s="366"/>
      <c r="P24" s="446">
        <f t="shared" si="2"/>
        <v>0</v>
      </c>
      <c r="Q24" s="446"/>
      <c r="R24" s="446">
        <f t="shared" si="3"/>
        <v>0</v>
      </c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502">
        <f t="shared" si="0"/>
        <v>0</v>
      </c>
      <c r="E25" s="499"/>
      <c r="F25" s="446">
        <f t="shared" si="1"/>
        <v>0</v>
      </c>
      <c r="G25" s="503">
        <f t="shared" si="1"/>
        <v>0</v>
      </c>
      <c r="H25" s="498">
        <f>SUM($F$9:F25)/A25</f>
        <v>0</v>
      </c>
      <c r="I25" s="499">
        <f>SUM($G$9:G25)/A25</f>
        <v>0</v>
      </c>
      <c r="J25" s="443">
        <f t="shared" si="9"/>
        <v>0</v>
      </c>
      <c r="K25" s="459">
        <f t="shared" si="10"/>
        <v>0</v>
      </c>
      <c r="L25" s="495" t="e">
        <f t="shared" si="7"/>
        <v>#DIV/0!</v>
      </c>
      <c r="M25" s="464" t="e">
        <f t="shared" si="8"/>
        <v>#DIV/0!</v>
      </c>
      <c r="N25" s="366"/>
      <c r="O25" s="366"/>
      <c r="P25" s="446">
        <f t="shared" si="2"/>
        <v>0</v>
      </c>
      <c r="Q25" s="446"/>
      <c r="R25" s="446">
        <f t="shared" si="3"/>
        <v>0</v>
      </c>
      <c r="S25" s="647">
        <f t="shared" si="4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502">
        <f t="shared" si="0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0</v>
      </c>
      <c r="I26" s="499">
        <f>SUM($G$9:G26)/A26</f>
        <v>0</v>
      </c>
      <c r="J26" s="443">
        <f t="shared" si="9"/>
        <v>0</v>
      </c>
      <c r="K26" s="459">
        <f t="shared" si="10"/>
        <v>0</v>
      </c>
      <c r="L26" s="495" t="e">
        <f t="shared" si="7"/>
        <v>#DIV/0!</v>
      </c>
      <c r="M26" s="464" t="e">
        <f t="shared" si="8"/>
        <v>#DIV/0!</v>
      </c>
      <c r="N26" s="366"/>
      <c r="O26" s="366"/>
      <c r="P26" s="446">
        <f t="shared" si="2"/>
        <v>0</v>
      </c>
      <c r="Q26" s="446"/>
      <c r="R26" s="446">
        <f t="shared" si="3"/>
        <v>0</v>
      </c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0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0</v>
      </c>
      <c r="I27" s="499">
        <f>SUM($G$9:G27)/A27</f>
        <v>0</v>
      </c>
      <c r="J27" s="443">
        <f t="shared" si="9"/>
        <v>0</v>
      </c>
      <c r="K27" s="459">
        <f t="shared" si="10"/>
        <v>0</v>
      </c>
      <c r="L27" s="495" t="e">
        <f t="shared" si="7"/>
        <v>#DIV/0!</v>
      </c>
      <c r="M27" s="464" t="e">
        <f t="shared" si="8"/>
        <v>#DIV/0!</v>
      </c>
      <c r="N27" s="366"/>
      <c r="O27" s="366"/>
      <c r="P27" s="446">
        <f t="shared" si="2"/>
        <v>0</v>
      </c>
      <c r="Q27" s="446"/>
      <c r="R27" s="446">
        <f t="shared" si="3"/>
        <v>0</v>
      </c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502">
        <f t="shared" si="0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0</v>
      </c>
      <c r="I28" s="499">
        <f>SUM($G$9:G28)/A28</f>
        <v>0</v>
      </c>
      <c r="J28" s="504">
        <f t="shared" si="9"/>
        <v>0</v>
      </c>
      <c r="K28" s="459">
        <f t="shared" si="10"/>
        <v>0</v>
      </c>
      <c r="L28" s="505" t="e">
        <f t="shared" si="7"/>
        <v>#DIV/0!</v>
      </c>
      <c r="M28" s="464" t="e">
        <f t="shared" si="8"/>
        <v>#DIV/0!</v>
      </c>
      <c r="N28" s="366"/>
      <c r="O28" s="366"/>
      <c r="P28" s="446">
        <f t="shared" si="2"/>
        <v>0</v>
      </c>
      <c r="Q28" s="446"/>
      <c r="R28" s="446">
        <f t="shared" si="3"/>
        <v>0</v>
      </c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502">
        <f t="shared" si="0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0</v>
      </c>
      <c r="I29" s="499">
        <f>SUM($G$9:G29)/A29</f>
        <v>0</v>
      </c>
      <c r="J29" s="443">
        <f t="shared" si="9"/>
        <v>0</v>
      </c>
      <c r="K29" s="459">
        <f t="shared" si="10"/>
        <v>0</v>
      </c>
      <c r="L29" s="495" t="e">
        <f t="shared" si="7"/>
        <v>#DIV/0!</v>
      </c>
      <c r="M29" s="464" t="e">
        <f t="shared" si="8"/>
        <v>#DIV/0!</v>
      </c>
      <c r="N29" s="366"/>
      <c r="O29" s="366"/>
      <c r="P29" s="446">
        <f t="shared" si="2"/>
        <v>0</v>
      </c>
      <c r="Q29" s="446"/>
      <c r="R29" s="446">
        <f t="shared" si="3"/>
        <v>0</v>
      </c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502">
        <f t="shared" si="0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0</v>
      </c>
      <c r="I30" s="499">
        <f>SUM($G$9:G30)/A30</f>
        <v>0</v>
      </c>
      <c r="J30" s="443">
        <f t="shared" si="9"/>
        <v>0</v>
      </c>
      <c r="K30" s="459">
        <f t="shared" si="10"/>
        <v>0</v>
      </c>
      <c r="L30" s="495" t="e">
        <f t="shared" si="7"/>
        <v>#DIV/0!</v>
      </c>
      <c r="M30" s="464" t="e">
        <f t="shared" si="8"/>
        <v>#DIV/0!</v>
      </c>
      <c r="N30" s="366"/>
      <c r="O30" s="366"/>
      <c r="P30" s="446">
        <f t="shared" si="2"/>
        <v>0</v>
      </c>
      <c r="Q30" s="446"/>
      <c r="R30" s="446">
        <f t="shared" si="3"/>
        <v>0</v>
      </c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502">
        <f t="shared" si="0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0</v>
      </c>
      <c r="I31" s="499">
        <f>SUM($G$9:G31)/A31</f>
        <v>0</v>
      </c>
      <c r="J31" s="443">
        <f t="shared" si="9"/>
        <v>0</v>
      </c>
      <c r="K31" s="459">
        <f t="shared" si="10"/>
        <v>0</v>
      </c>
      <c r="L31" s="495" t="e">
        <f t="shared" si="7"/>
        <v>#DIV/0!</v>
      </c>
      <c r="M31" s="464" t="e">
        <f t="shared" si="8"/>
        <v>#DIV/0!</v>
      </c>
      <c r="N31" s="366"/>
      <c r="O31" s="366"/>
      <c r="P31" s="446">
        <f t="shared" si="2"/>
        <v>0</v>
      </c>
      <c r="Q31" s="446"/>
      <c r="R31" s="446">
        <f t="shared" si="3"/>
        <v>0</v>
      </c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502">
        <f t="shared" si="0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0</v>
      </c>
      <c r="I32" s="499">
        <f>SUM($G$9:G32)/A32</f>
        <v>0</v>
      </c>
      <c r="J32" s="443">
        <f t="shared" si="9"/>
        <v>0</v>
      </c>
      <c r="K32" s="459">
        <f t="shared" si="10"/>
        <v>0</v>
      </c>
      <c r="L32" s="495" t="e">
        <f t="shared" si="7"/>
        <v>#DIV/0!</v>
      </c>
      <c r="M32" s="464" t="e">
        <f t="shared" si="8"/>
        <v>#DIV/0!</v>
      </c>
      <c r="N32" s="366"/>
      <c r="O32" s="366"/>
      <c r="P32" s="446">
        <f t="shared" si="2"/>
        <v>0</v>
      </c>
      <c r="Q32" s="446"/>
      <c r="R32" s="446">
        <f t="shared" si="3"/>
        <v>0</v>
      </c>
      <c r="S32" s="647">
        <f t="shared" si="4"/>
        <v>0</v>
      </c>
    </row>
    <row r="33" spans="1:21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0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0</v>
      </c>
      <c r="I33" s="499">
        <f>SUM($G$9:G33)/A33</f>
        <v>0</v>
      </c>
      <c r="J33" s="460">
        <f t="shared" si="9"/>
        <v>0</v>
      </c>
      <c r="K33" s="459">
        <f t="shared" si="10"/>
        <v>0</v>
      </c>
      <c r="L33" s="506" t="e">
        <f t="shared" si="7"/>
        <v>#DIV/0!</v>
      </c>
      <c r="M33" s="464" t="e">
        <f t="shared" si="8"/>
        <v>#DIV/0!</v>
      </c>
      <c r="N33" s="366"/>
      <c r="O33" s="366"/>
      <c r="P33" s="446">
        <f t="shared" si="2"/>
        <v>0</v>
      </c>
      <c r="Q33" s="446"/>
      <c r="R33" s="446">
        <f t="shared" si="3"/>
        <v>0</v>
      </c>
      <c r="S33" s="647">
        <f t="shared" si="4"/>
        <v>0</v>
      </c>
    </row>
    <row r="34" spans="1:21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502">
        <f t="shared" si="0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0</v>
      </c>
      <c r="I34" s="499">
        <f>SUM($G$9:G34)/A34</f>
        <v>0</v>
      </c>
      <c r="J34" s="443">
        <f t="shared" si="9"/>
        <v>0</v>
      </c>
      <c r="K34" s="459">
        <f t="shared" si="10"/>
        <v>0</v>
      </c>
      <c r="L34" s="495" t="e">
        <f t="shared" si="7"/>
        <v>#DIV/0!</v>
      </c>
      <c r="M34" s="464" t="e">
        <f t="shared" si="8"/>
        <v>#DIV/0!</v>
      </c>
      <c r="N34" s="366"/>
      <c r="O34" s="366"/>
      <c r="P34" s="446">
        <f t="shared" si="2"/>
        <v>0</v>
      </c>
      <c r="Q34" s="446"/>
      <c r="R34" s="446">
        <f t="shared" si="3"/>
        <v>0</v>
      </c>
      <c r="S34" s="647">
        <f t="shared" si="4"/>
        <v>0</v>
      </c>
    </row>
    <row r="35" spans="1:21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502">
        <f t="shared" si="0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0</v>
      </c>
      <c r="I35" s="499">
        <f>SUM($G$9:G35)/A35</f>
        <v>0</v>
      </c>
      <c r="J35" s="443">
        <f t="shared" si="9"/>
        <v>0</v>
      </c>
      <c r="K35" s="459">
        <f t="shared" si="10"/>
        <v>0</v>
      </c>
      <c r="L35" s="495" t="e">
        <f t="shared" si="7"/>
        <v>#DIV/0!</v>
      </c>
      <c r="M35" s="464" t="e">
        <f t="shared" si="8"/>
        <v>#DIV/0!</v>
      </c>
      <c r="N35" s="366"/>
      <c r="O35" s="366"/>
      <c r="P35" s="446">
        <f t="shared" si="2"/>
        <v>0</v>
      </c>
      <c r="Q35" s="446"/>
      <c r="R35" s="446">
        <f t="shared" si="3"/>
        <v>0</v>
      </c>
      <c r="S35" s="647">
        <f t="shared" si="4"/>
        <v>0</v>
      </c>
    </row>
    <row r="36" spans="1:21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502">
        <f t="shared" si="0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0</v>
      </c>
      <c r="I36" s="499">
        <f>SUM($G$9:G36)/A36</f>
        <v>0</v>
      </c>
      <c r="J36" s="443">
        <f t="shared" si="9"/>
        <v>0</v>
      </c>
      <c r="K36" s="459">
        <f t="shared" si="10"/>
        <v>0</v>
      </c>
      <c r="L36" s="495" t="e">
        <f t="shared" si="7"/>
        <v>#DIV/0!</v>
      </c>
      <c r="M36" s="464" t="e">
        <f t="shared" si="8"/>
        <v>#DIV/0!</v>
      </c>
      <c r="N36" s="366"/>
      <c r="O36" s="366"/>
      <c r="P36" s="446">
        <f t="shared" si="2"/>
        <v>0</v>
      </c>
      <c r="Q36" s="446"/>
      <c r="R36" s="446">
        <f t="shared" si="3"/>
        <v>0</v>
      </c>
      <c r="S36" s="647">
        <f t="shared" si="4"/>
        <v>0</v>
      </c>
    </row>
    <row r="37" spans="1:21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502">
        <f t="shared" si="0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0</v>
      </c>
      <c r="I37" s="499">
        <f>SUM($G$9:G37)/A37</f>
        <v>0</v>
      </c>
      <c r="J37" s="443">
        <f t="shared" si="9"/>
        <v>0</v>
      </c>
      <c r="K37" s="459">
        <f t="shared" si="10"/>
        <v>0</v>
      </c>
      <c r="L37" s="495" t="e">
        <f t="shared" si="7"/>
        <v>#DIV/0!</v>
      </c>
      <c r="M37" s="464" t="e">
        <f t="shared" si="8"/>
        <v>#DIV/0!</v>
      </c>
      <c r="N37" s="366"/>
      <c r="O37" s="366"/>
      <c r="P37" s="446">
        <f t="shared" si="2"/>
        <v>0</v>
      </c>
      <c r="Q37" s="446"/>
      <c r="R37" s="446">
        <f t="shared" si="3"/>
        <v>0</v>
      </c>
      <c r="S37" s="647">
        <f t="shared" si="4"/>
        <v>0</v>
      </c>
    </row>
    <row r="38" spans="1:21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502">
        <f t="shared" si="0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0</v>
      </c>
      <c r="I38" s="499">
        <f>SUM($G$9:G38)/A38</f>
        <v>0</v>
      </c>
      <c r="J38" s="504">
        <f t="shared" si="9"/>
        <v>0</v>
      </c>
      <c r="K38" s="459">
        <f t="shared" si="10"/>
        <v>0</v>
      </c>
      <c r="L38" s="505" t="e">
        <f t="shared" si="7"/>
        <v>#DIV/0!</v>
      </c>
      <c r="M38" s="464" t="e">
        <f t="shared" si="8"/>
        <v>#DIV/0!</v>
      </c>
      <c r="N38" s="366"/>
      <c r="O38" s="446"/>
      <c r="P38" s="446">
        <f t="shared" ref="P38" si="11">O38</f>
        <v>0</v>
      </c>
      <c r="Q38" s="446"/>
      <c r="R38" s="446">
        <f t="shared" ref="R38" si="12">Q38</f>
        <v>0</v>
      </c>
      <c r="S38" s="647">
        <f t="shared" si="4"/>
        <v>0</v>
      </c>
    </row>
    <row r="39" spans="1:21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502">
        <f t="shared" si="0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0</v>
      </c>
      <c r="I39" s="499">
        <f>SUM($G$9:G39)/A39</f>
        <v>0</v>
      </c>
      <c r="J39" s="443">
        <f t="shared" si="9"/>
        <v>0</v>
      </c>
      <c r="K39" s="459">
        <f t="shared" si="10"/>
        <v>0</v>
      </c>
      <c r="L39" s="495" t="e">
        <f t="shared" si="7"/>
        <v>#DIV/0!</v>
      </c>
      <c r="M39" s="464" t="e">
        <f t="shared" si="8"/>
        <v>#DIV/0!</v>
      </c>
      <c r="N39" s="366"/>
      <c r="O39" s="446"/>
      <c r="P39" s="446">
        <f t="shared" ref="P39" si="13">O39</f>
        <v>0</v>
      </c>
      <c r="Q39" s="446"/>
      <c r="R39" s="446">
        <f t="shared" ref="R39" si="14">Q39</f>
        <v>0</v>
      </c>
      <c r="S39" s="647">
        <f t="shared" si="4"/>
        <v>0</v>
      </c>
    </row>
    <row r="40" spans="1:21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  <c r="T40" s="367"/>
      <c r="U40" s="367"/>
    </row>
    <row r="41" spans="1:21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21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21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21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21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21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21">
      <c r="D47" s="143"/>
      <c r="E47" s="143"/>
      <c r="F47" s="143"/>
      <c r="G47" s="143"/>
      <c r="H47" s="143"/>
      <c r="I47" s="143"/>
      <c r="J47" s="143"/>
      <c r="K47" s="143"/>
    </row>
    <row r="48" spans="1:21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L6:M6"/>
    <mergeCell ref="F6:G6"/>
    <mergeCell ref="J6:K6"/>
    <mergeCell ref="H6:I6"/>
    <mergeCell ref="B6:B7"/>
    <mergeCell ref="C6:C7"/>
    <mergeCell ref="A6:A7"/>
    <mergeCell ref="N6:N7"/>
  </mergeCells>
  <conditionalFormatting sqref="M9:M39">
    <cfRule type="cellIs" dxfId="12179" priority="469" operator="lessThan">
      <formula>15</formula>
    </cfRule>
    <cfRule type="cellIs" dxfId="12178" priority="470" operator="greaterThan">
      <formula>20</formula>
    </cfRule>
    <cfRule type="cellIs" dxfId="12177" priority="471" operator="between">
      <formula>15</formula>
      <formula>20</formula>
    </cfRule>
    <cfRule type="cellIs" dxfId="12176" priority="472" operator="between">
      <formula>15</formula>
      <formula>20</formula>
    </cfRule>
    <cfRule type="cellIs" dxfId="12175" priority="473" operator="lessThan">
      <formula>15</formula>
    </cfRule>
    <cfRule type="cellIs" dxfId="12174" priority="474" operator="greaterThan">
      <formula>20</formula>
    </cfRule>
    <cfRule type="cellIs" dxfId="12173" priority="475" operator="between">
      <formula>15</formula>
      <formula>21</formula>
    </cfRule>
    <cfRule type="cellIs" dxfId="12172" priority="476" operator="lessThan">
      <formula>15</formula>
    </cfRule>
    <cfRule type="cellIs" dxfId="12171" priority="477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7058"/>
  </sheetPr>
  <dimension ref="A1:AC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4" width="6.42578125" style="143" customWidth="1"/>
    <col min="15" max="18" width="10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5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tr">
        <f>J4</f>
        <v>NHÔM ÔXIT Al2O3-HNP</v>
      </c>
      <c r="D4" s="383"/>
      <c r="E4" s="383" t="s">
        <v>228</v>
      </c>
      <c r="F4" s="383" t="s">
        <v>229</v>
      </c>
      <c r="G4" s="383"/>
      <c r="H4" s="383"/>
      <c r="I4" s="383" t="s">
        <v>114</v>
      </c>
      <c r="J4" s="318" t="s">
        <v>322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621"/>
      <c r="U5" s="621"/>
      <c r="V5" s="621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621"/>
      <c r="U6" s="621"/>
      <c r="V6" s="621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621"/>
      <c r="U7" s="621"/>
      <c r="V7" s="621"/>
    </row>
    <row r="8" spans="1:29" s="305" customFormat="1" ht="12" customHeight="1">
      <c r="A8" s="1597" t="s">
        <v>3</v>
      </c>
      <c r="B8" s="1598"/>
      <c r="C8" s="1599"/>
      <c r="D8" s="387">
        <f>J8</f>
        <v>8211</v>
      </c>
      <c r="E8" s="388">
        <f>K8</f>
        <v>8211</v>
      </c>
      <c r="F8" s="389">
        <f>F40</f>
        <v>3986</v>
      </c>
      <c r="G8" s="388">
        <f>G40</f>
        <v>3986</v>
      </c>
      <c r="H8" s="387"/>
      <c r="I8" s="388"/>
      <c r="J8" s="624">
        <f>K8-K8*N8</f>
        <v>8211</v>
      </c>
      <c r="K8" s="324">
        <v>8211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240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349</v>
      </c>
      <c r="D9" s="502">
        <f>E9-E9*N9</f>
        <v>0</v>
      </c>
      <c r="E9" s="499"/>
      <c r="F9" s="446">
        <f>O9+Q9</f>
        <v>240</v>
      </c>
      <c r="G9" s="503">
        <f>P9+R9</f>
        <v>240</v>
      </c>
      <c r="H9" s="498">
        <f>SUM($F$9:F9)/A9</f>
        <v>240</v>
      </c>
      <c r="I9" s="499">
        <f>SUM($G$9:G9)/A9</f>
        <v>240</v>
      </c>
      <c r="J9" s="443">
        <f>J8+D9-F9</f>
        <v>7971</v>
      </c>
      <c r="K9" s="459">
        <f>K8+E9-G9</f>
        <v>7971</v>
      </c>
      <c r="L9" s="495">
        <f>J9/H9</f>
        <v>33.212499999999999</v>
      </c>
      <c r="M9" s="464">
        <f>K9/I9</f>
        <v>33.212499999999999</v>
      </c>
      <c r="N9" s="366"/>
      <c r="O9" s="446">
        <v>150</v>
      </c>
      <c r="P9" s="446">
        <f>O9</f>
        <v>150</v>
      </c>
      <c r="Q9" s="446">
        <v>90</v>
      </c>
      <c r="R9" s="446">
        <f>Q9</f>
        <v>90</v>
      </c>
      <c r="S9" s="647">
        <f>J9/$S$8</f>
        <v>33.212499999999999</v>
      </c>
      <c r="T9" s="305"/>
      <c r="U9" s="305"/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349</v>
      </c>
      <c r="D10" s="502">
        <f t="shared" ref="D10:D39" si="0">E10-E10*N10</f>
        <v>0</v>
      </c>
      <c r="E10" s="499"/>
      <c r="F10" s="446">
        <f t="shared" ref="F10:G39" si="1">O10+Q10</f>
        <v>150</v>
      </c>
      <c r="G10" s="503">
        <f t="shared" si="1"/>
        <v>150</v>
      </c>
      <c r="H10" s="498">
        <f>SUM($F$9:F10)/A10</f>
        <v>195</v>
      </c>
      <c r="I10" s="499">
        <f>SUM($G$9:G10)/A10</f>
        <v>195</v>
      </c>
      <c r="J10" s="443">
        <f>J9+D10-F10</f>
        <v>7821</v>
      </c>
      <c r="K10" s="459">
        <f t="shared" ref="K10:K39" si="2">K9+E10-G10</f>
        <v>7821</v>
      </c>
      <c r="L10" s="495">
        <f t="shared" ref="L10:L39" si="3">J10/H10</f>
        <v>40.107692307692311</v>
      </c>
      <c r="M10" s="464">
        <f t="shared" ref="M10:M39" si="4">K10/I10</f>
        <v>40.107692307692311</v>
      </c>
      <c r="N10" s="366"/>
      <c r="O10" s="446">
        <v>150</v>
      </c>
      <c r="P10" s="446">
        <f t="shared" ref="P10:P39" si="5">O10</f>
        <v>150</v>
      </c>
      <c r="Q10" s="446"/>
      <c r="R10" s="446">
        <f t="shared" ref="R10:R39" si="6">Q10</f>
        <v>0</v>
      </c>
      <c r="S10" s="647">
        <f t="shared" ref="S10:S39" si="7">J10/$S$8</f>
        <v>32.587499999999999</v>
      </c>
      <c r="T10" s="305"/>
      <c r="U10" s="305"/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502">
        <f t="shared" si="0"/>
        <v>0</v>
      </c>
      <c r="E11" s="499"/>
      <c r="F11" s="446">
        <f t="shared" si="1"/>
        <v>180</v>
      </c>
      <c r="G11" s="503">
        <f t="shared" si="1"/>
        <v>180</v>
      </c>
      <c r="H11" s="498">
        <f>SUM($F$9:F11)/A11</f>
        <v>190</v>
      </c>
      <c r="I11" s="499">
        <f>SUM($G$9:G11)/A11</f>
        <v>190</v>
      </c>
      <c r="J11" s="443">
        <f t="shared" ref="J11:J39" si="8">J10+D11-F11</f>
        <v>7641</v>
      </c>
      <c r="K11" s="459">
        <f t="shared" si="2"/>
        <v>7641</v>
      </c>
      <c r="L11" s="495">
        <f t="shared" si="3"/>
        <v>40.215789473684211</v>
      </c>
      <c r="M11" s="464">
        <f t="shared" si="4"/>
        <v>40.215789473684211</v>
      </c>
      <c r="N11" s="366"/>
      <c r="O11" s="446">
        <v>90</v>
      </c>
      <c r="P11" s="446">
        <f t="shared" si="5"/>
        <v>90</v>
      </c>
      <c r="Q11" s="446">
        <v>90</v>
      </c>
      <c r="R11" s="446">
        <f t="shared" si="6"/>
        <v>90</v>
      </c>
      <c r="S11" s="647">
        <f t="shared" si="7"/>
        <v>31.837499999999999</v>
      </c>
      <c r="T11" s="305"/>
      <c r="U11" s="305"/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349</v>
      </c>
      <c r="D12" s="502">
        <f t="shared" si="0"/>
        <v>0</v>
      </c>
      <c r="E12" s="499"/>
      <c r="F12" s="446">
        <f t="shared" si="1"/>
        <v>240</v>
      </c>
      <c r="G12" s="503">
        <f t="shared" si="1"/>
        <v>240</v>
      </c>
      <c r="H12" s="498">
        <f>SUM($F$9:F12)/A12</f>
        <v>202.5</v>
      </c>
      <c r="I12" s="499">
        <f>SUM($G$9:G12)/A12</f>
        <v>202.5</v>
      </c>
      <c r="J12" s="443">
        <f t="shared" si="8"/>
        <v>7401</v>
      </c>
      <c r="K12" s="459">
        <f t="shared" si="2"/>
        <v>7401</v>
      </c>
      <c r="L12" s="495">
        <f t="shared" si="3"/>
        <v>36.548148148148151</v>
      </c>
      <c r="M12" s="464">
        <f t="shared" si="4"/>
        <v>36.548148148148151</v>
      </c>
      <c r="N12" s="366"/>
      <c r="O12" s="446">
        <v>150</v>
      </c>
      <c r="P12" s="446">
        <f t="shared" si="5"/>
        <v>150</v>
      </c>
      <c r="Q12" s="446">
        <v>90</v>
      </c>
      <c r="R12" s="446">
        <f t="shared" si="6"/>
        <v>90</v>
      </c>
      <c r="S12" s="647">
        <f t="shared" si="7"/>
        <v>30.837499999999999</v>
      </c>
      <c r="T12" s="305"/>
      <c r="U12" s="305"/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349</v>
      </c>
      <c r="D13" s="502">
        <f t="shared" si="0"/>
        <v>0</v>
      </c>
      <c r="E13" s="499"/>
      <c r="F13" s="446">
        <f t="shared" si="1"/>
        <v>180</v>
      </c>
      <c r="G13" s="503">
        <f t="shared" si="1"/>
        <v>180</v>
      </c>
      <c r="H13" s="504">
        <f>SUM($F$9:F13)/A13</f>
        <v>198</v>
      </c>
      <c r="I13" s="499">
        <f>SUM($G$9:G13)/A13</f>
        <v>198</v>
      </c>
      <c r="J13" s="504">
        <f t="shared" si="8"/>
        <v>7221</v>
      </c>
      <c r="K13" s="459">
        <f t="shared" si="2"/>
        <v>7221</v>
      </c>
      <c r="L13" s="505">
        <f t="shared" si="3"/>
        <v>36.469696969696969</v>
      </c>
      <c r="M13" s="464">
        <f t="shared" si="4"/>
        <v>36.469696969696969</v>
      </c>
      <c r="N13" s="366"/>
      <c r="O13" s="446">
        <v>90</v>
      </c>
      <c r="P13" s="446">
        <f t="shared" si="5"/>
        <v>90</v>
      </c>
      <c r="Q13" s="446">
        <v>90</v>
      </c>
      <c r="R13" s="446">
        <f t="shared" si="6"/>
        <v>90</v>
      </c>
      <c r="S13" s="647">
        <f t="shared" si="7"/>
        <v>30.087499999999999</v>
      </c>
      <c r="T13" s="305"/>
      <c r="U13" s="305"/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349</v>
      </c>
      <c r="D14" s="502">
        <f t="shared" si="0"/>
        <v>0</v>
      </c>
      <c r="E14" s="499"/>
      <c r="F14" s="446">
        <f t="shared" si="1"/>
        <v>240</v>
      </c>
      <c r="G14" s="503">
        <f t="shared" si="1"/>
        <v>240</v>
      </c>
      <c r="H14" s="498">
        <f>SUM($F$9:F14)/A14</f>
        <v>205</v>
      </c>
      <c r="I14" s="499">
        <f>SUM($G$9:G14)/A14</f>
        <v>205</v>
      </c>
      <c r="J14" s="443">
        <f t="shared" si="8"/>
        <v>6981</v>
      </c>
      <c r="K14" s="459">
        <f t="shared" si="2"/>
        <v>6981</v>
      </c>
      <c r="L14" s="495">
        <f t="shared" si="3"/>
        <v>34.053658536585367</v>
      </c>
      <c r="M14" s="464">
        <f t="shared" si="4"/>
        <v>34.053658536585367</v>
      </c>
      <c r="N14" s="366"/>
      <c r="O14" s="446">
        <v>150</v>
      </c>
      <c r="P14" s="446">
        <f t="shared" si="5"/>
        <v>150</v>
      </c>
      <c r="Q14" s="446">
        <v>90</v>
      </c>
      <c r="R14" s="446">
        <f t="shared" si="6"/>
        <v>90</v>
      </c>
      <c r="S14" s="647">
        <f t="shared" si="7"/>
        <v>29.087499999999999</v>
      </c>
      <c r="T14" s="305"/>
      <c r="U14" s="305"/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349</v>
      </c>
      <c r="D15" s="502">
        <f t="shared" si="0"/>
        <v>0</v>
      </c>
      <c r="E15" s="499"/>
      <c r="F15" s="446">
        <f t="shared" si="1"/>
        <v>240</v>
      </c>
      <c r="G15" s="503">
        <f t="shared" si="1"/>
        <v>240</v>
      </c>
      <c r="H15" s="498">
        <f>SUM($F$9:F15)/A15</f>
        <v>210</v>
      </c>
      <c r="I15" s="499">
        <f>SUM($G$9:G15)/A15</f>
        <v>210</v>
      </c>
      <c r="J15" s="443">
        <f t="shared" si="8"/>
        <v>6741</v>
      </c>
      <c r="K15" s="459">
        <f t="shared" si="2"/>
        <v>6741</v>
      </c>
      <c r="L15" s="495">
        <f t="shared" si="3"/>
        <v>32.1</v>
      </c>
      <c r="M15" s="464">
        <f t="shared" si="4"/>
        <v>32.1</v>
      </c>
      <c r="N15" s="366"/>
      <c r="O15" s="446">
        <v>150</v>
      </c>
      <c r="P15" s="446">
        <f t="shared" si="5"/>
        <v>150</v>
      </c>
      <c r="Q15" s="446">
        <v>90</v>
      </c>
      <c r="R15" s="446">
        <f t="shared" si="6"/>
        <v>90</v>
      </c>
      <c r="S15" s="647">
        <f t="shared" si="7"/>
        <v>28.087499999999999</v>
      </c>
      <c r="T15" s="305"/>
      <c r="U15" s="305"/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349</v>
      </c>
      <c r="D16" s="502">
        <f t="shared" si="0"/>
        <v>0</v>
      </c>
      <c r="E16" s="499"/>
      <c r="F16" s="446">
        <f t="shared" si="1"/>
        <v>240</v>
      </c>
      <c r="G16" s="503">
        <f t="shared" si="1"/>
        <v>240</v>
      </c>
      <c r="H16" s="498">
        <f>SUM($F$9:F16)/A16</f>
        <v>213.75</v>
      </c>
      <c r="I16" s="499">
        <f>SUM($G$9:G16)/A16</f>
        <v>213.75</v>
      </c>
      <c r="J16" s="443">
        <f t="shared" si="8"/>
        <v>6501</v>
      </c>
      <c r="K16" s="459">
        <f t="shared" si="2"/>
        <v>6501</v>
      </c>
      <c r="L16" s="495">
        <f t="shared" si="3"/>
        <v>30.414035087719299</v>
      </c>
      <c r="M16" s="464">
        <f t="shared" si="4"/>
        <v>30.414035087719299</v>
      </c>
      <c r="N16" s="366"/>
      <c r="O16" s="446">
        <v>150</v>
      </c>
      <c r="P16" s="446">
        <f t="shared" si="5"/>
        <v>150</v>
      </c>
      <c r="Q16" s="446">
        <v>90</v>
      </c>
      <c r="R16" s="446">
        <f t="shared" si="6"/>
        <v>90</v>
      </c>
      <c r="S16" s="647">
        <f t="shared" si="7"/>
        <v>27.087499999999999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31" t="s">
        <v>349</v>
      </c>
      <c r="D17" s="502">
        <f t="shared" si="0"/>
        <v>0</v>
      </c>
      <c r="E17" s="499"/>
      <c r="F17" s="446">
        <f t="shared" si="1"/>
        <v>180</v>
      </c>
      <c r="G17" s="503">
        <f t="shared" si="1"/>
        <v>180</v>
      </c>
      <c r="H17" s="498">
        <f>SUM($F$9:F17)/A17</f>
        <v>210</v>
      </c>
      <c r="I17" s="499">
        <f>SUM($G$9:G17)/A17</f>
        <v>210</v>
      </c>
      <c r="J17" s="443">
        <f t="shared" si="8"/>
        <v>6321</v>
      </c>
      <c r="K17" s="459">
        <f t="shared" si="2"/>
        <v>6321</v>
      </c>
      <c r="L17" s="495">
        <f t="shared" si="3"/>
        <v>30.1</v>
      </c>
      <c r="M17" s="464">
        <f t="shared" si="4"/>
        <v>30.1</v>
      </c>
      <c r="N17" s="366"/>
      <c r="O17" s="446">
        <v>90</v>
      </c>
      <c r="P17" s="446">
        <f t="shared" si="5"/>
        <v>90</v>
      </c>
      <c r="Q17" s="446">
        <v>90</v>
      </c>
      <c r="R17" s="446">
        <f t="shared" si="6"/>
        <v>90</v>
      </c>
      <c r="S17" s="647">
        <f t="shared" si="7"/>
        <v>26.337499999999999</v>
      </c>
      <c r="T17" s="305"/>
      <c r="U17" s="305"/>
    </row>
    <row r="18" spans="1:21" s="367" customFormat="1" ht="12" customHeight="1">
      <c r="A18" s="504">
        <v>10</v>
      </c>
      <c r="B18" s="365">
        <f>'FRIT HGE91-FHG'!B18</f>
        <v>46244</v>
      </c>
      <c r="C18" s="331" t="s">
        <v>349</v>
      </c>
      <c r="D18" s="502">
        <f t="shared" si="0"/>
        <v>0</v>
      </c>
      <c r="E18" s="499"/>
      <c r="F18" s="446">
        <f t="shared" si="1"/>
        <v>240</v>
      </c>
      <c r="G18" s="503">
        <f t="shared" si="1"/>
        <v>240</v>
      </c>
      <c r="H18" s="504">
        <f>SUM($F$9:F18)/A18</f>
        <v>213</v>
      </c>
      <c r="I18" s="499">
        <f>SUM($G$9:G18)/A18</f>
        <v>213</v>
      </c>
      <c r="J18" s="504">
        <f t="shared" si="8"/>
        <v>6081</v>
      </c>
      <c r="K18" s="459">
        <f t="shared" si="2"/>
        <v>6081</v>
      </c>
      <c r="L18" s="505">
        <f t="shared" si="3"/>
        <v>28.549295774647888</v>
      </c>
      <c r="M18" s="464">
        <f t="shared" si="4"/>
        <v>28.549295774647888</v>
      </c>
      <c r="N18" s="366"/>
      <c r="O18" s="446">
        <v>150</v>
      </c>
      <c r="P18" s="446">
        <f t="shared" si="5"/>
        <v>150</v>
      </c>
      <c r="Q18" s="446">
        <v>90</v>
      </c>
      <c r="R18" s="446">
        <f t="shared" si="6"/>
        <v>90</v>
      </c>
      <c r="S18" s="647">
        <f t="shared" si="7"/>
        <v>25.337499999999999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31" t="s">
        <v>349</v>
      </c>
      <c r="D19" s="502">
        <f t="shared" si="0"/>
        <v>0</v>
      </c>
      <c r="E19" s="499"/>
      <c r="F19" s="446">
        <f t="shared" si="1"/>
        <v>296</v>
      </c>
      <c r="G19" s="503">
        <f t="shared" si="1"/>
        <v>296</v>
      </c>
      <c r="H19" s="498">
        <f>SUM($F$9:F19)/A19</f>
        <v>220.54545454545453</v>
      </c>
      <c r="I19" s="499">
        <f>SUM($G$9:G19)/A19</f>
        <v>220.54545454545453</v>
      </c>
      <c r="J19" s="443">
        <f t="shared" si="8"/>
        <v>5785</v>
      </c>
      <c r="K19" s="459">
        <f t="shared" si="2"/>
        <v>5785</v>
      </c>
      <c r="L19" s="495">
        <f t="shared" si="3"/>
        <v>26.230420445177248</v>
      </c>
      <c r="M19" s="464">
        <f t="shared" si="4"/>
        <v>26.230420445177248</v>
      </c>
      <c r="N19" s="366"/>
      <c r="O19" s="446">
        <v>150</v>
      </c>
      <c r="P19" s="446">
        <f t="shared" si="5"/>
        <v>150</v>
      </c>
      <c r="Q19" s="446">
        <f>90+56</f>
        <v>146</v>
      </c>
      <c r="R19" s="446">
        <f t="shared" si="6"/>
        <v>146</v>
      </c>
      <c r="S19" s="647">
        <f t="shared" si="7"/>
        <v>24.104166666666668</v>
      </c>
      <c r="T19" s="305"/>
      <c r="U19" s="305"/>
    </row>
    <row r="20" spans="1:21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0"/>
        <v>0</v>
      </c>
      <c r="E20" s="499"/>
      <c r="F20" s="446">
        <f t="shared" si="1"/>
        <v>240</v>
      </c>
      <c r="G20" s="503">
        <f t="shared" si="1"/>
        <v>240</v>
      </c>
      <c r="H20" s="498">
        <f>SUM($F$9:F20)/A20</f>
        <v>222.16666666666666</v>
      </c>
      <c r="I20" s="499">
        <f>SUM($G$9:G20)/A20</f>
        <v>222.16666666666666</v>
      </c>
      <c r="J20" s="443">
        <f t="shared" si="8"/>
        <v>5545</v>
      </c>
      <c r="K20" s="459">
        <f t="shared" si="2"/>
        <v>5545</v>
      </c>
      <c r="L20" s="495">
        <f t="shared" si="3"/>
        <v>24.95873968492123</v>
      </c>
      <c r="M20" s="464">
        <f t="shared" si="4"/>
        <v>24.95873968492123</v>
      </c>
      <c r="N20" s="366"/>
      <c r="O20" s="446">
        <v>90</v>
      </c>
      <c r="P20" s="446">
        <f t="shared" si="5"/>
        <v>90</v>
      </c>
      <c r="Q20" s="446">
        <f>150</f>
        <v>150</v>
      </c>
      <c r="R20" s="446">
        <f t="shared" si="6"/>
        <v>150</v>
      </c>
      <c r="S20" s="647">
        <f t="shared" si="7"/>
        <v>23.104166666666668</v>
      </c>
      <c r="T20" s="305"/>
      <c r="U20" s="305"/>
    </row>
    <row r="21" spans="1:21" s="367" customFormat="1" ht="11.25" customHeight="1">
      <c r="A21" s="364">
        <v>13</v>
      </c>
      <c r="B21" s="365">
        <f>'FRIT HGE91-FHG'!B21</f>
        <v>46247</v>
      </c>
      <c r="C21" s="331" t="s">
        <v>349</v>
      </c>
      <c r="D21" s="502">
        <f t="shared" si="0"/>
        <v>0</v>
      </c>
      <c r="E21" s="499"/>
      <c r="F21" s="446">
        <f t="shared" si="1"/>
        <v>240</v>
      </c>
      <c r="G21" s="503">
        <f t="shared" si="1"/>
        <v>240</v>
      </c>
      <c r="H21" s="498">
        <f>SUM($F$9:F21)/A21</f>
        <v>223.53846153846155</v>
      </c>
      <c r="I21" s="499">
        <f>SUM($G$9:G21)/A21</f>
        <v>223.53846153846155</v>
      </c>
      <c r="J21" s="443">
        <f t="shared" si="8"/>
        <v>5305</v>
      </c>
      <c r="K21" s="459">
        <f t="shared" si="2"/>
        <v>5305</v>
      </c>
      <c r="L21" s="495">
        <f t="shared" si="3"/>
        <v>23.731933929800412</v>
      </c>
      <c r="M21" s="464">
        <f t="shared" si="4"/>
        <v>23.731933929800412</v>
      </c>
      <c r="N21" s="366"/>
      <c r="O21" s="446">
        <v>150</v>
      </c>
      <c r="P21" s="446">
        <f t="shared" si="5"/>
        <v>150</v>
      </c>
      <c r="Q21" s="446">
        <v>90</v>
      </c>
      <c r="R21" s="446">
        <f t="shared" si="6"/>
        <v>90</v>
      </c>
      <c r="S21" s="647">
        <f t="shared" si="7"/>
        <v>22.104166666666668</v>
      </c>
      <c r="T21" s="305"/>
      <c r="U21" s="305"/>
    </row>
    <row r="22" spans="1:21" s="367" customFormat="1" ht="12" customHeight="1">
      <c r="A22" s="364">
        <v>14</v>
      </c>
      <c r="B22" s="365">
        <f>'FRIT HGE91-FHG'!B22</f>
        <v>46248</v>
      </c>
      <c r="C22" s="331" t="s">
        <v>349</v>
      </c>
      <c r="D22" s="502">
        <f t="shared" si="0"/>
        <v>0</v>
      </c>
      <c r="E22" s="499"/>
      <c r="F22" s="446">
        <f t="shared" si="1"/>
        <v>300</v>
      </c>
      <c r="G22" s="503">
        <f t="shared" si="1"/>
        <v>300</v>
      </c>
      <c r="H22" s="498">
        <f>SUM($F$9:F22)/A22</f>
        <v>229</v>
      </c>
      <c r="I22" s="499">
        <f>SUM($G$9:G22)/A22</f>
        <v>229</v>
      </c>
      <c r="J22" s="443">
        <f t="shared" si="8"/>
        <v>5005</v>
      </c>
      <c r="K22" s="459">
        <f t="shared" si="2"/>
        <v>5005</v>
      </c>
      <c r="L22" s="495">
        <f t="shared" si="3"/>
        <v>21.855895196506552</v>
      </c>
      <c r="M22" s="464">
        <f t="shared" si="4"/>
        <v>21.855895196506552</v>
      </c>
      <c r="N22" s="366"/>
      <c r="O22" s="446">
        <v>150</v>
      </c>
      <c r="P22" s="446">
        <f t="shared" si="5"/>
        <v>150</v>
      </c>
      <c r="Q22" s="446">
        <v>150</v>
      </c>
      <c r="R22" s="446">
        <f t="shared" si="6"/>
        <v>150</v>
      </c>
      <c r="S22" s="647">
        <f t="shared" si="7"/>
        <v>20.854166666666668</v>
      </c>
      <c r="T22" s="305"/>
      <c r="U22" s="305"/>
    </row>
    <row r="23" spans="1:21" s="367" customFormat="1" ht="12" customHeight="1">
      <c r="A23" s="504">
        <v>15</v>
      </c>
      <c r="B23" s="365">
        <f>'FRIT HGE91-FHG'!B23</f>
        <v>46249</v>
      </c>
      <c r="C23" s="331" t="s">
        <v>349</v>
      </c>
      <c r="D23" s="502">
        <f t="shared" si="0"/>
        <v>5000</v>
      </c>
      <c r="E23" s="499">
        <v>5000</v>
      </c>
      <c r="F23" s="446">
        <f t="shared" si="1"/>
        <v>240</v>
      </c>
      <c r="G23" s="503">
        <f t="shared" si="1"/>
        <v>240</v>
      </c>
      <c r="H23" s="504">
        <f>SUM($F$9:F23)/A23</f>
        <v>229.73333333333332</v>
      </c>
      <c r="I23" s="499">
        <f>SUM($G$9:G23)/A23</f>
        <v>229.73333333333332</v>
      </c>
      <c r="J23" s="504">
        <f t="shared" si="8"/>
        <v>9765</v>
      </c>
      <c r="K23" s="459">
        <f t="shared" si="2"/>
        <v>9765</v>
      </c>
      <c r="L23" s="505">
        <f t="shared" si="3"/>
        <v>42.505803830528151</v>
      </c>
      <c r="M23" s="464">
        <f t="shared" si="4"/>
        <v>42.505803830528151</v>
      </c>
      <c r="N23" s="366"/>
      <c r="O23" s="446">
        <v>90</v>
      </c>
      <c r="P23" s="446">
        <f t="shared" si="5"/>
        <v>90</v>
      </c>
      <c r="Q23" s="446">
        <v>150</v>
      </c>
      <c r="R23" s="446">
        <f t="shared" si="6"/>
        <v>150</v>
      </c>
      <c r="S23" s="647">
        <f t="shared" si="7"/>
        <v>40.6875</v>
      </c>
      <c r="T23" s="305"/>
      <c r="U23" s="305"/>
    </row>
    <row r="24" spans="1:21" s="367" customFormat="1" ht="12" customHeight="1">
      <c r="A24" s="364">
        <v>16</v>
      </c>
      <c r="B24" s="365">
        <f>'FRIT HGE91-FHG'!B24</f>
        <v>46250</v>
      </c>
      <c r="C24" s="331" t="s">
        <v>349</v>
      </c>
      <c r="D24" s="502">
        <f t="shared" si="0"/>
        <v>0</v>
      </c>
      <c r="E24" s="499"/>
      <c r="F24" s="446">
        <f t="shared" si="1"/>
        <v>300</v>
      </c>
      <c r="G24" s="503">
        <f t="shared" si="1"/>
        <v>300</v>
      </c>
      <c r="H24" s="498">
        <f>SUM($F$9:F24)/A24</f>
        <v>234.125</v>
      </c>
      <c r="I24" s="499">
        <f>SUM($G$9:G24)/A24</f>
        <v>234.125</v>
      </c>
      <c r="J24" s="443">
        <f t="shared" si="8"/>
        <v>9465</v>
      </c>
      <c r="K24" s="459">
        <f t="shared" si="2"/>
        <v>9465</v>
      </c>
      <c r="L24" s="495">
        <f t="shared" si="3"/>
        <v>40.427122263747997</v>
      </c>
      <c r="M24" s="464">
        <f t="shared" si="4"/>
        <v>40.427122263747997</v>
      </c>
      <c r="N24" s="366"/>
      <c r="O24" s="446">
        <v>150</v>
      </c>
      <c r="P24" s="446">
        <f t="shared" si="5"/>
        <v>150</v>
      </c>
      <c r="Q24" s="446">
        <v>150</v>
      </c>
      <c r="R24" s="446">
        <f t="shared" si="6"/>
        <v>150</v>
      </c>
      <c r="S24" s="647">
        <f t="shared" si="7"/>
        <v>39.4375</v>
      </c>
    </row>
    <row r="25" spans="1:21" s="367" customFormat="1" ht="12" customHeight="1">
      <c r="A25" s="364">
        <v>17</v>
      </c>
      <c r="B25" s="365">
        <f>'FRIT HGE91-FHG'!B25</f>
        <v>46251</v>
      </c>
      <c r="C25" s="331" t="s">
        <v>349</v>
      </c>
      <c r="D25" s="502">
        <f t="shared" si="0"/>
        <v>0</v>
      </c>
      <c r="E25" s="499"/>
      <c r="F25" s="446">
        <f t="shared" si="1"/>
        <v>240</v>
      </c>
      <c r="G25" s="503">
        <f t="shared" si="1"/>
        <v>240</v>
      </c>
      <c r="H25" s="498">
        <f>SUM($F$9:F25)/A25</f>
        <v>234.47058823529412</v>
      </c>
      <c r="I25" s="499">
        <f>SUM($G$9:G25)/A25</f>
        <v>234.47058823529412</v>
      </c>
      <c r="J25" s="443">
        <f t="shared" si="8"/>
        <v>9225</v>
      </c>
      <c r="K25" s="459">
        <f t="shared" si="2"/>
        <v>9225</v>
      </c>
      <c r="L25" s="495">
        <f t="shared" si="3"/>
        <v>39.343953838434523</v>
      </c>
      <c r="M25" s="464">
        <f t="shared" si="4"/>
        <v>39.343953838434523</v>
      </c>
      <c r="N25" s="366"/>
      <c r="O25" s="446">
        <v>90</v>
      </c>
      <c r="P25" s="446">
        <f t="shared" si="5"/>
        <v>90</v>
      </c>
      <c r="Q25" s="446">
        <v>150</v>
      </c>
      <c r="R25" s="446">
        <f t="shared" si="6"/>
        <v>150</v>
      </c>
      <c r="S25" s="647">
        <f t="shared" si="7"/>
        <v>38.4375</v>
      </c>
    </row>
    <row r="26" spans="1:21" s="367" customFormat="1" ht="12" customHeight="1">
      <c r="A26" s="364">
        <v>18</v>
      </c>
      <c r="B26" s="365">
        <f>'FRIT HGE91-FHG'!B26</f>
        <v>46252</v>
      </c>
      <c r="C26" s="331" t="s">
        <v>349</v>
      </c>
      <c r="D26" s="502">
        <f t="shared" si="0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221.44444444444446</v>
      </c>
      <c r="I26" s="499">
        <f>SUM($G$9:G26)/A26</f>
        <v>221.44444444444446</v>
      </c>
      <c r="J26" s="443">
        <f t="shared" si="8"/>
        <v>9225</v>
      </c>
      <c r="K26" s="459">
        <f t="shared" si="2"/>
        <v>9225</v>
      </c>
      <c r="L26" s="495">
        <f t="shared" si="3"/>
        <v>41.658304064224787</v>
      </c>
      <c r="M26" s="464">
        <f t="shared" si="4"/>
        <v>41.658304064224787</v>
      </c>
      <c r="N26" s="366"/>
      <c r="O26" s="446"/>
      <c r="P26" s="446">
        <f t="shared" si="5"/>
        <v>0</v>
      </c>
      <c r="Q26" s="446"/>
      <c r="R26" s="446">
        <f t="shared" si="6"/>
        <v>0</v>
      </c>
      <c r="S26" s="647">
        <f t="shared" si="7"/>
        <v>38.4375</v>
      </c>
    </row>
    <row r="27" spans="1:21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0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209.78947368421052</v>
      </c>
      <c r="I27" s="499">
        <f>SUM($G$9:G27)/A27</f>
        <v>209.78947368421052</v>
      </c>
      <c r="J27" s="443">
        <f t="shared" si="8"/>
        <v>9225</v>
      </c>
      <c r="K27" s="459">
        <f t="shared" si="2"/>
        <v>9225</v>
      </c>
      <c r="L27" s="495">
        <f t="shared" si="3"/>
        <v>43.972654290015051</v>
      </c>
      <c r="M27" s="464">
        <f t="shared" si="4"/>
        <v>43.972654290015051</v>
      </c>
      <c r="N27" s="366"/>
      <c r="O27" s="446"/>
      <c r="P27" s="446">
        <f t="shared" si="5"/>
        <v>0</v>
      </c>
      <c r="Q27" s="446"/>
      <c r="R27" s="446">
        <f t="shared" si="6"/>
        <v>0</v>
      </c>
      <c r="S27" s="647">
        <f t="shared" si="7"/>
        <v>38.4375</v>
      </c>
    </row>
    <row r="28" spans="1:21" s="367" customFormat="1" ht="12" customHeight="1">
      <c r="A28" s="504">
        <v>20</v>
      </c>
      <c r="B28" s="365">
        <f>'FRIT HGE91-FHG'!B28</f>
        <v>46254</v>
      </c>
      <c r="C28" s="331" t="s">
        <v>349</v>
      </c>
      <c r="D28" s="502">
        <f t="shared" si="0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199.3</v>
      </c>
      <c r="I28" s="499">
        <f>SUM($G$9:G28)/A28</f>
        <v>199.3</v>
      </c>
      <c r="J28" s="504">
        <f t="shared" si="8"/>
        <v>9225</v>
      </c>
      <c r="K28" s="459">
        <f t="shared" si="2"/>
        <v>9225</v>
      </c>
      <c r="L28" s="505">
        <f t="shared" si="3"/>
        <v>46.287004515805314</v>
      </c>
      <c r="M28" s="464">
        <f t="shared" si="4"/>
        <v>46.287004515805314</v>
      </c>
      <c r="N28" s="366"/>
      <c r="O28" s="446"/>
      <c r="P28" s="446">
        <f t="shared" si="5"/>
        <v>0</v>
      </c>
      <c r="Q28" s="446"/>
      <c r="R28" s="446">
        <f t="shared" si="6"/>
        <v>0</v>
      </c>
      <c r="S28" s="647">
        <f t="shared" si="7"/>
        <v>38.4375</v>
      </c>
    </row>
    <row r="29" spans="1:21" s="367" customFormat="1" ht="12" customHeight="1">
      <c r="A29" s="364">
        <v>21</v>
      </c>
      <c r="B29" s="365">
        <f>'FRIT HGE91-FHG'!B29</f>
        <v>46255</v>
      </c>
      <c r="C29" s="331" t="s">
        <v>349</v>
      </c>
      <c r="D29" s="502">
        <f t="shared" si="0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189.8095238095238</v>
      </c>
      <c r="I29" s="499">
        <f>SUM($G$9:G29)/A29</f>
        <v>189.8095238095238</v>
      </c>
      <c r="J29" s="443">
        <f t="shared" si="8"/>
        <v>9225</v>
      </c>
      <c r="K29" s="459">
        <f t="shared" si="2"/>
        <v>9225</v>
      </c>
      <c r="L29" s="495">
        <f t="shared" si="3"/>
        <v>48.601354741595586</v>
      </c>
      <c r="M29" s="464">
        <f t="shared" si="4"/>
        <v>48.601354741595586</v>
      </c>
      <c r="N29" s="366"/>
      <c r="O29" s="446"/>
      <c r="P29" s="446">
        <f t="shared" si="5"/>
        <v>0</v>
      </c>
      <c r="Q29" s="446"/>
      <c r="R29" s="446">
        <f t="shared" si="6"/>
        <v>0</v>
      </c>
      <c r="S29" s="647">
        <f t="shared" si="7"/>
        <v>38.4375</v>
      </c>
    </row>
    <row r="30" spans="1:21" s="367" customFormat="1" ht="12" customHeight="1">
      <c r="A30" s="364">
        <v>22</v>
      </c>
      <c r="B30" s="365">
        <f>'FRIT HGE91-FHG'!B30</f>
        <v>46256</v>
      </c>
      <c r="C30" s="331" t="s">
        <v>349</v>
      </c>
      <c r="D30" s="502">
        <f t="shared" si="0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181.18181818181819</v>
      </c>
      <c r="I30" s="499">
        <f>SUM($G$9:G30)/A30</f>
        <v>181.18181818181819</v>
      </c>
      <c r="J30" s="443">
        <f t="shared" si="8"/>
        <v>9225</v>
      </c>
      <c r="K30" s="459">
        <f t="shared" si="2"/>
        <v>9225</v>
      </c>
      <c r="L30" s="495">
        <f t="shared" si="3"/>
        <v>50.915704967385849</v>
      </c>
      <c r="M30" s="464">
        <f t="shared" si="4"/>
        <v>50.915704967385849</v>
      </c>
      <c r="N30" s="366"/>
      <c r="O30" s="446"/>
      <c r="P30" s="446">
        <f t="shared" si="5"/>
        <v>0</v>
      </c>
      <c r="Q30" s="446"/>
      <c r="R30" s="446">
        <f t="shared" si="6"/>
        <v>0</v>
      </c>
      <c r="S30" s="647">
        <f t="shared" si="7"/>
        <v>38.4375</v>
      </c>
    </row>
    <row r="31" spans="1:21" s="367" customFormat="1" ht="12" customHeight="1">
      <c r="A31" s="364">
        <v>23</v>
      </c>
      <c r="B31" s="365">
        <f>'FRIT HGE91-FHG'!B31</f>
        <v>46257</v>
      </c>
      <c r="C31" s="331" t="s">
        <v>349</v>
      </c>
      <c r="D31" s="502">
        <f t="shared" si="0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173.30434782608697</v>
      </c>
      <c r="I31" s="499">
        <f>SUM($G$9:G31)/A31</f>
        <v>173.30434782608697</v>
      </c>
      <c r="J31" s="443">
        <f t="shared" si="8"/>
        <v>9225</v>
      </c>
      <c r="K31" s="459">
        <f t="shared" si="2"/>
        <v>9225</v>
      </c>
      <c r="L31" s="495">
        <f t="shared" si="3"/>
        <v>53.230055193176113</v>
      </c>
      <c r="M31" s="464">
        <f t="shared" si="4"/>
        <v>53.230055193176113</v>
      </c>
      <c r="N31" s="366"/>
      <c r="O31" s="446"/>
      <c r="P31" s="446">
        <f t="shared" si="5"/>
        <v>0</v>
      </c>
      <c r="Q31" s="446"/>
      <c r="R31" s="446">
        <f t="shared" si="6"/>
        <v>0</v>
      </c>
      <c r="S31" s="647">
        <f t="shared" si="7"/>
        <v>38.4375</v>
      </c>
    </row>
    <row r="32" spans="1:21" s="367" customFormat="1" ht="12" customHeight="1">
      <c r="A32" s="364">
        <v>24</v>
      </c>
      <c r="B32" s="365">
        <f>'FRIT HGE91-FHG'!B32</f>
        <v>46258</v>
      </c>
      <c r="C32" s="331" t="s">
        <v>349</v>
      </c>
      <c r="D32" s="502">
        <f t="shared" si="0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166.08333333333334</v>
      </c>
      <c r="I32" s="499">
        <f>SUM($G$9:G32)/A32</f>
        <v>166.08333333333334</v>
      </c>
      <c r="J32" s="443">
        <f t="shared" si="8"/>
        <v>9225</v>
      </c>
      <c r="K32" s="459">
        <f t="shared" si="2"/>
        <v>9225</v>
      </c>
      <c r="L32" s="495">
        <f t="shared" si="3"/>
        <v>55.544405418966377</v>
      </c>
      <c r="M32" s="464">
        <f t="shared" si="4"/>
        <v>55.544405418966377</v>
      </c>
      <c r="N32" s="366"/>
      <c r="O32" s="446"/>
      <c r="P32" s="446">
        <f t="shared" si="5"/>
        <v>0</v>
      </c>
      <c r="Q32" s="446"/>
      <c r="R32" s="446">
        <f t="shared" si="6"/>
        <v>0</v>
      </c>
      <c r="S32" s="647">
        <f t="shared" si="7"/>
        <v>38.4375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0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159.44</v>
      </c>
      <c r="I33" s="499">
        <f>SUM($G$9:G33)/A33</f>
        <v>159.44</v>
      </c>
      <c r="J33" s="460">
        <f t="shared" si="8"/>
        <v>9225</v>
      </c>
      <c r="K33" s="459">
        <f t="shared" si="2"/>
        <v>9225</v>
      </c>
      <c r="L33" s="506">
        <f t="shared" si="3"/>
        <v>57.858755644756648</v>
      </c>
      <c r="M33" s="464">
        <f t="shared" si="4"/>
        <v>57.858755644756648</v>
      </c>
      <c r="N33" s="366"/>
      <c r="O33" s="446"/>
      <c r="P33" s="446">
        <f t="shared" si="5"/>
        <v>0</v>
      </c>
      <c r="Q33" s="446"/>
      <c r="R33" s="446">
        <f t="shared" si="6"/>
        <v>0</v>
      </c>
      <c r="S33" s="647">
        <f t="shared" si="7"/>
        <v>38.4375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349</v>
      </c>
      <c r="D34" s="502">
        <f t="shared" si="0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153.30769230769232</v>
      </c>
      <c r="I34" s="499">
        <f>SUM($G$9:G34)/A34</f>
        <v>153.30769230769232</v>
      </c>
      <c r="J34" s="443">
        <f t="shared" si="8"/>
        <v>9225</v>
      </c>
      <c r="K34" s="459">
        <f t="shared" si="2"/>
        <v>9225</v>
      </c>
      <c r="L34" s="495">
        <f t="shared" si="3"/>
        <v>60.173105870546912</v>
      </c>
      <c r="M34" s="464">
        <f t="shared" si="4"/>
        <v>60.173105870546912</v>
      </c>
      <c r="N34" s="366"/>
      <c r="O34" s="446"/>
      <c r="P34" s="446">
        <f t="shared" si="5"/>
        <v>0</v>
      </c>
      <c r="Q34" s="446"/>
      <c r="R34" s="446">
        <f t="shared" si="6"/>
        <v>0</v>
      </c>
      <c r="S34" s="647">
        <f t="shared" si="7"/>
        <v>38.4375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349</v>
      </c>
      <c r="D35" s="502">
        <f t="shared" si="0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147.62962962962962</v>
      </c>
      <c r="I35" s="499">
        <f>SUM($G$9:G35)/A35</f>
        <v>147.62962962962962</v>
      </c>
      <c r="J35" s="443">
        <f t="shared" si="8"/>
        <v>9225</v>
      </c>
      <c r="K35" s="459">
        <f t="shared" si="2"/>
        <v>9225</v>
      </c>
      <c r="L35" s="495">
        <f t="shared" si="3"/>
        <v>62.487456096337183</v>
      </c>
      <c r="M35" s="464">
        <f t="shared" si="4"/>
        <v>62.487456096337183</v>
      </c>
      <c r="N35" s="366"/>
      <c r="O35" s="446"/>
      <c r="P35" s="446">
        <f t="shared" si="5"/>
        <v>0</v>
      </c>
      <c r="Q35" s="446"/>
      <c r="R35" s="446">
        <f t="shared" si="6"/>
        <v>0</v>
      </c>
      <c r="S35" s="647">
        <f t="shared" si="7"/>
        <v>38.4375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349</v>
      </c>
      <c r="D36" s="502">
        <f t="shared" si="0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142.35714285714286</v>
      </c>
      <c r="I36" s="499">
        <f>SUM($G$9:G36)/A36</f>
        <v>142.35714285714286</v>
      </c>
      <c r="J36" s="443">
        <f t="shared" si="8"/>
        <v>9225</v>
      </c>
      <c r="K36" s="459">
        <f t="shared" si="2"/>
        <v>9225</v>
      </c>
      <c r="L36" s="495">
        <f t="shared" si="3"/>
        <v>64.801806322127447</v>
      </c>
      <c r="M36" s="464">
        <f t="shared" si="4"/>
        <v>64.801806322127447</v>
      </c>
      <c r="N36" s="366"/>
      <c r="O36" s="446"/>
      <c r="P36" s="446">
        <f t="shared" si="5"/>
        <v>0</v>
      </c>
      <c r="Q36" s="446"/>
      <c r="R36" s="446">
        <f t="shared" si="6"/>
        <v>0</v>
      </c>
      <c r="S36" s="647">
        <f t="shared" si="7"/>
        <v>38.4375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349</v>
      </c>
      <c r="D37" s="502">
        <f t="shared" si="0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137.44827586206895</v>
      </c>
      <c r="I37" s="499">
        <f>SUM($G$9:G37)/A37</f>
        <v>137.44827586206895</v>
      </c>
      <c r="J37" s="443">
        <f t="shared" si="8"/>
        <v>9225</v>
      </c>
      <c r="K37" s="459">
        <f t="shared" si="2"/>
        <v>9225</v>
      </c>
      <c r="L37" s="495">
        <f t="shared" si="3"/>
        <v>67.116156547917711</v>
      </c>
      <c r="M37" s="464">
        <f t="shared" si="4"/>
        <v>67.116156547917711</v>
      </c>
      <c r="N37" s="366"/>
      <c r="O37" s="446"/>
      <c r="P37" s="446">
        <f t="shared" si="5"/>
        <v>0</v>
      </c>
      <c r="Q37" s="446"/>
      <c r="R37" s="446">
        <f t="shared" si="6"/>
        <v>0</v>
      </c>
      <c r="S37" s="647">
        <f t="shared" si="7"/>
        <v>38.4375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349</v>
      </c>
      <c r="D38" s="502">
        <f t="shared" si="0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132.86666666666667</v>
      </c>
      <c r="I38" s="499">
        <f>SUM($G$9:G38)/A38</f>
        <v>132.86666666666667</v>
      </c>
      <c r="J38" s="504">
        <f t="shared" si="8"/>
        <v>9225</v>
      </c>
      <c r="K38" s="459">
        <f t="shared" si="2"/>
        <v>9225</v>
      </c>
      <c r="L38" s="505">
        <f t="shared" si="3"/>
        <v>69.430506773707975</v>
      </c>
      <c r="M38" s="464">
        <f t="shared" si="4"/>
        <v>69.430506773707975</v>
      </c>
      <c r="N38" s="366"/>
      <c r="O38" s="446"/>
      <c r="P38" s="446">
        <f t="shared" si="5"/>
        <v>0</v>
      </c>
      <c r="Q38" s="446"/>
      <c r="R38" s="446">
        <f t="shared" si="6"/>
        <v>0</v>
      </c>
      <c r="S38" s="647">
        <f t="shared" si="7"/>
        <v>38.4375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349</v>
      </c>
      <c r="D39" s="502">
        <f t="shared" si="0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128.58064516129033</v>
      </c>
      <c r="I39" s="499">
        <f>SUM($G$9:G39)/A39</f>
        <v>128.58064516129033</v>
      </c>
      <c r="J39" s="443">
        <f t="shared" si="8"/>
        <v>9225</v>
      </c>
      <c r="K39" s="459">
        <f t="shared" si="2"/>
        <v>9225</v>
      </c>
      <c r="L39" s="495">
        <f t="shared" si="3"/>
        <v>71.744856999498239</v>
      </c>
      <c r="M39" s="464">
        <f t="shared" si="4"/>
        <v>71.744856999498239</v>
      </c>
      <c r="N39" s="366"/>
      <c r="O39" s="446"/>
      <c r="P39" s="446">
        <f t="shared" si="5"/>
        <v>0</v>
      </c>
      <c r="Q39" s="446"/>
      <c r="R39" s="446">
        <f t="shared" si="6"/>
        <v>0</v>
      </c>
      <c r="S39" s="647">
        <f t="shared" si="7"/>
        <v>38.4375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5000</v>
      </c>
      <c r="E40" s="388">
        <f>SUM(E9:E39)</f>
        <v>5000</v>
      </c>
      <c r="F40" s="389">
        <f>SUM(F9:F39)</f>
        <v>3986</v>
      </c>
      <c r="G40" s="496">
        <f>SUM(G9:G39)</f>
        <v>3986</v>
      </c>
      <c r="H40" s="389"/>
      <c r="I40" s="496"/>
      <c r="J40" s="389">
        <f>J39</f>
        <v>9225</v>
      </c>
      <c r="K40" s="461">
        <f>K39</f>
        <v>9225</v>
      </c>
      <c r="L40" s="464"/>
      <c r="M40" s="464"/>
      <c r="N40" s="507"/>
      <c r="O40" s="389">
        <f>SUM(O9:O39)</f>
        <v>2190</v>
      </c>
      <c r="P40" s="496">
        <f>SUM(P9:P39)</f>
        <v>2190</v>
      </c>
      <c r="Q40" s="389">
        <f>SUM(Q9:Q39)</f>
        <v>1796</v>
      </c>
      <c r="R40" s="496">
        <f>SUM(R9:R39)</f>
        <v>1796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13211</v>
      </c>
      <c r="E41" s="388">
        <f>E8+E40</f>
        <v>13211</v>
      </c>
      <c r="F41" s="389">
        <f>F40</f>
        <v>3986</v>
      </c>
      <c r="G41" s="496">
        <f>G40</f>
        <v>3986</v>
      </c>
      <c r="H41" s="389"/>
      <c r="I41" s="496"/>
      <c r="J41" s="389">
        <f>D41-F41</f>
        <v>9225</v>
      </c>
      <c r="K41" s="389">
        <f>E41-G41</f>
        <v>9225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2170" priority="442" operator="lessThan">
      <formula>15</formula>
    </cfRule>
    <cfRule type="cellIs" dxfId="12169" priority="443" operator="greaterThan">
      <formula>20</formula>
    </cfRule>
    <cfRule type="cellIs" dxfId="12168" priority="444" operator="between">
      <formula>15</formula>
      <formula>20</formula>
    </cfRule>
    <cfRule type="cellIs" dxfId="12167" priority="445" operator="between">
      <formula>15</formula>
      <formula>20</formula>
    </cfRule>
    <cfRule type="cellIs" dxfId="12166" priority="446" operator="lessThan">
      <formula>15</formula>
    </cfRule>
    <cfRule type="cellIs" dxfId="12165" priority="447" operator="greaterThan">
      <formula>20</formula>
    </cfRule>
    <cfRule type="cellIs" dxfId="12164" priority="448" operator="between">
      <formula>15</formula>
      <formula>21</formula>
    </cfRule>
    <cfRule type="cellIs" dxfId="12163" priority="449" operator="lessThan">
      <formula>15</formula>
    </cfRule>
    <cfRule type="cellIs" dxfId="12162" priority="450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31496062992125984"/>
  <pageSetup paperSize="8" orientation="landscape" horizontalDpi="4294967292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zoomScaleSheetLayoutView="80"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</row>
    <row r="4" spans="1:29" s="753" customFormat="1" ht="18.75" customHeight="1">
      <c r="A4" s="1600" t="s">
        <v>33</v>
      </c>
      <c r="B4" s="1600"/>
      <c r="C4" s="316" t="str">
        <f>J4</f>
        <v>FRIT 1089-ACV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371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324"/>
      <c r="U6" s="324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>
        <v>0.01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1170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104</v>
      </c>
      <c r="D9" s="502">
        <f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0</v>
      </c>
      <c r="K9" s="459">
        <f t="shared" si="0"/>
        <v>0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502">
        <f>E10-E10*N10</f>
        <v>0</v>
      </c>
      <c r="E10" s="499"/>
      <c r="F10" s="446">
        <f t="shared" ref="F10:G39" si="2">O10+Q10</f>
        <v>0</v>
      </c>
      <c r="G10" s="503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0"/>
        <v>0</v>
      </c>
      <c r="K10" s="459">
        <f t="shared" si="0"/>
        <v>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3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502">
        <f>E11-E11*N11</f>
        <v>0</v>
      </c>
      <c r="E11" s="499"/>
      <c r="F11" s="446">
        <f t="shared" si="2"/>
        <v>0</v>
      </c>
      <c r="G11" s="503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0"/>
        <v>0</v>
      </c>
      <c r="K11" s="459">
        <f t="shared" si="0"/>
        <v>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3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104</v>
      </c>
      <c r="D12" s="502">
        <f>E12-E12*N12</f>
        <v>0</v>
      </c>
      <c r="E12" s="499"/>
      <c r="F12" s="446">
        <f t="shared" si="2"/>
        <v>0</v>
      </c>
      <c r="G12" s="503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0"/>
        <v>0</v>
      </c>
      <c r="K12" s="459">
        <f t="shared" si="0"/>
        <v>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3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502">
        <f t="shared" ref="D13:D39" si="4">E13-E13*N13</f>
        <v>0</v>
      </c>
      <c r="E13" s="499"/>
      <c r="F13" s="446">
        <f t="shared" si="2"/>
        <v>0</v>
      </c>
      <c r="G13" s="503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0"/>
        <v>0</v>
      </c>
      <c r="K13" s="459">
        <f t="shared" si="0"/>
        <v>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3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502">
        <f t="shared" si="4"/>
        <v>0</v>
      </c>
      <c r="E14" s="499"/>
      <c r="F14" s="446">
        <f t="shared" si="2"/>
        <v>0</v>
      </c>
      <c r="G14" s="503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0"/>
        <v>0</v>
      </c>
      <c r="K14" s="459">
        <f t="shared" si="0"/>
        <v>0</v>
      </c>
      <c r="L14" s="495" t="e">
        <f>J14/H14</f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3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502">
        <f t="shared" si="4"/>
        <v>0</v>
      </c>
      <c r="E15" s="499"/>
      <c r="F15" s="446">
        <f t="shared" si="2"/>
        <v>0</v>
      </c>
      <c r="G15" s="503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0"/>
        <v>0</v>
      </c>
      <c r="K15" s="459">
        <f t="shared" si="0"/>
        <v>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3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502">
        <f t="shared" si="4"/>
        <v>0</v>
      </c>
      <c r="E16" s="499"/>
      <c r="F16" s="446">
        <f t="shared" si="2"/>
        <v>0</v>
      </c>
      <c r="G16" s="503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0"/>
        <v>0</v>
      </c>
      <c r="K16" s="459">
        <f t="shared" si="0"/>
        <v>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3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502">
        <f t="shared" si="4"/>
        <v>0</v>
      </c>
      <c r="E17" s="499"/>
      <c r="F17" s="446">
        <f t="shared" si="2"/>
        <v>0</v>
      </c>
      <c r="G17" s="503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0"/>
        <v>0</v>
      </c>
      <c r="K17" s="459">
        <f t="shared" si="0"/>
        <v>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3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104</v>
      </c>
      <c r="D18" s="502">
        <f t="shared" si="4"/>
        <v>0</v>
      </c>
      <c r="E18" s="499"/>
      <c r="F18" s="446">
        <f t="shared" si="2"/>
        <v>0</v>
      </c>
      <c r="G18" s="503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0"/>
        <v>0</v>
      </c>
      <c r="K18" s="459">
        <f t="shared" si="0"/>
        <v>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3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346</v>
      </c>
      <c r="D19" s="502">
        <f>E19-E19*N19</f>
        <v>0</v>
      </c>
      <c r="E19" s="499"/>
      <c r="F19" s="446">
        <f t="shared" si="2"/>
        <v>0</v>
      </c>
      <c r="G19" s="503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0"/>
        <v>0</v>
      </c>
      <c r="K19" s="459">
        <f t="shared" si="0"/>
        <v>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3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104</v>
      </c>
      <c r="D20" s="502">
        <f t="shared" si="4"/>
        <v>0</v>
      </c>
      <c r="E20" s="499"/>
      <c r="F20" s="446">
        <f t="shared" si="2"/>
        <v>0</v>
      </c>
      <c r="G20" s="503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0"/>
        <v>0</v>
      </c>
      <c r="K20" s="459">
        <f t="shared" si="0"/>
        <v>0</v>
      </c>
      <c r="L20" s="495" t="e">
        <f t="shared" si="1"/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3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502">
        <f t="shared" si="4"/>
        <v>0</v>
      </c>
      <c r="E21" s="499"/>
      <c r="F21" s="446">
        <f t="shared" si="2"/>
        <v>0</v>
      </c>
      <c r="G21" s="503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0"/>
        <v>0</v>
      </c>
      <c r="K21" s="459">
        <f>K20+E21-G21</f>
        <v>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3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346</v>
      </c>
      <c r="D22" s="502">
        <f t="shared" si="4"/>
        <v>0</v>
      </c>
      <c r="E22" s="499"/>
      <c r="F22" s="446">
        <f t="shared" si="2"/>
        <v>0</v>
      </c>
      <c r="G22" s="503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0"/>
        <v>0</v>
      </c>
      <c r="K22" s="459">
        <f>K21+E22-G22</f>
        <v>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3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104</v>
      </c>
      <c r="D23" s="502">
        <f t="shared" si="4"/>
        <v>0</v>
      </c>
      <c r="E23" s="499"/>
      <c r="F23" s="446">
        <f t="shared" si="2"/>
        <v>0</v>
      </c>
      <c r="G23" s="503">
        <f t="shared" si="2"/>
        <v>0</v>
      </c>
      <c r="H23" s="504">
        <f>SUM($F$9:F23)/A23</f>
        <v>0</v>
      </c>
      <c r="I23" s="499">
        <f>SUM($G$9:G23)/A23</f>
        <v>0</v>
      </c>
      <c r="J23" s="504">
        <f t="shared" si="0"/>
        <v>0</v>
      </c>
      <c r="K23" s="459">
        <f t="shared" si="0"/>
        <v>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3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502">
        <f t="shared" si="4"/>
        <v>0</v>
      </c>
      <c r="E24" s="499"/>
      <c r="F24" s="446">
        <f t="shared" si="2"/>
        <v>0</v>
      </c>
      <c r="G24" s="503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0"/>
        <v>0</v>
      </c>
      <c r="K24" s="459">
        <f>K23+E24-G24</f>
        <v>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3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502">
        <f t="shared" si="4"/>
        <v>0</v>
      </c>
      <c r="E25" s="499"/>
      <c r="F25" s="446">
        <f t="shared" si="2"/>
        <v>0</v>
      </c>
      <c r="G25" s="503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5">J24+D25-F25</f>
        <v>0</v>
      </c>
      <c r="K25" s="459">
        <f>K24+E25-G25</f>
        <v>0</v>
      </c>
      <c r="L25" s="495" t="e">
        <f t="shared" ref="L25:M39" si="6">J25/H25</f>
        <v>#DIV/0!</v>
      </c>
      <c r="M25" s="464" t="e">
        <f t="shared" si="6"/>
        <v>#DIV/0!</v>
      </c>
      <c r="N25" s="366"/>
      <c r="O25" s="446"/>
      <c r="P25" s="446"/>
      <c r="Q25" s="446"/>
      <c r="R25" s="446"/>
      <c r="S25" s="647">
        <f t="shared" si="3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502">
        <f t="shared" si="4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5"/>
        <v>0</v>
      </c>
      <c r="K26" s="459">
        <f>K25+E26-G26</f>
        <v>0</v>
      </c>
      <c r="L26" s="495" t="e">
        <f t="shared" si="6"/>
        <v>#DIV/0!</v>
      </c>
      <c r="M26" s="464" t="e">
        <f t="shared" si="6"/>
        <v>#DIV/0!</v>
      </c>
      <c r="N26" s="366"/>
      <c r="O26" s="446"/>
      <c r="P26" s="446"/>
      <c r="Q26" s="446"/>
      <c r="R26" s="446"/>
      <c r="S26" s="647">
        <f t="shared" si="3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104</v>
      </c>
      <c r="D27" s="502">
        <f t="shared" si="4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5"/>
        <v>0</v>
      </c>
      <c r="K27" s="459">
        <f>K26+E27-G27</f>
        <v>0</v>
      </c>
      <c r="L27" s="495" t="e">
        <f t="shared" si="6"/>
        <v>#DIV/0!</v>
      </c>
      <c r="M27" s="464" t="e">
        <f t="shared" si="6"/>
        <v>#DIV/0!</v>
      </c>
      <c r="N27" s="366"/>
      <c r="O27" s="446"/>
      <c r="P27" s="446"/>
      <c r="Q27" s="446"/>
      <c r="R27" s="446"/>
      <c r="S27" s="647">
        <f t="shared" si="3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502">
        <f t="shared" si="4"/>
        <v>0</v>
      </c>
      <c r="E28" s="499"/>
      <c r="F28" s="446">
        <f t="shared" si="2"/>
        <v>0</v>
      </c>
      <c r="G28" s="503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5"/>
        <v>0</v>
      </c>
      <c r="K28" s="459">
        <f t="shared" si="5"/>
        <v>0</v>
      </c>
      <c r="L28" s="505" t="e">
        <f t="shared" si="6"/>
        <v>#DIV/0!</v>
      </c>
      <c r="M28" s="464" t="e">
        <f t="shared" si="6"/>
        <v>#DIV/0!</v>
      </c>
      <c r="N28" s="366"/>
      <c r="O28" s="446"/>
      <c r="P28" s="446"/>
      <c r="Q28" s="446"/>
      <c r="R28" s="446"/>
      <c r="S28" s="647">
        <f t="shared" si="3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502">
        <f t="shared" si="4"/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5"/>
        <v>0</v>
      </c>
      <c r="K29" s="459">
        <f t="shared" si="5"/>
        <v>0</v>
      </c>
      <c r="L29" s="495" t="e">
        <f t="shared" si="6"/>
        <v>#DIV/0!</v>
      </c>
      <c r="M29" s="464" t="e">
        <f t="shared" si="6"/>
        <v>#DIV/0!</v>
      </c>
      <c r="N29" s="366"/>
      <c r="O29" s="446"/>
      <c r="P29" s="446"/>
      <c r="Q29" s="446"/>
      <c r="R29" s="446"/>
      <c r="S29" s="647">
        <f t="shared" si="3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502">
        <f t="shared" si="4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5"/>
        <v>0</v>
      </c>
      <c r="K30" s="459">
        <f t="shared" si="5"/>
        <v>0</v>
      </c>
      <c r="L30" s="495" t="e">
        <f t="shared" si="6"/>
        <v>#DIV/0!</v>
      </c>
      <c r="M30" s="464" t="e">
        <f t="shared" si="6"/>
        <v>#DIV/0!</v>
      </c>
      <c r="N30" s="366"/>
      <c r="O30" s="446"/>
      <c r="P30" s="446"/>
      <c r="Q30" s="446"/>
      <c r="R30" s="446"/>
      <c r="S30" s="647">
        <f t="shared" si="3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502">
        <f t="shared" si="4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5"/>
        <v>0</v>
      </c>
      <c r="K31" s="459">
        <f t="shared" si="5"/>
        <v>0</v>
      </c>
      <c r="L31" s="495" t="e">
        <f t="shared" si="6"/>
        <v>#DIV/0!</v>
      </c>
      <c r="M31" s="464" t="e">
        <f t="shared" si="6"/>
        <v>#DIV/0!</v>
      </c>
      <c r="N31" s="366"/>
      <c r="O31" s="446"/>
      <c r="P31" s="446"/>
      <c r="Q31" s="446"/>
      <c r="R31" s="446"/>
      <c r="S31" s="647">
        <f t="shared" si="3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346</v>
      </c>
      <c r="D32" s="502">
        <f t="shared" si="4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5"/>
        <v>0</v>
      </c>
      <c r="K32" s="459">
        <f t="shared" si="5"/>
        <v>0</v>
      </c>
      <c r="L32" s="495" t="e">
        <f t="shared" si="6"/>
        <v>#DIV/0!</v>
      </c>
      <c r="M32" s="464" t="e">
        <f t="shared" si="6"/>
        <v>#DIV/0!</v>
      </c>
      <c r="N32" s="366"/>
      <c r="O32" s="446"/>
      <c r="P32" s="446"/>
      <c r="Q32" s="446"/>
      <c r="R32" s="446"/>
      <c r="S32" s="647">
        <f t="shared" si="3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104</v>
      </c>
      <c r="D33" s="502">
        <f t="shared" si="4"/>
        <v>0</v>
      </c>
      <c r="E33" s="499"/>
      <c r="F33" s="446">
        <f t="shared" si="2"/>
        <v>0</v>
      </c>
      <c r="G33" s="503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5"/>
        <v>0</v>
      </c>
      <c r="K33" s="459">
        <f t="shared" si="5"/>
        <v>0</v>
      </c>
      <c r="L33" s="506" t="e">
        <f t="shared" si="6"/>
        <v>#DIV/0!</v>
      </c>
      <c r="M33" s="464" t="e">
        <f t="shared" si="6"/>
        <v>#DIV/0!</v>
      </c>
      <c r="N33" s="366"/>
      <c r="O33" s="446"/>
      <c r="P33" s="446"/>
      <c r="Q33" s="446"/>
      <c r="R33" s="446"/>
      <c r="S33" s="647">
        <f t="shared" si="3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4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5"/>
        <v>0</v>
      </c>
      <c r="K34" s="459">
        <f t="shared" si="5"/>
        <v>0</v>
      </c>
      <c r="L34" s="495" t="e">
        <f t="shared" si="6"/>
        <v>#DIV/0!</v>
      </c>
      <c r="M34" s="464" t="e">
        <f t="shared" si="6"/>
        <v>#DIV/0!</v>
      </c>
      <c r="N34" s="366"/>
      <c r="O34" s="446"/>
      <c r="P34" s="446"/>
      <c r="Q34" s="446"/>
      <c r="R34" s="446"/>
      <c r="S34" s="647">
        <f t="shared" si="3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502">
        <f t="shared" si="4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5"/>
        <v>0</v>
      </c>
      <c r="K35" s="459">
        <f t="shared" si="5"/>
        <v>0</v>
      </c>
      <c r="L35" s="495" t="e">
        <f t="shared" si="6"/>
        <v>#DIV/0!</v>
      </c>
      <c r="M35" s="464" t="e">
        <f t="shared" si="6"/>
        <v>#DIV/0!</v>
      </c>
      <c r="N35" s="366"/>
      <c r="O35" s="446"/>
      <c r="P35" s="446"/>
      <c r="Q35" s="446"/>
      <c r="R35" s="446"/>
      <c r="S35" s="647">
        <f t="shared" si="3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 t="shared" si="4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5"/>
        <v>0</v>
      </c>
      <c r="K36" s="459">
        <f t="shared" si="5"/>
        <v>0</v>
      </c>
      <c r="L36" s="495" t="e">
        <f t="shared" si="6"/>
        <v>#DIV/0!</v>
      </c>
      <c r="M36" s="464" t="e">
        <f t="shared" si="6"/>
        <v>#DIV/0!</v>
      </c>
      <c r="N36" s="366"/>
      <c r="O36" s="446"/>
      <c r="P36" s="446"/>
      <c r="Q36" s="446"/>
      <c r="R36" s="446"/>
      <c r="S36" s="647">
        <f t="shared" si="3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346</v>
      </c>
      <c r="D37" s="502">
        <f t="shared" si="4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5"/>
        <v>0</v>
      </c>
      <c r="K37" s="459">
        <f t="shared" si="5"/>
        <v>0</v>
      </c>
      <c r="L37" s="495" t="e">
        <f t="shared" si="6"/>
        <v>#DIV/0!</v>
      </c>
      <c r="M37" s="464" t="e">
        <f t="shared" si="6"/>
        <v>#DIV/0!</v>
      </c>
      <c r="N37" s="366"/>
      <c r="O37" s="446"/>
      <c r="P37" s="446"/>
      <c r="Q37" s="446"/>
      <c r="R37" s="446"/>
      <c r="S37" s="647">
        <f t="shared" si="3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502">
        <f t="shared" si="4"/>
        <v>0</v>
      </c>
      <c r="E38" s="499"/>
      <c r="F38" s="446">
        <f t="shared" si="2"/>
        <v>0</v>
      </c>
      <c r="G38" s="503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5"/>
        <v>0</v>
      </c>
      <c r="K38" s="459">
        <f t="shared" si="5"/>
        <v>0</v>
      </c>
      <c r="L38" s="505" t="e">
        <f t="shared" si="6"/>
        <v>#DIV/0!</v>
      </c>
      <c r="M38" s="464" t="e">
        <f t="shared" si="6"/>
        <v>#DIV/0!</v>
      </c>
      <c r="N38" s="366"/>
      <c r="O38" s="446"/>
      <c r="P38" s="446"/>
      <c r="Q38" s="446"/>
      <c r="R38" s="446"/>
      <c r="S38" s="647">
        <f t="shared" si="3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502">
        <f t="shared" si="4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5"/>
        <v>0</v>
      </c>
      <c r="K39" s="459">
        <f t="shared" si="5"/>
        <v>0</v>
      </c>
      <c r="L39" s="495" t="e">
        <f t="shared" si="6"/>
        <v>#DIV/0!</v>
      </c>
      <c r="M39" s="464" t="e">
        <f t="shared" si="6"/>
        <v>#DIV/0!</v>
      </c>
      <c r="N39" s="366"/>
      <c r="O39" s="446"/>
      <c r="P39" s="446"/>
      <c r="Q39" s="446"/>
      <c r="R39" s="446"/>
      <c r="S39" s="647">
        <f t="shared" si="3"/>
        <v>0</v>
      </c>
    </row>
    <row r="40" spans="1:19" s="374" customFormat="1" ht="12" customHeight="1">
      <c r="A40" s="754" t="s">
        <v>29</v>
      </c>
      <c r="B40" s="755"/>
      <c r="C40" s="756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754" t="s">
        <v>15</v>
      </c>
      <c r="B41" s="755"/>
      <c r="C41" s="756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461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161" priority="1" operator="lessThan">
      <formula>15</formula>
    </cfRule>
    <cfRule type="cellIs" dxfId="12160" priority="2" operator="greaterThan">
      <formula>20</formula>
    </cfRule>
    <cfRule type="cellIs" dxfId="12159" priority="3" operator="between">
      <formula>15</formula>
      <formula>20</formula>
    </cfRule>
    <cfRule type="cellIs" dxfId="12158" priority="4" operator="between">
      <formula>15</formula>
      <formula>20</formula>
    </cfRule>
    <cfRule type="cellIs" dxfId="12157" priority="5" operator="lessThan">
      <formula>15</formula>
    </cfRule>
    <cfRule type="cellIs" dxfId="12156" priority="6" operator="greaterThan">
      <formula>20</formula>
    </cfRule>
    <cfRule type="cellIs" dxfId="12155" priority="7" operator="between">
      <formula>15</formula>
      <formula>21</formula>
    </cfRule>
    <cfRule type="cellIs" dxfId="12154" priority="8" operator="lessThan">
      <formula>15</formula>
    </cfRule>
    <cfRule type="cellIs" dxfId="12153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zoomScaleSheetLayoutView="80" workbookViewId="0">
      <pane ySplit="8" topLeftCell="A21" activePane="bottomLeft" state="frozen"/>
      <selection pane="bottomLeft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11.28515625" style="143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</row>
    <row r="4" spans="1:29" s="819" customFormat="1" ht="18.75" customHeight="1">
      <c r="A4" s="1600" t="s">
        <v>33</v>
      </c>
      <c r="B4" s="1600"/>
      <c r="C4" s="316" t="str">
        <f>J4</f>
        <v>FRIT A528ACV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473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324"/>
      <c r="U6" s="324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>
        <v>1.9E-2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1800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104</v>
      </c>
      <c r="D9" s="921">
        <f>E9-E9*N9</f>
        <v>0</v>
      </c>
      <c r="E9" s="922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0</v>
      </c>
      <c r="K9" s="459">
        <f t="shared" si="0"/>
        <v>0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0</v>
      </c>
      <c r="T9" s="355"/>
      <c r="U9" s="355"/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921">
        <f>E10-E10*N10</f>
        <v>0</v>
      </c>
      <c r="E10" s="922"/>
      <c r="F10" s="446">
        <f t="shared" ref="F10:G39" si="2">O10+Q10</f>
        <v>0</v>
      </c>
      <c r="G10" s="503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0"/>
        <v>0</v>
      </c>
      <c r="K10" s="459">
        <f t="shared" si="0"/>
        <v>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3">J10/$S$8</f>
        <v>0</v>
      </c>
      <c r="T10" s="305"/>
      <c r="U10" s="305"/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921">
        <f>E11-E11*N11</f>
        <v>0</v>
      </c>
      <c r="E11" s="922"/>
      <c r="F11" s="446">
        <f t="shared" si="2"/>
        <v>0</v>
      </c>
      <c r="G11" s="503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0"/>
        <v>0</v>
      </c>
      <c r="K11" s="459">
        <f t="shared" si="0"/>
        <v>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3"/>
        <v>0</v>
      </c>
      <c r="T11" s="355"/>
      <c r="U11" s="355"/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104</v>
      </c>
      <c r="D12" s="921">
        <f>E12-E12*N12</f>
        <v>0</v>
      </c>
      <c r="E12" s="922"/>
      <c r="F12" s="446">
        <f t="shared" si="2"/>
        <v>0</v>
      </c>
      <c r="G12" s="503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0"/>
        <v>0</v>
      </c>
      <c r="K12" s="459">
        <f t="shared" si="0"/>
        <v>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3"/>
        <v>0</v>
      </c>
      <c r="T12" s="305"/>
      <c r="U12" s="305"/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921">
        <f t="shared" ref="D13:D39" si="4">E13-E13*N13</f>
        <v>0</v>
      </c>
      <c r="E13" s="922"/>
      <c r="F13" s="446">
        <f t="shared" si="2"/>
        <v>0</v>
      </c>
      <c r="G13" s="503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0"/>
        <v>0</v>
      </c>
      <c r="K13" s="459">
        <f t="shared" si="0"/>
        <v>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3"/>
        <v>0</v>
      </c>
      <c r="T13" s="355"/>
      <c r="U13" s="355"/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921">
        <f t="shared" si="4"/>
        <v>0</v>
      </c>
      <c r="E14" s="922"/>
      <c r="F14" s="446">
        <f t="shared" si="2"/>
        <v>0</v>
      </c>
      <c r="G14" s="503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0"/>
        <v>0</v>
      </c>
      <c r="K14" s="459">
        <f t="shared" si="0"/>
        <v>0</v>
      </c>
      <c r="L14" s="495" t="e">
        <f>J14/H14</f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3"/>
        <v>0</v>
      </c>
      <c r="T14" s="305"/>
      <c r="U14" s="305"/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921">
        <f t="shared" si="4"/>
        <v>0</v>
      </c>
      <c r="E15" s="922"/>
      <c r="F15" s="446">
        <f t="shared" si="2"/>
        <v>0</v>
      </c>
      <c r="G15" s="503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0"/>
        <v>0</v>
      </c>
      <c r="K15" s="459">
        <f t="shared" si="0"/>
        <v>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3"/>
        <v>0</v>
      </c>
      <c r="T15" s="355"/>
      <c r="U15" s="355"/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921">
        <f t="shared" si="4"/>
        <v>0</v>
      </c>
      <c r="E16" s="922"/>
      <c r="F16" s="446">
        <f t="shared" si="2"/>
        <v>0</v>
      </c>
      <c r="G16" s="503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0"/>
        <v>0</v>
      </c>
      <c r="K16" s="459">
        <f t="shared" si="0"/>
        <v>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3"/>
        <v>0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921">
        <f t="shared" si="4"/>
        <v>0</v>
      </c>
      <c r="E17" s="922"/>
      <c r="F17" s="446">
        <f t="shared" si="2"/>
        <v>0</v>
      </c>
      <c r="G17" s="503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0"/>
        <v>0</v>
      </c>
      <c r="K17" s="459">
        <f t="shared" si="0"/>
        <v>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3"/>
        <v>0</v>
      </c>
      <c r="T17" s="355"/>
      <c r="U17" s="355"/>
    </row>
    <row r="18" spans="1:21" s="367" customFormat="1" ht="12" customHeight="1">
      <c r="A18" s="504">
        <v>10</v>
      </c>
      <c r="B18" s="365">
        <f>'FRIT HGE91-FHG'!B18</f>
        <v>46244</v>
      </c>
      <c r="C18" s="331" t="s">
        <v>104</v>
      </c>
      <c r="D18" s="921">
        <f t="shared" si="4"/>
        <v>0</v>
      </c>
      <c r="E18" s="922"/>
      <c r="F18" s="446">
        <f t="shared" si="2"/>
        <v>0</v>
      </c>
      <c r="G18" s="503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0"/>
        <v>0</v>
      </c>
      <c r="K18" s="459">
        <f t="shared" si="0"/>
        <v>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3"/>
        <v>0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31" t="s">
        <v>346</v>
      </c>
      <c r="D19" s="921">
        <f>E19-E19*N19</f>
        <v>0</v>
      </c>
      <c r="E19" s="922"/>
      <c r="F19" s="446">
        <f t="shared" si="2"/>
        <v>0</v>
      </c>
      <c r="G19" s="503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0"/>
        <v>0</v>
      </c>
      <c r="K19" s="459">
        <f t="shared" si="0"/>
        <v>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3"/>
        <v>0</v>
      </c>
      <c r="T19" s="355"/>
      <c r="U19" s="355"/>
    </row>
    <row r="20" spans="1:21" s="367" customFormat="1" ht="12" customHeight="1">
      <c r="A20" s="364">
        <v>12</v>
      </c>
      <c r="B20" s="365">
        <f>'FRIT HGE91-FHG'!B20</f>
        <v>46246</v>
      </c>
      <c r="C20" s="331" t="s">
        <v>104</v>
      </c>
      <c r="D20" s="921">
        <f t="shared" si="4"/>
        <v>0</v>
      </c>
      <c r="E20" s="922"/>
      <c r="F20" s="446">
        <f t="shared" si="2"/>
        <v>0</v>
      </c>
      <c r="G20" s="503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0"/>
        <v>0</v>
      </c>
      <c r="K20" s="459">
        <f t="shared" si="0"/>
        <v>0</v>
      </c>
      <c r="L20" s="495" t="e">
        <f t="shared" si="1"/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3"/>
        <v>0</v>
      </c>
      <c r="T20" s="305"/>
      <c r="U20" s="305"/>
    </row>
    <row r="21" spans="1:21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921">
        <f t="shared" si="4"/>
        <v>0</v>
      </c>
      <c r="E21" s="922"/>
      <c r="F21" s="446">
        <f t="shared" si="2"/>
        <v>0</v>
      </c>
      <c r="G21" s="503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0"/>
        <v>0</v>
      </c>
      <c r="K21" s="459">
        <f>K20+E21-G21</f>
        <v>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3"/>
        <v>0</v>
      </c>
      <c r="T21" s="355"/>
      <c r="U21" s="355"/>
    </row>
    <row r="22" spans="1:21" s="367" customFormat="1" ht="12" customHeight="1">
      <c r="A22" s="364">
        <v>14</v>
      </c>
      <c r="B22" s="365">
        <f>'FRIT HGE91-FHG'!B22</f>
        <v>46248</v>
      </c>
      <c r="C22" s="331" t="s">
        <v>346</v>
      </c>
      <c r="D22" s="921">
        <f t="shared" si="4"/>
        <v>0</v>
      </c>
      <c r="E22" s="922"/>
      <c r="F22" s="446">
        <f t="shared" si="2"/>
        <v>0</v>
      </c>
      <c r="G22" s="503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0"/>
        <v>0</v>
      </c>
      <c r="K22" s="459">
        <f>K21+E22-G22</f>
        <v>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3"/>
        <v>0</v>
      </c>
      <c r="T22" s="305"/>
      <c r="U22" s="305"/>
    </row>
    <row r="23" spans="1:21" s="367" customFormat="1" ht="12" customHeight="1">
      <c r="A23" s="504">
        <v>15</v>
      </c>
      <c r="B23" s="365">
        <f>'FRIT HGE91-FHG'!B23</f>
        <v>46249</v>
      </c>
      <c r="C23" s="331" t="s">
        <v>104</v>
      </c>
      <c r="D23" s="921">
        <f t="shared" si="4"/>
        <v>0</v>
      </c>
      <c r="E23" s="922"/>
      <c r="F23" s="446">
        <f t="shared" si="2"/>
        <v>0</v>
      </c>
      <c r="G23" s="503">
        <f t="shared" si="2"/>
        <v>0</v>
      </c>
      <c r="H23" s="504">
        <f>SUM($F$9:F23)/A23</f>
        <v>0</v>
      </c>
      <c r="I23" s="499">
        <f>SUM($G$9:G23)/A23</f>
        <v>0</v>
      </c>
      <c r="J23" s="504">
        <f t="shared" si="0"/>
        <v>0</v>
      </c>
      <c r="K23" s="459">
        <f t="shared" si="0"/>
        <v>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3"/>
        <v>0</v>
      </c>
      <c r="T23" s="355"/>
      <c r="U23" s="355"/>
    </row>
    <row r="24" spans="1:21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921">
        <f t="shared" ref="D24" si="5">E24-E24*N24</f>
        <v>0</v>
      </c>
      <c r="E24" s="922"/>
      <c r="F24" s="446">
        <f t="shared" si="2"/>
        <v>0</v>
      </c>
      <c r="G24" s="503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0"/>
        <v>0</v>
      </c>
      <c r="K24" s="459">
        <f>K23+E24-G24</f>
        <v>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3"/>
        <v>0</v>
      </c>
      <c r="T24" s="305"/>
      <c r="U24" s="305"/>
    </row>
    <row r="25" spans="1:21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921">
        <f t="shared" si="4"/>
        <v>0</v>
      </c>
      <c r="E25" s="922"/>
      <c r="F25" s="446">
        <f t="shared" si="2"/>
        <v>0</v>
      </c>
      <c r="G25" s="503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6">J24+D25-F25</f>
        <v>0</v>
      </c>
      <c r="K25" s="459">
        <f>K24+E25-G25</f>
        <v>0</v>
      </c>
      <c r="L25" s="495" t="e">
        <f t="shared" ref="L25:M39" si="7">J25/H25</f>
        <v>#DIV/0!</v>
      </c>
      <c r="M25" s="464" t="e">
        <f t="shared" si="7"/>
        <v>#DIV/0!</v>
      </c>
      <c r="N25" s="366"/>
      <c r="O25" s="446"/>
      <c r="P25" s="446"/>
      <c r="Q25" s="446"/>
      <c r="R25" s="446"/>
      <c r="S25" s="647">
        <f t="shared" si="3"/>
        <v>0</v>
      </c>
      <c r="T25" s="355"/>
      <c r="U25" s="355"/>
    </row>
    <row r="26" spans="1:21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921">
        <f t="shared" si="4"/>
        <v>0</v>
      </c>
      <c r="E26" s="922"/>
      <c r="F26" s="446">
        <f t="shared" si="2"/>
        <v>0</v>
      </c>
      <c r="G26" s="503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6"/>
        <v>0</v>
      </c>
      <c r="K26" s="459">
        <f>K25+E26-G26</f>
        <v>0</v>
      </c>
      <c r="L26" s="495" t="e">
        <f t="shared" si="7"/>
        <v>#DIV/0!</v>
      </c>
      <c r="M26" s="464" t="e">
        <f t="shared" si="7"/>
        <v>#DIV/0!</v>
      </c>
      <c r="N26" s="366"/>
      <c r="O26" s="446"/>
      <c r="P26" s="446"/>
      <c r="Q26" s="446"/>
      <c r="R26" s="446"/>
      <c r="S26" s="647">
        <f t="shared" si="3"/>
        <v>0</v>
      </c>
      <c r="T26" s="305"/>
      <c r="U26" s="305"/>
    </row>
    <row r="27" spans="1:21" s="367" customFormat="1" ht="12" customHeight="1">
      <c r="A27" s="364">
        <v>19</v>
      </c>
      <c r="B27" s="365">
        <f>'FRIT HGE91-FHG'!B27</f>
        <v>46253</v>
      </c>
      <c r="C27" s="331" t="s">
        <v>104</v>
      </c>
      <c r="D27" s="921">
        <f t="shared" si="4"/>
        <v>0</v>
      </c>
      <c r="E27" s="922"/>
      <c r="F27" s="446">
        <f t="shared" si="2"/>
        <v>0</v>
      </c>
      <c r="G27" s="503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6"/>
        <v>0</v>
      </c>
      <c r="K27" s="459">
        <f>K26+E27-G27</f>
        <v>0</v>
      </c>
      <c r="L27" s="495" t="e">
        <f t="shared" si="7"/>
        <v>#DIV/0!</v>
      </c>
      <c r="M27" s="464" t="e">
        <f t="shared" si="7"/>
        <v>#DIV/0!</v>
      </c>
      <c r="N27" s="366"/>
      <c r="O27" s="446"/>
      <c r="P27" s="446"/>
      <c r="Q27" s="446"/>
      <c r="R27" s="446"/>
      <c r="S27" s="647">
        <f t="shared" si="3"/>
        <v>0</v>
      </c>
      <c r="T27" s="355"/>
      <c r="U27" s="355"/>
    </row>
    <row r="28" spans="1:21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921">
        <f t="shared" si="4"/>
        <v>0</v>
      </c>
      <c r="E28" s="922"/>
      <c r="F28" s="446">
        <f t="shared" si="2"/>
        <v>0</v>
      </c>
      <c r="G28" s="503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6"/>
        <v>0</v>
      </c>
      <c r="K28" s="459">
        <f t="shared" si="6"/>
        <v>0</v>
      </c>
      <c r="L28" s="505" t="e">
        <f t="shared" si="7"/>
        <v>#DIV/0!</v>
      </c>
      <c r="M28" s="464" t="e">
        <f t="shared" si="7"/>
        <v>#DIV/0!</v>
      </c>
      <c r="N28" s="366"/>
      <c r="O28" s="446"/>
      <c r="P28" s="446"/>
      <c r="Q28" s="446"/>
      <c r="R28" s="446"/>
      <c r="S28" s="647">
        <f t="shared" si="3"/>
        <v>0</v>
      </c>
      <c r="T28" s="305"/>
      <c r="U28" s="305"/>
    </row>
    <row r="29" spans="1:21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921">
        <f t="shared" si="4"/>
        <v>0</v>
      </c>
      <c r="E29" s="922"/>
      <c r="F29" s="446">
        <f t="shared" si="2"/>
        <v>0</v>
      </c>
      <c r="G29" s="503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6"/>
        <v>0</v>
      </c>
      <c r="K29" s="459">
        <f t="shared" si="6"/>
        <v>0</v>
      </c>
      <c r="L29" s="495" t="e">
        <f t="shared" si="7"/>
        <v>#DIV/0!</v>
      </c>
      <c r="M29" s="464" t="e">
        <f t="shared" si="7"/>
        <v>#DIV/0!</v>
      </c>
      <c r="N29" s="366"/>
      <c r="O29" s="446"/>
      <c r="P29" s="446"/>
      <c r="Q29" s="446"/>
      <c r="R29" s="446"/>
      <c r="S29" s="647">
        <f t="shared" si="3"/>
        <v>0</v>
      </c>
      <c r="T29" s="355"/>
      <c r="U29" s="355"/>
    </row>
    <row r="30" spans="1:21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921">
        <f t="shared" si="4"/>
        <v>0</v>
      </c>
      <c r="E30" s="922"/>
      <c r="F30" s="446">
        <f t="shared" si="2"/>
        <v>0</v>
      </c>
      <c r="G30" s="503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6"/>
        <v>0</v>
      </c>
      <c r="K30" s="459">
        <f t="shared" si="6"/>
        <v>0</v>
      </c>
      <c r="L30" s="495" t="e">
        <f t="shared" si="7"/>
        <v>#DIV/0!</v>
      </c>
      <c r="M30" s="464" t="e">
        <f t="shared" si="7"/>
        <v>#DIV/0!</v>
      </c>
      <c r="N30" s="366"/>
      <c r="O30" s="446"/>
      <c r="P30" s="446"/>
      <c r="Q30" s="446"/>
      <c r="R30" s="446"/>
      <c r="S30" s="647">
        <f t="shared" si="3"/>
        <v>0</v>
      </c>
      <c r="T30" s="305"/>
      <c r="U30" s="305"/>
    </row>
    <row r="31" spans="1:21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921">
        <f t="shared" si="4"/>
        <v>0</v>
      </c>
      <c r="E31" s="922"/>
      <c r="F31" s="446">
        <f t="shared" si="2"/>
        <v>0</v>
      </c>
      <c r="G31" s="503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6"/>
        <v>0</v>
      </c>
      <c r="K31" s="459">
        <f t="shared" si="6"/>
        <v>0</v>
      </c>
      <c r="L31" s="495" t="e">
        <f t="shared" si="7"/>
        <v>#DIV/0!</v>
      </c>
      <c r="M31" s="464" t="e">
        <f t="shared" si="7"/>
        <v>#DIV/0!</v>
      </c>
      <c r="N31" s="366"/>
      <c r="O31" s="446"/>
      <c r="P31" s="446"/>
      <c r="Q31" s="446"/>
      <c r="R31" s="446"/>
      <c r="S31" s="647">
        <f t="shared" si="3"/>
        <v>0</v>
      </c>
      <c r="T31" s="355"/>
      <c r="U31" s="355"/>
    </row>
    <row r="32" spans="1:21" s="367" customFormat="1" ht="12" customHeight="1">
      <c r="A32" s="364">
        <v>24</v>
      </c>
      <c r="B32" s="365">
        <f>'FRIT HGE91-FHG'!B32</f>
        <v>46258</v>
      </c>
      <c r="C32" s="331" t="s">
        <v>346</v>
      </c>
      <c r="D32" s="921">
        <f t="shared" si="4"/>
        <v>0</v>
      </c>
      <c r="E32" s="922"/>
      <c r="F32" s="446">
        <f t="shared" si="2"/>
        <v>0</v>
      </c>
      <c r="G32" s="503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6"/>
        <v>0</v>
      </c>
      <c r="K32" s="459">
        <f t="shared" si="6"/>
        <v>0</v>
      </c>
      <c r="L32" s="495" t="e">
        <f t="shared" si="7"/>
        <v>#DIV/0!</v>
      </c>
      <c r="M32" s="464" t="e">
        <f t="shared" si="7"/>
        <v>#DIV/0!</v>
      </c>
      <c r="N32" s="366"/>
      <c r="O32" s="446"/>
      <c r="P32" s="446"/>
      <c r="Q32" s="446"/>
      <c r="R32" s="446"/>
      <c r="S32" s="647">
        <f t="shared" si="3"/>
        <v>0</v>
      </c>
      <c r="T32" s="305"/>
      <c r="U32" s="305"/>
    </row>
    <row r="33" spans="1:21" s="367" customFormat="1" ht="12" customHeight="1">
      <c r="A33" s="460">
        <v>25</v>
      </c>
      <c r="B33" s="365">
        <f>'FRIT HGE91-FHG'!B33</f>
        <v>46259</v>
      </c>
      <c r="C33" s="331" t="s">
        <v>104</v>
      </c>
      <c r="D33" s="921">
        <f t="shared" si="4"/>
        <v>0</v>
      </c>
      <c r="E33" s="922"/>
      <c r="F33" s="446">
        <f t="shared" si="2"/>
        <v>0</v>
      </c>
      <c r="G33" s="503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6"/>
        <v>0</v>
      </c>
      <c r="K33" s="459">
        <f t="shared" si="6"/>
        <v>0</v>
      </c>
      <c r="L33" s="506" t="e">
        <f t="shared" si="7"/>
        <v>#DIV/0!</v>
      </c>
      <c r="M33" s="464" t="e">
        <f t="shared" si="7"/>
        <v>#DIV/0!</v>
      </c>
      <c r="N33" s="366"/>
      <c r="O33" s="446"/>
      <c r="P33" s="446"/>
      <c r="Q33" s="446"/>
      <c r="R33" s="446"/>
      <c r="S33" s="647">
        <f t="shared" si="3"/>
        <v>0</v>
      </c>
      <c r="T33" s="355"/>
      <c r="U33" s="355"/>
    </row>
    <row r="34" spans="1:21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921">
        <f t="shared" si="4"/>
        <v>0</v>
      </c>
      <c r="E34" s="922"/>
      <c r="F34" s="446">
        <f t="shared" si="2"/>
        <v>0</v>
      </c>
      <c r="G34" s="503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6"/>
        <v>0</v>
      </c>
      <c r="K34" s="459">
        <f t="shared" si="6"/>
        <v>0</v>
      </c>
      <c r="L34" s="495" t="e">
        <f t="shared" si="7"/>
        <v>#DIV/0!</v>
      </c>
      <c r="M34" s="464" t="e">
        <f t="shared" si="7"/>
        <v>#DIV/0!</v>
      </c>
      <c r="N34" s="366"/>
      <c r="O34" s="446"/>
      <c r="P34" s="446"/>
      <c r="Q34" s="446"/>
      <c r="R34" s="446"/>
      <c r="S34" s="647">
        <f t="shared" si="3"/>
        <v>0</v>
      </c>
      <c r="T34" s="305"/>
      <c r="U34" s="305"/>
    </row>
    <row r="35" spans="1:21" s="367" customFormat="1" ht="12" customHeight="1">
      <c r="A35" s="364">
        <v>27</v>
      </c>
      <c r="B35" s="365">
        <f>'FRIT HGE91-FHG'!B35</f>
        <v>46261</v>
      </c>
      <c r="C35" s="331" t="s">
        <v>346</v>
      </c>
      <c r="D35" s="921">
        <f t="shared" si="4"/>
        <v>0</v>
      </c>
      <c r="E35" s="922"/>
      <c r="F35" s="446">
        <f t="shared" si="2"/>
        <v>0</v>
      </c>
      <c r="G35" s="503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6"/>
        <v>0</v>
      </c>
      <c r="K35" s="459">
        <f t="shared" si="6"/>
        <v>0</v>
      </c>
      <c r="L35" s="495" t="e">
        <f t="shared" si="7"/>
        <v>#DIV/0!</v>
      </c>
      <c r="M35" s="464" t="e">
        <f t="shared" si="7"/>
        <v>#DIV/0!</v>
      </c>
      <c r="N35" s="366"/>
      <c r="O35" s="446"/>
      <c r="P35" s="446"/>
      <c r="Q35" s="446"/>
      <c r="R35" s="446"/>
      <c r="S35" s="647">
        <f t="shared" si="3"/>
        <v>0</v>
      </c>
      <c r="T35" s="355"/>
      <c r="U35" s="355"/>
    </row>
    <row r="36" spans="1:21" s="367" customFormat="1" ht="12" customHeight="1">
      <c r="A36" s="364">
        <v>28</v>
      </c>
      <c r="B36" s="365">
        <f>'FRIT HGE91-FHG'!B36</f>
        <v>46262</v>
      </c>
      <c r="C36" s="331" t="s">
        <v>346</v>
      </c>
      <c r="D36" s="921">
        <f t="shared" si="4"/>
        <v>0</v>
      </c>
      <c r="E36" s="922"/>
      <c r="F36" s="446">
        <f t="shared" si="2"/>
        <v>0</v>
      </c>
      <c r="G36" s="503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6"/>
        <v>0</v>
      </c>
      <c r="K36" s="459">
        <f t="shared" si="6"/>
        <v>0</v>
      </c>
      <c r="L36" s="495" t="e">
        <f t="shared" si="7"/>
        <v>#DIV/0!</v>
      </c>
      <c r="M36" s="464" t="e">
        <f t="shared" si="7"/>
        <v>#DIV/0!</v>
      </c>
      <c r="N36" s="366"/>
      <c r="O36" s="446"/>
      <c r="P36" s="446"/>
      <c r="Q36" s="446"/>
      <c r="R36" s="446"/>
      <c r="S36" s="647">
        <f t="shared" si="3"/>
        <v>0</v>
      </c>
      <c r="T36" s="305"/>
      <c r="U36" s="305"/>
    </row>
    <row r="37" spans="1:21" s="367" customFormat="1" ht="12" customHeight="1">
      <c r="A37" s="364">
        <v>29</v>
      </c>
      <c r="B37" s="365">
        <f>'FRIT HGE91-FHG'!B37</f>
        <v>46263</v>
      </c>
      <c r="C37" s="331" t="s">
        <v>346</v>
      </c>
      <c r="D37" s="921">
        <f t="shared" si="4"/>
        <v>0</v>
      </c>
      <c r="E37" s="922"/>
      <c r="F37" s="446">
        <f t="shared" si="2"/>
        <v>0</v>
      </c>
      <c r="G37" s="503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6"/>
        <v>0</v>
      </c>
      <c r="K37" s="459">
        <f t="shared" si="6"/>
        <v>0</v>
      </c>
      <c r="L37" s="495" t="e">
        <f t="shared" si="7"/>
        <v>#DIV/0!</v>
      </c>
      <c r="M37" s="464" t="e">
        <f t="shared" si="7"/>
        <v>#DIV/0!</v>
      </c>
      <c r="N37" s="366"/>
      <c r="O37" s="446"/>
      <c r="P37" s="446"/>
      <c r="Q37" s="446"/>
      <c r="R37" s="446"/>
      <c r="S37" s="647">
        <f t="shared" si="3"/>
        <v>0</v>
      </c>
      <c r="T37" s="355"/>
      <c r="U37" s="355"/>
    </row>
    <row r="38" spans="1:21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921">
        <f t="shared" si="4"/>
        <v>0</v>
      </c>
      <c r="E38" s="922"/>
      <c r="F38" s="446">
        <f t="shared" si="2"/>
        <v>0</v>
      </c>
      <c r="G38" s="503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6"/>
        <v>0</v>
      </c>
      <c r="K38" s="459">
        <f t="shared" si="6"/>
        <v>0</v>
      </c>
      <c r="L38" s="505" t="e">
        <f t="shared" si="7"/>
        <v>#DIV/0!</v>
      </c>
      <c r="M38" s="464" t="e">
        <f t="shared" si="7"/>
        <v>#DIV/0!</v>
      </c>
      <c r="N38" s="366"/>
      <c r="O38" s="446"/>
      <c r="P38" s="446"/>
      <c r="Q38" s="446"/>
      <c r="R38" s="446"/>
      <c r="S38" s="647">
        <f t="shared" si="3"/>
        <v>0</v>
      </c>
      <c r="T38" s="305"/>
      <c r="U38" s="305"/>
    </row>
    <row r="39" spans="1:21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921">
        <f t="shared" si="4"/>
        <v>0</v>
      </c>
      <c r="E39" s="922"/>
      <c r="F39" s="446">
        <f t="shared" si="2"/>
        <v>0</v>
      </c>
      <c r="G39" s="503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6"/>
        <v>0</v>
      </c>
      <c r="K39" s="459">
        <f t="shared" si="6"/>
        <v>0</v>
      </c>
      <c r="L39" s="495" t="e">
        <f t="shared" si="7"/>
        <v>#DIV/0!</v>
      </c>
      <c r="M39" s="464" t="e">
        <f t="shared" si="7"/>
        <v>#DIV/0!</v>
      </c>
      <c r="N39" s="366"/>
      <c r="O39" s="446"/>
      <c r="P39" s="446"/>
      <c r="Q39" s="446"/>
      <c r="R39" s="446"/>
      <c r="S39" s="647">
        <f t="shared" si="3"/>
        <v>0</v>
      </c>
      <c r="T39" s="355"/>
      <c r="U39" s="355"/>
    </row>
    <row r="40" spans="1:21" s="374" customFormat="1" ht="12" customHeight="1">
      <c r="A40" s="820" t="s">
        <v>29</v>
      </c>
      <c r="B40" s="821"/>
      <c r="C40" s="822"/>
      <c r="D40" s="923">
        <f>SUM(D9:D39)</f>
        <v>0</v>
      </c>
      <c r="E40" s="923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366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  <c r="T40" s="305"/>
      <c r="U40" s="305"/>
    </row>
    <row r="41" spans="1:21" s="374" customFormat="1" ht="12" customHeight="1">
      <c r="A41" s="820" t="s">
        <v>15</v>
      </c>
      <c r="B41" s="821"/>
      <c r="C41" s="82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461">
        <f>E41-G41</f>
        <v>0</v>
      </c>
      <c r="L41" s="464"/>
      <c r="M41" s="464"/>
      <c r="N41" s="507"/>
      <c r="O41" s="507"/>
      <c r="P41" s="507"/>
      <c r="Q41" s="507"/>
      <c r="R41" s="507"/>
      <c r="T41" s="355"/>
      <c r="U41" s="355"/>
    </row>
    <row r="42" spans="1:21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21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21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21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21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21">
      <c r="D47" s="143"/>
      <c r="E47" s="143"/>
      <c r="F47" s="143"/>
      <c r="G47" s="143"/>
      <c r="H47" s="143"/>
      <c r="I47" s="143"/>
      <c r="J47" s="143"/>
      <c r="K47" s="143"/>
    </row>
    <row r="48" spans="1:21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152" priority="1" operator="lessThan">
      <formula>15</formula>
    </cfRule>
    <cfRule type="cellIs" dxfId="12151" priority="2" operator="greaterThan">
      <formula>20</formula>
    </cfRule>
    <cfRule type="cellIs" dxfId="12150" priority="3" operator="between">
      <formula>15</formula>
      <formula>20</formula>
    </cfRule>
    <cfRule type="cellIs" dxfId="12149" priority="4" operator="between">
      <formula>15</formula>
      <formula>20</formula>
    </cfRule>
    <cfRule type="cellIs" dxfId="12148" priority="5" operator="lessThan">
      <formula>15</formula>
    </cfRule>
    <cfRule type="cellIs" dxfId="12147" priority="6" operator="greaterThan">
      <formula>20</formula>
    </cfRule>
    <cfRule type="cellIs" dxfId="12146" priority="7" operator="between">
      <formula>15</formula>
      <formula>21</formula>
    </cfRule>
    <cfRule type="cellIs" dxfId="12145" priority="8" operator="lessThan">
      <formula>15</formula>
    </cfRule>
    <cfRule type="cellIs" dxfId="12144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zoomScaleSheetLayoutView="80"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4" width="6.42578125" style="143" customWidth="1"/>
    <col min="15" max="18" width="12.5703125" style="143" customWidth="1"/>
    <col min="19" max="19" width="11.5703125" style="143" bestFit="1" customWidth="1"/>
    <col min="20" max="20" width="13.5703125" style="143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</row>
    <row r="4" spans="1:29" s="912" customFormat="1" ht="18.75" customHeight="1">
      <c r="A4" s="1600" t="s">
        <v>33</v>
      </c>
      <c r="B4" s="1600"/>
      <c r="C4" s="316" t="str">
        <f>J4</f>
        <v>FRIT 856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899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324"/>
      <c r="U6" s="324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26762.514999999999</v>
      </c>
      <c r="E8" s="388">
        <f>K8</f>
        <v>26897</v>
      </c>
      <c r="F8" s="389">
        <f>F40</f>
        <v>28080</v>
      </c>
      <c r="G8" s="388">
        <f>G40</f>
        <v>28266</v>
      </c>
      <c r="H8" s="387"/>
      <c r="I8" s="388"/>
      <c r="J8" s="624">
        <f>K8-K8*N8</f>
        <v>26762.514999999999</v>
      </c>
      <c r="K8" s="324">
        <v>26897</v>
      </c>
      <c r="L8" s="462"/>
      <c r="M8" s="463"/>
      <c r="N8" s="366">
        <v>5.0000000000000001E-3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1755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104</v>
      </c>
      <c r="D9" s="502">
        <f>E9-E9*N9</f>
        <v>0</v>
      </c>
      <c r="E9" s="499"/>
      <c r="F9" s="446">
        <f>O9+Q9</f>
        <v>1170</v>
      </c>
      <c r="G9" s="503">
        <f>P9+R9</f>
        <v>1176</v>
      </c>
      <c r="H9" s="498">
        <f>SUM($F$9:F9)/A9</f>
        <v>1170</v>
      </c>
      <c r="I9" s="499">
        <f>SUM($G$9:G9)/A9</f>
        <v>1176</v>
      </c>
      <c r="J9" s="443">
        <f t="shared" ref="J9:K24" si="0">J8+D9-F9</f>
        <v>25592.514999999999</v>
      </c>
      <c r="K9" s="459">
        <f t="shared" si="0"/>
        <v>25721</v>
      </c>
      <c r="L9" s="495">
        <f t="shared" ref="L9:M24" si="1">J9/H9</f>
        <v>21.873944444444444</v>
      </c>
      <c r="M9" s="464">
        <f t="shared" si="1"/>
        <v>21.871598639455783</v>
      </c>
      <c r="N9" s="366"/>
      <c r="O9" s="446">
        <v>1170</v>
      </c>
      <c r="P9" s="446">
        <v>1176</v>
      </c>
      <c r="Q9" s="446"/>
      <c r="R9" s="446"/>
      <c r="S9" s="647">
        <f>J9/$S$8</f>
        <v>14.582629629629629</v>
      </c>
      <c r="T9" s="305"/>
      <c r="U9" s="305"/>
      <c r="V9" s="305"/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502">
        <f>E10-E10*N10</f>
        <v>0</v>
      </c>
      <c r="E10" s="499"/>
      <c r="F10" s="446">
        <f t="shared" ref="F10:G39" si="2">O10+Q10</f>
        <v>1170</v>
      </c>
      <c r="G10" s="503">
        <f t="shared" si="2"/>
        <v>1176</v>
      </c>
      <c r="H10" s="498">
        <f>SUM($F$9:F10)/A10</f>
        <v>1170</v>
      </c>
      <c r="I10" s="499">
        <f>SUM($G$9:G10)/A10</f>
        <v>1176</v>
      </c>
      <c r="J10" s="443">
        <f t="shared" si="0"/>
        <v>24422.514999999999</v>
      </c>
      <c r="K10" s="459">
        <f t="shared" si="0"/>
        <v>24545</v>
      </c>
      <c r="L10" s="495">
        <f t="shared" si="1"/>
        <v>20.873944444444444</v>
      </c>
      <c r="M10" s="464">
        <f t="shared" si="1"/>
        <v>20.871598639455783</v>
      </c>
      <c r="N10" s="366"/>
      <c r="O10" s="446">
        <v>1170</v>
      </c>
      <c r="P10" s="446">
        <v>1176</v>
      </c>
      <c r="Q10" s="446"/>
      <c r="R10" s="446"/>
      <c r="S10" s="647">
        <f t="shared" ref="S10:S39" si="3">J10/$S$8</f>
        <v>13.915962962962963</v>
      </c>
      <c r="T10" s="305"/>
      <c r="U10" s="305"/>
      <c r="V10" s="305"/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502">
        <f>E11-E11*N11</f>
        <v>0</v>
      </c>
      <c r="E11" s="499"/>
      <c r="F11" s="446">
        <f t="shared" si="2"/>
        <v>2340</v>
      </c>
      <c r="G11" s="503">
        <f t="shared" si="2"/>
        <v>2356</v>
      </c>
      <c r="H11" s="498">
        <f>SUM($F$9:F11)/A11</f>
        <v>1560</v>
      </c>
      <c r="I11" s="499">
        <f>SUM($G$9:G11)/A11</f>
        <v>1569.3333333333333</v>
      </c>
      <c r="J11" s="443">
        <f t="shared" si="0"/>
        <v>22082.514999999999</v>
      </c>
      <c r="K11" s="459">
        <f t="shared" si="0"/>
        <v>22189</v>
      </c>
      <c r="L11" s="495">
        <f t="shared" si="1"/>
        <v>14.155458333333334</v>
      </c>
      <c r="M11" s="464">
        <f t="shared" si="1"/>
        <v>14.139124893797792</v>
      </c>
      <c r="N11" s="366"/>
      <c r="O11" s="446">
        <v>2340</v>
      </c>
      <c r="P11" s="446">
        <v>2356</v>
      </c>
      <c r="Q11" s="446"/>
      <c r="R11" s="446"/>
      <c r="S11" s="647">
        <f t="shared" si="3"/>
        <v>12.582629629629629</v>
      </c>
      <c r="T11" s="305"/>
      <c r="U11" s="305"/>
      <c r="V11" s="305"/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104</v>
      </c>
      <c r="D12" s="502">
        <f>E12-E12*N12</f>
        <v>0</v>
      </c>
      <c r="E12" s="499"/>
      <c r="F12" s="446">
        <f t="shared" si="2"/>
        <v>1170</v>
      </c>
      <c r="G12" s="503">
        <f t="shared" si="2"/>
        <v>1178</v>
      </c>
      <c r="H12" s="498">
        <f>SUM($F$9:F12)/A12</f>
        <v>1462.5</v>
      </c>
      <c r="I12" s="499">
        <f>SUM($G$9:G12)/A12</f>
        <v>1471.5</v>
      </c>
      <c r="J12" s="443">
        <f t="shared" si="0"/>
        <v>20912.514999999999</v>
      </c>
      <c r="K12" s="459">
        <f t="shared" si="0"/>
        <v>21011</v>
      </c>
      <c r="L12" s="495">
        <f t="shared" si="1"/>
        <v>14.299155555555554</v>
      </c>
      <c r="M12" s="464">
        <f t="shared" si="1"/>
        <v>14.278627251104316</v>
      </c>
      <c r="N12" s="366"/>
      <c r="O12" s="446">
        <v>1170</v>
      </c>
      <c r="P12" s="446">
        <v>1178</v>
      </c>
      <c r="Q12" s="446"/>
      <c r="R12" s="446"/>
      <c r="S12" s="647">
        <f t="shared" si="3"/>
        <v>11.915962962962963</v>
      </c>
      <c r="T12" s="305"/>
      <c r="U12" s="305"/>
      <c r="V12" s="305"/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502">
        <f t="shared" ref="D13:D39" si="4">E13-E13*N13</f>
        <v>0</v>
      </c>
      <c r="E13" s="499"/>
      <c r="F13" s="446">
        <f t="shared" si="2"/>
        <v>2340</v>
      </c>
      <c r="G13" s="503">
        <f t="shared" si="2"/>
        <v>2356</v>
      </c>
      <c r="H13" s="504">
        <f>SUM($F$9:F13)/A13</f>
        <v>1638</v>
      </c>
      <c r="I13" s="499">
        <f>SUM($G$9:G13)/A13</f>
        <v>1648.4</v>
      </c>
      <c r="J13" s="504">
        <f t="shared" si="0"/>
        <v>18572.514999999999</v>
      </c>
      <c r="K13" s="459">
        <f t="shared" si="0"/>
        <v>18655</v>
      </c>
      <c r="L13" s="505">
        <f t="shared" si="1"/>
        <v>11.338531746031746</v>
      </c>
      <c r="M13" s="464">
        <f t="shared" si="1"/>
        <v>11.317034700315457</v>
      </c>
      <c r="N13" s="366"/>
      <c r="O13" s="446">
        <v>2340</v>
      </c>
      <c r="P13" s="446">
        <v>2356</v>
      </c>
      <c r="Q13" s="446"/>
      <c r="R13" s="446"/>
      <c r="S13" s="647">
        <f t="shared" si="3"/>
        <v>10.582629629629629</v>
      </c>
      <c r="T13" s="305"/>
      <c r="U13" s="305"/>
      <c r="V13" s="305"/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502">
        <f t="shared" si="4"/>
        <v>17070.106</v>
      </c>
      <c r="E14" s="499">
        <v>17383</v>
      </c>
      <c r="F14" s="446">
        <f t="shared" si="2"/>
        <v>1170</v>
      </c>
      <c r="G14" s="503">
        <f t="shared" si="2"/>
        <v>1178</v>
      </c>
      <c r="H14" s="498">
        <f>SUM($F$9:F14)/A14</f>
        <v>1560</v>
      </c>
      <c r="I14" s="499">
        <f>SUM($G$9:G14)/A14</f>
        <v>1570</v>
      </c>
      <c r="J14" s="443">
        <f t="shared" si="0"/>
        <v>34472.620999999999</v>
      </c>
      <c r="K14" s="459">
        <f t="shared" si="0"/>
        <v>34860</v>
      </c>
      <c r="L14" s="495">
        <f>J14/H14</f>
        <v>22.097833974358974</v>
      </c>
      <c r="M14" s="464">
        <f t="shared" si="1"/>
        <v>22.203821656050955</v>
      </c>
      <c r="N14" s="366">
        <v>1.7999999999999999E-2</v>
      </c>
      <c r="O14" s="446">
        <v>1170</v>
      </c>
      <c r="P14" s="446">
        <v>1178</v>
      </c>
      <c r="Q14" s="446"/>
      <c r="R14" s="446"/>
      <c r="S14" s="647">
        <f t="shared" si="3"/>
        <v>19.642519088319087</v>
      </c>
      <c r="T14" s="305"/>
      <c r="U14" s="305"/>
      <c r="V14" s="305"/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502">
        <f t="shared" si="4"/>
        <v>0</v>
      </c>
      <c r="E15" s="499"/>
      <c r="F15" s="446">
        <f t="shared" si="2"/>
        <v>1170</v>
      </c>
      <c r="G15" s="503">
        <f t="shared" si="2"/>
        <v>1178</v>
      </c>
      <c r="H15" s="498">
        <f>SUM($F$9:F15)/A15</f>
        <v>1504.2857142857142</v>
      </c>
      <c r="I15" s="499">
        <f>SUM($G$9:G15)/A15</f>
        <v>1514</v>
      </c>
      <c r="J15" s="443">
        <f t="shared" si="0"/>
        <v>33302.620999999999</v>
      </c>
      <c r="K15" s="459">
        <f t="shared" si="0"/>
        <v>33682</v>
      </c>
      <c r="L15" s="495">
        <f t="shared" si="1"/>
        <v>22.138494491927826</v>
      </c>
      <c r="M15" s="464">
        <f t="shared" si="1"/>
        <v>22.247027741083222</v>
      </c>
      <c r="N15" s="366"/>
      <c r="O15" s="446">
        <v>1170</v>
      </c>
      <c r="P15" s="446">
        <v>1178</v>
      </c>
      <c r="Q15" s="446"/>
      <c r="R15" s="446"/>
      <c r="S15" s="647">
        <f t="shared" si="3"/>
        <v>18.975852421652423</v>
      </c>
      <c r="T15" s="305"/>
      <c r="U15" s="305"/>
      <c r="V15" s="305"/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502">
        <f t="shared" si="4"/>
        <v>0</v>
      </c>
      <c r="E16" s="499"/>
      <c r="F16" s="446">
        <f t="shared" si="2"/>
        <v>2340</v>
      </c>
      <c r="G16" s="503">
        <f t="shared" si="2"/>
        <v>2356</v>
      </c>
      <c r="H16" s="498">
        <f>SUM($F$9:F16)/A16</f>
        <v>1608.75</v>
      </c>
      <c r="I16" s="499">
        <f>SUM($G$9:G16)/A16</f>
        <v>1619.25</v>
      </c>
      <c r="J16" s="443">
        <f t="shared" si="0"/>
        <v>30962.620999999999</v>
      </c>
      <c r="K16" s="459">
        <f t="shared" si="0"/>
        <v>31326</v>
      </c>
      <c r="L16" s="495">
        <f t="shared" si="1"/>
        <v>19.246384459984458</v>
      </c>
      <c r="M16" s="464">
        <f t="shared" si="1"/>
        <v>19.345993515516444</v>
      </c>
      <c r="N16" s="366"/>
      <c r="O16" s="446">
        <v>2340</v>
      </c>
      <c r="P16" s="446">
        <v>2356</v>
      </c>
      <c r="Q16" s="446"/>
      <c r="R16" s="446"/>
      <c r="S16" s="647">
        <f t="shared" si="3"/>
        <v>17.642519088319087</v>
      </c>
      <c r="T16" s="305"/>
      <c r="U16" s="305"/>
      <c r="V16" s="305"/>
    </row>
    <row r="17" spans="1:22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921">
        <f t="shared" si="4"/>
        <v>0</v>
      </c>
      <c r="E17" s="499"/>
      <c r="F17" s="446">
        <f t="shared" si="2"/>
        <v>1170</v>
      </c>
      <c r="G17" s="503">
        <f t="shared" si="2"/>
        <v>1178</v>
      </c>
      <c r="H17" s="498">
        <f>SUM($F$9:F17)/A17</f>
        <v>1560</v>
      </c>
      <c r="I17" s="499">
        <f>SUM($G$9:G17)/A17</f>
        <v>1570.2222222222222</v>
      </c>
      <c r="J17" s="443">
        <f t="shared" si="0"/>
        <v>29792.620999999999</v>
      </c>
      <c r="K17" s="459">
        <f t="shared" si="0"/>
        <v>30148</v>
      </c>
      <c r="L17" s="495">
        <f t="shared" si="1"/>
        <v>19.097833974358974</v>
      </c>
      <c r="M17" s="464">
        <f t="shared" si="1"/>
        <v>19.199830172657798</v>
      </c>
      <c r="N17" s="366"/>
      <c r="O17" s="446">
        <v>1170</v>
      </c>
      <c r="P17" s="446">
        <v>1178</v>
      </c>
      <c r="Q17" s="446"/>
      <c r="R17" s="446"/>
      <c r="S17" s="647">
        <f t="shared" si="3"/>
        <v>16.975852421652423</v>
      </c>
      <c r="T17" s="305"/>
      <c r="U17" s="305"/>
      <c r="V17" s="305"/>
    </row>
    <row r="18" spans="1:22" s="367" customFormat="1" ht="12" customHeight="1">
      <c r="A18" s="504">
        <v>10</v>
      </c>
      <c r="B18" s="365">
        <f>'FRIT HGE91-FHG'!B18</f>
        <v>46244</v>
      </c>
      <c r="C18" s="331" t="s">
        <v>104</v>
      </c>
      <c r="D18" s="502">
        <f t="shared" si="4"/>
        <v>0</v>
      </c>
      <c r="E18" s="499"/>
      <c r="F18" s="446">
        <f t="shared" si="2"/>
        <v>2340</v>
      </c>
      <c r="G18" s="503">
        <f t="shared" si="2"/>
        <v>2356</v>
      </c>
      <c r="H18" s="504">
        <f>SUM($F$9:F18)/A18</f>
        <v>1638</v>
      </c>
      <c r="I18" s="499">
        <f>SUM($G$9:G18)/A18</f>
        <v>1648.8</v>
      </c>
      <c r="J18" s="504">
        <f t="shared" si="0"/>
        <v>27452.620999999999</v>
      </c>
      <c r="K18" s="459">
        <f t="shared" si="0"/>
        <v>27792</v>
      </c>
      <c r="L18" s="505">
        <f t="shared" si="1"/>
        <v>16.759841880341881</v>
      </c>
      <c r="M18" s="464">
        <f t="shared" si="1"/>
        <v>16.855895196506552</v>
      </c>
      <c r="N18" s="366"/>
      <c r="O18" s="446">
        <v>2340</v>
      </c>
      <c r="P18" s="446">
        <v>2356</v>
      </c>
      <c r="Q18" s="446"/>
      <c r="R18" s="446"/>
      <c r="S18" s="647">
        <f t="shared" si="3"/>
        <v>15.642519088319087</v>
      </c>
      <c r="T18" s="305"/>
      <c r="U18" s="305"/>
      <c r="V18" s="305"/>
    </row>
    <row r="19" spans="1:22" s="367" customFormat="1" ht="12" customHeight="1">
      <c r="A19" s="364">
        <v>11</v>
      </c>
      <c r="B19" s="365">
        <f>'FRIT HGE91-FHG'!B19</f>
        <v>46245</v>
      </c>
      <c r="C19" s="331" t="s">
        <v>346</v>
      </c>
      <c r="D19" s="502">
        <f>E19-E19*N19</f>
        <v>0</v>
      </c>
      <c r="E19" s="499"/>
      <c r="F19" s="446">
        <f t="shared" si="2"/>
        <v>1170</v>
      </c>
      <c r="G19" s="503">
        <f t="shared" si="2"/>
        <v>1176</v>
      </c>
      <c r="H19" s="498">
        <f>SUM($F$9:F19)/A19</f>
        <v>1595.4545454545455</v>
      </c>
      <c r="I19" s="499">
        <f>SUM($G$9:G19)/A19</f>
        <v>1605.8181818181818</v>
      </c>
      <c r="J19" s="443">
        <f t="shared" si="0"/>
        <v>26282.620999999999</v>
      </c>
      <c r="K19" s="459">
        <f t="shared" si="0"/>
        <v>26616</v>
      </c>
      <c r="L19" s="495">
        <f t="shared" si="1"/>
        <v>16.473437663817663</v>
      </c>
      <c r="M19" s="464">
        <f t="shared" si="1"/>
        <v>16.574728260869566</v>
      </c>
      <c r="N19" s="366"/>
      <c r="O19" s="446">
        <v>1170</v>
      </c>
      <c r="P19" s="446">
        <v>1176</v>
      </c>
      <c r="Q19" s="446"/>
      <c r="R19" s="446"/>
      <c r="S19" s="647">
        <f t="shared" si="3"/>
        <v>14.975852421652421</v>
      </c>
      <c r="T19" s="305"/>
      <c r="U19" s="305"/>
      <c r="V19" s="305"/>
    </row>
    <row r="20" spans="1:22" s="367" customFormat="1" ht="12" customHeight="1">
      <c r="A20" s="364">
        <v>12</v>
      </c>
      <c r="B20" s="365">
        <f>'FRIT HGE91-FHG'!B20</f>
        <v>46246</v>
      </c>
      <c r="C20" s="331" t="s">
        <v>104</v>
      </c>
      <c r="D20" s="502">
        <f t="shared" si="4"/>
        <v>0</v>
      </c>
      <c r="E20" s="499"/>
      <c r="F20" s="446">
        <f t="shared" si="2"/>
        <v>1170</v>
      </c>
      <c r="G20" s="503">
        <f t="shared" si="2"/>
        <v>1178</v>
      </c>
      <c r="H20" s="498">
        <f>SUM($F$9:F20)/A20</f>
        <v>1560</v>
      </c>
      <c r="I20" s="499">
        <f>SUM($G$9:G20)/A20</f>
        <v>1570.1666666666667</v>
      </c>
      <c r="J20" s="443">
        <f t="shared" si="0"/>
        <v>25112.620999999999</v>
      </c>
      <c r="K20" s="459">
        <f t="shared" si="0"/>
        <v>25438</v>
      </c>
      <c r="L20" s="495">
        <f t="shared" si="1"/>
        <v>16.097833974358974</v>
      </c>
      <c r="M20" s="464">
        <f t="shared" si="1"/>
        <v>16.200827937586244</v>
      </c>
      <c r="N20" s="366"/>
      <c r="O20" s="446">
        <v>1170</v>
      </c>
      <c r="P20" s="446">
        <v>1178</v>
      </c>
      <c r="Q20" s="446"/>
      <c r="R20" s="446"/>
      <c r="S20" s="647">
        <f t="shared" si="3"/>
        <v>14.309185754985755</v>
      </c>
      <c r="T20" s="305"/>
      <c r="U20" s="305"/>
      <c r="V20" s="305"/>
    </row>
    <row r="21" spans="1:22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921">
        <f t="shared" si="4"/>
        <v>0</v>
      </c>
      <c r="E21" s="499"/>
      <c r="F21" s="446">
        <f t="shared" si="2"/>
        <v>2340</v>
      </c>
      <c r="G21" s="503">
        <f t="shared" si="2"/>
        <v>2356</v>
      </c>
      <c r="H21" s="498">
        <f>SUM($F$9:F21)/A21</f>
        <v>1620</v>
      </c>
      <c r="I21" s="499">
        <f>SUM($G$9:G21)/A21</f>
        <v>1630.6153846153845</v>
      </c>
      <c r="J21" s="443">
        <f t="shared" si="0"/>
        <v>22772.620999999999</v>
      </c>
      <c r="K21" s="459">
        <f>K20+E21-G21</f>
        <v>23082</v>
      </c>
      <c r="L21" s="495">
        <f t="shared" si="1"/>
        <v>14.057173456790123</v>
      </c>
      <c r="M21" s="464">
        <f t="shared" si="1"/>
        <v>14.155392018114917</v>
      </c>
      <c r="N21" s="366"/>
      <c r="O21" s="446">
        <v>2340</v>
      </c>
      <c r="P21" s="446">
        <v>2356</v>
      </c>
      <c r="Q21" s="446"/>
      <c r="R21" s="446"/>
      <c r="S21" s="647">
        <f t="shared" si="3"/>
        <v>12.975852421652421</v>
      </c>
      <c r="T21" s="305"/>
      <c r="U21" s="305"/>
      <c r="V21" s="305"/>
    </row>
    <row r="22" spans="1:22" s="367" customFormat="1" ht="12" customHeight="1">
      <c r="A22" s="364">
        <v>14</v>
      </c>
      <c r="B22" s="365">
        <f>'FRIT HGE91-FHG'!B22</f>
        <v>46248</v>
      </c>
      <c r="C22" s="331" t="s">
        <v>346</v>
      </c>
      <c r="D22" s="921">
        <f t="shared" si="4"/>
        <v>0</v>
      </c>
      <c r="E22" s="499"/>
      <c r="F22" s="446">
        <f t="shared" si="2"/>
        <v>1170</v>
      </c>
      <c r="G22" s="503">
        <f t="shared" si="2"/>
        <v>1178</v>
      </c>
      <c r="H22" s="498">
        <f>SUM($F$9:F22)/A22</f>
        <v>1587.8571428571429</v>
      </c>
      <c r="I22" s="499">
        <f>SUM($G$9:G22)/A22</f>
        <v>1598.2857142857142</v>
      </c>
      <c r="J22" s="443">
        <f t="shared" si="0"/>
        <v>21602.620999999999</v>
      </c>
      <c r="K22" s="459">
        <f>K21+E22-G22</f>
        <v>21904</v>
      </c>
      <c r="L22" s="495">
        <f t="shared" si="1"/>
        <v>13.604889518668465</v>
      </c>
      <c r="M22" s="464">
        <f t="shared" si="1"/>
        <v>13.704683589560243</v>
      </c>
      <c r="N22" s="366"/>
      <c r="O22" s="446">
        <v>1170</v>
      </c>
      <c r="P22" s="446">
        <v>1178</v>
      </c>
      <c r="Q22" s="446"/>
      <c r="R22" s="446"/>
      <c r="S22" s="647">
        <f t="shared" si="3"/>
        <v>12.309185754985755</v>
      </c>
      <c r="T22" s="305"/>
      <c r="U22" s="305"/>
      <c r="V22" s="305"/>
    </row>
    <row r="23" spans="1:22" s="367" customFormat="1" ht="12" customHeight="1">
      <c r="A23" s="504">
        <v>15</v>
      </c>
      <c r="B23" s="365">
        <f>'FRIT HGE91-FHG'!B23</f>
        <v>46249</v>
      </c>
      <c r="C23" s="331" t="s">
        <v>104</v>
      </c>
      <c r="D23" s="502">
        <f t="shared" si="4"/>
        <v>0</v>
      </c>
      <c r="E23" s="499"/>
      <c r="F23" s="446">
        <f t="shared" si="2"/>
        <v>2340</v>
      </c>
      <c r="G23" s="503">
        <f t="shared" si="2"/>
        <v>2356</v>
      </c>
      <c r="H23" s="504">
        <f>SUM($F$9:F23)/A23</f>
        <v>1638</v>
      </c>
      <c r="I23" s="499">
        <f>SUM($G$9:G23)/A23</f>
        <v>1648.8</v>
      </c>
      <c r="J23" s="504">
        <f t="shared" si="0"/>
        <v>19262.620999999999</v>
      </c>
      <c r="K23" s="459">
        <f t="shared" si="0"/>
        <v>19548</v>
      </c>
      <c r="L23" s="505">
        <f t="shared" si="1"/>
        <v>11.759841880341879</v>
      </c>
      <c r="M23" s="464">
        <f t="shared" si="1"/>
        <v>11.85589519650655</v>
      </c>
      <c r="N23" s="366"/>
      <c r="O23" s="446">
        <v>2340</v>
      </c>
      <c r="P23" s="446">
        <v>2356</v>
      </c>
      <c r="Q23" s="446"/>
      <c r="R23" s="446"/>
      <c r="S23" s="647">
        <f t="shared" si="3"/>
        <v>10.975852421652421</v>
      </c>
      <c r="T23" s="305"/>
      <c r="U23" s="305"/>
      <c r="V23" s="305"/>
    </row>
    <row r="24" spans="1:22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502">
        <f t="shared" ref="D24:D25" si="5">E24-E24*N24</f>
        <v>0</v>
      </c>
      <c r="E24" s="499"/>
      <c r="F24" s="446">
        <f t="shared" si="2"/>
        <v>1170</v>
      </c>
      <c r="G24" s="503">
        <f t="shared" si="2"/>
        <v>1178</v>
      </c>
      <c r="H24" s="498">
        <f>SUM($F$9:F24)/A24</f>
        <v>1608.75</v>
      </c>
      <c r="I24" s="499">
        <f>SUM($G$9:G24)/A24</f>
        <v>1619.375</v>
      </c>
      <c r="J24" s="443">
        <f t="shared" si="0"/>
        <v>18092.620999999999</v>
      </c>
      <c r="K24" s="459">
        <f>K23+E24-G24</f>
        <v>18370</v>
      </c>
      <c r="L24" s="495">
        <f t="shared" si="1"/>
        <v>11.24638445998446</v>
      </c>
      <c r="M24" s="464">
        <f t="shared" si="1"/>
        <v>11.343882670783481</v>
      </c>
      <c r="N24" s="366"/>
      <c r="O24" s="446">
        <v>1170</v>
      </c>
      <c r="P24" s="446">
        <v>1178</v>
      </c>
      <c r="Q24" s="446"/>
      <c r="R24" s="446"/>
      <c r="S24" s="647">
        <f t="shared" si="3"/>
        <v>10.309185754985755</v>
      </c>
      <c r="T24" s="305"/>
      <c r="U24" s="305"/>
      <c r="V24" s="305"/>
    </row>
    <row r="25" spans="1:22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502">
        <f t="shared" si="5"/>
        <v>20000</v>
      </c>
      <c r="E25" s="499">
        <v>20000</v>
      </c>
      <c r="F25" s="446">
        <f t="shared" si="2"/>
        <v>2340</v>
      </c>
      <c r="G25" s="503">
        <f t="shared" si="2"/>
        <v>2356</v>
      </c>
      <c r="H25" s="498">
        <f>SUM($F$9:F25)/A25</f>
        <v>1651.7647058823529</v>
      </c>
      <c r="I25" s="499">
        <f>SUM($G$9:G25)/A25</f>
        <v>1662.7058823529412</v>
      </c>
      <c r="J25" s="443">
        <f t="shared" ref="J25:K39" si="6">J24+D25-F25</f>
        <v>35752.620999999999</v>
      </c>
      <c r="K25" s="459">
        <f>K24+E25-G25</f>
        <v>36014</v>
      </c>
      <c r="L25" s="495">
        <f t="shared" ref="L25:M39" si="7">J25/H25</f>
        <v>21.645105306267805</v>
      </c>
      <c r="M25" s="464">
        <f t="shared" si="7"/>
        <v>21.659874053633342</v>
      </c>
      <c r="N25" s="366"/>
      <c r="O25" s="446">
        <v>2340</v>
      </c>
      <c r="P25" s="446">
        <v>2356</v>
      </c>
      <c r="Q25" s="446"/>
      <c r="R25" s="446"/>
      <c r="S25" s="647">
        <f t="shared" si="3"/>
        <v>20.371863817663819</v>
      </c>
      <c r="T25" s="305"/>
      <c r="U25" s="305"/>
      <c r="V25" s="305"/>
    </row>
    <row r="26" spans="1:22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502">
        <f t="shared" si="4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1560</v>
      </c>
      <c r="I26" s="499">
        <f>SUM($G$9:G26)/A26</f>
        <v>1570.3333333333333</v>
      </c>
      <c r="J26" s="443">
        <f t="shared" si="6"/>
        <v>35752.620999999999</v>
      </c>
      <c r="K26" s="459">
        <f>K25+E26-G26</f>
        <v>36014</v>
      </c>
      <c r="L26" s="495">
        <f t="shared" si="7"/>
        <v>22.918346794871795</v>
      </c>
      <c r="M26" s="464">
        <f t="shared" si="7"/>
        <v>22.933984292082361</v>
      </c>
      <c r="N26" s="366"/>
      <c r="O26" s="446"/>
      <c r="P26" s="446"/>
      <c r="Q26" s="446"/>
      <c r="R26" s="446"/>
      <c r="S26" s="647">
        <f t="shared" si="3"/>
        <v>20.371863817663819</v>
      </c>
      <c r="T26" s="305"/>
      <c r="U26" s="305"/>
      <c r="V26" s="305"/>
    </row>
    <row r="27" spans="1:22" s="367" customFormat="1" ht="12" customHeight="1">
      <c r="A27" s="364">
        <v>19</v>
      </c>
      <c r="B27" s="365">
        <f>'FRIT HGE91-FHG'!B27</f>
        <v>46253</v>
      </c>
      <c r="C27" s="331" t="s">
        <v>104</v>
      </c>
      <c r="D27" s="502">
        <f t="shared" si="4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1477.8947368421052</v>
      </c>
      <c r="I27" s="499">
        <f>SUM($G$9:G27)/A27</f>
        <v>1487.6842105263158</v>
      </c>
      <c r="J27" s="443">
        <f t="shared" si="6"/>
        <v>35752.620999999999</v>
      </c>
      <c r="K27" s="459">
        <f>K26+E27-G27</f>
        <v>36014</v>
      </c>
      <c r="L27" s="495">
        <f t="shared" si="7"/>
        <v>24.191588283475784</v>
      </c>
      <c r="M27" s="464">
        <f t="shared" si="7"/>
        <v>24.20809453053138</v>
      </c>
      <c r="N27" s="366"/>
      <c r="O27" s="446"/>
      <c r="P27" s="446"/>
      <c r="Q27" s="446"/>
      <c r="R27" s="446"/>
      <c r="S27" s="647">
        <f t="shared" si="3"/>
        <v>20.371863817663819</v>
      </c>
      <c r="T27" s="305"/>
      <c r="U27" s="305"/>
      <c r="V27" s="305"/>
    </row>
    <row r="28" spans="1:22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502">
        <f t="shared" si="4"/>
        <v>0</v>
      </c>
      <c r="E28" s="499"/>
      <c r="F28" s="446">
        <f t="shared" si="2"/>
        <v>0</v>
      </c>
      <c r="G28" s="503">
        <f t="shared" si="2"/>
        <v>0</v>
      </c>
      <c r="H28" s="504">
        <f>SUM($F$9:F28)/A28</f>
        <v>1404</v>
      </c>
      <c r="I28" s="499">
        <f>SUM($G$9:G28)/A28</f>
        <v>1413.3</v>
      </c>
      <c r="J28" s="504">
        <f t="shared" si="6"/>
        <v>35752.620999999999</v>
      </c>
      <c r="K28" s="459">
        <f t="shared" si="6"/>
        <v>36014</v>
      </c>
      <c r="L28" s="505">
        <f t="shared" si="7"/>
        <v>25.464829772079771</v>
      </c>
      <c r="M28" s="464">
        <f t="shared" si="7"/>
        <v>25.482204768980402</v>
      </c>
      <c r="N28" s="366"/>
      <c r="O28" s="446"/>
      <c r="P28" s="446"/>
      <c r="Q28" s="446"/>
      <c r="R28" s="446"/>
      <c r="S28" s="647">
        <f t="shared" si="3"/>
        <v>20.371863817663819</v>
      </c>
      <c r="T28" s="305"/>
      <c r="U28" s="305"/>
      <c r="V28" s="305"/>
    </row>
    <row r="29" spans="1:22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502">
        <f t="shared" si="4"/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1337.1428571428571</v>
      </c>
      <c r="I29" s="499">
        <f>SUM($G$9:G29)/A29</f>
        <v>1346</v>
      </c>
      <c r="J29" s="443">
        <f t="shared" si="6"/>
        <v>35752.620999999999</v>
      </c>
      <c r="K29" s="459">
        <f t="shared" si="6"/>
        <v>36014</v>
      </c>
      <c r="L29" s="495">
        <f t="shared" si="7"/>
        <v>26.73807126068376</v>
      </c>
      <c r="M29" s="464">
        <f t="shared" si="7"/>
        <v>26.756315007429421</v>
      </c>
      <c r="N29" s="366"/>
      <c r="O29" s="446"/>
      <c r="P29" s="446"/>
      <c r="Q29" s="446"/>
      <c r="R29" s="446"/>
      <c r="S29" s="647">
        <f t="shared" si="3"/>
        <v>20.371863817663819</v>
      </c>
      <c r="T29" s="305"/>
      <c r="U29" s="305"/>
      <c r="V29" s="305"/>
    </row>
    <row r="30" spans="1:22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502">
        <f t="shared" si="4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1276.3636363636363</v>
      </c>
      <c r="I30" s="499">
        <f>SUM($G$9:G30)/A30</f>
        <v>1284.8181818181818</v>
      </c>
      <c r="J30" s="443">
        <f t="shared" si="6"/>
        <v>35752.620999999999</v>
      </c>
      <c r="K30" s="459">
        <f t="shared" si="6"/>
        <v>36014</v>
      </c>
      <c r="L30" s="495">
        <f t="shared" si="7"/>
        <v>28.01131274928775</v>
      </c>
      <c r="M30" s="464">
        <f t="shared" si="7"/>
        <v>28.03042524587844</v>
      </c>
      <c r="N30" s="366"/>
      <c r="O30" s="446"/>
      <c r="P30" s="446"/>
      <c r="Q30" s="446"/>
      <c r="R30" s="446"/>
      <c r="S30" s="647">
        <f t="shared" si="3"/>
        <v>20.371863817663819</v>
      </c>
      <c r="T30" s="305"/>
      <c r="U30" s="305"/>
      <c r="V30" s="305"/>
    </row>
    <row r="31" spans="1:22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502">
        <f t="shared" si="4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1220.8695652173913</v>
      </c>
      <c r="I31" s="499">
        <f>SUM($G$9:G31)/A31</f>
        <v>1228.9565217391305</v>
      </c>
      <c r="J31" s="443">
        <f t="shared" si="6"/>
        <v>35752.620999999999</v>
      </c>
      <c r="K31" s="459">
        <f t="shared" si="6"/>
        <v>36014</v>
      </c>
      <c r="L31" s="495">
        <f t="shared" si="7"/>
        <v>29.28455423789174</v>
      </c>
      <c r="M31" s="464">
        <f t="shared" si="7"/>
        <v>29.304535484327459</v>
      </c>
      <c r="N31" s="366"/>
      <c r="O31" s="446"/>
      <c r="P31" s="446"/>
      <c r="Q31" s="446"/>
      <c r="R31" s="446"/>
      <c r="S31" s="647">
        <f t="shared" si="3"/>
        <v>20.371863817663819</v>
      </c>
      <c r="T31" s="305"/>
      <c r="U31" s="305"/>
      <c r="V31" s="305"/>
    </row>
    <row r="32" spans="1:22" s="367" customFormat="1" ht="12" customHeight="1">
      <c r="A32" s="364">
        <v>24</v>
      </c>
      <c r="B32" s="365">
        <f>'FRIT HGE91-FHG'!B32</f>
        <v>46258</v>
      </c>
      <c r="C32" s="331" t="s">
        <v>346</v>
      </c>
      <c r="D32" s="502">
        <f t="shared" si="4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1170</v>
      </c>
      <c r="I32" s="499">
        <f>SUM($G$9:G32)/A32</f>
        <v>1177.75</v>
      </c>
      <c r="J32" s="443">
        <f t="shared" si="6"/>
        <v>35752.620999999999</v>
      </c>
      <c r="K32" s="459">
        <f t="shared" si="6"/>
        <v>36014</v>
      </c>
      <c r="L32" s="495">
        <f t="shared" si="7"/>
        <v>30.557795726495726</v>
      </c>
      <c r="M32" s="464">
        <f t="shared" si="7"/>
        <v>30.578645722776482</v>
      </c>
      <c r="N32" s="366"/>
      <c r="O32" s="446"/>
      <c r="P32" s="446"/>
      <c r="Q32" s="446"/>
      <c r="R32" s="446"/>
      <c r="S32" s="647">
        <f t="shared" si="3"/>
        <v>20.371863817663819</v>
      </c>
      <c r="T32" s="305"/>
      <c r="U32" s="305"/>
      <c r="V32" s="305"/>
    </row>
    <row r="33" spans="1:22" s="367" customFormat="1" ht="12" customHeight="1">
      <c r="A33" s="460">
        <v>25</v>
      </c>
      <c r="B33" s="365">
        <f>'FRIT HGE91-FHG'!B33</f>
        <v>46259</v>
      </c>
      <c r="C33" s="331" t="s">
        <v>104</v>
      </c>
      <c r="D33" s="502">
        <f t="shared" si="4"/>
        <v>0</v>
      </c>
      <c r="E33" s="499"/>
      <c r="F33" s="446">
        <f t="shared" si="2"/>
        <v>0</v>
      </c>
      <c r="G33" s="503">
        <f t="shared" si="2"/>
        <v>0</v>
      </c>
      <c r="H33" s="460">
        <f>SUM($F$9:F33)/A33</f>
        <v>1123.2</v>
      </c>
      <c r="I33" s="499">
        <f>SUM($G$9:G33)/A33</f>
        <v>1130.6400000000001</v>
      </c>
      <c r="J33" s="460">
        <f t="shared" si="6"/>
        <v>35752.620999999999</v>
      </c>
      <c r="K33" s="459">
        <f t="shared" si="6"/>
        <v>36014</v>
      </c>
      <c r="L33" s="506">
        <f t="shared" si="7"/>
        <v>31.831037215099713</v>
      </c>
      <c r="M33" s="464">
        <f t="shared" si="7"/>
        <v>31.852755961225498</v>
      </c>
      <c r="N33" s="366"/>
      <c r="O33" s="446"/>
      <c r="P33" s="446"/>
      <c r="Q33" s="446"/>
      <c r="R33" s="446"/>
      <c r="S33" s="647">
        <f t="shared" si="3"/>
        <v>20.371863817663819</v>
      </c>
      <c r="T33" s="305"/>
      <c r="U33" s="305"/>
      <c r="V33" s="305"/>
    </row>
    <row r="34" spans="1:22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4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1080</v>
      </c>
      <c r="I34" s="499">
        <f>SUM($G$9:G34)/A34</f>
        <v>1087.1538461538462</v>
      </c>
      <c r="J34" s="443">
        <f t="shared" si="6"/>
        <v>35752.620999999999</v>
      </c>
      <c r="K34" s="459">
        <f t="shared" si="6"/>
        <v>36014</v>
      </c>
      <c r="L34" s="495">
        <f t="shared" si="7"/>
        <v>33.104278703703706</v>
      </c>
      <c r="M34" s="464">
        <f t="shared" si="7"/>
        <v>33.126866199674517</v>
      </c>
      <c r="N34" s="366"/>
      <c r="O34" s="446"/>
      <c r="P34" s="446"/>
      <c r="Q34" s="446"/>
      <c r="R34" s="446"/>
      <c r="S34" s="647">
        <f t="shared" si="3"/>
        <v>20.371863817663819</v>
      </c>
      <c r="T34" s="305"/>
      <c r="U34" s="305"/>
    </row>
    <row r="35" spans="1:22" s="367" customFormat="1" ht="12" customHeight="1">
      <c r="A35" s="364">
        <v>27</v>
      </c>
      <c r="B35" s="365">
        <f>'FRIT HGE91-FHG'!B35</f>
        <v>46261</v>
      </c>
      <c r="C35" s="331" t="s">
        <v>346</v>
      </c>
      <c r="D35" s="502">
        <f t="shared" si="4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1040</v>
      </c>
      <c r="I35" s="499">
        <f>SUM($G$9:G35)/A35</f>
        <v>1046.8888888888889</v>
      </c>
      <c r="J35" s="443">
        <f t="shared" si="6"/>
        <v>35752.620999999999</v>
      </c>
      <c r="K35" s="459">
        <f t="shared" si="6"/>
        <v>36014</v>
      </c>
      <c r="L35" s="495">
        <f t="shared" si="7"/>
        <v>34.377520192307692</v>
      </c>
      <c r="M35" s="464">
        <f t="shared" si="7"/>
        <v>34.400976438123543</v>
      </c>
      <c r="N35" s="366"/>
      <c r="O35" s="446"/>
      <c r="P35" s="446"/>
      <c r="Q35" s="446"/>
      <c r="R35" s="446"/>
      <c r="S35" s="647">
        <f t="shared" si="3"/>
        <v>20.371863817663819</v>
      </c>
      <c r="T35" s="305"/>
      <c r="U35" s="305"/>
    </row>
    <row r="36" spans="1:22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921">
        <f t="shared" si="4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1002.8571428571429</v>
      </c>
      <c r="I36" s="499">
        <f>SUM($G$9:G36)/A36</f>
        <v>1009.5</v>
      </c>
      <c r="J36" s="443">
        <f t="shared" si="6"/>
        <v>35752.620999999999</v>
      </c>
      <c r="K36" s="459">
        <f t="shared" si="6"/>
        <v>36014</v>
      </c>
      <c r="L36" s="495">
        <f t="shared" si="7"/>
        <v>35.650761680911678</v>
      </c>
      <c r="M36" s="464">
        <f t="shared" si="7"/>
        <v>35.675086676572562</v>
      </c>
      <c r="N36" s="366"/>
      <c r="O36" s="446"/>
      <c r="P36" s="446"/>
      <c r="Q36" s="446"/>
      <c r="R36" s="446"/>
      <c r="S36" s="647">
        <f t="shared" si="3"/>
        <v>20.371863817663819</v>
      </c>
      <c r="T36" s="305"/>
      <c r="U36" s="305"/>
    </row>
    <row r="37" spans="1:22" s="367" customFormat="1" ht="12" customHeight="1">
      <c r="A37" s="364">
        <v>29</v>
      </c>
      <c r="B37" s="365">
        <f>'FRIT HGE91-FHG'!B37</f>
        <v>46263</v>
      </c>
      <c r="C37" s="331" t="s">
        <v>346</v>
      </c>
      <c r="D37" s="502">
        <f t="shared" si="4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968.27586206896547</v>
      </c>
      <c r="I37" s="499">
        <f>SUM($G$9:G37)/A37</f>
        <v>974.68965517241384</v>
      </c>
      <c r="J37" s="443">
        <f t="shared" si="6"/>
        <v>35752.620999999999</v>
      </c>
      <c r="K37" s="459">
        <f t="shared" si="6"/>
        <v>36014</v>
      </c>
      <c r="L37" s="495">
        <f t="shared" si="7"/>
        <v>36.924003169515672</v>
      </c>
      <c r="M37" s="464">
        <f t="shared" si="7"/>
        <v>36.949196915021581</v>
      </c>
      <c r="N37" s="366"/>
      <c r="O37" s="446"/>
      <c r="P37" s="446"/>
      <c r="Q37" s="446"/>
      <c r="R37" s="446"/>
      <c r="S37" s="647">
        <f t="shared" si="3"/>
        <v>20.371863817663819</v>
      </c>
    </row>
    <row r="38" spans="1:22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921">
        <f t="shared" si="4"/>
        <v>0</v>
      </c>
      <c r="E38" s="499"/>
      <c r="F38" s="446">
        <f t="shared" si="2"/>
        <v>0</v>
      </c>
      <c r="G38" s="503">
        <f t="shared" si="2"/>
        <v>0</v>
      </c>
      <c r="H38" s="504">
        <f>SUM($F$9:F38)/A38</f>
        <v>936</v>
      </c>
      <c r="I38" s="499">
        <f>SUM($G$9:G38)/A38</f>
        <v>942.2</v>
      </c>
      <c r="J38" s="504">
        <f t="shared" si="6"/>
        <v>35752.620999999999</v>
      </c>
      <c r="K38" s="459">
        <f t="shared" si="6"/>
        <v>36014</v>
      </c>
      <c r="L38" s="505">
        <f t="shared" si="7"/>
        <v>38.197244658119658</v>
      </c>
      <c r="M38" s="464">
        <f t="shared" si="7"/>
        <v>38.2233071534706</v>
      </c>
      <c r="N38" s="366"/>
      <c r="O38" s="446"/>
      <c r="P38" s="446"/>
      <c r="Q38" s="446"/>
      <c r="R38" s="446"/>
      <c r="S38" s="647">
        <f t="shared" si="3"/>
        <v>20.371863817663819</v>
      </c>
    </row>
    <row r="39" spans="1:22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502">
        <f t="shared" si="4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905.80645161290317</v>
      </c>
      <c r="I39" s="499">
        <f>SUM($G$9:G39)/A39</f>
        <v>911.80645161290317</v>
      </c>
      <c r="J39" s="443">
        <f t="shared" si="6"/>
        <v>35752.620999999999</v>
      </c>
      <c r="K39" s="459">
        <f t="shared" si="6"/>
        <v>36014</v>
      </c>
      <c r="L39" s="495">
        <f t="shared" si="7"/>
        <v>39.470486146723651</v>
      </c>
      <c r="M39" s="464">
        <f t="shared" si="7"/>
        <v>39.497417391919626</v>
      </c>
      <c r="N39" s="366"/>
      <c r="O39" s="446"/>
      <c r="P39" s="446"/>
      <c r="Q39" s="446"/>
      <c r="R39" s="446"/>
      <c r="S39" s="647">
        <f t="shared" si="3"/>
        <v>20.371863817663819</v>
      </c>
    </row>
    <row r="40" spans="1:22" s="374" customFormat="1" ht="12" customHeight="1">
      <c r="A40" s="913" t="s">
        <v>29</v>
      </c>
      <c r="B40" s="914"/>
      <c r="C40" s="915"/>
      <c r="D40" s="388">
        <f>SUM(D9:D39)</f>
        <v>37070.106</v>
      </c>
      <c r="E40" s="388">
        <f>SUM(E9:E39)</f>
        <v>37383</v>
      </c>
      <c r="F40" s="389">
        <f>SUM(F9:F39)</f>
        <v>28080</v>
      </c>
      <c r="G40" s="496">
        <f>SUM(G9:G39)</f>
        <v>28266</v>
      </c>
      <c r="H40" s="389"/>
      <c r="I40" s="496"/>
      <c r="J40" s="389">
        <f>J39</f>
        <v>35752.620999999999</v>
      </c>
      <c r="K40" s="461">
        <f>K39</f>
        <v>36014</v>
      </c>
      <c r="L40" s="464"/>
      <c r="M40" s="464"/>
      <c r="N40" s="366"/>
      <c r="O40" s="389">
        <f>SUM(O9:O39)</f>
        <v>28080</v>
      </c>
      <c r="P40" s="496">
        <f>SUM(P9:P39)</f>
        <v>28266</v>
      </c>
      <c r="Q40" s="389">
        <f>SUM(Q9:Q39)</f>
        <v>0</v>
      </c>
      <c r="R40" s="496">
        <f>SUM(R9:R39)</f>
        <v>0</v>
      </c>
    </row>
    <row r="41" spans="1:22" s="374" customFormat="1" ht="12" customHeight="1">
      <c r="A41" s="913" t="s">
        <v>15</v>
      </c>
      <c r="B41" s="914"/>
      <c r="C41" s="915"/>
      <c r="D41" s="388">
        <f>D8+D40</f>
        <v>63832.620999999999</v>
      </c>
      <c r="E41" s="388">
        <f>E8+E40</f>
        <v>64280</v>
      </c>
      <c r="F41" s="389">
        <f>F40</f>
        <v>28080</v>
      </c>
      <c r="G41" s="496">
        <f>G40</f>
        <v>28266</v>
      </c>
      <c r="H41" s="389"/>
      <c r="I41" s="496"/>
      <c r="J41" s="389">
        <f>D41-F41</f>
        <v>35752.620999999999</v>
      </c>
      <c r="K41" s="461">
        <f>E41-G41</f>
        <v>36014</v>
      </c>
      <c r="L41" s="464"/>
      <c r="M41" s="464"/>
      <c r="N41" s="507"/>
      <c r="O41" s="507"/>
      <c r="P41" s="507"/>
      <c r="Q41" s="507"/>
      <c r="R41" s="507"/>
    </row>
    <row r="42" spans="1:22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22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22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22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22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22">
      <c r="D47" s="143"/>
      <c r="E47" s="143"/>
      <c r="F47" s="143"/>
      <c r="G47" s="143"/>
      <c r="H47" s="143"/>
      <c r="I47" s="143"/>
      <c r="J47" s="143"/>
      <c r="K47" s="143"/>
    </row>
    <row r="48" spans="1:22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143" priority="1" operator="lessThan">
      <formula>15</formula>
    </cfRule>
    <cfRule type="cellIs" dxfId="12142" priority="2" operator="greaterThan">
      <formula>20</formula>
    </cfRule>
    <cfRule type="cellIs" dxfId="12141" priority="3" operator="between">
      <formula>15</formula>
      <formula>20</formula>
    </cfRule>
    <cfRule type="cellIs" dxfId="12140" priority="4" operator="between">
      <formula>15</formula>
      <formula>20</formula>
    </cfRule>
    <cfRule type="cellIs" dxfId="12139" priority="5" operator="lessThan">
      <formula>15</formula>
    </cfRule>
    <cfRule type="cellIs" dxfId="12138" priority="6" operator="greaterThan">
      <formula>20</formula>
    </cfRule>
    <cfRule type="cellIs" dxfId="12137" priority="7" operator="between">
      <formula>15</formula>
      <formula>21</formula>
    </cfRule>
    <cfRule type="cellIs" dxfId="12136" priority="8" operator="lessThan">
      <formula>15</formula>
    </cfRule>
    <cfRule type="cellIs" dxfId="12135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49"/>
  <sheetViews>
    <sheetView workbookViewId="0">
      <pane ySplit="8" topLeftCell="A9" activePane="bottomLeft" state="frozen"/>
      <selection activeCell="D10" sqref="D10"/>
      <selection pane="bottomLeft" activeCell="F18" sqref="F18:G20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0" width="12.42578125" style="142" customWidth="1"/>
    <col min="11" max="11" width="14.140625" style="142" customWidth="1"/>
    <col min="12" max="13" width="12" style="143" customWidth="1"/>
    <col min="14" max="14" width="6.42578125" style="143" customWidth="1"/>
    <col min="15" max="15" width="11.5703125" style="143" bestFit="1" customWidth="1"/>
    <col min="16" max="16" width="9.42578125" style="143" bestFit="1" customWidth="1"/>
    <col min="17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">
        <v>284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181</v>
      </c>
      <c r="K4" s="319"/>
      <c r="L4" s="319"/>
      <c r="M4" s="319"/>
      <c r="O4" s="143"/>
    </row>
    <row r="5" spans="1:25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O5" s="143"/>
      <c r="P5" s="143"/>
      <c r="Q5" s="143"/>
      <c r="R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  <c r="P6" s="621"/>
      <c r="Q6" s="621"/>
      <c r="R6" s="621"/>
    </row>
    <row r="7" spans="1:25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  <c r="P7" s="143"/>
      <c r="Q7" s="143"/>
      <c r="R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/>
      <c r="O8" s="143">
        <v>3000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104</v>
      </c>
      <c r="D9" s="502">
        <f>E9-E9*N9</f>
        <v>0</v>
      </c>
      <c r="E9" s="499"/>
      <c r="F9" s="446"/>
      <c r="G9" s="503"/>
      <c r="H9" s="498">
        <f>SUM($F$9:F9)/A9</f>
        <v>0</v>
      </c>
      <c r="I9" s="499">
        <f>SUM($G$9:G9)/A9</f>
        <v>0</v>
      </c>
      <c r="J9" s="443">
        <f t="shared" ref="J9:K24" si="0">J8+D9-F9</f>
        <v>0</v>
      </c>
      <c r="K9" s="459">
        <f t="shared" si="0"/>
        <v>0</v>
      </c>
      <c r="L9" s="495" t="e">
        <f t="shared" ref="L9:M24" si="1">J9/H9</f>
        <v>#DIV/0!</v>
      </c>
      <c r="M9" s="464" t="e">
        <f t="shared" si="1"/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502">
        <f t="shared" ref="D10:D20" si="2">E10-E10*N10</f>
        <v>0</v>
      </c>
      <c r="E10" s="499"/>
      <c r="F10" s="446"/>
      <c r="G10" s="503"/>
      <c r="H10" s="498">
        <f>SUM($F$9:F10)/A10</f>
        <v>0</v>
      </c>
      <c r="I10" s="499">
        <f>SUM($G$9:G10)/A10</f>
        <v>0</v>
      </c>
      <c r="J10" s="443">
        <f t="shared" si="0"/>
        <v>0</v>
      </c>
      <c r="K10" s="459">
        <f t="shared" si="0"/>
        <v>0</v>
      </c>
      <c r="L10" s="495" t="e">
        <f t="shared" si="1"/>
        <v>#DIV/0!</v>
      </c>
      <c r="M10" s="464" t="e">
        <f t="shared" si="1"/>
        <v>#DIV/0!</v>
      </c>
      <c r="N10" s="366"/>
      <c r="O10" s="647">
        <f t="shared" ref="O10:O39" si="3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502">
        <f t="shared" si="2"/>
        <v>0</v>
      </c>
      <c r="E11" s="499"/>
      <c r="F11" s="446"/>
      <c r="G11" s="503"/>
      <c r="H11" s="498">
        <f>SUM($F$9:F11)/A11</f>
        <v>0</v>
      </c>
      <c r="I11" s="499">
        <f>SUM($G$9:G11)/A11</f>
        <v>0</v>
      </c>
      <c r="J11" s="443">
        <f t="shared" si="0"/>
        <v>0</v>
      </c>
      <c r="K11" s="459">
        <f t="shared" si="0"/>
        <v>0</v>
      </c>
      <c r="L11" s="495" t="e">
        <f t="shared" si="1"/>
        <v>#DIV/0!</v>
      </c>
      <c r="M11" s="464" t="e">
        <f t="shared" si="1"/>
        <v>#DIV/0!</v>
      </c>
      <c r="N11" s="366"/>
      <c r="O11" s="647">
        <f t="shared" si="3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104</v>
      </c>
      <c r="D12" s="502">
        <f t="shared" si="2"/>
        <v>0</v>
      </c>
      <c r="E12" s="499"/>
      <c r="F12" s="446"/>
      <c r="G12" s="503"/>
      <c r="H12" s="498">
        <f>SUM($F$9:F12)/A12</f>
        <v>0</v>
      </c>
      <c r="I12" s="499">
        <f>SUM($G$9:G12)/A12</f>
        <v>0</v>
      </c>
      <c r="J12" s="443">
        <f t="shared" si="0"/>
        <v>0</v>
      </c>
      <c r="K12" s="459">
        <f t="shared" si="0"/>
        <v>0</v>
      </c>
      <c r="L12" s="495" t="e">
        <f t="shared" si="1"/>
        <v>#DIV/0!</v>
      </c>
      <c r="M12" s="464" t="e">
        <f t="shared" si="1"/>
        <v>#DIV/0!</v>
      </c>
      <c r="N12" s="366"/>
      <c r="O12" s="647">
        <f t="shared" si="3"/>
        <v>0</v>
      </c>
    </row>
    <row r="13" spans="1:25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502">
        <f t="shared" si="2"/>
        <v>0</v>
      </c>
      <c r="E13" s="499"/>
      <c r="F13" s="446"/>
      <c r="G13" s="503"/>
      <c r="H13" s="504">
        <f>SUM($F$9:F13)/A13</f>
        <v>0</v>
      </c>
      <c r="I13" s="499">
        <f>SUM($G$9:G13)/A13</f>
        <v>0</v>
      </c>
      <c r="J13" s="504">
        <f t="shared" si="0"/>
        <v>0</v>
      </c>
      <c r="K13" s="459">
        <f t="shared" si="0"/>
        <v>0</v>
      </c>
      <c r="L13" s="505" t="e">
        <f t="shared" si="1"/>
        <v>#DIV/0!</v>
      </c>
      <c r="M13" s="464" t="e">
        <f t="shared" si="1"/>
        <v>#DIV/0!</v>
      </c>
      <c r="N13" s="366"/>
      <c r="O13" s="647">
        <f t="shared" si="3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502">
        <f t="shared" si="2"/>
        <v>0</v>
      </c>
      <c r="E14" s="499"/>
      <c r="F14" s="446"/>
      <c r="G14" s="503"/>
      <c r="H14" s="498">
        <f>SUM($F$9:F14)/A14</f>
        <v>0</v>
      </c>
      <c r="I14" s="499">
        <f>SUM($G$9:G14)/A14</f>
        <v>0</v>
      </c>
      <c r="J14" s="443">
        <f t="shared" si="0"/>
        <v>0</v>
      </c>
      <c r="K14" s="459">
        <f t="shared" si="0"/>
        <v>0</v>
      </c>
      <c r="L14" s="495" t="e">
        <f t="shared" si="1"/>
        <v>#DIV/0!</v>
      </c>
      <c r="M14" s="464" t="e">
        <f t="shared" si="1"/>
        <v>#DIV/0!</v>
      </c>
      <c r="N14" s="366"/>
      <c r="O14" s="647">
        <f t="shared" si="3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502">
        <f t="shared" si="2"/>
        <v>0</v>
      </c>
      <c r="E15" s="499"/>
      <c r="F15" s="446"/>
      <c r="G15" s="503"/>
      <c r="H15" s="498">
        <f>SUM($F$9:F15)/A15</f>
        <v>0</v>
      </c>
      <c r="I15" s="499">
        <f>SUM($G$9:G15)/A15</f>
        <v>0</v>
      </c>
      <c r="J15" s="443">
        <f t="shared" si="0"/>
        <v>0</v>
      </c>
      <c r="K15" s="459">
        <f t="shared" si="0"/>
        <v>0</v>
      </c>
      <c r="L15" s="495" t="e">
        <f t="shared" si="1"/>
        <v>#DIV/0!</v>
      </c>
      <c r="M15" s="464" t="e">
        <f t="shared" si="1"/>
        <v>#DIV/0!</v>
      </c>
      <c r="N15" s="366"/>
      <c r="O15" s="647">
        <f t="shared" si="3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502">
        <f t="shared" si="2"/>
        <v>0</v>
      </c>
      <c r="E16" s="499"/>
      <c r="F16" s="446"/>
      <c r="G16" s="503"/>
      <c r="H16" s="498">
        <f>SUM($F$9:F16)/A16</f>
        <v>0</v>
      </c>
      <c r="I16" s="499">
        <f>SUM($G$9:G16)/A16</f>
        <v>0</v>
      </c>
      <c r="J16" s="443">
        <f t="shared" si="0"/>
        <v>0</v>
      </c>
      <c r="K16" s="459">
        <f t="shared" si="0"/>
        <v>0</v>
      </c>
      <c r="L16" s="495" t="e">
        <f t="shared" si="1"/>
        <v>#DIV/0!</v>
      </c>
      <c r="M16" s="464" t="e">
        <f t="shared" si="1"/>
        <v>#DIV/0!</v>
      </c>
      <c r="N16" s="366"/>
      <c r="O16" s="647">
        <f t="shared" si="3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502">
        <f t="shared" si="2"/>
        <v>0</v>
      </c>
      <c r="E17" s="499"/>
      <c r="F17" s="446"/>
      <c r="G17" s="503"/>
      <c r="H17" s="498">
        <f>SUM($F$9:F17)/A17</f>
        <v>0</v>
      </c>
      <c r="I17" s="499">
        <f>SUM($G$9:G17)/A17</f>
        <v>0</v>
      </c>
      <c r="J17" s="443">
        <f t="shared" si="0"/>
        <v>0</v>
      </c>
      <c r="K17" s="459">
        <f t="shared" si="0"/>
        <v>0</v>
      </c>
      <c r="L17" s="495" t="e">
        <f t="shared" si="1"/>
        <v>#DIV/0!</v>
      </c>
      <c r="M17" s="464" t="e">
        <f t="shared" si="1"/>
        <v>#DIV/0!</v>
      </c>
      <c r="N17" s="366"/>
      <c r="O17" s="647">
        <f t="shared" si="3"/>
        <v>0</v>
      </c>
    </row>
    <row r="18" spans="1:15" s="367" customFormat="1" ht="12" customHeight="1">
      <c r="A18" s="504">
        <v>10</v>
      </c>
      <c r="B18" s="365">
        <f>'FRIT HGE91-FHG'!B18</f>
        <v>46244</v>
      </c>
      <c r="C18" s="331" t="s">
        <v>104</v>
      </c>
      <c r="D18" s="502">
        <f t="shared" si="2"/>
        <v>0</v>
      </c>
      <c r="E18" s="499"/>
      <c r="F18" s="446"/>
      <c r="G18" s="503"/>
      <c r="H18" s="504">
        <f>SUM($F$9:F18)/A18</f>
        <v>0</v>
      </c>
      <c r="I18" s="499">
        <f>SUM($G$9:G18)/A18</f>
        <v>0</v>
      </c>
      <c r="J18" s="504">
        <f t="shared" si="0"/>
        <v>0</v>
      </c>
      <c r="K18" s="459">
        <f t="shared" si="0"/>
        <v>0</v>
      </c>
      <c r="L18" s="505" t="e">
        <f t="shared" si="1"/>
        <v>#DIV/0!</v>
      </c>
      <c r="M18" s="464" t="e">
        <f t="shared" si="1"/>
        <v>#DIV/0!</v>
      </c>
      <c r="N18" s="366"/>
      <c r="O18" s="647">
        <f t="shared" si="3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104</v>
      </c>
      <c r="D19" s="502">
        <f t="shared" si="2"/>
        <v>0</v>
      </c>
      <c r="E19" s="499"/>
      <c r="F19" s="446"/>
      <c r="G19" s="503"/>
      <c r="H19" s="498">
        <f>SUM($F$9:F19)/A19</f>
        <v>0</v>
      </c>
      <c r="I19" s="499">
        <f>SUM($G$9:G19)/A19</f>
        <v>0</v>
      </c>
      <c r="J19" s="443">
        <f t="shared" si="0"/>
        <v>0</v>
      </c>
      <c r="K19" s="459">
        <f t="shared" si="0"/>
        <v>0</v>
      </c>
      <c r="L19" s="495" t="e">
        <f t="shared" si="1"/>
        <v>#DIV/0!</v>
      </c>
      <c r="M19" s="464" t="e">
        <f t="shared" si="1"/>
        <v>#DIV/0!</v>
      </c>
      <c r="N19" s="366"/>
      <c r="O19" s="647">
        <f t="shared" si="3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2"/>
        <v>0</v>
      </c>
      <c r="E20" s="499"/>
      <c r="F20" s="446"/>
      <c r="G20" s="503"/>
      <c r="H20" s="498">
        <f>SUM($F$9:F20)/A20</f>
        <v>0</v>
      </c>
      <c r="I20" s="499">
        <f>SUM($G$9:G20)/A20</f>
        <v>0</v>
      </c>
      <c r="J20" s="443">
        <f t="shared" si="0"/>
        <v>0</v>
      </c>
      <c r="K20" s="459">
        <f t="shared" si="0"/>
        <v>0</v>
      </c>
      <c r="L20" s="495" t="e">
        <f t="shared" si="1"/>
        <v>#DIV/0!</v>
      </c>
      <c r="M20" s="464" t="e">
        <f t="shared" si="1"/>
        <v>#DIV/0!</v>
      </c>
      <c r="N20" s="366"/>
      <c r="O20" s="647">
        <f t="shared" si="3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502">
        <f t="shared" ref="D21:D28" si="4">E21-E21*N21</f>
        <v>0</v>
      </c>
      <c r="E21" s="499"/>
      <c r="F21" s="446"/>
      <c r="G21" s="503"/>
      <c r="H21" s="498">
        <f>SUM($F$9:F21)/A21</f>
        <v>0</v>
      </c>
      <c r="I21" s="499">
        <f>SUM($G$9:G21)/A21</f>
        <v>0</v>
      </c>
      <c r="J21" s="443">
        <f t="shared" si="0"/>
        <v>0</v>
      </c>
      <c r="K21" s="459">
        <f>K20+E21-G21</f>
        <v>0</v>
      </c>
      <c r="L21" s="495" t="e">
        <f t="shared" si="1"/>
        <v>#DIV/0!</v>
      </c>
      <c r="M21" s="464" t="e">
        <f t="shared" si="1"/>
        <v>#DIV/0!</v>
      </c>
      <c r="N21" s="366"/>
      <c r="O21" s="647">
        <f t="shared" si="3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104</v>
      </c>
      <c r="D22" s="502">
        <f t="shared" si="4"/>
        <v>0</v>
      </c>
      <c r="E22" s="499"/>
      <c r="F22" s="446"/>
      <c r="G22" s="503"/>
      <c r="H22" s="498">
        <f>SUM($F$9:F22)/A22</f>
        <v>0</v>
      </c>
      <c r="I22" s="499">
        <f>SUM($G$9:G22)/A22</f>
        <v>0</v>
      </c>
      <c r="J22" s="443">
        <f t="shared" si="0"/>
        <v>0</v>
      </c>
      <c r="K22" s="459">
        <f>K21+E22-G22</f>
        <v>0</v>
      </c>
      <c r="L22" s="495" t="e">
        <f t="shared" si="1"/>
        <v>#DIV/0!</v>
      </c>
      <c r="M22" s="464" t="e">
        <f t="shared" si="1"/>
        <v>#DIV/0!</v>
      </c>
      <c r="N22" s="366"/>
      <c r="O22" s="647">
        <f t="shared" si="3"/>
        <v>0</v>
      </c>
    </row>
    <row r="23" spans="1:15" s="367" customFormat="1" ht="12" customHeight="1">
      <c r="A23" s="504">
        <v>15</v>
      </c>
      <c r="B23" s="365">
        <f>'FRIT HGE91-FHG'!B23</f>
        <v>46249</v>
      </c>
      <c r="C23" s="331" t="s">
        <v>104</v>
      </c>
      <c r="D23" s="502">
        <f t="shared" si="4"/>
        <v>0</v>
      </c>
      <c r="E23" s="499"/>
      <c r="F23" s="446"/>
      <c r="G23" s="503"/>
      <c r="H23" s="504">
        <f>SUM($F$9:F23)/A23</f>
        <v>0</v>
      </c>
      <c r="I23" s="499">
        <f>SUM($G$9:G23)/A23</f>
        <v>0</v>
      </c>
      <c r="J23" s="504">
        <f t="shared" si="0"/>
        <v>0</v>
      </c>
      <c r="K23" s="459">
        <f t="shared" si="0"/>
        <v>0</v>
      </c>
      <c r="L23" s="505" t="e">
        <f t="shared" si="1"/>
        <v>#DIV/0!</v>
      </c>
      <c r="M23" s="464" t="e">
        <f t="shared" si="1"/>
        <v>#DIV/0!</v>
      </c>
      <c r="N23" s="366"/>
      <c r="O23" s="647">
        <f t="shared" si="3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502">
        <f t="shared" si="4"/>
        <v>0</v>
      </c>
      <c r="E24" s="499"/>
      <c r="F24" s="446"/>
      <c r="G24" s="503"/>
      <c r="H24" s="498">
        <f>SUM($F$9:F24)/A24</f>
        <v>0</v>
      </c>
      <c r="I24" s="499">
        <f>SUM($G$9:G24)/A24</f>
        <v>0</v>
      </c>
      <c r="J24" s="443">
        <f t="shared" si="0"/>
        <v>0</v>
      </c>
      <c r="K24" s="459">
        <f>K23+E24-G24</f>
        <v>0</v>
      </c>
      <c r="L24" s="495" t="e">
        <f t="shared" si="1"/>
        <v>#DIV/0!</v>
      </c>
      <c r="M24" s="464" t="e">
        <f t="shared" si="1"/>
        <v>#DIV/0!</v>
      </c>
      <c r="N24" s="366"/>
      <c r="O24" s="647">
        <f t="shared" si="3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502">
        <f t="shared" si="4"/>
        <v>0</v>
      </c>
      <c r="E25" s="499"/>
      <c r="F25" s="446"/>
      <c r="G25" s="503"/>
      <c r="H25" s="498">
        <f>SUM($F$9:F25)/A25</f>
        <v>0</v>
      </c>
      <c r="I25" s="499">
        <f>SUM($G$9:G25)/A25</f>
        <v>0</v>
      </c>
      <c r="J25" s="443">
        <f t="shared" ref="J25:K39" si="5">J24+D25-F25</f>
        <v>0</v>
      </c>
      <c r="K25" s="459">
        <f>K24+E25-G25</f>
        <v>0</v>
      </c>
      <c r="L25" s="495" t="e">
        <f t="shared" ref="L25:M39" si="6">J25/H25</f>
        <v>#DIV/0!</v>
      </c>
      <c r="M25" s="464" t="e">
        <f t="shared" si="6"/>
        <v>#DIV/0!</v>
      </c>
      <c r="N25" s="366"/>
      <c r="O25" s="647">
        <f t="shared" si="3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502">
        <f t="shared" si="4"/>
        <v>0</v>
      </c>
      <c r="E26" s="499"/>
      <c r="F26" s="446"/>
      <c r="G26" s="503"/>
      <c r="H26" s="498">
        <f>SUM($F$9:F26)/A26</f>
        <v>0</v>
      </c>
      <c r="I26" s="499">
        <f>SUM($G$9:G26)/A26</f>
        <v>0</v>
      </c>
      <c r="J26" s="443">
        <f t="shared" si="5"/>
        <v>0</v>
      </c>
      <c r="K26" s="459">
        <f>K25+E26-G26</f>
        <v>0</v>
      </c>
      <c r="L26" s="495" t="e">
        <f t="shared" si="6"/>
        <v>#DIV/0!</v>
      </c>
      <c r="M26" s="464" t="e">
        <f t="shared" si="6"/>
        <v>#DIV/0!</v>
      </c>
      <c r="N26" s="366"/>
      <c r="O26" s="647">
        <f t="shared" si="3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4"/>
        <v>0</v>
      </c>
      <c r="E27" s="499"/>
      <c r="F27" s="446"/>
      <c r="G27" s="503"/>
      <c r="H27" s="498">
        <f>SUM($F$9:F27)/A27</f>
        <v>0</v>
      </c>
      <c r="I27" s="499">
        <f>SUM($G$9:G27)/A27</f>
        <v>0</v>
      </c>
      <c r="J27" s="443">
        <f t="shared" si="5"/>
        <v>0</v>
      </c>
      <c r="K27" s="459">
        <f>K26+E27-G27</f>
        <v>0</v>
      </c>
      <c r="L27" s="495" t="e">
        <f t="shared" si="6"/>
        <v>#DIV/0!</v>
      </c>
      <c r="M27" s="464" t="e">
        <f t="shared" si="6"/>
        <v>#DIV/0!</v>
      </c>
      <c r="N27" s="366"/>
      <c r="O27" s="647">
        <f t="shared" si="3"/>
        <v>0</v>
      </c>
    </row>
    <row r="28" spans="1:15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502">
        <f t="shared" si="4"/>
        <v>0</v>
      </c>
      <c r="E28" s="499"/>
      <c r="F28" s="446"/>
      <c r="G28" s="503"/>
      <c r="H28" s="504">
        <f>SUM($F$9:F28)/A28</f>
        <v>0</v>
      </c>
      <c r="I28" s="499">
        <f>SUM($G$9:G28)/A28</f>
        <v>0</v>
      </c>
      <c r="J28" s="504">
        <f t="shared" si="5"/>
        <v>0</v>
      </c>
      <c r="K28" s="459">
        <f t="shared" si="5"/>
        <v>0</v>
      </c>
      <c r="L28" s="505" t="e">
        <f t="shared" si="6"/>
        <v>#DIV/0!</v>
      </c>
      <c r="M28" s="464" t="e">
        <f t="shared" si="6"/>
        <v>#DIV/0!</v>
      </c>
      <c r="N28" s="366"/>
      <c r="O28" s="647">
        <f t="shared" si="3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502">
        <f t="shared" ref="D29:D39" si="7">E29-E29*N29</f>
        <v>0</v>
      </c>
      <c r="E29" s="499"/>
      <c r="F29" s="446"/>
      <c r="G29" s="503"/>
      <c r="H29" s="498">
        <f>SUM($F$9:F29)/A29</f>
        <v>0</v>
      </c>
      <c r="I29" s="499">
        <f>SUM($G$9:G29)/A29</f>
        <v>0</v>
      </c>
      <c r="J29" s="443">
        <f t="shared" si="5"/>
        <v>0</v>
      </c>
      <c r="K29" s="459">
        <f t="shared" si="5"/>
        <v>0</v>
      </c>
      <c r="L29" s="495" t="e">
        <f t="shared" si="6"/>
        <v>#DIV/0!</v>
      </c>
      <c r="M29" s="464" t="e">
        <f t="shared" si="6"/>
        <v>#DIV/0!</v>
      </c>
      <c r="N29" s="366"/>
      <c r="O29" s="647">
        <f t="shared" si="3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502">
        <f t="shared" si="7"/>
        <v>0</v>
      </c>
      <c r="E30" s="499"/>
      <c r="F30" s="446"/>
      <c r="G30" s="503"/>
      <c r="H30" s="498">
        <f>SUM($F$9:F30)/A30</f>
        <v>0</v>
      </c>
      <c r="I30" s="499">
        <f>SUM($G$9:G30)/A30</f>
        <v>0</v>
      </c>
      <c r="J30" s="443">
        <f t="shared" si="5"/>
        <v>0</v>
      </c>
      <c r="K30" s="459">
        <f t="shared" si="5"/>
        <v>0</v>
      </c>
      <c r="L30" s="495" t="e">
        <f t="shared" si="6"/>
        <v>#DIV/0!</v>
      </c>
      <c r="M30" s="464" t="e">
        <f t="shared" si="6"/>
        <v>#DIV/0!</v>
      </c>
      <c r="N30" s="366"/>
      <c r="O30" s="647">
        <f t="shared" si="3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502">
        <f t="shared" si="7"/>
        <v>0</v>
      </c>
      <c r="E31" s="499"/>
      <c r="F31" s="446"/>
      <c r="G31" s="503"/>
      <c r="H31" s="498">
        <f>SUM($F$9:F31)/A31</f>
        <v>0</v>
      </c>
      <c r="I31" s="499">
        <f>SUM($G$9:G31)/A31</f>
        <v>0</v>
      </c>
      <c r="J31" s="443">
        <f t="shared" si="5"/>
        <v>0</v>
      </c>
      <c r="K31" s="459">
        <f t="shared" si="5"/>
        <v>0</v>
      </c>
      <c r="L31" s="495" t="e">
        <f t="shared" si="6"/>
        <v>#DIV/0!</v>
      </c>
      <c r="M31" s="464" t="e">
        <f t="shared" si="6"/>
        <v>#DIV/0!</v>
      </c>
      <c r="N31" s="366"/>
      <c r="O31" s="647">
        <f t="shared" si="3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104</v>
      </c>
      <c r="D32" s="502">
        <f t="shared" si="7"/>
        <v>0</v>
      </c>
      <c r="E32" s="499"/>
      <c r="F32" s="446"/>
      <c r="G32" s="503"/>
      <c r="H32" s="498">
        <f>SUM($F$9:F32)/A32</f>
        <v>0</v>
      </c>
      <c r="I32" s="499">
        <f>SUM($G$9:G32)/A32</f>
        <v>0</v>
      </c>
      <c r="J32" s="443">
        <f t="shared" si="5"/>
        <v>0</v>
      </c>
      <c r="K32" s="459">
        <f t="shared" si="5"/>
        <v>0</v>
      </c>
      <c r="L32" s="495" t="e">
        <f t="shared" si="6"/>
        <v>#DIV/0!</v>
      </c>
      <c r="M32" s="464" t="e">
        <f t="shared" si="6"/>
        <v>#DIV/0!</v>
      </c>
      <c r="N32" s="366"/>
      <c r="O32" s="647">
        <f t="shared" si="3"/>
        <v>0</v>
      </c>
    </row>
    <row r="33" spans="1:15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7"/>
        <v>0</v>
      </c>
      <c r="E33" s="499"/>
      <c r="F33" s="446"/>
      <c r="G33" s="503"/>
      <c r="H33" s="460">
        <f>SUM($F$9:F33)/A33</f>
        <v>0</v>
      </c>
      <c r="I33" s="499">
        <f>SUM($G$9:G33)/A33</f>
        <v>0</v>
      </c>
      <c r="J33" s="460">
        <f t="shared" si="5"/>
        <v>0</v>
      </c>
      <c r="K33" s="459">
        <f t="shared" si="5"/>
        <v>0</v>
      </c>
      <c r="L33" s="506" t="e">
        <f t="shared" si="6"/>
        <v>#DIV/0!</v>
      </c>
      <c r="M33" s="464" t="e">
        <f t="shared" si="6"/>
        <v>#DIV/0!</v>
      </c>
      <c r="N33" s="366"/>
      <c r="O33" s="647">
        <f t="shared" si="3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7"/>
        <v>0</v>
      </c>
      <c r="E34" s="499"/>
      <c r="F34" s="446"/>
      <c r="G34" s="503"/>
      <c r="H34" s="498">
        <f>SUM($F$9:F34)/A34</f>
        <v>0</v>
      </c>
      <c r="I34" s="499">
        <f>SUM($G$9:G34)/A34</f>
        <v>0</v>
      </c>
      <c r="J34" s="443">
        <f t="shared" si="5"/>
        <v>0</v>
      </c>
      <c r="K34" s="459">
        <f t="shared" si="5"/>
        <v>0</v>
      </c>
      <c r="L34" s="495" t="e">
        <f t="shared" si="6"/>
        <v>#DIV/0!</v>
      </c>
      <c r="M34" s="464" t="e">
        <f t="shared" si="6"/>
        <v>#DIV/0!</v>
      </c>
      <c r="N34" s="366"/>
      <c r="O34" s="647">
        <f t="shared" si="3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502">
        <f t="shared" si="7"/>
        <v>0</v>
      </c>
      <c r="E35" s="499"/>
      <c r="F35" s="446"/>
      <c r="G35" s="503"/>
      <c r="H35" s="498">
        <f>SUM($F$9:F35)/A35</f>
        <v>0</v>
      </c>
      <c r="I35" s="499">
        <f>SUM($G$9:G35)/A35</f>
        <v>0</v>
      </c>
      <c r="J35" s="443">
        <f t="shared" si="5"/>
        <v>0</v>
      </c>
      <c r="K35" s="459">
        <f t="shared" si="5"/>
        <v>0</v>
      </c>
      <c r="L35" s="495" t="e">
        <f t="shared" si="6"/>
        <v>#DIV/0!</v>
      </c>
      <c r="M35" s="464" t="e">
        <f t="shared" si="6"/>
        <v>#DIV/0!</v>
      </c>
      <c r="N35" s="366"/>
      <c r="O35" s="647">
        <f t="shared" si="3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 t="shared" si="7"/>
        <v>0</v>
      </c>
      <c r="E36" s="499"/>
      <c r="F36" s="446"/>
      <c r="G36" s="503"/>
      <c r="H36" s="498">
        <f>SUM($F$9:F36)/A36</f>
        <v>0</v>
      </c>
      <c r="I36" s="499">
        <f>SUM($G$9:G36)/A36</f>
        <v>0</v>
      </c>
      <c r="J36" s="443">
        <f t="shared" si="5"/>
        <v>0</v>
      </c>
      <c r="K36" s="459">
        <f t="shared" si="5"/>
        <v>0</v>
      </c>
      <c r="L36" s="495" t="e">
        <f t="shared" si="6"/>
        <v>#DIV/0!</v>
      </c>
      <c r="M36" s="464" t="e">
        <f t="shared" si="6"/>
        <v>#DIV/0!</v>
      </c>
      <c r="N36" s="366"/>
      <c r="O36" s="647">
        <f t="shared" si="3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104</v>
      </c>
      <c r="D37" s="502">
        <f t="shared" si="7"/>
        <v>0</v>
      </c>
      <c r="E37" s="499"/>
      <c r="F37" s="446"/>
      <c r="G37" s="503"/>
      <c r="H37" s="498">
        <f>SUM($F$9:F37)/A37</f>
        <v>0</v>
      </c>
      <c r="I37" s="499">
        <f>SUM($G$9:G37)/A37</f>
        <v>0</v>
      </c>
      <c r="J37" s="443">
        <f t="shared" si="5"/>
        <v>0</v>
      </c>
      <c r="K37" s="459">
        <f t="shared" si="5"/>
        <v>0</v>
      </c>
      <c r="L37" s="495" t="e">
        <f t="shared" si="6"/>
        <v>#DIV/0!</v>
      </c>
      <c r="M37" s="464" t="e">
        <f t="shared" si="6"/>
        <v>#DIV/0!</v>
      </c>
      <c r="N37" s="366"/>
      <c r="O37" s="647">
        <f t="shared" si="3"/>
        <v>0</v>
      </c>
    </row>
    <row r="38" spans="1:15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502">
        <f t="shared" si="7"/>
        <v>0</v>
      </c>
      <c r="E38" s="499"/>
      <c r="F38" s="446"/>
      <c r="G38" s="503"/>
      <c r="H38" s="504">
        <f>SUM($F$9:F38)/A38</f>
        <v>0</v>
      </c>
      <c r="I38" s="499">
        <f>SUM($G$9:G38)/A38</f>
        <v>0</v>
      </c>
      <c r="J38" s="504">
        <f t="shared" si="5"/>
        <v>0</v>
      </c>
      <c r="K38" s="459">
        <f t="shared" si="5"/>
        <v>0</v>
      </c>
      <c r="L38" s="505" t="e">
        <f t="shared" si="6"/>
        <v>#DIV/0!</v>
      </c>
      <c r="M38" s="464" t="e">
        <f t="shared" si="6"/>
        <v>#DIV/0!</v>
      </c>
      <c r="N38" s="366"/>
      <c r="O38" s="647">
        <f t="shared" si="3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502">
        <f t="shared" si="7"/>
        <v>0</v>
      </c>
      <c r="E39" s="499"/>
      <c r="F39" s="446"/>
      <c r="G39" s="503"/>
      <c r="H39" s="498">
        <f>SUM($F$9:F39)/A39</f>
        <v>0</v>
      </c>
      <c r="I39" s="499">
        <f>SUM($G$9:G39)/A39</f>
        <v>0</v>
      </c>
      <c r="J39" s="443">
        <f t="shared" si="5"/>
        <v>0</v>
      </c>
      <c r="K39" s="459">
        <f t="shared" si="5"/>
        <v>0</v>
      </c>
      <c r="L39" s="495" t="e">
        <f t="shared" si="6"/>
        <v>#DIV/0!</v>
      </c>
      <c r="M39" s="464" t="e">
        <f t="shared" si="6"/>
        <v>#DIV/0!</v>
      </c>
      <c r="N39" s="366"/>
      <c r="O39" s="647">
        <f t="shared" si="3"/>
        <v>0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</row>
    <row r="42" spans="1:15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5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5">
      <c r="D47" s="143"/>
      <c r="E47" s="143"/>
      <c r="F47" s="143"/>
      <c r="G47" s="143"/>
      <c r="H47" s="143"/>
      <c r="I47" s="143"/>
      <c r="J47" s="143"/>
      <c r="K47" s="143"/>
    </row>
    <row r="48" spans="1:15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2"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2134" priority="361" operator="lessThan">
      <formula>15</formula>
    </cfRule>
    <cfRule type="cellIs" dxfId="12133" priority="362" operator="greaterThan">
      <formula>20</formula>
    </cfRule>
    <cfRule type="cellIs" dxfId="12132" priority="363" operator="between">
      <formula>15</formula>
      <formula>20</formula>
    </cfRule>
    <cfRule type="cellIs" dxfId="12131" priority="364" operator="between">
      <formula>15</formula>
      <formula>20</formula>
    </cfRule>
    <cfRule type="cellIs" dxfId="12130" priority="365" operator="lessThan">
      <formula>15</formula>
    </cfRule>
    <cfRule type="cellIs" dxfId="12129" priority="366" operator="greaterThan">
      <formula>20</formula>
    </cfRule>
    <cfRule type="cellIs" dxfId="12128" priority="367" operator="between">
      <formula>15</formula>
      <formula>21</formula>
    </cfRule>
    <cfRule type="cellIs" dxfId="12127" priority="368" operator="lessThan">
      <formula>15</formula>
    </cfRule>
    <cfRule type="cellIs" dxfId="12126" priority="36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9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workbookViewId="0">
      <pane ySplit="8" topLeftCell="A12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0" width="12.42578125" style="142" customWidth="1"/>
    <col min="11" max="11" width="14.140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811" customFormat="1" ht="18.75" customHeight="1">
      <c r="A4" s="1600" t="s">
        <v>33</v>
      </c>
      <c r="B4" s="1600"/>
      <c r="C4" s="316" t="str">
        <f>J4</f>
        <v>FRIT VFT03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467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811"/>
      <c r="U6" s="811"/>
      <c r="V6" s="811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143"/>
      <c r="U7" s="143"/>
      <c r="V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>
        <v>1.2999999999999999E-2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5310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104</v>
      </c>
      <c r="D9" s="502">
        <f t="shared" ref="D9" si="0"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1">J8+D9-F9</f>
        <v>0</v>
      </c>
      <c r="K9" s="459">
        <f t="shared" si="1"/>
        <v>0</v>
      </c>
      <c r="L9" s="495" t="e">
        <f t="shared" ref="L9:M24" si="2">J9/H9</f>
        <v>#DIV/0!</v>
      </c>
      <c r="M9" s="464" t="e">
        <f t="shared" si="2"/>
        <v>#DIV/0!</v>
      </c>
      <c r="N9" s="366">
        <v>1.4999999999999999E-2</v>
      </c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502">
        <f t="shared" ref="D10:D39" si="3">E10-E10*N10</f>
        <v>0</v>
      </c>
      <c r="E10" s="499"/>
      <c r="F10" s="446">
        <f t="shared" ref="F10:G39" si="4">O10+Q10</f>
        <v>0</v>
      </c>
      <c r="G10" s="503">
        <f t="shared" si="4"/>
        <v>0</v>
      </c>
      <c r="H10" s="498">
        <f>SUM($F$9:F10)/A10</f>
        <v>0</v>
      </c>
      <c r="I10" s="499">
        <f>SUM($G$9:G10)/A10</f>
        <v>0</v>
      </c>
      <c r="J10" s="443">
        <f t="shared" si="1"/>
        <v>0</v>
      </c>
      <c r="K10" s="459">
        <f t="shared" si="1"/>
        <v>0</v>
      </c>
      <c r="L10" s="495" t="e">
        <f t="shared" si="2"/>
        <v>#DIV/0!</v>
      </c>
      <c r="M10" s="464" t="e">
        <f t="shared" si="2"/>
        <v>#DIV/0!</v>
      </c>
      <c r="N10" s="366"/>
      <c r="O10" s="446"/>
      <c r="P10" s="446"/>
      <c r="Q10" s="446"/>
      <c r="R10" s="446"/>
      <c r="S10" s="647">
        <f t="shared" ref="S10:S39" si="5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502">
        <f t="shared" si="3"/>
        <v>0</v>
      </c>
      <c r="E11" s="499"/>
      <c r="F11" s="446">
        <f t="shared" si="4"/>
        <v>0</v>
      </c>
      <c r="G11" s="503">
        <f t="shared" si="4"/>
        <v>0</v>
      </c>
      <c r="H11" s="498">
        <f>SUM($F$9:F11)/A11</f>
        <v>0</v>
      </c>
      <c r="I11" s="499">
        <f>SUM($G$9:G11)/A11</f>
        <v>0</v>
      </c>
      <c r="J11" s="443">
        <f t="shared" si="1"/>
        <v>0</v>
      </c>
      <c r="K11" s="459">
        <f t="shared" si="1"/>
        <v>0</v>
      </c>
      <c r="L11" s="495" t="e">
        <f t="shared" si="2"/>
        <v>#DIV/0!</v>
      </c>
      <c r="M11" s="464" t="e">
        <f t="shared" si="2"/>
        <v>#DIV/0!</v>
      </c>
      <c r="N11" s="366"/>
      <c r="O11" s="446"/>
      <c r="P11" s="446"/>
      <c r="Q11" s="446"/>
      <c r="R11" s="446"/>
      <c r="S11" s="647">
        <f t="shared" si="5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104</v>
      </c>
      <c r="D12" s="502">
        <f t="shared" si="3"/>
        <v>0</v>
      </c>
      <c r="E12" s="499"/>
      <c r="F12" s="446">
        <f t="shared" si="4"/>
        <v>0</v>
      </c>
      <c r="G12" s="503">
        <f t="shared" si="4"/>
        <v>0</v>
      </c>
      <c r="H12" s="498">
        <f>SUM($F$9:F12)/A12</f>
        <v>0</v>
      </c>
      <c r="I12" s="499">
        <f>SUM($G$9:G12)/A12</f>
        <v>0</v>
      </c>
      <c r="J12" s="443">
        <f t="shared" si="1"/>
        <v>0</v>
      </c>
      <c r="K12" s="459">
        <f t="shared" si="1"/>
        <v>0</v>
      </c>
      <c r="L12" s="495" t="e">
        <f t="shared" si="2"/>
        <v>#DIV/0!</v>
      </c>
      <c r="M12" s="464" t="e">
        <f t="shared" si="2"/>
        <v>#DIV/0!</v>
      </c>
      <c r="N12" s="366"/>
      <c r="O12" s="446"/>
      <c r="P12" s="446"/>
      <c r="Q12" s="446"/>
      <c r="R12" s="446"/>
      <c r="S12" s="647">
        <f t="shared" si="5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502">
        <f t="shared" si="3"/>
        <v>0</v>
      </c>
      <c r="E13" s="499"/>
      <c r="F13" s="446">
        <f t="shared" si="4"/>
        <v>0</v>
      </c>
      <c r="G13" s="503">
        <f t="shared" si="4"/>
        <v>0</v>
      </c>
      <c r="H13" s="504">
        <f>SUM($F$9:F13)/A13</f>
        <v>0</v>
      </c>
      <c r="I13" s="499">
        <f>SUM($G$9:G13)/A13</f>
        <v>0</v>
      </c>
      <c r="J13" s="504">
        <f t="shared" si="1"/>
        <v>0</v>
      </c>
      <c r="K13" s="459">
        <f t="shared" si="1"/>
        <v>0</v>
      </c>
      <c r="L13" s="505" t="e">
        <f t="shared" si="2"/>
        <v>#DIV/0!</v>
      </c>
      <c r="M13" s="464" t="e">
        <f t="shared" si="2"/>
        <v>#DIV/0!</v>
      </c>
      <c r="N13" s="366"/>
      <c r="O13" s="446"/>
      <c r="P13" s="446"/>
      <c r="Q13" s="446"/>
      <c r="R13" s="446"/>
      <c r="S13" s="647">
        <f t="shared" si="5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502">
        <f t="shared" si="3"/>
        <v>0</v>
      </c>
      <c r="E14" s="499"/>
      <c r="F14" s="446">
        <f t="shared" si="4"/>
        <v>0</v>
      </c>
      <c r="G14" s="503">
        <f t="shared" si="4"/>
        <v>0</v>
      </c>
      <c r="H14" s="498">
        <f>SUM($F$9:F14)/A14</f>
        <v>0</v>
      </c>
      <c r="I14" s="499">
        <f>SUM($G$9:G14)/A14</f>
        <v>0</v>
      </c>
      <c r="J14" s="443">
        <f t="shared" si="1"/>
        <v>0</v>
      </c>
      <c r="K14" s="459">
        <f t="shared" si="1"/>
        <v>0</v>
      </c>
      <c r="L14" s="495" t="e">
        <f t="shared" si="2"/>
        <v>#DIV/0!</v>
      </c>
      <c r="M14" s="464" t="e">
        <f t="shared" si="2"/>
        <v>#DIV/0!</v>
      </c>
      <c r="N14" s="366"/>
      <c r="O14" s="446"/>
      <c r="P14" s="446"/>
      <c r="Q14" s="446"/>
      <c r="R14" s="446"/>
      <c r="S14" s="647">
        <f t="shared" si="5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502">
        <f t="shared" si="3"/>
        <v>0</v>
      </c>
      <c r="E15" s="499"/>
      <c r="F15" s="446">
        <f t="shared" si="4"/>
        <v>0</v>
      </c>
      <c r="G15" s="503">
        <f t="shared" si="4"/>
        <v>0</v>
      </c>
      <c r="H15" s="498">
        <f>SUM($F$9:F15)/A15</f>
        <v>0</v>
      </c>
      <c r="I15" s="499">
        <f>SUM($G$9:G15)/A15</f>
        <v>0</v>
      </c>
      <c r="J15" s="443">
        <f t="shared" si="1"/>
        <v>0</v>
      </c>
      <c r="K15" s="459">
        <f t="shared" si="1"/>
        <v>0</v>
      </c>
      <c r="L15" s="495" t="e">
        <f t="shared" si="2"/>
        <v>#DIV/0!</v>
      </c>
      <c r="M15" s="464" t="e">
        <f t="shared" si="2"/>
        <v>#DIV/0!</v>
      </c>
      <c r="N15" s="366"/>
      <c r="O15" s="446"/>
      <c r="P15" s="446"/>
      <c r="Q15" s="446"/>
      <c r="R15" s="446"/>
      <c r="S15" s="647">
        <f t="shared" si="5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502">
        <f t="shared" si="3"/>
        <v>0</v>
      </c>
      <c r="E16" s="499"/>
      <c r="F16" s="446">
        <f t="shared" si="4"/>
        <v>0</v>
      </c>
      <c r="G16" s="503">
        <f t="shared" si="4"/>
        <v>0</v>
      </c>
      <c r="H16" s="498">
        <f>SUM($F$9:F16)/A16</f>
        <v>0</v>
      </c>
      <c r="I16" s="499">
        <f>SUM($G$9:G16)/A16</f>
        <v>0</v>
      </c>
      <c r="J16" s="443">
        <f t="shared" si="1"/>
        <v>0</v>
      </c>
      <c r="K16" s="459">
        <f t="shared" si="1"/>
        <v>0</v>
      </c>
      <c r="L16" s="495" t="e">
        <f t="shared" si="2"/>
        <v>#DIV/0!</v>
      </c>
      <c r="M16" s="464" t="e">
        <f t="shared" si="2"/>
        <v>#DIV/0!</v>
      </c>
      <c r="N16" s="366"/>
      <c r="O16" s="446"/>
      <c r="P16" s="446"/>
      <c r="Q16" s="446"/>
      <c r="R16" s="446"/>
      <c r="S16" s="647">
        <f t="shared" si="5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921">
        <f t="shared" si="3"/>
        <v>0</v>
      </c>
      <c r="E17" s="499"/>
      <c r="F17" s="446">
        <f t="shared" si="4"/>
        <v>0</v>
      </c>
      <c r="G17" s="503">
        <f t="shared" si="4"/>
        <v>0</v>
      </c>
      <c r="H17" s="498">
        <f>SUM($F$9:F17)/A17</f>
        <v>0</v>
      </c>
      <c r="I17" s="499">
        <f>SUM($G$9:G17)/A17</f>
        <v>0</v>
      </c>
      <c r="J17" s="443">
        <f t="shared" si="1"/>
        <v>0</v>
      </c>
      <c r="K17" s="459">
        <f t="shared" si="1"/>
        <v>0</v>
      </c>
      <c r="L17" s="495" t="e">
        <f t="shared" si="2"/>
        <v>#DIV/0!</v>
      </c>
      <c r="M17" s="464" t="e">
        <f t="shared" si="2"/>
        <v>#DIV/0!</v>
      </c>
      <c r="N17" s="366"/>
      <c r="O17" s="446"/>
      <c r="P17" s="446"/>
      <c r="Q17" s="446"/>
      <c r="R17" s="446"/>
      <c r="S17" s="647">
        <f t="shared" si="5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104</v>
      </c>
      <c r="D18" s="502">
        <f t="shared" si="3"/>
        <v>0</v>
      </c>
      <c r="E18" s="499"/>
      <c r="F18" s="446">
        <f t="shared" si="4"/>
        <v>0</v>
      </c>
      <c r="G18" s="503">
        <f t="shared" si="4"/>
        <v>0</v>
      </c>
      <c r="H18" s="504">
        <f>SUM($F$9:F18)/A18</f>
        <v>0</v>
      </c>
      <c r="I18" s="499">
        <f>SUM($G$9:G18)/A18</f>
        <v>0</v>
      </c>
      <c r="J18" s="504">
        <f t="shared" si="1"/>
        <v>0</v>
      </c>
      <c r="K18" s="459">
        <f t="shared" si="1"/>
        <v>0</v>
      </c>
      <c r="L18" s="505" t="e">
        <f t="shared" si="2"/>
        <v>#DIV/0!</v>
      </c>
      <c r="M18" s="464" t="e">
        <f t="shared" si="2"/>
        <v>#DIV/0!</v>
      </c>
      <c r="N18" s="366"/>
      <c r="O18" s="446"/>
      <c r="P18" s="446"/>
      <c r="Q18" s="446"/>
      <c r="R18" s="446"/>
      <c r="S18" s="647">
        <f t="shared" si="5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104</v>
      </c>
      <c r="D19" s="502">
        <f t="shared" si="3"/>
        <v>0</v>
      </c>
      <c r="E19" s="499"/>
      <c r="F19" s="446">
        <f t="shared" si="4"/>
        <v>0</v>
      </c>
      <c r="G19" s="503">
        <f t="shared" si="4"/>
        <v>0</v>
      </c>
      <c r="H19" s="498">
        <f>SUM($F$9:F19)/A19</f>
        <v>0</v>
      </c>
      <c r="I19" s="499">
        <f>SUM($G$9:G19)/A19</f>
        <v>0</v>
      </c>
      <c r="J19" s="443">
        <f t="shared" si="1"/>
        <v>0</v>
      </c>
      <c r="K19" s="459">
        <f t="shared" si="1"/>
        <v>0</v>
      </c>
      <c r="L19" s="495" t="e">
        <f t="shared" si="2"/>
        <v>#DIV/0!</v>
      </c>
      <c r="M19" s="464" t="e">
        <f t="shared" si="2"/>
        <v>#DIV/0!</v>
      </c>
      <c r="N19" s="366"/>
      <c r="O19" s="446"/>
      <c r="P19" s="446"/>
      <c r="Q19" s="446"/>
      <c r="R19" s="446"/>
      <c r="S19" s="647">
        <f t="shared" si="5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 t="shared" si="3"/>
        <v>0</v>
      </c>
      <c r="E20" s="499"/>
      <c r="F20" s="446">
        <f t="shared" si="4"/>
        <v>0</v>
      </c>
      <c r="G20" s="503">
        <f t="shared" si="4"/>
        <v>0</v>
      </c>
      <c r="H20" s="498">
        <f>SUM($F$9:F20)/A20</f>
        <v>0</v>
      </c>
      <c r="I20" s="499">
        <f>SUM($G$9:G20)/A20</f>
        <v>0</v>
      </c>
      <c r="J20" s="443">
        <f t="shared" si="1"/>
        <v>0</v>
      </c>
      <c r="K20" s="459">
        <f t="shared" si="1"/>
        <v>0</v>
      </c>
      <c r="L20" s="495" t="e">
        <f t="shared" si="2"/>
        <v>#DIV/0!</v>
      </c>
      <c r="M20" s="464" t="e">
        <f t="shared" si="2"/>
        <v>#DIV/0!</v>
      </c>
      <c r="N20" s="366"/>
      <c r="O20" s="446"/>
      <c r="P20" s="446"/>
      <c r="Q20" s="446"/>
      <c r="R20" s="446"/>
      <c r="S20" s="647">
        <f t="shared" si="5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502">
        <f t="shared" si="3"/>
        <v>0</v>
      </c>
      <c r="E21" s="499"/>
      <c r="F21" s="446">
        <f t="shared" si="4"/>
        <v>0</v>
      </c>
      <c r="G21" s="503">
        <f t="shared" si="4"/>
        <v>0</v>
      </c>
      <c r="H21" s="498">
        <f>SUM($F$9:F21)/A21</f>
        <v>0</v>
      </c>
      <c r="I21" s="499">
        <f>SUM($G$9:G21)/A21</f>
        <v>0</v>
      </c>
      <c r="J21" s="443">
        <f t="shared" si="1"/>
        <v>0</v>
      </c>
      <c r="K21" s="459">
        <f>K20+E21-G21</f>
        <v>0</v>
      </c>
      <c r="L21" s="495" t="e">
        <f t="shared" si="2"/>
        <v>#DIV/0!</v>
      </c>
      <c r="M21" s="464" t="e">
        <f t="shared" si="2"/>
        <v>#DIV/0!</v>
      </c>
      <c r="N21" s="366"/>
      <c r="O21" s="446"/>
      <c r="P21" s="446"/>
      <c r="Q21" s="446"/>
      <c r="R21" s="446"/>
      <c r="S21" s="647">
        <f t="shared" si="5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104</v>
      </c>
      <c r="D22" s="921">
        <f t="shared" si="3"/>
        <v>0</v>
      </c>
      <c r="E22" s="499"/>
      <c r="F22" s="446">
        <f t="shared" si="4"/>
        <v>0</v>
      </c>
      <c r="G22" s="503">
        <f t="shared" si="4"/>
        <v>0</v>
      </c>
      <c r="H22" s="498">
        <f>SUM($F$9:F22)/A22</f>
        <v>0</v>
      </c>
      <c r="I22" s="499">
        <f>SUM($G$9:G22)/A22</f>
        <v>0</v>
      </c>
      <c r="J22" s="443">
        <f t="shared" si="1"/>
        <v>0</v>
      </c>
      <c r="K22" s="459">
        <f>K21+E22-G22</f>
        <v>0</v>
      </c>
      <c r="L22" s="495" t="e">
        <f t="shared" si="2"/>
        <v>#DIV/0!</v>
      </c>
      <c r="M22" s="464" t="e">
        <f t="shared" si="2"/>
        <v>#DIV/0!</v>
      </c>
      <c r="N22" s="366"/>
      <c r="O22" s="446"/>
      <c r="P22" s="446"/>
      <c r="Q22" s="446"/>
      <c r="R22" s="446"/>
      <c r="S22" s="647">
        <f t="shared" si="5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104</v>
      </c>
      <c r="D23" s="502">
        <f t="shared" si="3"/>
        <v>0</v>
      </c>
      <c r="E23" s="499"/>
      <c r="F23" s="446">
        <f t="shared" si="4"/>
        <v>0</v>
      </c>
      <c r="G23" s="503">
        <f t="shared" si="4"/>
        <v>0</v>
      </c>
      <c r="H23" s="504">
        <f>SUM($F$9:F23)/A23</f>
        <v>0</v>
      </c>
      <c r="I23" s="499">
        <f>SUM($G$9:G23)/A23</f>
        <v>0</v>
      </c>
      <c r="J23" s="504">
        <f t="shared" si="1"/>
        <v>0</v>
      </c>
      <c r="K23" s="459">
        <f t="shared" si="1"/>
        <v>0</v>
      </c>
      <c r="L23" s="505" t="e">
        <f t="shared" si="2"/>
        <v>#DIV/0!</v>
      </c>
      <c r="M23" s="464" t="e">
        <f t="shared" si="2"/>
        <v>#DIV/0!</v>
      </c>
      <c r="N23" s="366"/>
      <c r="O23" s="446"/>
      <c r="P23" s="446"/>
      <c r="Q23" s="446"/>
      <c r="R23" s="446"/>
      <c r="S23" s="647">
        <f t="shared" si="5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502">
        <f t="shared" si="3"/>
        <v>0</v>
      </c>
      <c r="E24" s="499"/>
      <c r="F24" s="446">
        <f t="shared" si="4"/>
        <v>0</v>
      </c>
      <c r="G24" s="503">
        <f t="shared" si="4"/>
        <v>0</v>
      </c>
      <c r="H24" s="498">
        <f>SUM($F$9:F24)/A24</f>
        <v>0</v>
      </c>
      <c r="I24" s="499">
        <f>SUM($G$9:G24)/A24</f>
        <v>0</v>
      </c>
      <c r="J24" s="443">
        <f t="shared" si="1"/>
        <v>0</v>
      </c>
      <c r="K24" s="459">
        <f>K23+E24-G24</f>
        <v>0</v>
      </c>
      <c r="L24" s="495" t="e">
        <f t="shared" si="2"/>
        <v>#DIV/0!</v>
      </c>
      <c r="M24" s="464" t="e">
        <f t="shared" si="2"/>
        <v>#DIV/0!</v>
      </c>
      <c r="N24" s="366"/>
      <c r="O24" s="446"/>
      <c r="P24" s="446"/>
      <c r="Q24" s="446"/>
      <c r="R24" s="446"/>
      <c r="S24" s="647">
        <f t="shared" si="5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502">
        <f t="shared" si="3"/>
        <v>0</v>
      </c>
      <c r="E25" s="499"/>
      <c r="F25" s="446">
        <f t="shared" si="4"/>
        <v>0</v>
      </c>
      <c r="G25" s="503">
        <f t="shared" si="4"/>
        <v>0</v>
      </c>
      <c r="H25" s="498">
        <f>SUM($F$9:F25)/A25</f>
        <v>0</v>
      </c>
      <c r="I25" s="499">
        <f>SUM($G$9:G25)/A25</f>
        <v>0</v>
      </c>
      <c r="J25" s="443">
        <f t="shared" ref="J25:K39" si="6">J24+D25-F25</f>
        <v>0</v>
      </c>
      <c r="K25" s="459">
        <f>K24+E25-G25</f>
        <v>0</v>
      </c>
      <c r="L25" s="495" t="e">
        <f t="shared" ref="L25:M39" si="7">J25/H25</f>
        <v>#DIV/0!</v>
      </c>
      <c r="M25" s="464" t="e">
        <f t="shared" si="7"/>
        <v>#DIV/0!</v>
      </c>
      <c r="N25" s="366"/>
      <c r="O25" s="446"/>
      <c r="P25" s="446"/>
      <c r="Q25" s="446"/>
      <c r="R25" s="446"/>
      <c r="S25" s="647">
        <f t="shared" si="5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502">
        <f t="shared" si="3"/>
        <v>0</v>
      </c>
      <c r="E26" s="499"/>
      <c r="F26" s="446">
        <f t="shared" si="4"/>
        <v>0</v>
      </c>
      <c r="G26" s="503">
        <f t="shared" si="4"/>
        <v>0</v>
      </c>
      <c r="H26" s="498">
        <f>SUM($F$9:F26)/A26</f>
        <v>0</v>
      </c>
      <c r="I26" s="499">
        <f>SUM($G$9:G26)/A26</f>
        <v>0</v>
      </c>
      <c r="J26" s="443">
        <f t="shared" si="6"/>
        <v>0</v>
      </c>
      <c r="K26" s="459">
        <f>K25+E26-G26</f>
        <v>0</v>
      </c>
      <c r="L26" s="495" t="e">
        <f t="shared" si="7"/>
        <v>#DIV/0!</v>
      </c>
      <c r="M26" s="464" t="e">
        <f t="shared" si="7"/>
        <v>#DIV/0!</v>
      </c>
      <c r="N26" s="366"/>
      <c r="O26" s="446"/>
      <c r="P26" s="446"/>
      <c r="Q26" s="446"/>
      <c r="R26" s="446"/>
      <c r="S26" s="647">
        <f t="shared" si="5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3"/>
        <v>0</v>
      </c>
      <c r="E27" s="499"/>
      <c r="F27" s="446">
        <f t="shared" si="4"/>
        <v>0</v>
      </c>
      <c r="G27" s="503">
        <f t="shared" si="4"/>
        <v>0</v>
      </c>
      <c r="H27" s="498">
        <f>SUM($F$9:F27)/A27</f>
        <v>0</v>
      </c>
      <c r="I27" s="499">
        <f>SUM($G$9:G27)/A27</f>
        <v>0</v>
      </c>
      <c r="J27" s="443">
        <f t="shared" si="6"/>
        <v>0</v>
      </c>
      <c r="K27" s="459">
        <f>K26+E27-G27</f>
        <v>0</v>
      </c>
      <c r="L27" s="495" t="e">
        <f t="shared" si="7"/>
        <v>#DIV/0!</v>
      </c>
      <c r="M27" s="464" t="e">
        <f t="shared" si="7"/>
        <v>#DIV/0!</v>
      </c>
      <c r="N27" s="366"/>
      <c r="O27" s="446"/>
      <c r="P27" s="446"/>
      <c r="Q27" s="446"/>
      <c r="R27" s="446"/>
      <c r="S27" s="647">
        <f t="shared" si="5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502">
        <f t="shared" si="3"/>
        <v>0</v>
      </c>
      <c r="E28" s="499"/>
      <c r="F28" s="446">
        <f t="shared" si="4"/>
        <v>0</v>
      </c>
      <c r="G28" s="503">
        <f t="shared" si="4"/>
        <v>0</v>
      </c>
      <c r="H28" s="504">
        <f>SUM($F$9:F28)/A28</f>
        <v>0</v>
      </c>
      <c r="I28" s="499">
        <f>SUM($G$9:G28)/A28</f>
        <v>0</v>
      </c>
      <c r="J28" s="504">
        <f t="shared" si="6"/>
        <v>0</v>
      </c>
      <c r="K28" s="459">
        <f t="shared" si="6"/>
        <v>0</v>
      </c>
      <c r="L28" s="505" t="e">
        <f t="shared" si="7"/>
        <v>#DIV/0!</v>
      </c>
      <c r="M28" s="464" t="e">
        <f t="shared" si="7"/>
        <v>#DIV/0!</v>
      </c>
      <c r="N28" s="366"/>
      <c r="O28" s="446"/>
      <c r="P28" s="446"/>
      <c r="Q28" s="446"/>
      <c r="R28" s="446"/>
      <c r="S28" s="647">
        <f t="shared" si="5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921">
        <f t="shared" si="3"/>
        <v>0</v>
      </c>
      <c r="E29" s="499"/>
      <c r="F29" s="446">
        <f t="shared" si="4"/>
        <v>0</v>
      </c>
      <c r="G29" s="503">
        <f t="shared" si="4"/>
        <v>0</v>
      </c>
      <c r="H29" s="498">
        <f>SUM($F$9:F29)/A29</f>
        <v>0</v>
      </c>
      <c r="I29" s="499">
        <f>SUM($G$9:G29)/A29</f>
        <v>0</v>
      </c>
      <c r="J29" s="443">
        <f t="shared" si="6"/>
        <v>0</v>
      </c>
      <c r="K29" s="459">
        <f t="shared" si="6"/>
        <v>0</v>
      </c>
      <c r="L29" s="495" t="e">
        <f t="shared" si="7"/>
        <v>#DIV/0!</v>
      </c>
      <c r="M29" s="464" t="e">
        <f t="shared" si="7"/>
        <v>#DIV/0!</v>
      </c>
      <c r="N29" s="366"/>
      <c r="O29" s="446"/>
      <c r="P29" s="446"/>
      <c r="Q29" s="446"/>
      <c r="R29" s="446"/>
      <c r="S29" s="647">
        <f t="shared" si="5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502">
        <f t="shared" si="3"/>
        <v>0</v>
      </c>
      <c r="E30" s="499"/>
      <c r="F30" s="446">
        <f t="shared" si="4"/>
        <v>0</v>
      </c>
      <c r="G30" s="503">
        <f t="shared" si="4"/>
        <v>0</v>
      </c>
      <c r="H30" s="498">
        <f>SUM($F$9:F30)/A30</f>
        <v>0</v>
      </c>
      <c r="I30" s="499">
        <f>SUM($G$9:G30)/A30</f>
        <v>0</v>
      </c>
      <c r="J30" s="443">
        <f t="shared" si="6"/>
        <v>0</v>
      </c>
      <c r="K30" s="459">
        <f t="shared" si="6"/>
        <v>0</v>
      </c>
      <c r="L30" s="495" t="e">
        <f t="shared" si="7"/>
        <v>#DIV/0!</v>
      </c>
      <c r="M30" s="464" t="e">
        <f t="shared" si="7"/>
        <v>#DIV/0!</v>
      </c>
      <c r="N30" s="366"/>
      <c r="O30" s="446"/>
      <c r="P30" s="446"/>
      <c r="Q30" s="446"/>
      <c r="R30" s="446"/>
      <c r="S30" s="647">
        <f t="shared" si="5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502">
        <f t="shared" si="3"/>
        <v>0</v>
      </c>
      <c r="E31" s="499"/>
      <c r="F31" s="446">
        <f t="shared" si="4"/>
        <v>0</v>
      </c>
      <c r="G31" s="503">
        <f t="shared" si="4"/>
        <v>0</v>
      </c>
      <c r="H31" s="498">
        <f>SUM($F$9:F31)/A31</f>
        <v>0</v>
      </c>
      <c r="I31" s="499">
        <f>SUM($G$9:G31)/A31</f>
        <v>0</v>
      </c>
      <c r="J31" s="443">
        <f t="shared" si="6"/>
        <v>0</v>
      </c>
      <c r="K31" s="459">
        <f t="shared" si="6"/>
        <v>0</v>
      </c>
      <c r="L31" s="495" t="e">
        <f t="shared" si="7"/>
        <v>#DIV/0!</v>
      </c>
      <c r="M31" s="464" t="e">
        <f t="shared" si="7"/>
        <v>#DIV/0!</v>
      </c>
      <c r="N31" s="366"/>
      <c r="O31" s="446"/>
      <c r="P31" s="446"/>
      <c r="Q31" s="446"/>
      <c r="R31" s="446"/>
      <c r="S31" s="647">
        <f t="shared" si="5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104</v>
      </c>
      <c r="D32" s="502">
        <f t="shared" si="3"/>
        <v>0</v>
      </c>
      <c r="E32" s="499"/>
      <c r="F32" s="446">
        <f t="shared" si="4"/>
        <v>0</v>
      </c>
      <c r="G32" s="503">
        <f t="shared" si="4"/>
        <v>0</v>
      </c>
      <c r="H32" s="498">
        <f>SUM($F$9:F32)/A32</f>
        <v>0</v>
      </c>
      <c r="I32" s="499">
        <f>SUM($G$9:G32)/A32</f>
        <v>0</v>
      </c>
      <c r="J32" s="443">
        <f t="shared" si="6"/>
        <v>0</v>
      </c>
      <c r="K32" s="459">
        <f t="shared" si="6"/>
        <v>0</v>
      </c>
      <c r="L32" s="495" t="e">
        <f t="shared" si="7"/>
        <v>#DIV/0!</v>
      </c>
      <c r="M32" s="464" t="e">
        <f t="shared" si="7"/>
        <v>#DIV/0!</v>
      </c>
      <c r="N32" s="366"/>
      <c r="O32" s="446"/>
      <c r="P32" s="446"/>
      <c r="Q32" s="446"/>
      <c r="R32" s="446"/>
      <c r="S32" s="647">
        <f t="shared" si="5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3"/>
        <v>0</v>
      </c>
      <c r="E33" s="499"/>
      <c r="F33" s="446">
        <f t="shared" si="4"/>
        <v>0</v>
      </c>
      <c r="G33" s="503">
        <f t="shared" si="4"/>
        <v>0</v>
      </c>
      <c r="H33" s="460">
        <f>SUM($F$9:F33)/A33</f>
        <v>0</v>
      </c>
      <c r="I33" s="499">
        <f>SUM($G$9:G33)/A33</f>
        <v>0</v>
      </c>
      <c r="J33" s="460">
        <f t="shared" si="6"/>
        <v>0</v>
      </c>
      <c r="K33" s="459">
        <f t="shared" si="6"/>
        <v>0</v>
      </c>
      <c r="L33" s="506" t="e">
        <f t="shared" si="7"/>
        <v>#DIV/0!</v>
      </c>
      <c r="M33" s="464" t="e">
        <f t="shared" si="7"/>
        <v>#DIV/0!</v>
      </c>
      <c r="N33" s="366"/>
      <c r="O33" s="446"/>
      <c r="P33" s="446"/>
      <c r="Q33" s="446"/>
      <c r="R33" s="446"/>
      <c r="S33" s="647">
        <f t="shared" si="5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3"/>
        <v>0</v>
      </c>
      <c r="E34" s="499"/>
      <c r="F34" s="446">
        <f t="shared" si="4"/>
        <v>0</v>
      </c>
      <c r="G34" s="503">
        <f t="shared" si="4"/>
        <v>0</v>
      </c>
      <c r="H34" s="498">
        <f>SUM($F$9:F34)/A34</f>
        <v>0</v>
      </c>
      <c r="I34" s="499">
        <f>SUM($G$9:G34)/A34</f>
        <v>0</v>
      </c>
      <c r="J34" s="443">
        <f t="shared" si="6"/>
        <v>0</v>
      </c>
      <c r="K34" s="459">
        <f t="shared" si="6"/>
        <v>0</v>
      </c>
      <c r="L34" s="495" t="e">
        <f t="shared" si="7"/>
        <v>#DIV/0!</v>
      </c>
      <c r="M34" s="464" t="e">
        <f t="shared" si="7"/>
        <v>#DIV/0!</v>
      </c>
      <c r="N34" s="366"/>
      <c r="O34" s="446"/>
      <c r="P34" s="446"/>
      <c r="Q34" s="446"/>
      <c r="R34" s="446"/>
      <c r="S34" s="647">
        <f t="shared" si="5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502">
        <f t="shared" si="3"/>
        <v>0</v>
      </c>
      <c r="E35" s="499"/>
      <c r="F35" s="446">
        <f t="shared" si="4"/>
        <v>0</v>
      </c>
      <c r="G35" s="503">
        <f t="shared" si="4"/>
        <v>0</v>
      </c>
      <c r="H35" s="498">
        <f>SUM($F$9:F35)/A35</f>
        <v>0</v>
      </c>
      <c r="I35" s="499">
        <f>SUM($G$9:G35)/A35</f>
        <v>0</v>
      </c>
      <c r="J35" s="443">
        <f t="shared" si="6"/>
        <v>0</v>
      </c>
      <c r="K35" s="459">
        <f t="shared" si="6"/>
        <v>0</v>
      </c>
      <c r="L35" s="495" t="e">
        <f t="shared" si="7"/>
        <v>#DIV/0!</v>
      </c>
      <c r="M35" s="464" t="e">
        <f t="shared" si="7"/>
        <v>#DIV/0!</v>
      </c>
      <c r="N35" s="366"/>
      <c r="O35" s="446"/>
      <c r="P35" s="446"/>
      <c r="Q35" s="446"/>
      <c r="R35" s="446"/>
      <c r="S35" s="647">
        <f t="shared" si="5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 t="shared" si="3"/>
        <v>0</v>
      </c>
      <c r="E36" s="499"/>
      <c r="F36" s="446">
        <f t="shared" si="4"/>
        <v>0</v>
      </c>
      <c r="G36" s="503">
        <f t="shared" si="4"/>
        <v>0</v>
      </c>
      <c r="H36" s="498">
        <f>SUM($F$9:F36)/A36</f>
        <v>0</v>
      </c>
      <c r="I36" s="499">
        <f>SUM($G$9:G36)/A36</f>
        <v>0</v>
      </c>
      <c r="J36" s="443">
        <f t="shared" si="6"/>
        <v>0</v>
      </c>
      <c r="K36" s="459">
        <f t="shared" si="6"/>
        <v>0</v>
      </c>
      <c r="L36" s="495" t="e">
        <f t="shared" si="7"/>
        <v>#DIV/0!</v>
      </c>
      <c r="M36" s="464" t="e">
        <f t="shared" si="7"/>
        <v>#DIV/0!</v>
      </c>
      <c r="N36" s="366"/>
      <c r="O36" s="446"/>
      <c r="P36" s="446"/>
      <c r="Q36" s="446"/>
      <c r="R36" s="446"/>
      <c r="S36" s="647">
        <f t="shared" si="5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104</v>
      </c>
      <c r="D37" s="502">
        <f t="shared" si="3"/>
        <v>0</v>
      </c>
      <c r="E37" s="499"/>
      <c r="F37" s="446">
        <f t="shared" si="4"/>
        <v>0</v>
      </c>
      <c r="G37" s="503">
        <f t="shared" si="4"/>
        <v>0</v>
      </c>
      <c r="H37" s="498">
        <f>SUM($F$9:F37)/A37</f>
        <v>0</v>
      </c>
      <c r="I37" s="499">
        <f>SUM($G$9:G37)/A37</f>
        <v>0</v>
      </c>
      <c r="J37" s="443">
        <f t="shared" si="6"/>
        <v>0</v>
      </c>
      <c r="K37" s="459">
        <f t="shared" si="6"/>
        <v>0</v>
      </c>
      <c r="L37" s="495" t="e">
        <f t="shared" si="7"/>
        <v>#DIV/0!</v>
      </c>
      <c r="M37" s="464" t="e">
        <f t="shared" si="7"/>
        <v>#DIV/0!</v>
      </c>
      <c r="N37" s="366"/>
      <c r="O37" s="446"/>
      <c r="P37" s="446"/>
      <c r="Q37" s="446"/>
      <c r="R37" s="446"/>
      <c r="S37" s="647">
        <f t="shared" si="5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502">
        <f t="shared" si="3"/>
        <v>0</v>
      </c>
      <c r="E38" s="499"/>
      <c r="F38" s="446">
        <f t="shared" si="4"/>
        <v>0</v>
      </c>
      <c r="G38" s="503">
        <f t="shared" si="4"/>
        <v>0</v>
      </c>
      <c r="H38" s="504">
        <f>SUM($F$9:F38)/A38</f>
        <v>0</v>
      </c>
      <c r="I38" s="499">
        <f>SUM($G$9:G38)/A38</f>
        <v>0</v>
      </c>
      <c r="J38" s="504">
        <f t="shared" si="6"/>
        <v>0</v>
      </c>
      <c r="K38" s="459">
        <f t="shared" si="6"/>
        <v>0</v>
      </c>
      <c r="L38" s="505" t="e">
        <f t="shared" si="7"/>
        <v>#DIV/0!</v>
      </c>
      <c r="M38" s="464" t="e">
        <f t="shared" si="7"/>
        <v>#DIV/0!</v>
      </c>
      <c r="N38" s="366"/>
      <c r="O38" s="446"/>
      <c r="P38" s="446"/>
      <c r="Q38" s="446"/>
      <c r="R38" s="446"/>
      <c r="S38" s="647">
        <f t="shared" si="5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502">
        <f t="shared" si="3"/>
        <v>0</v>
      </c>
      <c r="E39" s="499"/>
      <c r="F39" s="446">
        <f t="shared" si="4"/>
        <v>0</v>
      </c>
      <c r="G39" s="503">
        <f t="shared" si="4"/>
        <v>0</v>
      </c>
      <c r="H39" s="498">
        <f>SUM($F$9:F39)/A39</f>
        <v>0</v>
      </c>
      <c r="I39" s="499">
        <f>SUM($G$9:G39)/A39</f>
        <v>0</v>
      </c>
      <c r="J39" s="443">
        <f t="shared" si="6"/>
        <v>0</v>
      </c>
      <c r="K39" s="459">
        <f t="shared" si="6"/>
        <v>0</v>
      </c>
      <c r="L39" s="495" t="e">
        <f t="shared" si="7"/>
        <v>#DIV/0!</v>
      </c>
      <c r="M39" s="464" t="e">
        <f t="shared" si="7"/>
        <v>#DIV/0!</v>
      </c>
      <c r="N39" s="366"/>
      <c r="O39" s="446"/>
      <c r="P39" s="446"/>
      <c r="Q39" s="446"/>
      <c r="R39" s="446"/>
      <c r="S39" s="647">
        <f t="shared" si="5"/>
        <v>0</v>
      </c>
    </row>
    <row r="40" spans="1:19" s="374" customFormat="1" ht="12" customHeight="1">
      <c r="A40" s="812" t="s">
        <v>29</v>
      </c>
      <c r="B40" s="813"/>
      <c r="C40" s="814"/>
      <c r="D40" s="923">
        <f>SUM(D9:D39)</f>
        <v>0</v>
      </c>
      <c r="E40" s="923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812" t="s">
        <v>15</v>
      </c>
      <c r="B41" s="813"/>
      <c r="C41" s="814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125" priority="1" operator="lessThan">
      <formula>15</formula>
    </cfRule>
    <cfRule type="cellIs" dxfId="12124" priority="2" operator="greaterThan">
      <formula>20</formula>
    </cfRule>
    <cfRule type="cellIs" dxfId="12123" priority="3" operator="between">
      <formula>15</formula>
      <formula>20</formula>
    </cfRule>
    <cfRule type="cellIs" dxfId="12122" priority="4" operator="between">
      <formula>15</formula>
      <formula>20</formula>
    </cfRule>
    <cfRule type="cellIs" dxfId="12121" priority="5" operator="lessThan">
      <formula>15</formula>
    </cfRule>
    <cfRule type="cellIs" dxfId="12120" priority="6" operator="greaterThan">
      <formula>20</formula>
    </cfRule>
    <cfRule type="cellIs" dxfId="12119" priority="7" operator="between">
      <formula>15</formula>
      <formula>21</formula>
    </cfRule>
    <cfRule type="cellIs" dxfId="12118" priority="8" operator="lessThan">
      <formula>15</formula>
    </cfRule>
    <cfRule type="cellIs" dxfId="12117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9" orientation="landscape" r:id="rId1"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57"/>
  <sheetViews>
    <sheetView workbookViewId="0">
      <pane ySplit="8" topLeftCell="A12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.5703125" style="143" customWidth="1"/>
    <col min="14" max="14" width="6.42578125" style="143" customWidth="1"/>
    <col min="15" max="18" width="11.7109375" style="143" customWidth="1"/>
    <col min="19" max="19" width="11.5703125" style="143" bestFit="1" customWidth="1"/>
    <col min="20" max="20" width="12" style="143" customWidth="1"/>
    <col min="21" max="16384" width="9.28515625" style="143"/>
  </cols>
  <sheetData>
    <row r="1" spans="1:24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</row>
    <row r="2" spans="1:24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</row>
    <row r="3" spans="1:24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4" s="376" customFormat="1" ht="18.75" customHeight="1">
      <c r="A4" s="1600" t="s">
        <v>33</v>
      </c>
      <c r="B4" s="1600"/>
      <c r="C4" s="316" t="str">
        <f>J4</f>
        <v>FRIT A609</v>
      </c>
      <c r="D4" s="383"/>
      <c r="E4" s="383" t="s">
        <v>228</v>
      </c>
      <c r="F4" s="383"/>
      <c r="G4" s="383"/>
      <c r="I4" s="383" t="s">
        <v>120</v>
      </c>
      <c r="J4" s="316" t="s">
        <v>1129</v>
      </c>
      <c r="K4" s="319"/>
      <c r="L4" s="319"/>
      <c r="M4" s="319"/>
      <c r="O4" s="1422"/>
      <c r="P4" s="1422"/>
      <c r="Q4" s="1422"/>
      <c r="R4" s="1422"/>
      <c r="S4" s="143"/>
    </row>
    <row r="5" spans="1:24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4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4" s="305" customFormat="1" ht="13.5" customHeight="1">
      <c r="A7" s="1604"/>
      <c r="B7" s="1606"/>
      <c r="C7" s="1606"/>
      <c r="D7" s="296" t="s">
        <v>6</v>
      </c>
      <c r="E7" s="297" t="s">
        <v>25</v>
      </c>
      <c r="F7" s="296" t="s">
        <v>6</v>
      </c>
      <c r="G7" s="297" t="s">
        <v>246</v>
      </c>
      <c r="H7" s="296" t="s">
        <v>6</v>
      </c>
      <c r="I7" s="297" t="str">
        <f>G7</f>
        <v>Quy ẩm</v>
      </c>
      <c r="J7" s="296" t="s">
        <v>6</v>
      </c>
      <c r="K7" s="298" t="str">
        <f>I7</f>
        <v>Quy ẩm</v>
      </c>
      <c r="L7" s="299" t="s">
        <v>6</v>
      </c>
      <c r="M7" s="298" t="str">
        <f>K7</f>
        <v>Quy ẩm</v>
      </c>
      <c r="N7" s="1606"/>
      <c r="O7" s="1595"/>
      <c r="P7" s="1596"/>
      <c r="Q7" s="1595"/>
      <c r="R7" s="1596"/>
      <c r="S7" s="143"/>
    </row>
    <row r="8" spans="1:24" s="305" customFormat="1" ht="12" customHeight="1">
      <c r="A8" s="1597" t="s">
        <v>3</v>
      </c>
      <c r="B8" s="1598"/>
      <c r="C8" s="1599"/>
      <c r="D8" s="387">
        <f>J8</f>
        <v>16875.161</v>
      </c>
      <c r="E8" s="388">
        <f>K8</f>
        <v>17167</v>
      </c>
      <c r="F8" s="389"/>
      <c r="G8" s="388"/>
      <c r="H8" s="387"/>
      <c r="I8" s="388"/>
      <c r="J8" s="624">
        <f>K8-K8*N8</f>
        <v>16875.161</v>
      </c>
      <c r="K8" s="324">
        <v>17167</v>
      </c>
      <c r="L8" s="462"/>
      <c r="M8" s="463"/>
      <c r="N8" s="366">
        <v>1.7000000000000001E-2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2745</v>
      </c>
    </row>
    <row r="9" spans="1:24" s="367" customFormat="1" ht="12" customHeight="1">
      <c r="A9" s="364">
        <v>1</v>
      </c>
      <c r="B9" s="365">
        <f>'FRIT HGE91-FHG'!B9</f>
        <v>46235</v>
      </c>
      <c r="C9" s="331" t="s">
        <v>334</v>
      </c>
      <c r="D9" s="502">
        <f t="shared" ref="D9:D19" si="0">E9-E9*N9</f>
        <v>0</v>
      </c>
      <c r="E9" s="499"/>
      <c r="F9" s="446">
        <f>O9+Q9</f>
        <v>630</v>
      </c>
      <c r="G9" s="503">
        <f>P9+R9</f>
        <v>641</v>
      </c>
      <c r="H9" s="498">
        <f>SUM($F$9:F9)/A9</f>
        <v>630</v>
      </c>
      <c r="I9" s="499">
        <f>SUM($G$8:G9)/A9</f>
        <v>641</v>
      </c>
      <c r="J9" s="443">
        <f>J8+D9-F9</f>
        <v>16245.161</v>
      </c>
      <c r="K9" s="459">
        <f>K8+E9-G9</f>
        <v>16526</v>
      </c>
      <c r="L9" s="495">
        <f t="shared" ref="L9:M24" si="1">J9/H9</f>
        <v>25.785969841269843</v>
      </c>
      <c r="M9" s="464">
        <f t="shared" si="1"/>
        <v>25.781591263650547</v>
      </c>
      <c r="N9" s="366"/>
      <c r="O9" s="446">
        <v>630</v>
      </c>
      <c r="P9" s="446">
        <v>641</v>
      </c>
      <c r="Q9" s="446"/>
      <c r="R9" s="446"/>
      <c r="S9" s="647">
        <f>J9/$S$8</f>
        <v>5.9180914389799639</v>
      </c>
      <c r="T9" s="305"/>
      <c r="U9" s="305"/>
    </row>
    <row r="10" spans="1:24" s="367" customFormat="1" ht="12" customHeight="1">
      <c r="A10" s="364">
        <v>2</v>
      </c>
      <c r="B10" s="365">
        <f>'FRIT HGE91-FHG'!B10</f>
        <v>46236</v>
      </c>
      <c r="C10" s="331" t="s">
        <v>334</v>
      </c>
      <c r="D10" s="502">
        <f t="shared" si="0"/>
        <v>0</v>
      </c>
      <c r="E10" s="499"/>
      <c r="F10" s="446">
        <f t="shared" ref="F10:G39" si="2">O10+Q10</f>
        <v>630</v>
      </c>
      <c r="G10" s="503">
        <f t="shared" si="2"/>
        <v>641</v>
      </c>
      <c r="H10" s="498">
        <f>SUM($F$9:F10)/A10</f>
        <v>630</v>
      </c>
      <c r="I10" s="499">
        <f>SUM($G$8:G10)/A10</f>
        <v>641</v>
      </c>
      <c r="J10" s="443">
        <f t="shared" ref="J10:J39" si="3">J9+D10-F10</f>
        <v>15615.161</v>
      </c>
      <c r="K10" s="459">
        <f t="shared" ref="K10:K39" si="4">K9+E10-G10</f>
        <v>15885</v>
      </c>
      <c r="L10" s="495">
        <f t="shared" si="1"/>
        <v>24.785969841269843</v>
      </c>
      <c r="M10" s="464">
        <f t="shared" si="1"/>
        <v>24.781591263650547</v>
      </c>
      <c r="N10" s="366"/>
      <c r="O10" s="446">
        <v>630</v>
      </c>
      <c r="P10" s="446">
        <v>641</v>
      </c>
      <c r="Q10" s="446"/>
      <c r="R10" s="446"/>
      <c r="S10" s="647">
        <f t="shared" ref="S10:S39" si="5">J10/$S$8</f>
        <v>5.6885832422586518</v>
      </c>
      <c r="T10" s="305"/>
      <c r="U10" s="305"/>
    </row>
    <row r="11" spans="1:24" s="367" customFormat="1" ht="12" customHeight="1">
      <c r="A11" s="364">
        <v>3</v>
      </c>
      <c r="B11" s="365">
        <f>'FRIT HGE91-FHG'!B11</f>
        <v>46237</v>
      </c>
      <c r="C11" s="331" t="s">
        <v>334</v>
      </c>
      <c r="D11" s="502">
        <f t="shared" si="0"/>
        <v>0</v>
      </c>
      <c r="E11" s="499"/>
      <c r="F11" s="446">
        <f t="shared" si="2"/>
        <v>1260</v>
      </c>
      <c r="G11" s="503">
        <f t="shared" si="2"/>
        <v>1276</v>
      </c>
      <c r="H11" s="498">
        <f>SUM($F$9:F11)/A11</f>
        <v>840</v>
      </c>
      <c r="I11" s="499">
        <f>SUM($G$8:G11)/A11</f>
        <v>852.66666666666663</v>
      </c>
      <c r="J11" s="443">
        <f t="shared" si="3"/>
        <v>14355.161</v>
      </c>
      <c r="K11" s="459">
        <f t="shared" si="4"/>
        <v>14609</v>
      </c>
      <c r="L11" s="495">
        <f t="shared" si="1"/>
        <v>17.089477380952381</v>
      </c>
      <c r="M11" s="464">
        <f t="shared" si="1"/>
        <v>17.133307271305707</v>
      </c>
      <c r="N11" s="366"/>
      <c r="O11" s="446">
        <v>1260</v>
      </c>
      <c r="P11" s="446">
        <v>1276</v>
      </c>
      <c r="Q11" s="446"/>
      <c r="R11" s="446"/>
      <c r="S11" s="647">
        <f t="shared" si="5"/>
        <v>5.2295668488160292</v>
      </c>
      <c r="T11" s="305"/>
      <c r="U11" s="305"/>
    </row>
    <row r="12" spans="1:24" s="367" customFormat="1" ht="12" customHeight="1">
      <c r="A12" s="364">
        <v>4</v>
      </c>
      <c r="B12" s="365">
        <f>'FRIT HGE91-FHG'!B12</f>
        <v>46238</v>
      </c>
      <c r="C12" s="331" t="s">
        <v>334</v>
      </c>
      <c r="D12" s="502">
        <f t="shared" si="0"/>
        <v>0</v>
      </c>
      <c r="E12" s="499"/>
      <c r="F12" s="446">
        <f t="shared" si="2"/>
        <v>630</v>
      </c>
      <c r="G12" s="503">
        <f t="shared" si="2"/>
        <v>634</v>
      </c>
      <c r="H12" s="498">
        <f>SUM($F$9:F12)/A12</f>
        <v>787.5</v>
      </c>
      <c r="I12" s="499">
        <f>SUM($G$8:G12)/A12</f>
        <v>798</v>
      </c>
      <c r="J12" s="443">
        <f t="shared" si="3"/>
        <v>13725.161</v>
      </c>
      <c r="K12" s="459">
        <f t="shared" si="4"/>
        <v>13975</v>
      </c>
      <c r="L12" s="495">
        <f t="shared" si="1"/>
        <v>17.428775873015873</v>
      </c>
      <c r="M12" s="464">
        <f t="shared" si="1"/>
        <v>17.512531328320801</v>
      </c>
      <c r="N12" s="366"/>
      <c r="O12" s="446">
        <v>630</v>
      </c>
      <c r="P12" s="446">
        <v>634</v>
      </c>
      <c r="Q12" s="446"/>
      <c r="R12" s="446"/>
      <c r="S12" s="647">
        <f t="shared" si="5"/>
        <v>5.0000586520947179</v>
      </c>
      <c r="T12" s="305"/>
      <c r="U12" s="305"/>
    </row>
    <row r="13" spans="1:24" s="367" customFormat="1" ht="12" customHeight="1">
      <c r="A13" s="504">
        <v>5</v>
      </c>
      <c r="B13" s="365">
        <f>'FRIT HGE91-FHG'!B13</f>
        <v>46239</v>
      </c>
      <c r="C13" s="331" t="s">
        <v>334</v>
      </c>
      <c r="D13" s="502">
        <f t="shared" si="0"/>
        <v>0</v>
      </c>
      <c r="E13" s="499"/>
      <c r="F13" s="446">
        <f t="shared" si="2"/>
        <v>1260</v>
      </c>
      <c r="G13" s="503">
        <f t="shared" si="2"/>
        <v>1268</v>
      </c>
      <c r="H13" s="709">
        <f>SUM($F$9:F13)/A13</f>
        <v>882</v>
      </c>
      <c r="I13" s="499">
        <f>SUM($G$8:G13)/A13</f>
        <v>892</v>
      </c>
      <c r="J13" s="504">
        <f t="shared" si="3"/>
        <v>12465.161</v>
      </c>
      <c r="K13" s="459">
        <f t="shared" si="4"/>
        <v>12707</v>
      </c>
      <c r="L13" s="505">
        <f t="shared" si="1"/>
        <v>14.132835600907029</v>
      </c>
      <c r="M13" s="464">
        <f t="shared" si="1"/>
        <v>14.245515695067265</v>
      </c>
      <c r="N13" s="366"/>
      <c r="O13" s="446">
        <v>1260</v>
      </c>
      <c r="P13" s="446">
        <v>1268</v>
      </c>
      <c r="Q13" s="446"/>
      <c r="R13" s="446"/>
      <c r="S13" s="647">
        <f t="shared" si="5"/>
        <v>4.5410422586520944</v>
      </c>
      <c r="T13" s="305"/>
      <c r="U13" s="305"/>
    </row>
    <row r="14" spans="1:24" s="367" customFormat="1" ht="12" customHeight="1">
      <c r="A14" s="364">
        <v>6</v>
      </c>
      <c r="B14" s="365">
        <f>'FRIT HGE91-FHG'!B14</f>
        <v>46240</v>
      </c>
      <c r="C14" s="331" t="s">
        <v>334</v>
      </c>
      <c r="D14" s="502">
        <f t="shared" si="0"/>
        <v>0</v>
      </c>
      <c r="E14" s="499"/>
      <c r="F14" s="446">
        <f t="shared" si="2"/>
        <v>630</v>
      </c>
      <c r="G14" s="503">
        <f t="shared" si="2"/>
        <v>634</v>
      </c>
      <c r="H14" s="498">
        <f>SUM($F$9:F14)/A14</f>
        <v>840</v>
      </c>
      <c r="I14" s="499">
        <f>SUM($G$8:G14)/A14</f>
        <v>849</v>
      </c>
      <c r="J14" s="443">
        <f t="shared" si="3"/>
        <v>11835.161</v>
      </c>
      <c r="K14" s="459">
        <f t="shared" si="4"/>
        <v>12073</v>
      </c>
      <c r="L14" s="495">
        <f t="shared" si="1"/>
        <v>14.089477380952381</v>
      </c>
      <c r="M14" s="464">
        <f t="shared" si="1"/>
        <v>14.220259128386337</v>
      </c>
      <c r="N14" s="366"/>
      <c r="O14" s="446">
        <v>630</v>
      </c>
      <c r="P14" s="446">
        <v>634</v>
      </c>
      <c r="Q14" s="446"/>
      <c r="R14" s="446"/>
      <c r="S14" s="647">
        <f t="shared" si="5"/>
        <v>4.3115340619307831</v>
      </c>
      <c r="T14" s="305"/>
      <c r="U14" s="305"/>
    </row>
    <row r="15" spans="1:24" s="367" customFormat="1" ht="12" customHeight="1">
      <c r="A15" s="364">
        <v>7</v>
      </c>
      <c r="B15" s="365">
        <f>'FRIT HGE91-FHG'!B15</f>
        <v>46241</v>
      </c>
      <c r="C15" s="331" t="s">
        <v>334</v>
      </c>
      <c r="D15" s="921">
        <f t="shared" si="0"/>
        <v>0</v>
      </c>
      <c r="E15" s="499"/>
      <c r="F15" s="446">
        <f t="shared" si="2"/>
        <v>630</v>
      </c>
      <c r="G15" s="503">
        <f t="shared" si="2"/>
        <v>634</v>
      </c>
      <c r="H15" s="498">
        <f>SUM($F$9:F15)/A15</f>
        <v>810</v>
      </c>
      <c r="I15" s="499">
        <f>SUM($G$8:G15)/A15</f>
        <v>818.28571428571433</v>
      </c>
      <c r="J15" s="443">
        <f t="shared" si="3"/>
        <v>11205.161</v>
      </c>
      <c r="K15" s="459">
        <f t="shared" si="4"/>
        <v>11439</v>
      </c>
      <c r="L15" s="495">
        <f t="shared" si="1"/>
        <v>13.833532098765431</v>
      </c>
      <c r="M15" s="464">
        <f t="shared" si="1"/>
        <v>13.979224860335195</v>
      </c>
      <c r="N15" s="366"/>
      <c r="O15" s="446">
        <v>630</v>
      </c>
      <c r="P15" s="446">
        <v>634</v>
      </c>
      <c r="Q15" s="446"/>
      <c r="R15" s="446"/>
      <c r="S15" s="647">
        <f t="shared" si="5"/>
        <v>4.0820258652094719</v>
      </c>
      <c r="T15" s="305"/>
      <c r="U15" s="305"/>
    </row>
    <row r="16" spans="1:24" s="367" customFormat="1" ht="12" customHeight="1">
      <c r="A16" s="364">
        <v>8</v>
      </c>
      <c r="B16" s="365">
        <f>'FRIT HGE91-FHG'!B16</f>
        <v>46242</v>
      </c>
      <c r="C16" s="331" t="s">
        <v>346</v>
      </c>
      <c r="D16" s="502">
        <f t="shared" si="0"/>
        <v>7407.18</v>
      </c>
      <c r="E16" s="499">
        <v>7482</v>
      </c>
      <c r="F16" s="446">
        <f t="shared" si="2"/>
        <v>1260</v>
      </c>
      <c r="G16" s="503">
        <f t="shared" si="2"/>
        <v>1268</v>
      </c>
      <c r="H16" s="498">
        <f>SUM($F$9:F16)/A16</f>
        <v>866.25</v>
      </c>
      <c r="I16" s="499">
        <f>SUM($G$8:G16)/A16</f>
        <v>874.5</v>
      </c>
      <c r="J16" s="443">
        <f t="shared" si="3"/>
        <v>17352.341</v>
      </c>
      <c r="K16" s="459">
        <f t="shared" si="4"/>
        <v>17653</v>
      </c>
      <c r="L16" s="495">
        <f t="shared" si="1"/>
        <v>20.031562481962482</v>
      </c>
      <c r="M16" s="464">
        <f t="shared" si="1"/>
        <v>20.186392224128074</v>
      </c>
      <c r="N16" s="366">
        <v>0.01</v>
      </c>
      <c r="O16" s="446">
        <v>1260</v>
      </c>
      <c r="P16" s="446">
        <v>1268</v>
      </c>
      <c r="Q16" s="446"/>
      <c r="R16" s="446"/>
      <c r="S16" s="647">
        <f t="shared" si="5"/>
        <v>6.3214357012750453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31" t="s">
        <v>334</v>
      </c>
      <c r="D17" s="921">
        <f t="shared" si="0"/>
        <v>0</v>
      </c>
      <c r="E17" s="499"/>
      <c r="F17" s="446">
        <f t="shared" si="2"/>
        <v>630</v>
      </c>
      <c r="G17" s="503">
        <f t="shared" si="2"/>
        <v>634</v>
      </c>
      <c r="H17" s="498">
        <f>SUM($F$9:F17)/A17</f>
        <v>840</v>
      </c>
      <c r="I17" s="499">
        <f>SUM($G$8:G17)/A17</f>
        <v>847.77777777777783</v>
      </c>
      <c r="J17" s="443">
        <f t="shared" si="3"/>
        <v>16722.341</v>
      </c>
      <c r="K17" s="459">
        <f t="shared" si="4"/>
        <v>17019</v>
      </c>
      <c r="L17" s="495">
        <f t="shared" si="1"/>
        <v>19.90754880952381</v>
      </c>
      <c r="M17" s="464">
        <f t="shared" si="1"/>
        <v>20.074836173001309</v>
      </c>
      <c r="N17" s="366"/>
      <c r="O17" s="446">
        <v>630</v>
      </c>
      <c r="P17" s="446">
        <v>634</v>
      </c>
      <c r="Q17" s="446"/>
      <c r="R17" s="446"/>
      <c r="S17" s="647">
        <f t="shared" si="5"/>
        <v>6.091927504553734</v>
      </c>
      <c r="T17" s="305"/>
      <c r="U17" s="305"/>
    </row>
    <row r="18" spans="1:21" s="367" customFormat="1" ht="12" customHeight="1">
      <c r="A18" s="504">
        <v>10</v>
      </c>
      <c r="B18" s="365">
        <f>'FRIT HGE91-FHG'!B18</f>
        <v>46244</v>
      </c>
      <c r="C18" s="331" t="s">
        <v>334</v>
      </c>
      <c r="D18" s="502">
        <f t="shared" si="0"/>
        <v>0</v>
      </c>
      <c r="E18" s="499"/>
      <c r="F18" s="446">
        <f t="shared" si="2"/>
        <v>1260</v>
      </c>
      <c r="G18" s="503">
        <f t="shared" si="2"/>
        <v>1268</v>
      </c>
      <c r="H18" s="709">
        <f>SUM($F$9:F18)/A18</f>
        <v>882</v>
      </c>
      <c r="I18" s="499">
        <f>SUM($G$8:G18)/A18</f>
        <v>889.8</v>
      </c>
      <c r="J18" s="504">
        <f t="shared" si="3"/>
        <v>15462.341</v>
      </c>
      <c r="K18" s="459">
        <f t="shared" si="4"/>
        <v>15751</v>
      </c>
      <c r="L18" s="505">
        <f t="shared" si="1"/>
        <v>17.530998866213153</v>
      </c>
      <c r="M18" s="464">
        <f t="shared" si="1"/>
        <v>17.701730726005845</v>
      </c>
      <c r="N18" s="366"/>
      <c r="O18" s="446">
        <v>1260</v>
      </c>
      <c r="P18" s="446">
        <v>1268</v>
      </c>
      <c r="Q18" s="446"/>
      <c r="R18" s="446"/>
      <c r="S18" s="647">
        <f t="shared" si="5"/>
        <v>5.6329111111111114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31" t="s">
        <v>334</v>
      </c>
      <c r="D19" s="502">
        <f t="shared" si="0"/>
        <v>0</v>
      </c>
      <c r="E19" s="499"/>
      <c r="F19" s="446">
        <f t="shared" si="2"/>
        <v>1530</v>
      </c>
      <c r="G19" s="503">
        <f t="shared" si="2"/>
        <v>1540</v>
      </c>
      <c r="H19" s="498">
        <f>SUM($F$9:F19)/A19</f>
        <v>940.90909090909088</v>
      </c>
      <c r="I19" s="499">
        <f>SUM($G$8:G19)/A19</f>
        <v>948.90909090909088</v>
      </c>
      <c r="J19" s="443">
        <f t="shared" si="3"/>
        <v>13932.341</v>
      </c>
      <c r="K19" s="459">
        <f t="shared" si="4"/>
        <v>14211</v>
      </c>
      <c r="L19" s="495">
        <f t="shared" si="1"/>
        <v>14.807318937198069</v>
      </c>
      <c r="M19" s="464">
        <f t="shared" si="1"/>
        <v>14.976144855336273</v>
      </c>
      <c r="N19" s="366"/>
      <c r="O19" s="446">
        <v>630</v>
      </c>
      <c r="P19" s="446">
        <v>634</v>
      </c>
      <c r="Q19" s="446">
        <v>900</v>
      </c>
      <c r="R19" s="446">
        <v>906</v>
      </c>
      <c r="S19" s="647">
        <f t="shared" si="5"/>
        <v>5.0755340619307834</v>
      </c>
      <c r="T19" s="305"/>
      <c r="U19" s="305"/>
    </row>
    <row r="20" spans="1:21" s="367" customFormat="1" ht="12" customHeight="1">
      <c r="A20" s="364">
        <v>12</v>
      </c>
      <c r="B20" s="365">
        <f>'FRIT HGE91-FHG'!B20</f>
        <v>46246</v>
      </c>
      <c r="C20" s="331" t="s">
        <v>346</v>
      </c>
      <c r="D20" s="502">
        <f>E20-E20*N20</f>
        <v>25000</v>
      </c>
      <c r="E20" s="499">
        <v>25000</v>
      </c>
      <c r="F20" s="446">
        <f t="shared" si="2"/>
        <v>1530</v>
      </c>
      <c r="G20" s="503">
        <f t="shared" si="2"/>
        <v>1542</v>
      </c>
      <c r="H20" s="498">
        <f>SUM($F$9:F20)/A20</f>
        <v>990</v>
      </c>
      <c r="I20" s="499">
        <f>SUM($G$8:G20)/A20</f>
        <v>998.33333333333337</v>
      </c>
      <c r="J20" s="443">
        <f t="shared" si="3"/>
        <v>37402.341</v>
      </c>
      <c r="K20" s="459">
        <f t="shared" si="4"/>
        <v>37669</v>
      </c>
      <c r="L20" s="495">
        <f>J20/H20</f>
        <v>37.780142424242428</v>
      </c>
      <c r="M20" s="464">
        <f t="shared" si="1"/>
        <v>37.731886477462439</v>
      </c>
      <c r="N20" s="366"/>
      <c r="O20" s="446">
        <v>630</v>
      </c>
      <c r="P20" s="446">
        <v>635</v>
      </c>
      <c r="Q20" s="446">
        <v>900</v>
      </c>
      <c r="R20" s="446">
        <v>907</v>
      </c>
      <c r="S20" s="647">
        <f t="shared" si="5"/>
        <v>13.625625136612022</v>
      </c>
      <c r="T20" s="305"/>
      <c r="U20" s="305"/>
    </row>
    <row r="21" spans="1:21" s="367" customFormat="1" ht="12" customHeight="1">
      <c r="A21" s="364">
        <v>13</v>
      </c>
      <c r="B21" s="365">
        <f>'FRIT HGE91-FHG'!B21</f>
        <v>46247</v>
      </c>
      <c r="C21" s="331" t="s">
        <v>334</v>
      </c>
      <c r="D21" s="502">
        <f t="shared" ref="D21:D39" si="6">E21-E21*N21</f>
        <v>0</v>
      </c>
      <c r="E21" s="499"/>
      <c r="F21" s="446">
        <f t="shared" si="2"/>
        <v>2160</v>
      </c>
      <c r="G21" s="503">
        <f t="shared" si="2"/>
        <v>2177</v>
      </c>
      <c r="H21" s="498">
        <f>SUM($F$9:F21)/A21</f>
        <v>1080</v>
      </c>
      <c r="I21" s="499">
        <f>SUM($G$8:G21)/A21</f>
        <v>1089</v>
      </c>
      <c r="J21" s="443">
        <f t="shared" si="3"/>
        <v>35242.341</v>
      </c>
      <c r="K21" s="459">
        <f t="shared" si="4"/>
        <v>35492</v>
      </c>
      <c r="L21" s="495">
        <f t="shared" si="1"/>
        <v>32.631797222222225</v>
      </c>
      <c r="M21" s="464">
        <f t="shared" si="1"/>
        <v>32.591368227731863</v>
      </c>
      <c r="N21" s="366"/>
      <c r="O21" s="446">
        <v>1260</v>
      </c>
      <c r="P21" s="446">
        <v>1270</v>
      </c>
      <c r="Q21" s="446">
        <v>900</v>
      </c>
      <c r="R21" s="446">
        <v>907</v>
      </c>
      <c r="S21" s="647">
        <f t="shared" si="5"/>
        <v>12.838739890710382</v>
      </c>
      <c r="T21" s="305"/>
      <c r="U21" s="305"/>
    </row>
    <row r="22" spans="1:21" s="367" customFormat="1" ht="12" customHeight="1">
      <c r="A22" s="364">
        <v>14</v>
      </c>
      <c r="B22" s="365">
        <f>'FRIT HGE91-FHG'!B22</f>
        <v>46248</v>
      </c>
      <c r="C22" s="331" t="s">
        <v>334</v>
      </c>
      <c r="D22" s="502">
        <f t="shared" si="6"/>
        <v>0</v>
      </c>
      <c r="E22" s="499"/>
      <c r="F22" s="446">
        <f t="shared" si="2"/>
        <v>2430</v>
      </c>
      <c r="G22" s="503">
        <f t="shared" si="2"/>
        <v>2449</v>
      </c>
      <c r="H22" s="498">
        <f>SUM($F$9:F22)/A22</f>
        <v>1176.4285714285713</v>
      </c>
      <c r="I22" s="499">
        <f>SUM($G$8:G22)/A22</f>
        <v>1186.1428571428571</v>
      </c>
      <c r="J22" s="443">
        <f t="shared" si="3"/>
        <v>32812.341</v>
      </c>
      <c r="K22" s="459">
        <f t="shared" si="4"/>
        <v>33043</v>
      </c>
      <c r="L22" s="495">
        <f t="shared" si="1"/>
        <v>27.891485974499091</v>
      </c>
      <c r="M22" s="464">
        <f t="shared" si="1"/>
        <v>27.85752137781525</v>
      </c>
      <c r="N22" s="366"/>
      <c r="O22" s="446">
        <v>630</v>
      </c>
      <c r="P22" s="446">
        <v>635</v>
      </c>
      <c r="Q22" s="446">
        <v>1800</v>
      </c>
      <c r="R22" s="446">
        <v>1814</v>
      </c>
      <c r="S22" s="647">
        <f t="shared" si="5"/>
        <v>11.953493989071038</v>
      </c>
      <c r="T22" s="305"/>
      <c r="U22" s="305"/>
    </row>
    <row r="23" spans="1:21" s="367" customFormat="1" ht="12" customHeight="1">
      <c r="A23" s="504">
        <v>15</v>
      </c>
      <c r="B23" s="365">
        <f>'FRIT HGE91-FHG'!B23</f>
        <v>46249</v>
      </c>
      <c r="C23" s="331" t="s">
        <v>334</v>
      </c>
      <c r="D23" s="502">
        <f t="shared" si="6"/>
        <v>0</v>
      </c>
      <c r="E23" s="499"/>
      <c r="F23" s="446">
        <f t="shared" si="2"/>
        <v>3060</v>
      </c>
      <c r="G23" s="503">
        <f t="shared" si="2"/>
        <v>3080</v>
      </c>
      <c r="H23" s="709">
        <f>SUM($F$9:F23)/A23</f>
        <v>1302</v>
      </c>
      <c r="I23" s="499">
        <f>SUM($G$8:G23)/A23</f>
        <v>1312.4</v>
      </c>
      <c r="J23" s="504">
        <f t="shared" si="3"/>
        <v>29752.341</v>
      </c>
      <c r="K23" s="459">
        <f t="shared" si="4"/>
        <v>29963</v>
      </c>
      <c r="L23" s="505">
        <f t="shared" si="1"/>
        <v>22.851260368663596</v>
      </c>
      <c r="M23" s="464">
        <f t="shared" si="1"/>
        <v>22.830691862237121</v>
      </c>
      <c r="N23" s="366"/>
      <c r="O23" s="446">
        <v>1260</v>
      </c>
      <c r="P23" s="446">
        <v>1268</v>
      </c>
      <c r="Q23" s="446">
        <v>1800</v>
      </c>
      <c r="R23" s="446">
        <v>1812</v>
      </c>
      <c r="S23" s="647">
        <f t="shared" si="5"/>
        <v>10.838739890710382</v>
      </c>
      <c r="T23" s="305"/>
      <c r="U23" s="305"/>
    </row>
    <row r="24" spans="1:21" s="367" customFormat="1" ht="12" customHeight="1">
      <c r="A24" s="364">
        <v>16</v>
      </c>
      <c r="B24" s="365">
        <f>'FRIT HGE91-FHG'!B24</f>
        <v>46250</v>
      </c>
      <c r="C24" s="331" t="s">
        <v>334</v>
      </c>
      <c r="D24" s="502">
        <f t="shared" si="6"/>
        <v>0</v>
      </c>
      <c r="E24" s="499"/>
      <c r="F24" s="446">
        <f t="shared" si="2"/>
        <v>2430</v>
      </c>
      <c r="G24" s="503">
        <f t="shared" si="2"/>
        <v>2450</v>
      </c>
      <c r="H24" s="498">
        <f>SUM($F$9:F24)/A24</f>
        <v>1372.5</v>
      </c>
      <c r="I24" s="499">
        <f>SUM($G$8:G24)/A24</f>
        <v>1383.5</v>
      </c>
      <c r="J24" s="443">
        <f t="shared" si="3"/>
        <v>27322.341</v>
      </c>
      <c r="K24" s="459">
        <f t="shared" si="4"/>
        <v>27513</v>
      </c>
      <c r="L24" s="495">
        <f t="shared" si="1"/>
        <v>19.906987978142077</v>
      </c>
      <c r="M24" s="464">
        <f t="shared" si="1"/>
        <v>19.886519696422116</v>
      </c>
      <c r="N24" s="366"/>
      <c r="O24" s="446">
        <v>630</v>
      </c>
      <c r="P24" s="446">
        <v>634</v>
      </c>
      <c r="Q24" s="446">
        <v>1800</v>
      </c>
      <c r="R24" s="446">
        <v>1816</v>
      </c>
      <c r="S24" s="647">
        <f t="shared" si="5"/>
        <v>9.9534939890710383</v>
      </c>
      <c r="T24" s="305"/>
      <c r="U24" s="305"/>
    </row>
    <row r="25" spans="1:21" s="367" customFormat="1" ht="12" customHeight="1">
      <c r="A25" s="364">
        <v>17</v>
      </c>
      <c r="B25" s="365">
        <f>'FRIT HGE91-FHG'!B25</f>
        <v>46251</v>
      </c>
      <c r="C25" s="331" t="s">
        <v>346</v>
      </c>
      <c r="D25" s="502">
        <f t="shared" si="6"/>
        <v>0</v>
      </c>
      <c r="E25" s="499"/>
      <c r="F25" s="446">
        <f t="shared" si="2"/>
        <v>2160</v>
      </c>
      <c r="G25" s="503">
        <f t="shared" si="2"/>
        <v>2177</v>
      </c>
      <c r="H25" s="498">
        <f>SUM($F$9:F25)/A25</f>
        <v>1418.8235294117646</v>
      </c>
      <c r="I25" s="499">
        <f>SUM($G$8:G25)/A25</f>
        <v>1430.1764705882354</v>
      </c>
      <c r="J25" s="443">
        <f t="shared" si="3"/>
        <v>25162.341</v>
      </c>
      <c r="K25" s="459">
        <f t="shared" si="4"/>
        <v>25336</v>
      </c>
      <c r="L25" s="495">
        <f>J25/H25</f>
        <v>17.734651616915425</v>
      </c>
      <c r="M25" s="464">
        <f>K25/I25</f>
        <v>17.715296343519928</v>
      </c>
      <c r="N25" s="366"/>
      <c r="O25" s="446">
        <v>1260</v>
      </c>
      <c r="P25" s="446">
        <v>1270</v>
      </c>
      <c r="Q25" s="446">
        <f>900</f>
        <v>900</v>
      </c>
      <c r="R25" s="446">
        <v>907</v>
      </c>
      <c r="S25" s="647">
        <f t="shared" si="5"/>
        <v>9.1666087431693999</v>
      </c>
      <c r="T25" s="305"/>
      <c r="U25" s="305"/>
    </row>
    <row r="26" spans="1:21" s="367" customFormat="1" ht="12" customHeight="1">
      <c r="A26" s="364">
        <v>18</v>
      </c>
      <c r="B26" s="365">
        <f>'FRIT HGE91-FHG'!B26</f>
        <v>46252</v>
      </c>
      <c r="C26" s="331" t="s">
        <v>346</v>
      </c>
      <c r="D26" s="502">
        <f t="shared" si="6"/>
        <v>32500</v>
      </c>
      <c r="E26" s="499">
        <v>32500</v>
      </c>
      <c r="F26" s="446">
        <f t="shared" si="2"/>
        <v>0</v>
      </c>
      <c r="G26" s="503">
        <f t="shared" si="2"/>
        <v>0</v>
      </c>
      <c r="H26" s="498">
        <f>SUM($F$9:F26)/A26</f>
        <v>1340</v>
      </c>
      <c r="I26" s="499">
        <f>SUM($G$8:G26)/A26</f>
        <v>1350.7222222222222</v>
      </c>
      <c r="J26" s="443">
        <f t="shared" si="3"/>
        <v>57662.341</v>
      </c>
      <c r="K26" s="459">
        <f t="shared" si="4"/>
        <v>57836</v>
      </c>
      <c r="L26" s="495">
        <f>J26/H26</f>
        <v>43.031597761194028</v>
      </c>
      <c r="M26" s="464">
        <f>K26/I26</f>
        <v>42.818574425204623</v>
      </c>
      <c r="N26" s="366"/>
      <c r="O26" s="446"/>
      <c r="P26" s="446"/>
      <c r="Q26" s="446"/>
      <c r="R26" s="446"/>
      <c r="S26" s="647">
        <f t="shared" si="5"/>
        <v>21.006317304189434</v>
      </c>
      <c r="T26" s="305"/>
      <c r="U26" s="305"/>
    </row>
    <row r="27" spans="1:21" s="367" customFormat="1" ht="12" customHeight="1">
      <c r="A27" s="364">
        <v>19</v>
      </c>
      <c r="B27" s="365">
        <f>'FRIT HGE91-FHG'!B27</f>
        <v>46253</v>
      </c>
      <c r="C27" s="331" t="s">
        <v>334</v>
      </c>
      <c r="D27" s="502">
        <f t="shared" si="6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1269.4736842105262</v>
      </c>
      <c r="I27" s="499">
        <f>SUM($G$8:G27)/A27</f>
        <v>1279.6315789473683</v>
      </c>
      <c r="J27" s="443">
        <f t="shared" si="3"/>
        <v>57662.341</v>
      </c>
      <c r="K27" s="459">
        <f t="shared" si="4"/>
        <v>57836</v>
      </c>
      <c r="L27" s="495">
        <f t="shared" ref="L27:M39" si="7">J27/H27</f>
        <v>45.422242081260364</v>
      </c>
      <c r="M27" s="464">
        <f t="shared" si="7"/>
        <v>45.197384115493769</v>
      </c>
      <c r="N27" s="366"/>
      <c r="O27" s="446"/>
      <c r="P27" s="446"/>
      <c r="Q27" s="446"/>
      <c r="R27" s="446"/>
      <c r="S27" s="647">
        <f t="shared" si="5"/>
        <v>21.006317304189434</v>
      </c>
      <c r="T27" s="305"/>
      <c r="U27" s="305"/>
    </row>
    <row r="28" spans="1:21" s="367" customFormat="1" ht="12" customHeight="1">
      <c r="A28" s="504">
        <v>20</v>
      </c>
      <c r="B28" s="365">
        <f>'FRIT HGE91-FHG'!B28</f>
        <v>46254</v>
      </c>
      <c r="C28" s="331" t="s">
        <v>334</v>
      </c>
      <c r="D28" s="502">
        <f t="shared" si="6"/>
        <v>0</v>
      </c>
      <c r="E28" s="499"/>
      <c r="F28" s="446">
        <f t="shared" si="2"/>
        <v>0</v>
      </c>
      <c r="G28" s="503">
        <f t="shared" si="2"/>
        <v>0</v>
      </c>
      <c r="H28" s="709">
        <f>SUM($F$9:F28)/A28</f>
        <v>1206</v>
      </c>
      <c r="I28" s="499">
        <f>SUM($G$8:G28)/A28</f>
        <v>1215.6500000000001</v>
      </c>
      <c r="J28" s="504">
        <f t="shared" si="3"/>
        <v>57662.341</v>
      </c>
      <c r="K28" s="459">
        <f t="shared" si="4"/>
        <v>57836</v>
      </c>
      <c r="L28" s="505">
        <f t="shared" si="7"/>
        <v>47.812886401326701</v>
      </c>
      <c r="M28" s="464">
        <f t="shared" si="7"/>
        <v>47.576193805782914</v>
      </c>
      <c r="N28" s="366"/>
      <c r="O28" s="446"/>
      <c r="P28" s="446"/>
      <c r="Q28" s="446"/>
      <c r="R28" s="446"/>
      <c r="S28" s="647">
        <f t="shared" si="5"/>
        <v>21.006317304189434</v>
      </c>
      <c r="T28" s="305"/>
      <c r="U28" s="305"/>
    </row>
    <row r="29" spans="1:21" s="367" customFormat="1" ht="12" customHeight="1">
      <c r="A29" s="364">
        <v>21</v>
      </c>
      <c r="B29" s="365">
        <f>'FRIT HGE91-FHG'!B29</f>
        <v>46255</v>
      </c>
      <c r="C29" s="331" t="s">
        <v>334</v>
      </c>
      <c r="D29" s="502">
        <f t="shared" si="6"/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1148.5714285714287</v>
      </c>
      <c r="I29" s="499">
        <f>SUM($G$8:G29)/A29</f>
        <v>1157.7619047619048</v>
      </c>
      <c r="J29" s="443">
        <f>J28+D29-F29</f>
        <v>57662.341</v>
      </c>
      <c r="K29" s="459">
        <f t="shared" si="4"/>
        <v>57836</v>
      </c>
      <c r="L29" s="495">
        <f t="shared" si="7"/>
        <v>50.20353072139303</v>
      </c>
      <c r="M29" s="464">
        <f t="shared" si="7"/>
        <v>49.955003496072059</v>
      </c>
      <c r="N29" s="366"/>
      <c r="O29" s="446"/>
      <c r="P29" s="446"/>
      <c r="Q29" s="446"/>
      <c r="R29" s="446"/>
      <c r="S29" s="647">
        <f t="shared" si="5"/>
        <v>21.006317304189434</v>
      </c>
      <c r="T29" s="305"/>
      <c r="U29" s="305"/>
    </row>
    <row r="30" spans="1:21" s="367" customFormat="1" ht="12" customHeight="1">
      <c r="A30" s="364">
        <v>22</v>
      </c>
      <c r="B30" s="365">
        <f>'FRIT HGE91-FHG'!B30</f>
        <v>46256</v>
      </c>
      <c r="C30" s="331" t="s">
        <v>334</v>
      </c>
      <c r="D30" s="502">
        <f t="shared" si="6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1096.3636363636363</v>
      </c>
      <c r="I30" s="499">
        <f>SUM($G$8:G30)/A30</f>
        <v>1105.1363636363637</v>
      </c>
      <c r="J30" s="443">
        <f t="shared" si="3"/>
        <v>57662.341</v>
      </c>
      <c r="K30" s="459">
        <f t="shared" si="4"/>
        <v>57836</v>
      </c>
      <c r="L30" s="495">
        <f t="shared" si="7"/>
        <v>52.594175041459373</v>
      </c>
      <c r="M30" s="464">
        <f t="shared" si="7"/>
        <v>52.333813186361198</v>
      </c>
      <c r="N30" s="366"/>
      <c r="O30" s="446"/>
      <c r="P30" s="446"/>
      <c r="Q30" s="446"/>
      <c r="R30" s="446"/>
      <c r="S30" s="647">
        <f t="shared" si="5"/>
        <v>21.006317304189434</v>
      </c>
      <c r="T30" s="305"/>
      <c r="U30" s="305"/>
    </row>
    <row r="31" spans="1:21" s="367" customFormat="1" ht="12" customHeight="1">
      <c r="A31" s="364">
        <v>23</v>
      </c>
      <c r="B31" s="365">
        <f>'FRIT HGE91-FHG'!B31</f>
        <v>46257</v>
      </c>
      <c r="C31" s="331" t="s">
        <v>334</v>
      </c>
      <c r="D31" s="921">
        <f t="shared" si="6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1048.695652173913</v>
      </c>
      <c r="I31" s="499">
        <f>SUM($G$8:G31)/A31</f>
        <v>1057.0869565217392</v>
      </c>
      <c r="J31" s="443">
        <f t="shared" si="3"/>
        <v>57662.341</v>
      </c>
      <c r="K31" s="459">
        <f t="shared" si="4"/>
        <v>57836</v>
      </c>
      <c r="L31" s="495">
        <f t="shared" si="7"/>
        <v>54.984819361525709</v>
      </c>
      <c r="M31" s="464">
        <f t="shared" si="7"/>
        <v>54.712622876650343</v>
      </c>
      <c r="N31" s="366"/>
      <c r="O31" s="446"/>
      <c r="P31" s="446"/>
      <c r="Q31" s="446"/>
      <c r="R31" s="446"/>
      <c r="S31" s="647">
        <f t="shared" si="5"/>
        <v>21.006317304189434</v>
      </c>
      <c r="T31" s="305"/>
      <c r="U31" s="305"/>
    </row>
    <row r="32" spans="1:21" s="367" customFormat="1" ht="12" customHeight="1">
      <c r="A32" s="364">
        <v>24</v>
      </c>
      <c r="B32" s="365">
        <f>'FRIT HGE91-FHG'!B32</f>
        <v>46258</v>
      </c>
      <c r="C32" s="331" t="s">
        <v>334</v>
      </c>
      <c r="D32" s="502">
        <f t="shared" si="6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1005</v>
      </c>
      <c r="I32" s="499">
        <f>SUM($G$8:G32)/A32</f>
        <v>1013.0416666666666</v>
      </c>
      <c r="J32" s="443">
        <f t="shared" si="3"/>
        <v>57662.341</v>
      </c>
      <c r="K32" s="459">
        <f t="shared" si="4"/>
        <v>57836</v>
      </c>
      <c r="L32" s="495">
        <f t="shared" si="7"/>
        <v>57.375463681592038</v>
      </c>
      <c r="M32" s="464">
        <f t="shared" si="7"/>
        <v>57.091432566939503</v>
      </c>
      <c r="N32" s="366"/>
      <c r="O32" s="446"/>
      <c r="P32" s="446"/>
      <c r="Q32" s="446"/>
      <c r="R32" s="446"/>
      <c r="S32" s="647">
        <f t="shared" si="5"/>
        <v>21.006317304189434</v>
      </c>
      <c r="T32" s="305"/>
      <c r="U32" s="305"/>
    </row>
    <row r="33" spans="1:21" s="367" customFormat="1" ht="11.25" customHeight="1">
      <c r="A33" s="460">
        <v>25</v>
      </c>
      <c r="B33" s="365">
        <f>'FRIT HGE91-FHG'!B33</f>
        <v>46259</v>
      </c>
      <c r="C33" s="331" t="s">
        <v>346</v>
      </c>
      <c r="D33" s="921">
        <f t="shared" si="6"/>
        <v>0</v>
      </c>
      <c r="E33" s="499"/>
      <c r="F33" s="446">
        <f t="shared" si="2"/>
        <v>0</v>
      </c>
      <c r="G33" s="503">
        <f t="shared" si="2"/>
        <v>0</v>
      </c>
      <c r="H33" s="708">
        <f>SUM($F$9:F33)/A33</f>
        <v>964.8</v>
      </c>
      <c r="I33" s="499">
        <f>SUM($G$8:G33)/A33</f>
        <v>972.52</v>
      </c>
      <c r="J33" s="460">
        <f t="shared" si="3"/>
        <v>57662.341</v>
      </c>
      <c r="K33" s="459">
        <f t="shared" si="4"/>
        <v>57836</v>
      </c>
      <c r="L33" s="506">
        <f t="shared" si="7"/>
        <v>59.766108001658381</v>
      </c>
      <c r="M33" s="464">
        <f t="shared" si="7"/>
        <v>59.470242257228641</v>
      </c>
      <c r="N33" s="366"/>
      <c r="O33" s="446"/>
      <c r="P33" s="446"/>
      <c r="Q33" s="446"/>
      <c r="R33" s="446"/>
      <c r="S33" s="647">
        <f t="shared" si="5"/>
        <v>21.006317304189434</v>
      </c>
      <c r="T33" s="305"/>
      <c r="U33" s="305"/>
    </row>
    <row r="34" spans="1:21" s="367" customFormat="1" ht="12" customHeight="1">
      <c r="A34" s="364">
        <v>26</v>
      </c>
      <c r="B34" s="365">
        <f>'FRIT HGE91-FHG'!B34</f>
        <v>46260</v>
      </c>
      <c r="C34" s="331" t="s">
        <v>334</v>
      </c>
      <c r="D34" s="502">
        <f t="shared" si="6"/>
        <v>0</v>
      </c>
      <c r="E34" s="499"/>
      <c r="F34" s="446">
        <f>O34+Q34</f>
        <v>0</v>
      </c>
      <c r="G34" s="503">
        <f t="shared" si="2"/>
        <v>0</v>
      </c>
      <c r="H34" s="498">
        <f>SUM($F$9:F34)/A34</f>
        <v>927.69230769230774</v>
      </c>
      <c r="I34" s="499">
        <f>SUM($G$8:G34)/A34</f>
        <v>935.11538461538464</v>
      </c>
      <c r="J34" s="443">
        <f t="shared" si="3"/>
        <v>57662.341</v>
      </c>
      <c r="K34" s="459">
        <f t="shared" si="4"/>
        <v>57836</v>
      </c>
      <c r="L34" s="495">
        <f t="shared" si="7"/>
        <v>62.15675232172471</v>
      </c>
      <c r="M34" s="464">
        <f t="shared" si="7"/>
        <v>61.849051947517786</v>
      </c>
      <c r="N34" s="366"/>
      <c r="O34" s="446"/>
      <c r="P34" s="446"/>
      <c r="Q34" s="446"/>
      <c r="R34" s="446"/>
      <c r="S34" s="647">
        <f t="shared" si="5"/>
        <v>21.006317304189434</v>
      </c>
      <c r="T34" s="305"/>
      <c r="U34" s="305"/>
    </row>
    <row r="35" spans="1:21" s="367" customFormat="1" ht="12" customHeight="1">
      <c r="A35" s="364">
        <v>27</v>
      </c>
      <c r="B35" s="365">
        <f>'FRIT HGE91-FHG'!B35</f>
        <v>46261</v>
      </c>
      <c r="C35" s="331" t="s">
        <v>334</v>
      </c>
      <c r="D35" s="502">
        <f t="shared" si="6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893.33333333333337</v>
      </c>
      <c r="I35" s="499">
        <f>SUM($G$8:G35)/A35</f>
        <v>900.48148148148152</v>
      </c>
      <c r="J35" s="443">
        <f t="shared" si="3"/>
        <v>57662.341</v>
      </c>
      <c r="K35" s="459">
        <f t="shared" si="4"/>
        <v>57836</v>
      </c>
      <c r="L35" s="495">
        <f t="shared" si="7"/>
        <v>64.547396641791039</v>
      </c>
      <c r="M35" s="464">
        <f t="shared" si="7"/>
        <v>64.227861637806924</v>
      </c>
      <c r="N35" s="366"/>
      <c r="O35" s="446"/>
      <c r="P35" s="446"/>
      <c r="Q35" s="446"/>
      <c r="R35" s="446"/>
      <c r="S35" s="647">
        <f t="shared" si="5"/>
        <v>21.006317304189434</v>
      </c>
    </row>
    <row r="36" spans="1:21" s="367" customFormat="1" ht="12" customHeight="1">
      <c r="A36" s="364">
        <v>28</v>
      </c>
      <c r="B36" s="365">
        <f>'FRIT HGE91-FHG'!B36</f>
        <v>46262</v>
      </c>
      <c r="C36" s="331" t="s">
        <v>334</v>
      </c>
      <c r="D36" s="502">
        <f t="shared" si="6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861.42857142857144</v>
      </c>
      <c r="I36" s="499">
        <f>SUM($G$8:G36)/A36</f>
        <v>868.32142857142856</v>
      </c>
      <c r="J36" s="443">
        <f t="shared" si="3"/>
        <v>57662.341</v>
      </c>
      <c r="K36" s="459">
        <f t="shared" si="4"/>
        <v>57836</v>
      </c>
      <c r="L36" s="495">
        <f t="shared" si="7"/>
        <v>66.938040961857382</v>
      </c>
      <c r="M36" s="464">
        <f t="shared" si="7"/>
        <v>66.606671328096084</v>
      </c>
      <c r="N36" s="366"/>
      <c r="O36" s="446"/>
      <c r="P36" s="446"/>
      <c r="Q36" s="446"/>
      <c r="R36" s="446"/>
      <c r="S36" s="647">
        <f t="shared" si="5"/>
        <v>21.006317304189434</v>
      </c>
    </row>
    <row r="37" spans="1:21" s="367" customFormat="1" ht="12" customHeight="1">
      <c r="A37" s="364">
        <v>29</v>
      </c>
      <c r="B37" s="365">
        <f>'FRIT HGE91-FHG'!B37</f>
        <v>46263</v>
      </c>
      <c r="C37" s="331" t="s">
        <v>334</v>
      </c>
      <c r="D37" s="502">
        <f t="shared" si="6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831.72413793103453</v>
      </c>
      <c r="I37" s="499">
        <f>SUM($G$8:G37)/A37</f>
        <v>838.37931034482756</v>
      </c>
      <c r="J37" s="443">
        <f t="shared" si="3"/>
        <v>57662.341</v>
      </c>
      <c r="K37" s="459">
        <f t="shared" si="4"/>
        <v>57836</v>
      </c>
      <c r="L37" s="495">
        <f t="shared" si="7"/>
        <v>69.328685281923711</v>
      </c>
      <c r="M37" s="464">
        <f t="shared" si="7"/>
        <v>68.985481018385229</v>
      </c>
      <c r="N37" s="366"/>
      <c r="O37" s="446"/>
      <c r="P37" s="446"/>
      <c r="Q37" s="446"/>
      <c r="R37" s="446"/>
      <c r="S37" s="647">
        <f t="shared" si="5"/>
        <v>21.006317304189434</v>
      </c>
    </row>
    <row r="38" spans="1:21" s="367" customFormat="1" ht="12" customHeight="1">
      <c r="A38" s="504">
        <v>30</v>
      </c>
      <c r="B38" s="365">
        <f>'FRIT HGE91-FHG'!B38</f>
        <v>46264</v>
      </c>
      <c r="C38" s="331" t="s">
        <v>334</v>
      </c>
      <c r="D38" s="502">
        <f t="shared" si="6"/>
        <v>0</v>
      </c>
      <c r="E38" s="499"/>
      <c r="F38" s="446">
        <f t="shared" si="2"/>
        <v>0</v>
      </c>
      <c r="G38" s="503">
        <f t="shared" si="2"/>
        <v>0</v>
      </c>
      <c r="H38" s="709">
        <f>SUM($F$9:F38)/A38</f>
        <v>804</v>
      </c>
      <c r="I38" s="499">
        <f>SUM($G$8:G38)/A38</f>
        <v>810.43333333333328</v>
      </c>
      <c r="J38" s="504">
        <f t="shared" si="3"/>
        <v>57662.341</v>
      </c>
      <c r="K38" s="459">
        <f t="shared" si="4"/>
        <v>57836</v>
      </c>
      <c r="L38" s="505">
        <f t="shared" si="7"/>
        <v>71.719329601990054</v>
      </c>
      <c r="M38" s="464">
        <f t="shared" si="7"/>
        <v>71.364290708674375</v>
      </c>
      <c r="N38" s="366"/>
      <c r="O38" s="446"/>
      <c r="P38" s="446"/>
      <c r="Q38" s="446"/>
      <c r="R38" s="446"/>
      <c r="S38" s="647">
        <f t="shared" si="5"/>
        <v>21.006317304189434</v>
      </c>
    </row>
    <row r="39" spans="1:21" s="367" customFormat="1" ht="12" customHeight="1">
      <c r="A39" s="364">
        <v>31</v>
      </c>
      <c r="B39" s="365">
        <f>'FRIT HGE91-FHG'!B39</f>
        <v>46265</v>
      </c>
      <c r="C39" s="331" t="s">
        <v>334</v>
      </c>
      <c r="D39" s="502">
        <f t="shared" si="6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778.06451612903231</v>
      </c>
      <c r="I39" s="499">
        <f>SUM($G$8:G39)/A39</f>
        <v>784.29032258064512</v>
      </c>
      <c r="J39" s="443">
        <f t="shared" si="3"/>
        <v>57662.341</v>
      </c>
      <c r="K39" s="459">
        <f t="shared" si="4"/>
        <v>57836</v>
      </c>
      <c r="L39" s="495">
        <f t="shared" si="7"/>
        <v>74.109973922056383</v>
      </c>
      <c r="M39" s="464">
        <f t="shared" si="7"/>
        <v>73.74310039896352</v>
      </c>
      <c r="N39" s="366"/>
      <c r="O39" s="446"/>
      <c r="P39" s="446"/>
      <c r="Q39" s="446"/>
      <c r="R39" s="446"/>
      <c r="S39" s="647">
        <f t="shared" si="5"/>
        <v>21.006317304189434</v>
      </c>
    </row>
    <row r="40" spans="1:21" s="374" customFormat="1" ht="12" customHeight="1">
      <c r="A40" s="370" t="s">
        <v>29</v>
      </c>
      <c r="B40" s="371"/>
      <c r="C40" s="372"/>
      <c r="D40" s="388">
        <f>SUM(D9:D39)</f>
        <v>64907.18</v>
      </c>
      <c r="E40" s="388">
        <f>SUM(E9:E39)</f>
        <v>64982</v>
      </c>
      <c r="F40" s="389">
        <f>SUM(F9:F39)</f>
        <v>24120</v>
      </c>
      <c r="G40" s="496">
        <f>SUM(G9:G39)</f>
        <v>24313</v>
      </c>
      <c r="H40" s="389"/>
      <c r="I40" s="496"/>
      <c r="J40" s="389">
        <f>J39</f>
        <v>57662.341</v>
      </c>
      <c r="K40" s="461">
        <f>K39</f>
        <v>57836</v>
      </c>
      <c r="L40" s="464"/>
      <c r="M40" s="464"/>
      <c r="N40" s="366"/>
      <c r="O40" s="389">
        <f>SUM(O9:O39)</f>
        <v>15120</v>
      </c>
      <c r="P40" s="496">
        <f>SUM(P9:P39)</f>
        <v>15244</v>
      </c>
      <c r="Q40" s="389">
        <f>SUM(Q9:Q39)</f>
        <v>9000</v>
      </c>
      <c r="R40" s="496">
        <f>SUM(R9:R39)</f>
        <v>9069</v>
      </c>
    </row>
    <row r="41" spans="1:21" s="374" customFormat="1" ht="12" customHeight="1">
      <c r="A41" s="370" t="s">
        <v>15</v>
      </c>
      <c r="B41" s="371"/>
      <c r="C41" s="372"/>
      <c r="D41" s="388">
        <f>D8+D40</f>
        <v>81782.341</v>
      </c>
      <c r="E41" s="388">
        <f>E8+E40</f>
        <v>82149</v>
      </c>
      <c r="F41" s="389">
        <f>F8+F40</f>
        <v>24120</v>
      </c>
      <c r="G41" s="496">
        <f>G8+G40</f>
        <v>24313</v>
      </c>
      <c r="H41" s="389"/>
      <c r="I41" s="496"/>
      <c r="J41" s="389">
        <f>D41-F41</f>
        <v>57662.341</v>
      </c>
      <c r="K41" s="389">
        <f>E41-G41</f>
        <v>57836</v>
      </c>
      <c r="L41" s="464"/>
      <c r="M41" s="464"/>
      <c r="N41" s="507"/>
      <c r="O41" s="507"/>
      <c r="P41" s="507"/>
      <c r="Q41" s="507"/>
      <c r="R41" s="507"/>
    </row>
    <row r="42" spans="1:21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21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21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21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21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21">
      <c r="D47" s="143"/>
      <c r="E47" s="143"/>
      <c r="F47" s="143"/>
      <c r="G47" s="143"/>
      <c r="H47" s="143"/>
      <c r="I47" s="143"/>
      <c r="J47" s="143"/>
      <c r="K47" s="143"/>
    </row>
    <row r="48" spans="1:21">
      <c r="D48" s="143"/>
      <c r="E48" s="143"/>
      <c r="F48" s="143"/>
      <c r="G48" s="143"/>
      <c r="H48" s="143"/>
      <c r="I48" s="143"/>
      <c r="J48" s="143"/>
      <c r="K48" s="143"/>
    </row>
    <row r="49" spans="12:13" s="143" customFormat="1"/>
    <row r="57" spans="12:13">
      <c r="L57" s="916" t="e">
        <f>F40-#REF!</f>
        <v>#REF!</v>
      </c>
      <c r="M57" s="916" t="e">
        <f>G40-#REF!</f>
        <v>#REF!</v>
      </c>
    </row>
  </sheetData>
  <mergeCells count="14">
    <mergeCell ref="O6:P7"/>
    <mergeCell ref="Q6:R7"/>
    <mergeCell ref="A8:C8"/>
    <mergeCell ref="A3:N3"/>
    <mergeCell ref="A4:B4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40">
    <cfRule type="cellIs" dxfId="12116" priority="586" operator="lessThan">
      <formula>15</formula>
    </cfRule>
    <cfRule type="cellIs" dxfId="12115" priority="587" operator="greaterThan">
      <formula>20</formula>
    </cfRule>
    <cfRule type="cellIs" dxfId="12114" priority="588" operator="between">
      <formula>15</formula>
      <formula>20</formula>
    </cfRule>
    <cfRule type="cellIs" dxfId="12113" priority="589" operator="between">
      <formula>15</formula>
      <formula>20</formula>
    </cfRule>
    <cfRule type="cellIs" dxfId="12112" priority="590" operator="lessThan">
      <formula>15</formula>
    </cfRule>
    <cfRule type="cellIs" dxfId="12111" priority="591" operator="greaterThan">
      <formula>20</formula>
    </cfRule>
    <cfRule type="cellIs" dxfId="12110" priority="592" operator="between">
      <formula>15</formula>
      <formula>21</formula>
    </cfRule>
    <cfRule type="cellIs" dxfId="12109" priority="593" operator="lessThan">
      <formula>15</formula>
    </cfRule>
    <cfRule type="cellIs" dxfId="12108" priority="594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31496062992125984" footer="0.31496062992125984"/>
  <pageSetup paperSize="9" orientation="landscape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57"/>
  <sheetViews>
    <sheetView workbookViewId="0">
      <pane ySplit="8" topLeftCell="A18" activePane="bottomLeft" state="frozen"/>
      <selection pane="bottomLeft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.5703125" style="143" customWidth="1"/>
    <col min="14" max="18" width="6.42578125" style="143" customWidth="1"/>
    <col min="19" max="19" width="11.5703125" style="143" bestFit="1" customWidth="1"/>
    <col min="20" max="20" width="11.28515625" style="143" customWidth="1"/>
    <col min="21" max="16384" width="9.28515625" style="143"/>
  </cols>
  <sheetData>
    <row r="1" spans="1:23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</row>
    <row r="2" spans="1:23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</row>
    <row r="3" spans="1:23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3" s="1116" customFormat="1" ht="18.75" customHeight="1">
      <c r="A4" s="1600" t="s">
        <v>33</v>
      </c>
      <c r="B4" s="1600"/>
      <c r="C4" s="316" t="str">
        <f>J4</f>
        <v>FRIT VO22 - VITTO</v>
      </c>
      <c r="D4" s="383"/>
      <c r="E4" s="383" t="s">
        <v>228</v>
      </c>
      <c r="F4" s="383"/>
      <c r="G4" s="383"/>
      <c r="I4" s="383" t="s">
        <v>120</v>
      </c>
      <c r="J4" s="316" t="s">
        <v>901</v>
      </c>
      <c r="K4" s="319"/>
      <c r="L4" s="319"/>
      <c r="M4" s="319"/>
      <c r="O4" s="1422"/>
      <c r="P4" s="1422"/>
      <c r="Q4" s="1422"/>
      <c r="R4" s="1422"/>
      <c r="S4" s="143"/>
    </row>
    <row r="5" spans="1:23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3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3" s="305" customFormat="1" ht="13.5" customHeight="1">
      <c r="A7" s="1604"/>
      <c r="B7" s="1606"/>
      <c r="C7" s="1606"/>
      <c r="D7" s="296" t="s">
        <v>6</v>
      </c>
      <c r="E7" s="297" t="s">
        <v>25</v>
      </c>
      <c r="F7" s="296" t="s">
        <v>6</v>
      </c>
      <c r="G7" s="297" t="s">
        <v>246</v>
      </c>
      <c r="H7" s="296" t="s">
        <v>6</v>
      </c>
      <c r="I7" s="297" t="str">
        <f>G7</f>
        <v>Quy ẩm</v>
      </c>
      <c r="J7" s="296" t="s">
        <v>6</v>
      </c>
      <c r="K7" s="298" t="str">
        <f>I7</f>
        <v>Quy ẩm</v>
      </c>
      <c r="L7" s="299" t="s">
        <v>6</v>
      </c>
      <c r="M7" s="298" t="str">
        <f>K7</f>
        <v>Quy ẩm</v>
      </c>
      <c r="N7" s="1606"/>
      <c r="O7" s="1595"/>
      <c r="P7" s="1596"/>
      <c r="Q7" s="1595"/>
      <c r="R7" s="1596"/>
      <c r="S7" s="143"/>
    </row>
    <row r="8" spans="1:23" s="305" customFormat="1" ht="12" customHeight="1">
      <c r="A8" s="1597" t="s">
        <v>3</v>
      </c>
      <c r="B8" s="1598"/>
      <c r="C8" s="1599"/>
      <c r="D8" s="387">
        <f>J8</f>
        <v>257.80799999999999</v>
      </c>
      <c r="E8" s="388">
        <f>K8</f>
        <v>262</v>
      </c>
      <c r="F8" s="389"/>
      <c r="G8" s="388"/>
      <c r="H8" s="387"/>
      <c r="I8" s="388"/>
      <c r="J8" s="624">
        <f>K8-K8*N8</f>
        <v>257.80799999999999</v>
      </c>
      <c r="K8" s="324">
        <v>262</v>
      </c>
      <c r="L8" s="462"/>
      <c r="M8" s="463"/>
      <c r="N8" s="366">
        <v>1.6E-2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1800</v>
      </c>
    </row>
    <row r="9" spans="1:23" s="367" customFormat="1" ht="12" customHeight="1">
      <c r="A9" s="364">
        <v>1</v>
      </c>
      <c r="B9" s="365">
        <f>'FRIT HGE91-FHG'!B9</f>
        <v>46235</v>
      </c>
      <c r="C9" s="331" t="s">
        <v>334</v>
      </c>
      <c r="D9" s="502">
        <f t="shared" ref="D9:D19" si="0"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SUM($G$8:G9)/A9</f>
        <v>0</v>
      </c>
      <c r="J9" s="443">
        <f>J8+D9-F9</f>
        <v>257.80799999999999</v>
      </c>
      <c r="K9" s="459">
        <f>K8+E9-G9</f>
        <v>262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0.14322666666666667</v>
      </c>
      <c r="T9" s="305"/>
      <c r="U9" s="305"/>
    </row>
    <row r="10" spans="1:23" s="367" customFormat="1" ht="12" customHeight="1">
      <c r="A10" s="364">
        <v>2</v>
      </c>
      <c r="B10" s="365">
        <f>'FRIT HGE91-FHG'!B10</f>
        <v>46236</v>
      </c>
      <c r="C10" s="331" t="s">
        <v>334</v>
      </c>
      <c r="D10" s="502">
        <f t="shared" si="0"/>
        <v>0</v>
      </c>
      <c r="E10" s="499"/>
      <c r="F10" s="446">
        <f t="shared" ref="F10:G39" si="2">O10+Q10</f>
        <v>0</v>
      </c>
      <c r="G10" s="503">
        <f t="shared" si="2"/>
        <v>0</v>
      </c>
      <c r="H10" s="498">
        <f>SUM($F$9:F10)/A10</f>
        <v>0</v>
      </c>
      <c r="I10" s="499">
        <f>SUM($G$8:G10)/A10</f>
        <v>0</v>
      </c>
      <c r="J10" s="443">
        <f t="shared" ref="J10:K25" si="3">J9+D10-F10</f>
        <v>257.80799999999999</v>
      </c>
      <c r="K10" s="459">
        <f t="shared" si="3"/>
        <v>262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0.14322666666666667</v>
      </c>
      <c r="T10" s="305"/>
      <c r="U10" s="305"/>
    </row>
    <row r="11" spans="1:23" s="367" customFormat="1" ht="12" customHeight="1">
      <c r="A11" s="364">
        <v>3</v>
      </c>
      <c r="B11" s="365">
        <f>'FRIT HGE91-FHG'!B11</f>
        <v>46237</v>
      </c>
      <c r="C11" s="331" t="s">
        <v>334</v>
      </c>
      <c r="D11" s="502">
        <f t="shared" si="0"/>
        <v>0</v>
      </c>
      <c r="E11" s="499"/>
      <c r="F11" s="446">
        <f t="shared" si="2"/>
        <v>0</v>
      </c>
      <c r="G11" s="503">
        <f t="shared" si="2"/>
        <v>0</v>
      </c>
      <c r="H11" s="498">
        <f>SUM($F$9:F11)/A11</f>
        <v>0</v>
      </c>
      <c r="I11" s="499">
        <f>SUM($G$8:G11)/A11</f>
        <v>0</v>
      </c>
      <c r="J11" s="443">
        <f t="shared" si="3"/>
        <v>257.80799999999999</v>
      </c>
      <c r="K11" s="459">
        <f t="shared" si="3"/>
        <v>262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0.14322666666666667</v>
      </c>
      <c r="T11" s="305"/>
      <c r="U11" s="305"/>
    </row>
    <row r="12" spans="1:23" s="367" customFormat="1" ht="12" customHeight="1">
      <c r="A12" s="364">
        <v>4</v>
      </c>
      <c r="B12" s="365">
        <f>'FRIT HGE91-FHG'!B12</f>
        <v>46238</v>
      </c>
      <c r="C12" s="331" t="s">
        <v>334</v>
      </c>
      <c r="D12" s="502">
        <f t="shared" si="0"/>
        <v>0</v>
      </c>
      <c r="E12" s="499"/>
      <c r="F12" s="446">
        <f t="shared" si="2"/>
        <v>0</v>
      </c>
      <c r="G12" s="503">
        <f t="shared" si="2"/>
        <v>0</v>
      </c>
      <c r="H12" s="498">
        <f>SUM($F$9:F12)/A12</f>
        <v>0</v>
      </c>
      <c r="I12" s="499">
        <f>SUM($G$8:G12)/A12</f>
        <v>0</v>
      </c>
      <c r="J12" s="443">
        <f t="shared" si="3"/>
        <v>257.80799999999999</v>
      </c>
      <c r="K12" s="459">
        <f t="shared" si="3"/>
        <v>262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0.14322666666666667</v>
      </c>
      <c r="T12" s="305"/>
      <c r="U12" s="305"/>
    </row>
    <row r="13" spans="1:23" s="367" customFormat="1" ht="12" customHeight="1">
      <c r="A13" s="504">
        <v>5</v>
      </c>
      <c r="B13" s="365">
        <f>'FRIT HGE91-FHG'!B13</f>
        <v>46239</v>
      </c>
      <c r="C13" s="331" t="s">
        <v>334</v>
      </c>
      <c r="D13" s="502">
        <f t="shared" si="0"/>
        <v>0</v>
      </c>
      <c r="E13" s="499"/>
      <c r="F13" s="446">
        <f t="shared" si="2"/>
        <v>0</v>
      </c>
      <c r="G13" s="503">
        <f t="shared" si="2"/>
        <v>0</v>
      </c>
      <c r="H13" s="709">
        <f>SUM($F$9:F13)/A13</f>
        <v>0</v>
      </c>
      <c r="I13" s="499">
        <f>SUM($G$8:G13)/A13</f>
        <v>0</v>
      </c>
      <c r="J13" s="504">
        <f t="shared" si="3"/>
        <v>257.80799999999999</v>
      </c>
      <c r="K13" s="459">
        <f t="shared" si="3"/>
        <v>262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0.14322666666666667</v>
      </c>
      <c r="T13" s="305"/>
      <c r="U13" s="305"/>
    </row>
    <row r="14" spans="1:23" s="367" customFormat="1" ht="12" customHeight="1">
      <c r="A14" s="364">
        <v>6</v>
      </c>
      <c r="B14" s="365">
        <f>'FRIT HGE91-FHG'!B14</f>
        <v>46240</v>
      </c>
      <c r="C14" s="331" t="s">
        <v>334</v>
      </c>
      <c r="D14" s="502">
        <f t="shared" si="0"/>
        <v>0</v>
      </c>
      <c r="E14" s="499"/>
      <c r="F14" s="446">
        <f t="shared" si="2"/>
        <v>0</v>
      </c>
      <c r="G14" s="503">
        <f t="shared" si="2"/>
        <v>0</v>
      </c>
      <c r="H14" s="498">
        <f>SUM($F$9:F14)/A14</f>
        <v>0</v>
      </c>
      <c r="I14" s="499">
        <f>SUM($G$8:G14)/A14</f>
        <v>0</v>
      </c>
      <c r="J14" s="443">
        <f t="shared" si="3"/>
        <v>257.80799999999999</v>
      </c>
      <c r="K14" s="459">
        <f t="shared" si="3"/>
        <v>262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0.14322666666666667</v>
      </c>
      <c r="T14" s="305"/>
      <c r="U14" s="305"/>
    </row>
    <row r="15" spans="1:23" s="367" customFormat="1" ht="12" customHeight="1">
      <c r="A15" s="364">
        <v>7</v>
      </c>
      <c r="B15" s="365">
        <f>'FRIT HGE91-FHG'!B15</f>
        <v>46241</v>
      </c>
      <c r="C15" s="331" t="s">
        <v>334</v>
      </c>
      <c r="D15" s="921">
        <f t="shared" si="0"/>
        <v>0</v>
      </c>
      <c r="E15" s="499"/>
      <c r="F15" s="446">
        <f t="shared" si="2"/>
        <v>0</v>
      </c>
      <c r="G15" s="503">
        <f t="shared" si="2"/>
        <v>0</v>
      </c>
      <c r="H15" s="498">
        <f>SUM($F$9:F15)/A15</f>
        <v>0</v>
      </c>
      <c r="I15" s="499">
        <f>SUM($G$8:G15)/A15</f>
        <v>0</v>
      </c>
      <c r="J15" s="443">
        <f t="shared" si="3"/>
        <v>257.80799999999999</v>
      </c>
      <c r="K15" s="459">
        <f t="shared" si="3"/>
        <v>262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0.14322666666666667</v>
      </c>
      <c r="T15" s="305"/>
      <c r="U15" s="305"/>
    </row>
    <row r="16" spans="1:23" s="367" customFormat="1" ht="12" customHeight="1">
      <c r="A16" s="364">
        <v>8</v>
      </c>
      <c r="B16" s="365">
        <f>'FRIT HGE91-FHG'!B16</f>
        <v>46242</v>
      </c>
      <c r="C16" s="331" t="s">
        <v>346</v>
      </c>
      <c r="D16" s="502">
        <f t="shared" si="0"/>
        <v>0</v>
      </c>
      <c r="E16" s="499"/>
      <c r="F16" s="446">
        <f t="shared" si="2"/>
        <v>0</v>
      </c>
      <c r="G16" s="503">
        <f t="shared" si="2"/>
        <v>0</v>
      </c>
      <c r="H16" s="498">
        <f>SUM($F$9:F16)/A16</f>
        <v>0</v>
      </c>
      <c r="I16" s="499">
        <f>SUM($G$8:G16)/A16</f>
        <v>0</v>
      </c>
      <c r="J16" s="443">
        <f t="shared" si="3"/>
        <v>257.80799999999999</v>
      </c>
      <c r="K16" s="459">
        <f t="shared" si="3"/>
        <v>262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0.14322666666666667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31" t="s">
        <v>334</v>
      </c>
      <c r="D17" s="921">
        <f t="shared" si="0"/>
        <v>0</v>
      </c>
      <c r="E17" s="499"/>
      <c r="F17" s="446">
        <f t="shared" si="2"/>
        <v>0</v>
      </c>
      <c r="G17" s="503">
        <f t="shared" si="2"/>
        <v>0</v>
      </c>
      <c r="H17" s="498">
        <f>SUM($F$9:F17)/A17</f>
        <v>0</v>
      </c>
      <c r="I17" s="499">
        <f>SUM($G$8:G17)/A17</f>
        <v>0</v>
      </c>
      <c r="J17" s="443">
        <f t="shared" si="3"/>
        <v>257.80799999999999</v>
      </c>
      <c r="K17" s="459">
        <f t="shared" si="3"/>
        <v>262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0.14322666666666667</v>
      </c>
      <c r="T17" s="305"/>
      <c r="U17" s="305"/>
    </row>
    <row r="18" spans="1:21" s="367" customFormat="1" ht="12" customHeight="1">
      <c r="A18" s="504">
        <v>10</v>
      </c>
      <c r="B18" s="365">
        <f>'FRIT HGE91-FHG'!B18</f>
        <v>46244</v>
      </c>
      <c r="C18" s="331" t="s">
        <v>334</v>
      </c>
      <c r="D18" s="502">
        <f t="shared" si="0"/>
        <v>0</v>
      </c>
      <c r="E18" s="499"/>
      <c r="F18" s="446">
        <f t="shared" si="2"/>
        <v>0</v>
      </c>
      <c r="G18" s="503">
        <f t="shared" si="2"/>
        <v>0</v>
      </c>
      <c r="H18" s="709">
        <f>SUM($F$9:F18)/A18</f>
        <v>0</v>
      </c>
      <c r="I18" s="499">
        <f>SUM($G$8:G18)/A18</f>
        <v>0</v>
      </c>
      <c r="J18" s="504">
        <f t="shared" si="3"/>
        <v>257.80799999999999</v>
      </c>
      <c r="K18" s="459">
        <f t="shared" si="3"/>
        <v>262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0.14322666666666667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31" t="s">
        <v>334</v>
      </c>
      <c r="D19" s="502">
        <f t="shared" si="0"/>
        <v>0</v>
      </c>
      <c r="E19" s="499"/>
      <c r="F19" s="446">
        <f t="shared" si="2"/>
        <v>0</v>
      </c>
      <c r="G19" s="503">
        <f t="shared" si="2"/>
        <v>0</v>
      </c>
      <c r="H19" s="498">
        <f>SUM($F$9:F19)/A19</f>
        <v>0</v>
      </c>
      <c r="I19" s="499">
        <f>SUM($G$8:G19)/A19</f>
        <v>0</v>
      </c>
      <c r="J19" s="443">
        <f t="shared" si="3"/>
        <v>257.80799999999999</v>
      </c>
      <c r="K19" s="459">
        <f t="shared" si="3"/>
        <v>262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0.14322666666666667</v>
      </c>
      <c r="T19" s="305"/>
      <c r="U19" s="305"/>
    </row>
    <row r="20" spans="1:21" s="367" customFormat="1" ht="12" customHeight="1">
      <c r="A20" s="364">
        <v>12</v>
      </c>
      <c r="B20" s="365">
        <f>'FRIT HGE91-FHG'!B20</f>
        <v>46246</v>
      </c>
      <c r="C20" s="331" t="s">
        <v>346</v>
      </c>
      <c r="D20" s="502">
        <f>E20-E20*N20</f>
        <v>0</v>
      </c>
      <c r="E20" s="499"/>
      <c r="F20" s="446">
        <f t="shared" si="2"/>
        <v>0</v>
      </c>
      <c r="G20" s="503">
        <f t="shared" si="2"/>
        <v>0</v>
      </c>
      <c r="H20" s="498">
        <f>SUM($F$9:F20)/A20</f>
        <v>0</v>
      </c>
      <c r="I20" s="499">
        <f>SUM($G$8:G20)/A20</f>
        <v>0</v>
      </c>
      <c r="J20" s="443">
        <f t="shared" si="3"/>
        <v>257.80799999999999</v>
      </c>
      <c r="K20" s="459">
        <f t="shared" si="3"/>
        <v>262</v>
      </c>
      <c r="L20" s="495" t="e">
        <f>J20/H20</f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0.14322666666666667</v>
      </c>
      <c r="T20" s="305"/>
      <c r="U20" s="305"/>
    </row>
    <row r="21" spans="1:21" s="367" customFormat="1" ht="12" customHeight="1">
      <c r="A21" s="364">
        <v>13</v>
      </c>
      <c r="B21" s="365">
        <f>'FRIT HGE91-FHG'!B21</f>
        <v>46247</v>
      </c>
      <c r="C21" s="331" t="s">
        <v>334</v>
      </c>
      <c r="D21" s="502">
        <f t="shared" ref="D21:D39" si="5">E21-E21*N21</f>
        <v>0</v>
      </c>
      <c r="E21" s="499"/>
      <c r="F21" s="446">
        <f t="shared" si="2"/>
        <v>0</v>
      </c>
      <c r="G21" s="503">
        <f t="shared" si="2"/>
        <v>0</v>
      </c>
      <c r="H21" s="498">
        <f>SUM($F$9:F21)/A21</f>
        <v>0</v>
      </c>
      <c r="I21" s="499">
        <f>SUM($G$8:G21)/A21</f>
        <v>0</v>
      </c>
      <c r="J21" s="443">
        <f t="shared" si="3"/>
        <v>257.80799999999999</v>
      </c>
      <c r="K21" s="459">
        <f t="shared" si="3"/>
        <v>262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0.14322666666666667</v>
      </c>
      <c r="T21" s="305"/>
      <c r="U21" s="305"/>
    </row>
    <row r="22" spans="1:21" s="367" customFormat="1" ht="12" customHeight="1">
      <c r="A22" s="364">
        <v>14</v>
      </c>
      <c r="B22" s="365">
        <f>'FRIT HGE91-FHG'!B22</f>
        <v>46248</v>
      </c>
      <c r="C22" s="331" t="s">
        <v>334</v>
      </c>
      <c r="D22" s="502">
        <f t="shared" si="5"/>
        <v>0</v>
      </c>
      <c r="E22" s="499"/>
      <c r="F22" s="446">
        <f t="shared" si="2"/>
        <v>0</v>
      </c>
      <c r="G22" s="503">
        <f t="shared" si="2"/>
        <v>0</v>
      </c>
      <c r="H22" s="498">
        <f>SUM($F$9:F22)/A22</f>
        <v>0</v>
      </c>
      <c r="I22" s="499">
        <f>SUM($G$8:G22)/A22</f>
        <v>0</v>
      </c>
      <c r="J22" s="443">
        <f t="shared" si="3"/>
        <v>257.80799999999999</v>
      </c>
      <c r="K22" s="459">
        <f t="shared" si="3"/>
        <v>262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0.14322666666666667</v>
      </c>
      <c r="T22" s="305"/>
      <c r="U22" s="305"/>
    </row>
    <row r="23" spans="1:21" s="367" customFormat="1" ht="12" customHeight="1">
      <c r="A23" s="504">
        <v>15</v>
      </c>
      <c r="B23" s="365">
        <f>'FRIT HGE91-FHG'!B23</f>
        <v>46249</v>
      </c>
      <c r="C23" s="331" t="s">
        <v>334</v>
      </c>
      <c r="D23" s="502">
        <f t="shared" si="5"/>
        <v>0</v>
      </c>
      <c r="E23" s="499"/>
      <c r="F23" s="446">
        <f t="shared" si="2"/>
        <v>0</v>
      </c>
      <c r="G23" s="503">
        <f t="shared" si="2"/>
        <v>0</v>
      </c>
      <c r="H23" s="709">
        <f>SUM($F$9:F23)/A23</f>
        <v>0</v>
      </c>
      <c r="I23" s="499">
        <f>SUM($G$8:G23)/A23</f>
        <v>0</v>
      </c>
      <c r="J23" s="504">
        <f t="shared" si="3"/>
        <v>257.80799999999999</v>
      </c>
      <c r="K23" s="459">
        <f t="shared" si="3"/>
        <v>262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0.14322666666666667</v>
      </c>
    </row>
    <row r="24" spans="1:21" s="367" customFormat="1" ht="12" customHeight="1">
      <c r="A24" s="364">
        <v>16</v>
      </c>
      <c r="B24" s="365">
        <f>'FRIT HGE91-FHG'!B24</f>
        <v>46250</v>
      </c>
      <c r="C24" s="331" t="s">
        <v>334</v>
      </c>
      <c r="D24" s="502">
        <f t="shared" ref="D24:D25" si="6">E24-E24*N24</f>
        <v>0</v>
      </c>
      <c r="E24" s="499"/>
      <c r="F24" s="446">
        <f t="shared" si="2"/>
        <v>0</v>
      </c>
      <c r="G24" s="503">
        <f t="shared" si="2"/>
        <v>0</v>
      </c>
      <c r="H24" s="498">
        <f>SUM($F$9:F24)/A24</f>
        <v>0</v>
      </c>
      <c r="I24" s="499">
        <f>SUM($G$8:G24)/A24</f>
        <v>0</v>
      </c>
      <c r="J24" s="443">
        <f t="shared" si="3"/>
        <v>257.80799999999999</v>
      </c>
      <c r="K24" s="459">
        <f t="shared" si="3"/>
        <v>262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0.14322666666666667</v>
      </c>
    </row>
    <row r="25" spans="1:21" s="367" customFormat="1" ht="12" customHeight="1">
      <c r="A25" s="364">
        <v>17</v>
      </c>
      <c r="B25" s="365">
        <f>'FRIT HGE91-FHG'!B25</f>
        <v>46251</v>
      </c>
      <c r="C25" s="331" t="s">
        <v>346</v>
      </c>
      <c r="D25" s="502">
        <f t="shared" si="6"/>
        <v>0</v>
      </c>
      <c r="E25" s="499"/>
      <c r="F25" s="446">
        <f t="shared" si="2"/>
        <v>0</v>
      </c>
      <c r="G25" s="503">
        <f t="shared" si="2"/>
        <v>0</v>
      </c>
      <c r="H25" s="498">
        <f>SUM($F$9:F25)/A25</f>
        <v>0</v>
      </c>
      <c r="I25" s="499">
        <f>SUM($G$8:G25)/A25</f>
        <v>0</v>
      </c>
      <c r="J25" s="443">
        <f t="shared" si="3"/>
        <v>257.80799999999999</v>
      </c>
      <c r="K25" s="459">
        <f t="shared" si="3"/>
        <v>262</v>
      </c>
      <c r="L25" s="495" t="e">
        <f>J25/H25</f>
        <v>#DIV/0!</v>
      </c>
      <c r="M25" s="464" t="e">
        <f>K25/I25</f>
        <v>#DIV/0!</v>
      </c>
      <c r="N25" s="366"/>
      <c r="O25" s="446"/>
      <c r="P25" s="446"/>
      <c r="Q25" s="446"/>
      <c r="R25" s="446"/>
      <c r="S25" s="647">
        <f t="shared" si="4"/>
        <v>0.14322666666666667</v>
      </c>
    </row>
    <row r="26" spans="1:21" s="367" customFormat="1" ht="12" customHeight="1">
      <c r="A26" s="364">
        <v>18</v>
      </c>
      <c r="B26" s="365">
        <f>'FRIT HGE91-FHG'!B26</f>
        <v>46252</v>
      </c>
      <c r="C26" s="331" t="s">
        <v>346</v>
      </c>
      <c r="D26" s="502">
        <f t="shared" si="5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0</v>
      </c>
      <c r="I26" s="499">
        <f>SUM($G$8:G26)/A26</f>
        <v>0</v>
      </c>
      <c r="J26" s="443">
        <f t="shared" ref="J26:K39" si="7">J25+D26-F26</f>
        <v>257.80799999999999</v>
      </c>
      <c r="K26" s="459">
        <f t="shared" si="7"/>
        <v>262</v>
      </c>
      <c r="L26" s="495" t="e">
        <f>J26/H26</f>
        <v>#DIV/0!</v>
      </c>
      <c r="M26" s="464" t="e">
        <f>K26/I26</f>
        <v>#DIV/0!</v>
      </c>
      <c r="N26" s="366"/>
      <c r="O26" s="446"/>
      <c r="P26" s="446"/>
      <c r="Q26" s="446"/>
      <c r="R26" s="446"/>
      <c r="S26" s="647">
        <f t="shared" si="4"/>
        <v>0.14322666666666667</v>
      </c>
    </row>
    <row r="27" spans="1:21" s="367" customFormat="1" ht="12" customHeight="1">
      <c r="A27" s="364">
        <v>19</v>
      </c>
      <c r="B27" s="365">
        <f>'FRIT HGE91-FHG'!B27</f>
        <v>46253</v>
      </c>
      <c r="C27" s="331" t="s">
        <v>334</v>
      </c>
      <c r="D27" s="502">
        <f t="shared" si="5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0</v>
      </c>
      <c r="I27" s="499">
        <f>SUM($G$8:G27)/A27</f>
        <v>0</v>
      </c>
      <c r="J27" s="443">
        <f t="shared" si="7"/>
        <v>257.80799999999999</v>
      </c>
      <c r="K27" s="459">
        <f t="shared" si="7"/>
        <v>262</v>
      </c>
      <c r="L27" s="495" t="e">
        <f t="shared" ref="L27:M39" si="8">J27/H27</f>
        <v>#DIV/0!</v>
      </c>
      <c r="M27" s="464" t="e">
        <f t="shared" si="8"/>
        <v>#DIV/0!</v>
      </c>
      <c r="N27" s="366"/>
      <c r="O27" s="446"/>
      <c r="P27" s="446"/>
      <c r="Q27" s="446"/>
      <c r="R27" s="446"/>
      <c r="S27" s="647">
        <f t="shared" si="4"/>
        <v>0.14322666666666667</v>
      </c>
    </row>
    <row r="28" spans="1:21" s="367" customFormat="1" ht="12" customHeight="1">
      <c r="A28" s="504">
        <v>20</v>
      </c>
      <c r="B28" s="365">
        <f>'FRIT HGE91-FHG'!B28</f>
        <v>46254</v>
      </c>
      <c r="C28" s="331" t="s">
        <v>334</v>
      </c>
      <c r="D28" s="502">
        <f t="shared" si="5"/>
        <v>0</v>
      </c>
      <c r="E28" s="499"/>
      <c r="F28" s="446">
        <f t="shared" si="2"/>
        <v>0</v>
      </c>
      <c r="G28" s="503">
        <f t="shared" si="2"/>
        <v>0</v>
      </c>
      <c r="H28" s="709">
        <f>SUM($F$9:F28)/A28</f>
        <v>0</v>
      </c>
      <c r="I28" s="499">
        <f>SUM($G$8:G28)/A28</f>
        <v>0</v>
      </c>
      <c r="J28" s="504">
        <f t="shared" si="7"/>
        <v>257.80799999999999</v>
      </c>
      <c r="K28" s="459">
        <f t="shared" si="7"/>
        <v>262</v>
      </c>
      <c r="L28" s="505" t="e">
        <f t="shared" si="8"/>
        <v>#DIV/0!</v>
      </c>
      <c r="M28" s="464" t="e">
        <f t="shared" si="8"/>
        <v>#DIV/0!</v>
      </c>
      <c r="N28" s="366"/>
      <c r="O28" s="446"/>
      <c r="P28" s="446"/>
      <c r="Q28" s="446"/>
      <c r="R28" s="446"/>
      <c r="S28" s="647">
        <f t="shared" si="4"/>
        <v>0.14322666666666667</v>
      </c>
    </row>
    <row r="29" spans="1:21" s="367" customFormat="1" ht="12" customHeight="1">
      <c r="A29" s="364">
        <v>21</v>
      </c>
      <c r="B29" s="365">
        <f>'FRIT HGE91-FHG'!B29</f>
        <v>46255</v>
      </c>
      <c r="C29" s="331" t="s">
        <v>334</v>
      </c>
      <c r="D29" s="502">
        <f t="shared" si="5"/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0</v>
      </c>
      <c r="I29" s="499">
        <f>SUM($G$8:G29)/A29</f>
        <v>0</v>
      </c>
      <c r="J29" s="443">
        <f>J28+D29-F29</f>
        <v>257.80799999999999</v>
      </c>
      <c r="K29" s="459">
        <f t="shared" si="7"/>
        <v>262</v>
      </c>
      <c r="L29" s="495" t="e">
        <f t="shared" si="8"/>
        <v>#DIV/0!</v>
      </c>
      <c r="M29" s="464" t="e">
        <f t="shared" si="8"/>
        <v>#DIV/0!</v>
      </c>
      <c r="N29" s="366"/>
      <c r="O29" s="446"/>
      <c r="P29" s="446"/>
      <c r="Q29" s="446"/>
      <c r="R29" s="446"/>
      <c r="S29" s="647">
        <f t="shared" si="4"/>
        <v>0.14322666666666667</v>
      </c>
    </row>
    <row r="30" spans="1:21" s="367" customFormat="1" ht="12" customHeight="1">
      <c r="A30" s="364">
        <v>22</v>
      </c>
      <c r="B30" s="365">
        <f>'FRIT HGE91-FHG'!B30</f>
        <v>46256</v>
      </c>
      <c r="C30" s="331" t="s">
        <v>334</v>
      </c>
      <c r="D30" s="502">
        <f t="shared" si="5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0</v>
      </c>
      <c r="I30" s="499">
        <f>SUM($G$8:G30)/A30</f>
        <v>0</v>
      </c>
      <c r="J30" s="443">
        <f t="shared" si="7"/>
        <v>257.80799999999999</v>
      </c>
      <c r="K30" s="459">
        <f t="shared" si="7"/>
        <v>262</v>
      </c>
      <c r="L30" s="495" t="e">
        <f t="shared" si="8"/>
        <v>#DIV/0!</v>
      </c>
      <c r="M30" s="464" t="e">
        <f t="shared" si="8"/>
        <v>#DIV/0!</v>
      </c>
      <c r="N30" s="366"/>
      <c r="O30" s="446"/>
      <c r="P30" s="446"/>
      <c r="Q30" s="446"/>
      <c r="R30" s="446"/>
      <c r="S30" s="647">
        <f t="shared" si="4"/>
        <v>0.14322666666666667</v>
      </c>
    </row>
    <row r="31" spans="1:21" s="367" customFormat="1" ht="12" customHeight="1">
      <c r="A31" s="364">
        <v>23</v>
      </c>
      <c r="B31" s="365">
        <f>'FRIT HGE91-FHG'!B31</f>
        <v>46257</v>
      </c>
      <c r="C31" s="331" t="s">
        <v>334</v>
      </c>
      <c r="D31" s="921">
        <f t="shared" si="5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0</v>
      </c>
      <c r="I31" s="499">
        <f>SUM($G$8:G31)/A31</f>
        <v>0</v>
      </c>
      <c r="J31" s="443">
        <f t="shared" si="7"/>
        <v>257.80799999999999</v>
      </c>
      <c r="K31" s="459">
        <f t="shared" si="7"/>
        <v>262</v>
      </c>
      <c r="L31" s="495" t="e">
        <f t="shared" si="8"/>
        <v>#DIV/0!</v>
      </c>
      <c r="M31" s="464" t="e">
        <f t="shared" si="8"/>
        <v>#DIV/0!</v>
      </c>
      <c r="N31" s="366"/>
      <c r="O31" s="446"/>
      <c r="P31" s="446"/>
      <c r="Q31" s="446"/>
      <c r="R31" s="446"/>
      <c r="S31" s="647">
        <f t="shared" si="4"/>
        <v>0.14322666666666667</v>
      </c>
    </row>
    <row r="32" spans="1:21" s="367" customFormat="1" ht="12" customHeight="1">
      <c r="A32" s="364">
        <v>24</v>
      </c>
      <c r="B32" s="365">
        <f>'FRIT HGE91-FHG'!B32</f>
        <v>46258</v>
      </c>
      <c r="C32" s="331" t="s">
        <v>334</v>
      </c>
      <c r="D32" s="502">
        <f t="shared" si="5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0</v>
      </c>
      <c r="I32" s="499">
        <f>SUM($G$8:G32)/A32</f>
        <v>0</v>
      </c>
      <c r="J32" s="443">
        <f t="shared" si="7"/>
        <v>257.80799999999999</v>
      </c>
      <c r="K32" s="459">
        <f t="shared" si="7"/>
        <v>262</v>
      </c>
      <c r="L32" s="495" t="e">
        <f t="shared" si="8"/>
        <v>#DIV/0!</v>
      </c>
      <c r="M32" s="464" t="e">
        <f t="shared" si="8"/>
        <v>#DIV/0!</v>
      </c>
      <c r="N32" s="366"/>
      <c r="O32" s="446"/>
      <c r="P32" s="446"/>
      <c r="Q32" s="446"/>
      <c r="R32" s="446"/>
      <c r="S32" s="647">
        <f t="shared" si="4"/>
        <v>0.14322666666666667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346</v>
      </c>
      <c r="D33" s="921">
        <f t="shared" si="5"/>
        <v>0</v>
      </c>
      <c r="E33" s="499"/>
      <c r="F33" s="446">
        <f t="shared" si="2"/>
        <v>0</v>
      </c>
      <c r="G33" s="503">
        <f t="shared" si="2"/>
        <v>0</v>
      </c>
      <c r="H33" s="708">
        <f>SUM($F$9:F33)/A33</f>
        <v>0</v>
      </c>
      <c r="I33" s="499">
        <f>SUM($G$8:G33)/A33</f>
        <v>0</v>
      </c>
      <c r="J33" s="460">
        <f t="shared" si="7"/>
        <v>257.80799999999999</v>
      </c>
      <c r="K33" s="459">
        <f t="shared" si="7"/>
        <v>262</v>
      </c>
      <c r="L33" s="506" t="e">
        <f t="shared" si="8"/>
        <v>#DIV/0!</v>
      </c>
      <c r="M33" s="464" t="e">
        <f t="shared" si="8"/>
        <v>#DIV/0!</v>
      </c>
      <c r="N33" s="366"/>
      <c r="O33" s="446"/>
      <c r="P33" s="446"/>
      <c r="Q33" s="446"/>
      <c r="R33" s="446"/>
      <c r="S33" s="647">
        <f t="shared" si="4"/>
        <v>0.14322666666666667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334</v>
      </c>
      <c r="D34" s="502">
        <f t="shared" si="5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0</v>
      </c>
      <c r="I34" s="499">
        <f>SUM($G$8:G34)/A34</f>
        <v>0</v>
      </c>
      <c r="J34" s="443">
        <f t="shared" si="7"/>
        <v>257.80799999999999</v>
      </c>
      <c r="K34" s="459">
        <f t="shared" si="7"/>
        <v>262</v>
      </c>
      <c r="L34" s="495" t="e">
        <f t="shared" si="8"/>
        <v>#DIV/0!</v>
      </c>
      <c r="M34" s="464" t="e">
        <f t="shared" si="8"/>
        <v>#DIV/0!</v>
      </c>
      <c r="N34" s="366"/>
      <c r="O34" s="446"/>
      <c r="P34" s="446"/>
      <c r="Q34" s="446"/>
      <c r="R34" s="446"/>
      <c r="S34" s="647">
        <f t="shared" si="4"/>
        <v>0.14322666666666667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334</v>
      </c>
      <c r="D35" s="502">
        <f t="shared" si="5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0</v>
      </c>
      <c r="I35" s="499">
        <f>SUM($G$8:G35)/A35</f>
        <v>0</v>
      </c>
      <c r="J35" s="443">
        <f t="shared" si="7"/>
        <v>257.80799999999999</v>
      </c>
      <c r="K35" s="459">
        <f t="shared" si="7"/>
        <v>262</v>
      </c>
      <c r="L35" s="495" t="e">
        <f t="shared" si="8"/>
        <v>#DIV/0!</v>
      </c>
      <c r="M35" s="464" t="e">
        <f t="shared" si="8"/>
        <v>#DIV/0!</v>
      </c>
      <c r="N35" s="366"/>
      <c r="O35" s="446"/>
      <c r="P35" s="446"/>
      <c r="Q35" s="446"/>
      <c r="R35" s="446"/>
      <c r="S35" s="647">
        <f t="shared" si="4"/>
        <v>0.14322666666666667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334</v>
      </c>
      <c r="D36" s="502">
        <f t="shared" si="5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0</v>
      </c>
      <c r="I36" s="499">
        <f>SUM($G$8:G36)/A36</f>
        <v>0</v>
      </c>
      <c r="J36" s="443">
        <f t="shared" si="7"/>
        <v>257.80799999999999</v>
      </c>
      <c r="K36" s="459">
        <f t="shared" si="7"/>
        <v>262</v>
      </c>
      <c r="L36" s="495" t="e">
        <f t="shared" si="8"/>
        <v>#DIV/0!</v>
      </c>
      <c r="M36" s="464" t="e">
        <f t="shared" si="8"/>
        <v>#DIV/0!</v>
      </c>
      <c r="N36" s="366"/>
      <c r="O36" s="446"/>
      <c r="P36" s="446"/>
      <c r="Q36" s="446"/>
      <c r="R36" s="446"/>
      <c r="S36" s="647">
        <f t="shared" si="4"/>
        <v>0.14322666666666667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334</v>
      </c>
      <c r="D37" s="502">
        <f t="shared" si="5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0</v>
      </c>
      <c r="I37" s="499">
        <f>SUM($G$8:G37)/A37</f>
        <v>0</v>
      </c>
      <c r="J37" s="443">
        <f t="shared" si="7"/>
        <v>257.80799999999999</v>
      </c>
      <c r="K37" s="459">
        <f t="shared" si="7"/>
        <v>262</v>
      </c>
      <c r="L37" s="495" t="e">
        <f t="shared" si="8"/>
        <v>#DIV/0!</v>
      </c>
      <c r="M37" s="464" t="e">
        <f t="shared" si="8"/>
        <v>#DIV/0!</v>
      </c>
      <c r="N37" s="366"/>
      <c r="O37" s="446"/>
      <c r="P37" s="446"/>
      <c r="Q37" s="446"/>
      <c r="R37" s="446"/>
      <c r="S37" s="647">
        <f t="shared" si="4"/>
        <v>0.14322666666666667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334</v>
      </c>
      <c r="D38" s="502">
        <f t="shared" si="5"/>
        <v>0</v>
      </c>
      <c r="E38" s="499"/>
      <c r="F38" s="446">
        <f t="shared" si="2"/>
        <v>0</v>
      </c>
      <c r="G38" s="503">
        <f t="shared" si="2"/>
        <v>0</v>
      </c>
      <c r="H38" s="709">
        <f>SUM($F$9:F38)/A38</f>
        <v>0</v>
      </c>
      <c r="I38" s="499">
        <f>SUM($G$8:G38)/A38</f>
        <v>0</v>
      </c>
      <c r="J38" s="504">
        <f t="shared" si="7"/>
        <v>257.80799999999999</v>
      </c>
      <c r="K38" s="459">
        <f t="shared" si="7"/>
        <v>262</v>
      </c>
      <c r="L38" s="505" t="e">
        <f t="shared" si="8"/>
        <v>#DIV/0!</v>
      </c>
      <c r="M38" s="464" t="e">
        <f t="shared" si="8"/>
        <v>#DIV/0!</v>
      </c>
      <c r="N38" s="366"/>
      <c r="O38" s="446"/>
      <c r="P38" s="446"/>
      <c r="Q38" s="446"/>
      <c r="R38" s="446"/>
      <c r="S38" s="647">
        <f t="shared" si="4"/>
        <v>0.14322666666666667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334</v>
      </c>
      <c r="D39" s="502">
        <f t="shared" si="5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0</v>
      </c>
      <c r="I39" s="499">
        <f>SUM($G$8:G39)/A39</f>
        <v>0</v>
      </c>
      <c r="J39" s="443">
        <f t="shared" si="7"/>
        <v>257.80799999999999</v>
      </c>
      <c r="K39" s="459">
        <f t="shared" si="7"/>
        <v>262</v>
      </c>
      <c r="L39" s="495" t="e">
        <f t="shared" si="8"/>
        <v>#DIV/0!</v>
      </c>
      <c r="M39" s="464" t="e">
        <f t="shared" si="8"/>
        <v>#DIV/0!</v>
      </c>
      <c r="N39" s="366"/>
      <c r="O39" s="446"/>
      <c r="P39" s="446"/>
      <c r="Q39" s="446"/>
      <c r="R39" s="446"/>
      <c r="S39" s="647">
        <f t="shared" si="4"/>
        <v>0.14322666666666667</v>
      </c>
    </row>
    <row r="40" spans="1:19" s="374" customFormat="1" ht="12" customHeight="1">
      <c r="A40" s="1117" t="s">
        <v>29</v>
      </c>
      <c r="B40" s="1118"/>
      <c r="C40" s="1119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257.80799999999999</v>
      </c>
      <c r="K40" s="461">
        <f>K39</f>
        <v>262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1117" t="s">
        <v>15</v>
      </c>
      <c r="B41" s="1118"/>
      <c r="C41" s="1119"/>
      <c r="D41" s="388">
        <f>D8+D40</f>
        <v>257.80799999999999</v>
      </c>
      <c r="E41" s="388">
        <f>E8+E40</f>
        <v>262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257.80799999999999</v>
      </c>
      <c r="K41" s="389">
        <f>E41-G41</f>
        <v>262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pans="12:13" s="143" customFormat="1"/>
    <row r="57" spans="12:13">
      <c r="L57" s="916" t="e">
        <f>F40-#REF!</f>
        <v>#REF!</v>
      </c>
      <c r="M57" s="916" t="e">
        <f>G40-#REF!</f>
        <v>#REF!</v>
      </c>
    </row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40">
    <cfRule type="cellIs" dxfId="12107" priority="1" operator="lessThan">
      <formula>15</formula>
    </cfRule>
    <cfRule type="cellIs" dxfId="12106" priority="2" operator="greaterThan">
      <formula>20</formula>
    </cfRule>
    <cfRule type="cellIs" dxfId="12105" priority="3" operator="between">
      <formula>15</formula>
      <formula>20</formula>
    </cfRule>
    <cfRule type="cellIs" dxfId="12104" priority="4" operator="between">
      <formula>15</formula>
      <formula>20</formula>
    </cfRule>
    <cfRule type="cellIs" dxfId="12103" priority="5" operator="lessThan">
      <formula>15</formula>
    </cfRule>
    <cfRule type="cellIs" dxfId="12102" priority="6" operator="greaterThan">
      <formula>20</formula>
    </cfRule>
    <cfRule type="cellIs" dxfId="12101" priority="7" operator="between">
      <formula>15</formula>
      <formula>21</formula>
    </cfRule>
    <cfRule type="cellIs" dxfId="12100" priority="8" operator="lessThan">
      <formula>15</formula>
    </cfRule>
    <cfRule type="cellIs" dxfId="12099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31496062992125984" footer="0.31496062992125984"/>
  <pageSetup paperSize="9" orientation="landscape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49"/>
  <sheetViews>
    <sheetView workbookViewId="0">
      <pane ySplit="8" topLeftCell="A15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0" width="10.28515625" style="142" customWidth="1"/>
    <col min="11" max="11" width="10.5703125" style="142" bestFit="1" customWidth="1"/>
    <col min="12" max="13" width="12.85546875" style="143" customWidth="1"/>
    <col min="14" max="18" width="6.42578125" style="143" customWidth="1"/>
    <col min="19" max="19" width="11.5703125" style="143" bestFit="1" customWidth="1"/>
    <col min="20" max="16384" width="9.28515625" style="143"/>
  </cols>
  <sheetData>
    <row r="1" spans="1:27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</row>
    <row r="2" spans="1:27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</row>
    <row r="3" spans="1:27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7" s="376" customFormat="1" ht="18.75" customHeight="1">
      <c r="A4" s="1600" t="s">
        <v>33</v>
      </c>
      <c r="B4" s="1600"/>
      <c r="C4" s="316" t="str">
        <f>J4</f>
        <v>KAOLINOR 1C-VT</v>
      </c>
      <c r="D4" s="383"/>
      <c r="E4" s="383" t="s">
        <v>228</v>
      </c>
      <c r="F4" s="383" t="s">
        <v>231</v>
      </c>
      <c r="G4" s="383"/>
      <c r="H4" s="383"/>
      <c r="I4" s="383" t="s">
        <v>120</v>
      </c>
      <c r="J4" s="318" t="s">
        <v>182</v>
      </c>
      <c r="K4" s="319"/>
      <c r="L4" s="319"/>
      <c r="M4" s="319"/>
      <c r="O4" s="1422"/>
      <c r="P4" s="1422"/>
      <c r="Q4" s="1422"/>
      <c r="R4" s="1422"/>
      <c r="S4" s="143"/>
      <c r="T4" s="143"/>
    </row>
    <row r="5" spans="1:27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</row>
    <row r="6" spans="1:27" s="305" customFormat="1" ht="15.75" customHeight="1">
      <c r="A6" s="1609" t="s">
        <v>2</v>
      </c>
      <c r="B6" s="1611" t="s">
        <v>1</v>
      </c>
      <c r="C6" s="1611" t="s">
        <v>24</v>
      </c>
      <c r="D6" s="1607" t="s">
        <v>250</v>
      </c>
      <c r="E6" s="1608"/>
      <c r="F6" s="1607" t="s">
        <v>249</v>
      </c>
      <c r="G6" s="1608"/>
      <c r="H6" s="1607" t="s">
        <v>248</v>
      </c>
      <c r="I6" s="1608"/>
      <c r="J6" s="1607" t="s">
        <v>253</v>
      </c>
      <c r="K6" s="1608"/>
      <c r="L6" s="1607" t="s">
        <v>247</v>
      </c>
      <c r="M6" s="1608"/>
      <c r="N6" s="1611" t="s">
        <v>99</v>
      </c>
      <c r="O6" s="1593" t="s">
        <v>341</v>
      </c>
      <c r="P6" s="1594"/>
      <c r="Q6" s="1593" t="s">
        <v>244</v>
      </c>
      <c r="R6" s="1594"/>
      <c r="S6" s="143"/>
      <c r="T6" s="143"/>
    </row>
    <row r="7" spans="1:27" s="305" customFormat="1" ht="13.5" customHeight="1">
      <c r="A7" s="1610"/>
      <c r="B7" s="1612"/>
      <c r="C7" s="1612"/>
      <c r="D7" s="296" t="s">
        <v>6</v>
      </c>
      <c r="E7" s="297" t="s">
        <v>25</v>
      </c>
      <c r="F7" s="296" t="s">
        <v>6</v>
      </c>
      <c r="G7" s="297" t="s">
        <v>246</v>
      </c>
      <c r="H7" s="296" t="s">
        <v>6</v>
      </c>
      <c r="I7" s="297" t="str">
        <f>G7</f>
        <v>Quy ẩm</v>
      </c>
      <c r="J7" s="296" t="s">
        <v>6</v>
      </c>
      <c r="K7" s="298" t="str">
        <f>I7</f>
        <v>Quy ẩm</v>
      </c>
      <c r="L7" s="299" t="s">
        <v>6</v>
      </c>
      <c r="M7" s="298" t="str">
        <f>K7</f>
        <v>Quy ẩm</v>
      </c>
      <c r="N7" s="1612"/>
      <c r="O7" s="1595"/>
      <c r="P7" s="1596"/>
      <c r="Q7" s="1595"/>
      <c r="R7" s="1596"/>
      <c r="S7" s="143"/>
    </row>
    <row r="8" spans="1:27" s="305" customFormat="1" ht="12" customHeight="1">
      <c r="A8" s="1597" t="s">
        <v>3</v>
      </c>
      <c r="B8" s="1598"/>
      <c r="C8" s="1599"/>
      <c r="D8" s="387">
        <f>J8</f>
        <v>25055.64</v>
      </c>
      <c r="E8" s="388">
        <f>K8</f>
        <v>28440</v>
      </c>
      <c r="F8" s="389">
        <f>F40</f>
        <v>0</v>
      </c>
      <c r="G8" s="388">
        <f>G40</f>
        <v>0</v>
      </c>
      <c r="H8" s="387"/>
      <c r="I8" s="388"/>
      <c r="J8" s="624">
        <f>K8-K8*N8</f>
        <v>25055.64</v>
      </c>
      <c r="K8" s="644">
        <v>28440</v>
      </c>
      <c r="L8" s="462"/>
      <c r="M8" s="463"/>
      <c r="N8" s="366">
        <v>0.11899999999999999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901.2</v>
      </c>
    </row>
    <row r="9" spans="1:27" s="367" customFormat="1" ht="12" customHeight="1">
      <c r="A9" s="364">
        <v>1</v>
      </c>
      <c r="B9" s="365">
        <f>'FRIT HGE91-FHG'!B9</f>
        <v>46235</v>
      </c>
      <c r="C9" s="331" t="s">
        <v>334</v>
      </c>
      <c r="D9" s="502">
        <f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25055.64</v>
      </c>
      <c r="K9" s="459">
        <f>K8+E9-G9</f>
        <v>28440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27.80252996005326</v>
      </c>
    </row>
    <row r="10" spans="1:27" s="367" customFormat="1" ht="12" customHeight="1">
      <c r="A10" s="364">
        <v>2</v>
      </c>
      <c r="B10" s="365">
        <f>'FRIT HGE91-FHG'!B10</f>
        <v>46236</v>
      </c>
      <c r="C10" s="331" t="s">
        <v>334</v>
      </c>
      <c r="D10" s="502">
        <f t="shared" ref="D10:D39" si="0">E10-E10*N10</f>
        <v>0</v>
      </c>
      <c r="E10" s="499"/>
      <c r="F10" s="446">
        <f t="shared" ref="F10:G39" si="1">O10+Q10</f>
        <v>0</v>
      </c>
      <c r="G10" s="503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ref="J10:J39" si="2">J9+D10-F10</f>
        <v>25055.64</v>
      </c>
      <c r="K10" s="459">
        <f t="shared" ref="K10:K39" si="3">K9+E10-G10</f>
        <v>28440</v>
      </c>
      <c r="L10" s="495" t="e">
        <f t="shared" ref="L10:L39" si="4">J10/H10</f>
        <v>#DIV/0!</v>
      </c>
      <c r="M10" s="464" t="e">
        <f t="shared" ref="M10:M39" si="5">K10/I10</f>
        <v>#DIV/0!</v>
      </c>
      <c r="N10" s="366"/>
      <c r="O10" s="446"/>
      <c r="P10" s="446"/>
      <c r="Q10" s="446"/>
      <c r="R10" s="446"/>
      <c r="S10" s="647">
        <f t="shared" ref="S10:S39" si="6">J10/$S$8</f>
        <v>27.80252996005326</v>
      </c>
    </row>
    <row r="11" spans="1:27" s="367" customFormat="1" ht="12" customHeight="1">
      <c r="A11" s="364">
        <v>3</v>
      </c>
      <c r="B11" s="365">
        <f>'FRIT HGE91-FHG'!B11</f>
        <v>46237</v>
      </c>
      <c r="C11" s="331" t="s">
        <v>334</v>
      </c>
      <c r="D11" s="502">
        <f t="shared" si="0"/>
        <v>0</v>
      </c>
      <c r="E11" s="499"/>
      <c r="F11" s="446">
        <f t="shared" si="1"/>
        <v>0</v>
      </c>
      <c r="G11" s="503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2"/>
        <v>25055.64</v>
      </c>
      <c r="K11" s="459">
        <f t="shared" si="3"/>
        <v>28440</v>
      </c>
      <c r="L11" s="495" t="e">
        <f t="shared" si="4"/>
        <v>#DIV/0!</v>
      </c>
      <c r="M11" s="464" t="e">
        <f t="shared" si="5"/>
        <v>#DIV/0!</v>
      </c>
      <c r="N11" s="366"/>
      <c r="O11" s="446"/>
      <c r="P11" s="446"/>
      <c r="Q11" s="446"/>
      <c r="R11" s="446"/>
      <c r="S11" s="647">
        <f t="shared" si="6"/>
        <v>27.80252996005326</v>
      </c>
    </row>
    <row r="12" spans="1:27" s="367" customFormat="1" ht="12" customHeight="1">
      <c r="A12" s="364">
        <v>4</v>
      </c>
      <c r="B12" s="365">
        <f>'FRIT HGE91-FHG'!B12</f>
        <v>46238</v>
      </c>
      <c r="C12" s="331" t="s">
        <v>334</v>
      </c>
      <c r="D12" s="502">
        <f t="shared" si="0"/>
        <v>0</v>
      </c>
      <c r="E12" s="499"/>
      <c r="F12" s="446">
        <f t="shared" si="1"/>
        <v>0</v>
      </c>
      <c r="G12" s="503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si="2"/>
        <v>25055.64</v>
      </c>
      <c r="K12" s="459">
        <f t="shared" si="3"/>
        <v>28440</v>
      </c>
      <c r="L12" s="495" t="e">
        <f t="shared" si="4"/>
        <v>#DIV/0!</v>
      </c>
      <c r="M12" s="464" t="e">
        <f t="shared" si="5"/>
        <v>#DIV/0!</v>
      </c>
      <c r="N12" s="366"/>
      <c r="O12" s="446"/>
      <c r="P12" s="446"/>
      <c r="Q12" s="446"/>
      <c r="R12" s="446"/>
      <c r="S12" s="647">
        <f t="shared" si="6"/>
        <v>27.80252996005326</v>
      </c>
    </row>
    <row r="13" spans="1:27" s="367" customFormat="1" ht="12" customHeight="1">
      <c r="A13" s="504">
        <v>5</v>
      </c>
      <c r="B13" s="365">
        <f>'FRIT HGE91-FHG'!B13</f>
        <v>46239</v>
      </c>
      <c r="C13" s="331" t="s">
        <v>334</v>
      </c>
      <c r="D13" s="502">
        <f t="shared" si="0"/>
        <v>0</v>
      </c>
      <c r="E13" s="499"/>
      <c r="F13" s="446">
        <f t="shared" si="1"/>
        <v>0</v>
      </c>
      <c r="G13" s="503">
        <f t="shared" si="1"/>
        <v>0</v>
      </c>
      <c r="H13" s="504">
        <f>SUM($F$9:F13)/A13</f>
        <v>0</v>
      </c>
      <c r="I13" s="499">
        <f>SUM($G$9:G13)/A13</f>
        <v>0</v>
      </c>
      <c r="J13" s="504">
        <f t="shared" si="2"/>
        <v>25055.64</v>
      </c>
      <c r="K13" s="459">
        <f t="shared" si="3"/>
        <v>28440</v>
      </c>
      <c r="L13" s="505" t="e">
        <f t="shared" si="4"/>
        <v>#DIV/0!</v>
      </c>
      <c r="M13" s="464" t="e">
        <f t="shared" si="5"/>
        <v>#DIV/0!</v>
      </c>
      <c r="N13" s="366"/>
      <c r="O13" s="446"/>
      <c r="P13" s="446"/>
      <c r="Q13" s="446"/>
      <c r="R13" s="446"/>
      <c r="S13" s="647">
        <f t="shared" si="6"/>
        <v>27.80252996005326</v>
      </c>
    </row>
    <row r="14" spans="1:27" s="367" customFormat="1" ht="12" customHeight="1">
      <c r="A14" s="364">
        <v>6</v>
      </c>
      <c r="B14" s="365">
        <f>'FRIT HGE91-FHG'!B14</f>
        <v>46240</v>
      </c>
      <c r="C14" s="331" t="s">
        <v>334</v>
      </c>
      <c r="D14" s="502">
        <f t="shared" si="0"/>
        <v>0</v>
      </c>
      <c r="E14" s="499"/>
      <c r="F14" s="446">
        <f t="shared" si="1"/>
        <v>0</v>
      </c>
      <c r="G14" s="503">
        <f t="shared" si="1"/>
        <v>0</v>
      </c>
      <c r="H14" s="498">
        <f>SUM($F$9:F14)/A14</f>
        <v>0</v>
      </c>
      <c r="I14" s="499">
        <f>SUM($G$9:G14)/A14</f>
        <v>0</v>
      </c>
      <c r="J14" s="443">
        <f t="shared" si="2"/>
        <v>25055.64</v>
      </c>
      <c r="K14" s="459">
        <f t="shared" si="3"/>
        <v>28440</v>
      </c>
      <c r="L14" s="495" t="e">
        <f t="shared" si="4"/>
        <v>#DIV/0!</v>
      </c>
      <c r="M14" s="464" t="e">
        <f t="shared" si="5"/>
        <v>#DIV/0!</v>
      </c>
      <c r="N14" s="366"/>
      <c r="O14" s="446"/>
      <c r="P14" s="446"/>
      <c r="Q14" s="446"/>
      <c r="R14" s="446"/>
      <c r="S14" s="647">
        <f t="shared" si="6"/>
        <v>27.80252996005326</v>
      </c>
    </row>
    <row r="15" spans="1:27" s="367" customFormat="1" ht="12" customHeight="1">
      <c r="A15" s="364">
        <v>7</v>
      </c>
      <c r="B15" s="365">
        <f>'FRIT HGE91-FHG'!B15</f>
        <v>46241</v>
      </c>
      <c r="C15" s="331" t="s">
        <v>334</v>
      </c>
      <c r="D15" s="502">
        <f t="shared" si="0"/>
        <v>0</v>
      </c>
      <c r="E15" s="499"/>
      <c r="F15" s="446">
        <f t="shared" si="1"/>
        <v>0</v>
      </c>
      <c r="G15" s="503">
        <f t="shared" si="1"/>
        <v>0</v>
      </c>
      <c r="H15" s="498">
        <f>SUM($F$9:F15)/A15</f>
        <v>0</v>
      </c>
      <c r="I15" s="499">
        <f>SUM($G$9:G15)/A15</f>
        <v>0</v>
      </c>
      <c r="J15" s="443">
        <f t="shared" si="2"/>
        <v>25055.64</v>
      </c>
      <c r="K15" s="459">
        <f t="shared" si="3"/>
        <v>28440</v>
      </c>
      <c r="L15" s="495" t="e">
        <f t="shared" si="4"/>
        <v>#DIV/0!</v>
      </c>
      <c r="M15" s="464" t="e">
        <f t="shared" si="5"/>
        <v>#DIV/0!</v>
      </c>
      <c r="N15" s="366"/>
      <c r="O15" s="446"/>
      <c r="P15" s="446"/>
      <c r="Q15" s="446"/>
      <c r="R15" s="446"/>
      <c r="S15" s="647">
        <f t="shared" si="6"/>
        <v>27.80252996005326</v>
      </c>
    </row>
    <row r="16" spans="1:27" s="367" customFormat="1" ht="12" customHeight="1">
      <c r="A16" s="364">
        <v>8</v>
      </c>
      <c r="B16" s="365">
        <f>'FRIT HGE91-FHG'!B16</f>
        <v>46242</v>
      </c>
      <c r="C16" s="331" t="s">
        <v>334</v>
      </c>
      <c r="D16" s="502">
        <f t="shared" si="0"/>
        <v>0</v>
      </c>
      <c r="E16" s="499"/>
      <c r="F16" s="446">
        <f t="shared" si="1"/>
        <v>0</v>
      </c>
      <c r="G16" s="503">
        <f t="shared" si="1"/>
        <v>0</v>
      </c>
      <c r="H16" s="498">
        <f>SUM($F$9:F16)/A16</f>
        <v>0</v>
      </c>
      <c r="I16" s="499">
        <f>SUM($G$9:G16)/A16</f>
        <v>0</v>
      </c>
      <c r="J16" s="443">
        <f t="shared" si="2"/>
        <v>25055.64</v>
      </c>
      <c r="K16" s="459">
        <f t="shared" si="3"/>
        <v>28440</v>
      </c>
      <c r="L16" s="495" t="e">
        <f t="shared" si="4"/>
        <v>#DIV/0!</v>
      </c>
      <c r="M16" s="464" t="e">
        <f t="shared" si="5"/>
        <v>#DIV/0!</v>
      </c>
      <c r="N16" s="366"/>
      <c r="O16" s="446"/>
      <c r="P16" s="446"/>
      <c r="Q16" s="446"/>
      <c r="R16" s="446"/>
      <c r="S16" s="647">
        <f t="shared" si="6"/>
        <v>27.80252996005326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334</v>
      </c>
      <c r="D17" s="502">
        <f t="shared" si="0"/>
        <v>0</v>
      </c>
      <c r="E17" s="499"/>
      <c r="F17" s="446">
        <f t="shared" si="1"/>
        <v>0</v>
      </c>
      <c r="G17" s="503">
        <f t="shared" si="1"/>
        <v>0</v>
      </c>
      <c r="H17" s="498">
        <f>SUM($F$9:F17)/A17</f>
        <v>0</v>
      </c>
      <c r="I17" s="499">
        <f>SUM($G$9:G17)/A17</f>
        <v>0</v>
      </c>
      <c r="J17" s="443">
        <f t="shared" si="2"/>
        <v>25055.64</v>
      </c>
      <c r="K17" s="459">
        <f t="shared" si="3"/>
        <v>28440</v>
      </c>
      <c r="L17" s="495" t="e">
        <f t="shared" si="4"/>
        <v>#DIV/0!</v>
      </c>
      <c r="M17" s="464" t="e">
        <f t="shared" si="5"/>
        <v>#DIV/0!</v>
      </c>
      <c r="N17" s="366"/>
      <c r="O17" s="446"/>
      <c r="P17" s="446"/>
      <c r="Q17" s="446"/>
      <c r="R17" s="446"/>
      <c r="S17" s="647">
        <f t="shared" si="6"/>
        <v>27.80252996005326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334</v>
      </c>
      <c r="D18" s="502">
        <f t="shared" si="0"/>
        <v>0</v>
      </c>
      <c r="E18" s="499"/>
      <c r="F18" s="446">
        <f t="shared" si="1"/>
        <v>0</v>
      </c>
      <c r="G18" s="503">
        <f t="shared" si="1"/>
        <v>0</v>
      </c>
      <c r="H18" s="504">
        <f>SUM($F$9:F18)/A18</f>
        <v>0</v>
      </c>
      <c r="I18" s="499">
        <f>SUM($G$9:G18)/A18</f>
        <v>0</v>
      </c>
      <c r="J18" s="504">
        <f t="shared" si="2"/>
        <v>25055.64</v>
      </c>
      <c r="K18" s="459">
        <f t="shared" si="3"/>
        <v>28440</v>
      </c>
      <c r="L18" s="505" t="e">
        <f t="shared" si="4"/>
        <v>#DIV/0!</v>
      </c>
      <c r="M18" s="464" t="e">
        <f t="shared" si="5"/>
        <v>#DIV/0!</v>
      </c>
      <c r="N18" s="366"/>
      <c r="O18" s="446"/>
      <c r="P18" s="446"/>
      <c r="Q18" s="446"/>
      <c r="R18" s="446"/>
      <c r="S18" s="647">
        <f t="shared" si="6"/>
        <v>27.80252996005326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334</v>
      </c>
      <c r="D19" s="502">
        <f t="shared" si="0"/>
        <v>0</v>
      </c>
      <c r="E19" s="499"/>
      <c r="F19" s="446">
        <f t="shared" si="1"/>
        <v>0</v>
      </c>
      <c r="G19" s="503">
        <f t="shared" si="1"/>
        <v>0</v>
      </c>
      <c r="H19" s="498">
        <f>SUM($F$9:F19)/A19</f>
        <v>0</v>
      </c>
      <c r="I19" s="499">
        <f>SUM($G$9:G19)/A19</f>
        <v>0</v>
      </c>
      <c r="J19" s="443">
        <f t="shared" si="2"/>
        <v>25055.64</v>
      </c>
      <c r="K19" s="459">
        <f t="shared" si="3"/>
        <v>28440</v>
      </c>
      <c r="L19" s="495" t="e">
        <f t="shared" si="4"/>
        <v>#DIV/0!</v>
      </c>
      <c r="M19" s="464" t="e">
        <f t="shared" si="5"/>
        <v>#DIV/0!</v>
      </c>
      <c r="N19" s="366"/>
      <c r="O19" s="446"/>
      <c r="P19" s="446"/>
      <c r="Q19" s="446"/>
      <c r="R19" s="446"/>
      <c r="S19" s="647">
        <f t="shared" si="6"/>
        <v>27.80252996005326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334</v>
      </c>
      <c r="D20" s="502">
        <f t="shared" si="0"/>
        <v>0</v>
      </c>
      <c r="E20" s="499"/>
      <c r="F20" s="446">
        <f t="shared" si="1"/>
        <v>0</v>
      </c>
      <c r="G20" s="503">
        <f t="shared" si="1"/>
        <v>0</v>
      </c>
      <c r="H20" s="498">
        <f>SUM($F$9:F20)/A20</f>
        <v>0</v>
      </c>
      <c r="I20" s="499">
        <f>SUM($G$9:G20)/A20</f>
        <v>0</v>
      </c>
      <c r="J20" s="443">
        <f t="shared" si="2"/>
        <v>25055.64</v>
      </c>
      <c r="K20" s="459">
        <f t="shared" si="3"/>
        <v>28440</v>
      </c>
      <c r="L20" s="495" t="e">
        <f t="shared" si="4"/>
        <v>#DIV/0!</v>
      </c>
      <c r="M20" s="464" t="e">
        <f t="shared" si="5"/>
        <v>#DIV/0!</v>
      </c>
      <c r="N20" s="366"/>
      <c r="O20" s="446"/>
      <c r="P20" s="446"/>
      <c r="Q20" s="446"/>
      <c r="R20" s="446"/>
      <c r="S20" s="647">
        <f t="shared" si="6"/>
        <v>27.80252996005326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334</v>
      </c>
      <c r="D21" s="502">
        <f t="shared" si="0"/>
        <v>0</v>
      </c>
      <c r="E21" s="499"/>
      <c r="F21" s="446">
        <f t="shared" si="1"/>
        <v>0</v>
      </c>
      <c r="G21" s="503">
        <f t="shared" si="1"/>
        <v>0</v>
      </c>
      <c r="H21" s="498">
        <f>SUM($F$9:F21)/A21</f>
        <v>0</v>
      </c>
      <c r="I21" s="499">
        <f>SUM($G$9:G21)/A21</f>
        <v>0</v>
      </c>
      <c r="J21" s="443">
        <f t="shared" si="2"/>
        <v>25055.64</v>
      </c>
      <c r="K21" s="459">
        <f t="shared" si="3"/>
        <v>28440</v>
      </c>
      <c r="L21" s="495" t="e">
        <f t="shared" si="4"/>
        <v>#DIV/0!</v>
      </c>
      <c r="M21" s="464" t="e">
        <f t="shared" si="5"/>
        <v>#DIV/0!</v>
      </c>
      <c r="N21" s="366"/>
      <c r="O21" s="446"/>
      <c r="P21" s="446"/>
      <c r="Q21" s="446"/>
      <c r="R21" s="446"/>
      <c r="S21" s="647">
        <f t="shared" si="6"/>
        <v>27.80252996005326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334</v>
      </c>
      <c r="D22" s="502">
        <f t="shared" si="0"/>
        <v>0</v>
      </c>
      <c r="E22" s="499"/>
      <c r="F22" s="446">
        <f t="shared" si="1"/>
        <v>0</v>
      </c>
      <c r="G22" s="503">
        <f t="shared" si="1"/>
        <v>0</v>
      </c>
      <c r="H22" s="498">
        <f>SUM($F$9:F22)/A22</f>
        <v>0</v>
      </c>
      <c r="I22" s="499">
        <f>SUM($G$9:G22)/A22</f>
        <v>0</v>
      </c>
      <c r="J22" s="443">
        <f t="shared" si="2"/>
        <v>25055.64</v>
      </c>
      <c r="K22" s="459">
        <f t="shared" si="3"/>
        <v>28440</v>
      </c>
      <c r="L22" s="495" t="e">
        <f t="shared" si="4"/>
        <v>#DIV/0!</v>
      </c>
      <c r="M22" s="464" t="e">
        <f t="shared" si="5"/>
        <v>#DIV/0!</v>
      </c>
      <c r="N22" s="366"/>
      <c r="O22" s="446"/>
      <c r="P22" s="446"/>
      <c r="Q22" s="446"/>
      <c r="R22" s="446"/>
      <c r="S22" s="647">
        <f t="shared" si="6"/>
        <v>27.80252996005326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334</v>
      </c>
      <c r="D23" s="502">
        <f t="shared" si="0"/>
        <v>0</v>
      </c>
      <c r="E23" s="499"/>
      <c r="F23" s="446">
        <f t="shared" si="1"/>
        <v>0</v>
      </c>
      <c r="G23" s="503">
        <f t="shared" si="1"/>
        <v>0</v>
      </c>
      <c r="H23" s="504">
        <f>SUM($F$9:F23)/A23</f>
        <v>0</v>
      </c>
      <c r="I23" s="499">
        <f>SUM($G$9:G23)/A23</f>
        <v>0</v>
      </c>
      <c r="J23" s="504">
        <f t="shared" si="2"/>
        <v>25055.64</v>
      </c>
      <c r="K23" s="459">
        <f t="shared" si="3"/>
        <v>28440</v>
      </c>
      <c r="L23" s="505" t="e">
        <f t="shared" si="4"/>
        <v>#DIV/0!</v>
      </c>
      <c r="M23" s="464" t="e">
        <f t="shared" si="5"/>
        <v>#DIV/0!</v>
      </c>
      <c r="N23" s="366"/>
      <c r="O23" s="446"/>
      <c r="P23" s="446"/>
      <c r="Q23" s="446"/>
      <c r="R23" s="446"/>
      <c r="S23" s="647">
        <f t="shared" si="6"/>
        <v>27.80252996005326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334</v>
      </c>
      <c r="D24" s="502">
        <f t="shared" ref="D24:D25" si="7">E24-E24*N24</f>
        <v>0</v>
      </c>
      <c r="E24" s="499"/>
      <c r="F24" s="446">
        <f t="shared" si="1"/>
        <v>0</v>
      </c>
      <c r="G24" s="503">
        <f t="shared" si="1"/>
        <v>0</v>
      </c>
      <c r="H24" s="498">
        <f>SUM($F$9:F24)/A24</f>
        <v>0</v>
      </c>
      <c r="I24" s="499">
        <f>SUM($G$9:G24)/A24</f>
        <v>0</v>
      </c>
      <c r="J24" s="443">
        <f t="shared" si="2"/>
        <v>25055.64</v>
      </c>
      <c r="K24" s="459">
        <f t="shared" si="3"/>
        <v>28440</v>
      </c>
      <c r="L24" s="495" t="e">
        <f t="shared" si="4"/>
        <v>#DIV/0!</v>
      </c>
      <c r="M24" s="464" t="e">
        <f t="shared" si="5"/>
        <v>#DIV/0!</v>
      </c>
      <c r="N24" s="366"/>
      <c r="O24" s="446"/>
      <c r="P24" s="446"/>
      <c r="Q24" s="446"/>
      <c r="R24" s="446"/>
      <c r="S24" s="647">
        <f t="shared" si="6"/>
        <v>27.80252996005326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334</v>
      </c>
      <c r="D25" s="502">
        <f t="shared" si="7"/>
        <v>0</v>
      </c>
      <c r="E25" s="499"/>
      <c r="F25" s="446">
        <f t="shared" si="1"/>
        <v>0</v>
      </c>
      <c r="G25" s="503">
        <f t="shared" si="1"/>
        <v>0</v>
      </c>
      <c r="H25" s="498">
        <f>SUM($F$9:F25)/A25</f>
        <v>0</v>
      </c>
      <c r="I25" s="499">
        <f>SUM($G$9:G25)/A25</f>
        <v>0</v>
      </c>
      <c r="J25" s="443">
        <f t="shared" si="2"/>
        <v>25055.64</v>
      </c>
      <c r="K25" s="459">
        <f t="shared" si="3"/>
        <v>28440</v>
      </c>
      <c r="L25" s="495" t="e">
        <f t="shared" si="4"/>
        <v>#DIV/0!</v>
      </c>
      <c r="M25" s="464" t="e">
        <f t="shared" si="5"/>
        <v>#DIV/0!</v>
      </c>
      <c r="N25" s="366"/>
      <c r="O25" s="446"/>
      <c r="P25" s="446"/>
      <c r="Q25" s="446"/>
      <c r="R25" s="446"/>
      <c r="S25" s="647">
        <f t="shared" si="6"/>
        <v>27.80252996005326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334</v>
      </c>
      <c r="D26" s="502">
        <f t="shared" si="0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0</v>
      </c>
      <c r="I26" s="499">
        <f>SUM($G$9:G26)/A26</f>
        <v>0</v>
      </c>
      <c r="J26" s="443">
        <f t="shared" si="2"/>
        <v>25055.64</v>
      </c>
      <c r="K26" s="459">
        <f t="shared" si="3"/>
        <v>28440</v>
      </c>
      <c r="L26" s="495" t="e">
        <f t="shared" si="4"/>
        <v>#DIV/0!</v>
      </c>
      <c r="M26" s="464" t="e">
        <f t="shared" si="5"/>
        <v>#DIV/0!</v>
      </c>
      <c r="N26" s="366"/>
      <c r="O26" s="446"/>
      <c r="P26" s="446"/>
      <c r="Q26" s="446"/>
      <c r="R26" s="446"/>
      <c r="S26" s="647">
        <f t="shared" si="6"/>
        <v>27.80252996005326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334</v>
      </c>
      <c r="D27" s="502">
        <f t="shared" si="0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0</v>
      </c>
      <c r="I27" s="499">
        <f>SUM($G$9:G27)/A27</f>
        <v>0</v>
      </c>
      <c r="J27" s="443">
        <f t="shared" si="2"/>
        <v>25055.64</v>
      </c>
      <c r="K27" s="459">
        <f t="shared" si="3"/>
        <v>28440</v>
      </c>
      <c r="L27" s="495" t="e">
        <f t="shared" si="4"/>
        <v>#DIV/0!</v>
      </c>
      <c r="M27" s="464" t="e">
        <f t="shared" si="5"/>
        <v>#DIV/0!</v>
      </c>
      <c r="N27" s="366"/>
      <c r="O27" s="446"/>
      <c r="P27" s="446"/>
      <c r="Q27" s="446"/>
      <c r="R27" s="446"/>
      <c r="S27" s="647">
        <f t="shared" si="6"/>
        <v>27.80252996005326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334</v>
      </c>
      <c r="D28" s="502">
        <f t="shared" si="0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0</v>
      </c>
      <c r="I28" s="499">
        <f>SUM($G$9:G28)/A28</f>
        <v>0</v>
      </c>
      <c r="J28" s="504">
        <f t="shared" si="2"/>
        <v>25055.64</v>
      </c>
      <c r="K28" s="459">
        <f t="shared" si="3"/>
        <v>28440</v>
      </c>
      <c r="L28" s="505" t="e">
        <f t="shared" si="4"/>
        <v>#DIV/0!</v>
      </c>
      <c r="M28" s="464" t="e">
        <f t="shared" si="5"/>
        <v>#DIV/0!</v>
      </c>
      <c r="N28" s="366"/>
      <c r="O28" s="446"/>
      <c r="P28" s="446"/>
      <c r="Q28" s="446"/>
      <c r="R28" s="446"/>
      <c r="S28" s="647">
        <f t="shared" si="6"/>
        <v>27.80252996005326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334</v>
      </c>
      <c r="D29" s="502">
        <f t="shared" si="0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0</v>
      </c>
      <c r="I29" s="499">
        <f>SUM($G$9:G29)/A29</f>
        <v>0</v>
      </c>
      <c r="J29" s="443">
        <f t="shared" si="2"/>
        <v>25055.64</v>
      </c>
      <c r="K29" s="459">
        <f t="shared" si="3"/>
        <v>28440</v>
      </c>
      <c r="L29" s="495" t="e">
        <f t="shared" si="4"/>
        <v>#DIV/0!</v>
      </c>
      <c r="M29" s="464" t="e">
        <f t="shared" si="5"/>
        <v>#DIV/0!</v>
      </c>
      <c r="N29" s="366"/>
      <c r="O29" s="446"/>
      <c r="P29" s="446"/>
      <c r="Q29" s="446"/>
      <c r="R29" s="446"/>
      <c r="S29" s="647">
        <f t="shared" si="6"/>
        <v>27.80252996005326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334</v>
      </c>
      <c r="D30" s="502">
        <f t="shared" si="0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0</v>
      </c>
      <c r="I30" s="499">
        <f>SUM($G$9:G30)/A30</f>
        <v>0</v>
      </c>
      <c r="J30" s="443">
        <f t="shared" si="2"/>
        <v>25055.64</v>
      </c>
      <c r="K30" s="459">
        <f t="shared" si="3"/>
        <v>28440</v>
      </c>
      <c r="L30" s="495" t="e">
        <f t="shared" si="4"/>
        <v>#DIV/0!</v>
      </c>
      <c r="M30" s="464" t="e">
        <f t="shared" si="5"/>
        <v>#DIV/0!</v>
      </c>
      <c r="N30" s="366"/>
      <c r="O30" s="446"/>
      <c r="P30" s="446"/>
      <c r="Q30" s="446"/>
      <c r="R30" s="446"/>
      <c r="S30" s="647">
        <f t="shared" si="6"/>
        <v>27.80252996005326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334</v>
      </c>
      <c r="D31" s="502">
        <f t="shared" si="0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0</v>
      </c>
      <c r="I31" s="499">
        <f>SUM($G$9:G31)/A31</f>
        <v>0</v>
      </c>
      <c r="J31" s="443">
        <f t="shared" si="2"/>
        <v>25055.64</v>
      </c>
      <c r="K31" s="459">
        <f t="shared" si="3"/>
        <v>28440</v>
      </c>
      <c r="L31" s="495" t="e">
        <f t="shared" si="4"/>
        <v>#DIV/0!</v>
      </c>
      <c r="M31" s="464" t="e">
        <f t="shared" si="5"/>
        <v>#DIV/0!</v>
      </c>
      <c r="N31" s="366"/>
      <c r="O31" s="446"/>
      <c r="P31" s="446"/>
      <c r="Q31" s="446"/>
      <c r="R31" s="446"/>
      <c r="S31" s="647">
        <f t="shared" si="6"/>
        <v>27.80252996005326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334</v>
      </c>
      <c r="D32" s="502">
        <f t="shared" si="0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0</v>
      </c>
      <c r="I32" s="499">
        <f>SUM($G$9:G32)/A32</f>
        <v>0</v>
      </c>
      <c r="J32" s="443">
        <f t="shared" si="2"/>
        <v>25055.64</v>
      </c>
      <c r="K32" s="459">
        <f t="shared" si="3"/>
        <v>28440</v>
      </c>
      <c r="L32" s="495" t="e">
        <f t="shared" si="4"/>
        <v>#DIV/0!</v>
      </c>
      <c r="M32" s="464" t="e">
        <f t="shared" si="5"/>
        <v>#DIV/0!</v>
      </c>
      <c r="N32" s="366"/>
      <c r="O32" s="446"/>
      <c r="P32" s="446"/>
      <c r="Q32" s="446"/>
      <c r="R32" s="446"/>
      <c r="S32" s="647">
        <f t="shared" si="6"/>
        <v>27.80252996005326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334</v>
      </c>
      <c r="D33" s="502">
        <f t="shared" si="0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0</v>
      </c>
      <c r="I33" s="499">
        <f>SUM($G$9:G33)/A33</f>
        <v>0</v>
      </c>
      <c r="J33" s="460">
        <f t="shared" si="2"/>
        <v>25055.64</v>
      </c>
      <c r="K33" s="459">
        <f t="shared" si="3"/>
        <v>28440</v>
      </c>
      <c r="L33" s="506" t="e">
        <f t="shared" si="4"/>
        <v>#DIV/0!</v>
      </c>
      <c r="M33" s="464" t="e">
        <f t="shared" si="5"/>
        <v>#DIV/0!</v>
      </c>
      <c r="N33" s="366"/>
      <c r="O33" s="446"/>
      <c r="P33" s="446"/>
      <c r="Q33" s="446"/>
      <c r="R33" s="446"/>
      <c r="S33" s="647">
        <f t="shared" si="6"/>
        <v>27.80252996005326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334</v>
      </c>
      <c r="D34" s="502">
        <f t="shared" si="0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0</v>
      </c>
      <c r="I34" s="499">
        <f>SUM($G$9:G34)/A34</f>
        <v>0</v>
      </c>
      <c r="J34" s="443">
        <f t="shared" si="2"/>
        <v>25055.64</v>
      </c>
      <c r="K34" s="459">
        <f t="shared" si="3"/>
        <v>28440</v>
      </c>
      <c r="L34" s="495" t="e">
        <f t="shared" si="4"/>
        <v>#DIV/0!</v>
      </c>
      <c r="M34" s="464" t="e">
        <f t="shared" si="5"/>
        <v>#DIV/0!</v>
      </c>
      <c r="N34" s="366"/>
      <c r="O34" s="446"/>
      <c r="P34" s="446"/>
      <c r="Q34" s="446"/>
      <c r="R34" s="446"/>
      <c r="S34" s="647">
        <f t="shared" si="6"/>
        <v>27.80252996005326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334</v>
      </c>
      <c r="D35" s="502">
        <f t="shared" si="0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0</v>
      </c>
      <c r="I35" s="499">
        <f>SUM($G$9:G35)/A35</f>
        <v>0</v>
      </c>
      <c r="J35" s="443">
        <f t="shared" si="2"/>
        <v>25055.64</v>
      </c>
      <c r="K35" s="459">
        <f t="shared" si="3"/>
        <v>28440</v>
      </c>
      <c r="L35" s="495" t="e">
        <f t="shared" si="4"/>
        <v>#DIV/0!</v>
      </c>
      <c r="M35" s="464" t="e">
        <f t="shared" si="5"/>
        <v>#DIV/0!</v>
      </c>
      <c r="N35" s="366"/>
      <c r="O35" s="446"/>
      <c r="P35" s="446"/>
      <c r="Q35" s="446"/>
      <c r="R35" s="446"/>
      <c r="S35" s="647">
        <f t="shared" si="6"/>
        <v>27.80252996005326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334</v>
      </c>
      <c r="D36" s="502">
        <f t="shared" si="0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0</v>
      </c>
      <c r="I36" s="499">
        <f>SUM($G$9:G36)/A36</f>
        <v>0</v>
      </c>
      <c r="J36" s="443">
        <f t="shared" si="2"/>
        <v>25055.64</v>
      </c>
      <c r="K36" s="459">
        <f t="shared" si="3"/>
        <v>28440</v>
      </c>
      <c r="L36" s="495" t="e">
        <f t="shared" si="4"/>
        <v>#DIV/0!</v>
      </c>
      <c r="M36" s="464" t="e">
        <f t="shared" si="5"/>
        <v>#DIV/0!</v>
      </c>
      <c r="N36" s="366"/>
      <c r="O36" s="446"/>
      <c r="P36" s="446"/>
      <c r="Q36" s="446"/>
      <c r="R36" s="446"/>
      <c r="S36" s="647">
        <f t="shared" si="6"/>
        <v>27.80252996005326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334</v>
      </c>
      <c r="D37" s="502">
        <f t="shared" si="0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0</v>
      </c>
      <c r="I37" s="499">
        <f>SUM($G$9:G37)/A37</f>
        <v>0</v>
      </c>
      <c r="J37" s="443">
        <f t="shared" si="2"/>
        <v>25055.64</v>
      </c>
      <c r="K37" s="459">
        <f t="shared" si="3"/>
        <v>28440</v>
      </c>
      <c r="L37" s="495" t="e">
        <f t="shared" si="4"/>
        <v>#DIV/0!</v>
      </c>
      <c r="M37" s="464" t="e">
        <f t="shared" si="5"/>
        <v>#DIV/0!</v>
      </c>
      <c r="N37" s="366"/>
      <c r="O37" s="446"/>
      <c r="P37" s="446"/>
      <c r="Q37" s="446"/>
      <c r="R37" s="446"/>
      <c r="S37" s="647">
        <f t="shared" si="6"/>
        <v>27.80252996005326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334</v>
      </c>
      <c r="D38" s="502">
        <f t="shared" si="0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0</v>
      </c>
      <c r="I38" s="499">
        <f>SUM($G$9:G38)/A38</f>
        <v>0</v>
      </c>
      <c r="J38" s="504">
        <f t="shared" si="2"/>
        <v>25055.64</v>
      </c>
      <c r="K38" s="459">
        <f t="shared" si="3"/>
        <v>28440</v>
      </c>
      <c r="L38" s="505" t="e">
        <f t="shared" si="4"/>
        <v>#DIV/0!</v>
      </c>
      <c r="M38" s="464" t="e">
        <f t="shared" si="5"/>
        <v>#DIV/0!</v>
      </c>
      <c r="N38" s="366"/>
      <c r="O38" s="446"/>
      <c r="P38" s="446"/>
      <c r="Q38" s="446"/>
      <c r="R38" s="446"/>
      <c r="S38" s="647">
        <f t="shared" si="6"/>
        <v>27.80252996005326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334</v>
      </c>
      <c r="D39" s="502">
        <f t="shared" si="0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0</v>
      </c>
      <c r="I39" s="499">
        <f>SUM($G$9:G39)/A39</f>
        <v>0</v>
      </c>
      <c r="J39" s="443">
        <f t="shared" si="2"/>
        <v>25055.64</v>
      </c>
      <c r="K39" s="459">
        <f t="shared" si="3"/>
        <v>28440</v>
      </c>
      <c r="L39" s="495" t="e">
        <f t="shared" si="4"/>
        <v>#DIV/0!</v>
      </c>
      <c r="M39" s="464" t="e">
        <f t="shared" si="5"/>
        <v>#DIV/0!</v>
      </c>
      <c r="N39" s="366"/>
      <c r="O39" s="446"/>
      <c r="P39" s="446"/>
      <c r="Q39" s="446"/>
      <c r="R39" s="446"/>
      <c r="S39" s="647">
        <f t="shared" si="6"/>
        <v>27.80252996005326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25055.64</v>
      </c>
      <c r="K40" s="461">
        <f>K39</f>
        <v>28440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25055.64</v>
      </c>
      <c r="E41" s="388">
        <f>E8+E40</f>
        <v>28440</v>
      </c>
      <c r="F41" s="389">
        <f>F40</f>
        <v>0</v>
      </c>
      <c r="G41" s="496">
        <f>G40</f>
        <v>0</v>
      </c>
      <c r="H41" s="389"/>
      <c r="I41" s="496"/>
      <c r="J41" s="389">
        <f>D41-F41</f>
        <v>25055.64</v>
      </c>
      <c r="K41" s="389">
        <f>E41-G41</f>
        <v>28440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2098" priority="469" operator="lessThan">
      <formula>15</formula>
    </cfRule>
    <cfRule type="cellIs" dxfId="12097" priority="470" operator="greaterThan">
      <formula>20</formula>
    </cfRule>
    <cfRule type="cellIs" dxfId="12096" priority="471" operator="between">
      <formula>15</formula>
      <formula>20</formula>
    </cfRule>
    <cfRule type="cellIs" dxfId="12095" priority="472" operator="between">
      <formula>15</formula>
      <formula>20</formula>
    </cfRule>
    <cfRule type="cellIs" dxfId="12094" priority="473" operator="lessThan">
      <formula>15</formula>
    </cfRule>
    <cfRule type="cellIs" dxfId="12093" priority="474" operator="greaterThan">
      <formula>20</formula>
    </cfRule>
    <cfRule type="cellIs" dxfId="12092" priority="475" operator="between">
      <formula>15</formula>
      <formula>21</formula>
    </cfRule>
    <cfRule type="cellIs" dxfId="12091" priority="476" operator="lessThan">
      <formula>15</formula>
    </cfRule>
    <cfRule type="cellIs" dxfId="12090" priority="477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21"/>
  <pageSetup paperSize="8" orientation="landscape" horizontalDpi="4294967292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2" style="142" customWidth="1"/>
    <col min="12" max="13" width="11.85546875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tr">
        <f>J4</f>
        <v>ZIRCON ZS012-LGP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183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621"/>
      <c r="U6" s="621"/>
      <c r="V6" s="621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143"/>
      <c r="U7" s="143"/>
      <c r="V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602">
        <f>F40</f>
        <v>0</v>
      </c>
      <c r="G8" s="603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120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334</v>
      </c>
      <c r="D9" s="502">
        <f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  <c r="T9" s="305"/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334</v>
      </c>
      <c r="D10" s="502">
        <f t="shared" ref="D10:D39" si="0">E10-E10*N10</f>
        <v>0</v>
      </c>
      <c r="E10" s="499"/>
      <c r="F10" s="446">
        <f t="shared" ref="F10:G39" si="1">O10+Q10</f>
        <v>0</v>
      </c>
      <c r="G10" s="503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ref="J10:J39" si="2">J9+D10-F10</f>
        <v>0</v>
      </c>
      <c r="K10" s="459">
        <f t="shared" ref="K10:K39" si="3">K9+E10-G10</f>
        <v>0</v>
      </c>
      <c r="L10" s="495" t="e">
        <f t="shared" ref="L10:L39" si="4">J10/H10</f>
        <v>#DIV/0!</v>
      </c>
      <c r="M10" s="464" t="e">
        <f t="shared" ref="M10:M39" si="5">K10/I10</f>
        <v>#DIV/0!</v>
      </c>
      <c r="N10" s="366"/>
      <c r="O10" s="446"/>
      <c r="P10" s="446"/>
      <c r="Q10" s="446"/>
      <c r="R10" s="446"/>
      <c r="S10" s="647">
        <f t="shared" ref="S10:S39" si="6">J10/$S$8</f>
        <v>0</v>
      </c>
      <c r="T10" s="305"/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334</v>
      </c>
      <c r="D11" s="502">
        <f t="shared" si="0"/>
        <v>0</v>
      </c>
      <c r="E11" s="499"/>
      <c r="F11" s="446">
        <f t="shared" si="1"/>
        <v>0</v>
      </c>
      <c r="G11" s="503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2"/>
        <v>0</v>
      </c>
      <c r="K11" s="459">
        <f t="shared" si="3"/>
        <v>0</v>
      </c>
      <c r="L11" s="495" t="e">
        <f t="shared" si="4"/>
        <v>#DIV/0!</v>
      </c>
      <c r="M11" s="464" t="e">
        <f t="shared" si="5"/>
        <v>#DIV/0!</v>
      </c>
      <c r="N11" s="366"/>
      <c r="O11" s="446"/>
      <c r="P11" s="446"/>
      <c r="Q11" s="446"/>
      <c r="R11" s="446"/>
      <c r="S11" s="647">
        <f t="shared" si="6"/>
        <v>0</v>
      </c>
      <c r="T11" s="305"/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334</v>
      </c>
      <c r="D12" s="502">
        <f t="shared" si="0"/>
        <v>0</v>
      </c>
      <c r="E12" s="499"/>
      <c r="F12" s="446">
        <f t="shared" si="1"/>
        <v>0</v>
      </c>
      <c r="G12" s="503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si="2"/>
        <v>0</v>
      </c>
      <c r="K12" s="459">
        <f t="shared" si="3"/>
        <v>0</v>
      </c>
      <c r="L12" s="495" t="e">
        <f t="shared" si="4"/>
        <v>#DIV/0!</v>
      </c>
      <c r="M12" s="464" t="e">
        <f t="shared" si="5"/>
        <v>#DIV/0!</v>
      </c>
      <c r="N12" s="366"/>
      <c r="O12" s="446"/>
      <c r="P12" s="446"/>
      <c r="Q12" s="446"/>
      <c r="R12" s="446"/>
      <c r="S12" s="647">
        <f t="shared" si="6"/>
        <v>0</v>
      </c>
      <c r="T12" s="305"/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334</v>
      </c>
      <c r="D13" s="502">
        <f t="shared" si="0"/>
        <v>0</v>
      </c>
      <c r="E13" s="499"/>
      <c r="F13" s="446">
        <f t="shared" si="1"/>
        <v>0</v>
      </c>
      <c r="G13" s="503">
        <f t="shared" si="1"/>
        <v>0</v>
      </c>
      <c r="H13" s="504">
        <f>SUM($F$9:F13)/A13</f>
        <v>0</v>
      </c>
      <c r="I13" s="499">
        <f>SUM($G$9:G13)/A13</f>
        <v>0</v>
      </c>
      <c r="J13" s="504">
        <f t="shared" si="2"/>
        <v>0</v>
      </c>
      <c r="K13" s="459">
        <f t="shared" si="3"/>
        <v>0</v>
      </c>
      <c r="L13" s="505" t="e">
        <f t="shared" si="4"/>
        <v>#DIV/0!</v>
      </c>
      <c r="M13" s="464" t="e">
        <f t="shared" si="5"/>
        <v>#DIV/0!</v>
      </c>
      <c r="N13" s="366"/>
      <c r="O13" s="446"/>
      <c r="P13" s="446"/>
      <c r="Q13" s="446"/>
      <c r="R13" s="446"/>
      <c r="S13" s="647">
        <f t="shared" si="6"/>
        <v>0</v>
      </c>
      <c r="T13" s="305"/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334</v>
      </c>
      <c r="D14" s="502">
        <f t="shared" si="0"/>
        <v>0</v>
      </c>
      <c r="E14" s="499"/>
      <c r="F14" s="446">
        <f t="shared" si="1"/>
        <v>0</v>
      </c>
      <c r="G14" s="503">
        <f t="shared" si="1"/>
        <v>0</v>
      </c>
      <c r="H14" s="498">
        <f>SUM($F$9:F14)/A14</f>
        <v>0</v>
      </c>
      <c r="I14" s="499">
        <f>SUM($G$9:G14)/A14</f>
        <v>0</v>
      </c>
      <c r="J14" s="443">
        <f t="shared" si="2"/>
        <v>0</v>
      </c>
      <c r="K14" s="459">
        <f t="shared" si="3"/>
        <v>0</v>
      </c>
      <c r="L14" s="495" t="e">
        <f t="shared" si="4"/>
        <v>#DIV/0!</v>
      </c>
      <c r="M14" s="464" t="e">
        <f t="shared" si="5"/>
        <v>#DIV/0!</v>
      </c>
      <c r="N14" s="366"/>
      <c r="O14" s="446"/>
      <c r="P14" s="446"/>
      <c r="Q14" s="446"/>
      <c r="R14" s="446"/>
      <c r="S14" s="647">
        <f t="shared" si="6"/>
        <v>0</v>
      </c>
      <c r="T14" s="305"/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334</v>
      </c>
      <c r="D15" s="502">
        <f t="shared" si="0"/>
        <v>0</v>
      </c>
      <c r="E15" s="499"/>
      <c r="F15" s="446">
        <f t="shared" si="1"/>
        <v>0</v>
      </c>
      <c r="G15" s="503">
        <f t="shared" si="1"/>
        <v>0</v>
      </c>
      <c r="H15" s="498">
        <f>SUM($F$9:F15)/A15</f>
        <v>0</v>
      </c>
      <c r="I15" s="499">
        <f>SUM($G$9:G15)/A15</f>
        <v>0</v>
      </c>
      <c r="J15" s="443">
        <f t="shared" si="2"/>
        <v>0</v>
      </c>
      <c r="K15" s="459">
        <f t="shared" si="3"/>
        <v>0</v>
      </c>
      <c r="L15" s="495" t="e">
        <f t="shared" si="4"/>
        <v>#DIV/0!</v>
      </c>
      <c r="M15" s="464" t="e">
        <f t="shared" si="5"/>
        <v>#DIV/0!</v>
      </c>
      <c r="N15" s="366"/>
      <c r="O15" s="446"/>
      <c r="P15" s="446"/>
      <c r="Q15" s="446"/>
      <c r="R15" s="446"/>
      <c r="S15" s="647">
        <f t="shared" si="6"/>
        <v>0</v>
      </c>
      <c r="T15" s="305"/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334</v>
      </c>
      <c r="D16" s="502">
        <f t="shared" si="0"/>
        <v>0</v>
      </c>
      <c r="E16" s="499"/>
      <c r="F16" s="446">
        <f t="shared" si="1"/>
        <v>0</v>
      </c>
      <c r="G16" s="503">
        <f t="shared" si="1"/>
        <v>0</v>
      </c>
      <c r="H16" s="498">
        <f>SUM($F$9:F16)/A16</f>
        <v>0</v>
      </c>
      <c r="I16" s="499">
        <f>SUM($G$9:G16)/A16</f>
        <v>0</v>
      </c>
      <c r="J16" s="443">
        <f t="shared" si="2"/>
        <v>0</v>
      </c>
      <c r="K16" s="459">
        <f t="shared" si="3"/>
        <v>0</v>
      </c>
      <c r="L16" s="495" t="e">
        <f t="shared" si="4"/>
        <v>#DIV/0!</v>
      </c>
      <c r="M16" s="464" t="e">
        <f t="shared" si="5"/>
        <v>#DIV/0!</v>
      </c>
      <c r="N16" s="366"/>
      <c r="O16" s="446"/>
      <c r="P16" s="446"/>
      <c r="Q16" s="446"/>
      <c r="R16" s="446"/>
      <c r="S16" s="647">
        <f t="shared" si="6"/>
        <v>0</v>
      </c>
      <c r="T16" s="305"/>
    </row>
    <row r="17" spans="1:20" s="367" customFormat="1" ht="12" customHeight="1">
      <c r="A17" s="364">
        <v>9</v>
      </c>
      <c r="B17" s="365">
        <f>'FRIT HGE91-FHG'!B17</f>
        <v>46243</v>
      </c>
      <c r="C17" s="331" t="s">
        <v>334</v>
      </c>
      <c r="D17" s="502">
        <f t="shared" si="0"/>
        <v>0</v>
      </c>
      <c r="E17" s="499"/>
      <c r="F17" s="446">
        <f t="shared" si="1"/>
        <v>0</v>
      </c>
      <c r="G17" s="503">
        <f t="shared" si="1"/>
        <v>0</v>
      </c>
      <c r="H17" s="498">
        <f>SUM($F$9:F17)/A17</f>
        <v>0</v>
      </c>
      <c r="I17" s="499">
        <f>SUM($G$9:G17)/A17</f>
        <v>0</v>
      </c>
      <c r="J17" s="443">
        <f t="shared" si="2"/>
        <v>0</v>
      </c>
      <c r="K17" s="459">
        <f t="shared" si="3"/>
        <v>0</v>
      </c>
      <c r="L17" s="495" t="e">
        <f t="shared" si="4"/>
        <v>#DIV/0!</v>
      </c>
      <c r="M17" s="464" t="e">
        <f t="shared" si="5"/>
        <v>#DIV/0!</v>
      </c>
      <c r="N17" s="366"/>
      <c r="O17" s="446"/>
      <c r="P17" s="446"/>
      <c r="Q17" s="446"/>
      <c r="R17" s="446"/>
      <c r="S17" s="647">
        <f t="shared" si="6"/>
        <v>0</v>
      </c>
      <c r="T17" s="305"/>
    </row>
    <row r="18" spans="1:20" s="367" customFormat="1" ht="12" customHeight="1">
      <c r="A18" s="504">
        <v>10</v>
      </c>
      <c r="B18" s="365">
        <f>'FRIT HGE91-FHG'!B18</f>
        <v>46244</v>
      </c>
      <c r="C18" s="331" t="s">
        <v>334</v>
      </c>
      <c r="D18" s="502">
        <f t="shared" si="0"/>
        <v>0</v>
      </c>
      <c r="E18" s="499"/>
      <c r="F18" s="446">
        <f t="shared" si="1"/>
        <v>0</v>
      </c>
      <c r="G18" s="503">
        <f t="shared" si="1"/>
        <v>0</v>
      </c>
      <c r="H18" s="504">
        <f>SUM($F$9:F18)/A18</f>
        <v>0</v>
      </c>
      <c r="I18" s="499">
        <f>SUM($G$9:G18)/A18</f>
        <v>0</v>
      </c>
      <c r="J18" s="504">
        <f t="shared" si="2"/>
        <v>0</v>
      </c>
      <c r="K18" s="459">
        <f t="shared" si="3"/>
        <v>0</v>
      </c>
      <c r="L18" s="505" t="e">
        <f t="shared" si="4"/>
        <v>#DIV/0!</v>
      </c>
      <c r="M18" s="464" t="e">
        <f t="shared" si="5"/>
        <v>#DIV/0!</v>
      </c>
      <c r="N18" s="366"/>
      <c r="O18" s="446"/>
      <c r="P18" s="446"/>
      <c r="Q18" s="446"/>
      <c r="R18" s="446"/>
      <c r="S18" s="647">
        <f t="shared" si="6"/>
        <v>0</v>
      </c>
      <c r="T18" s="305"/>
    </row>
    <row r="19" spans="1:20" s="367" customFormat="1" ht="12" customHeight="1">
      <c r="A19" s="364">
        <v>11</v>
      </c>
      <c r="B19" s="365">
        <f>'FRIT HGE91-FHG'!B19</f>
        <v>46245</v>
      </c>
      <c r="C19" s="331" t="s">
        <v>334</v>
      </c>
      <c r="D19" s="502">
        <f t="shared" si="0"/>
        <v>0</v>
      </c>
      <c r="E19" s="499"/>
      <c r="F19" s="446">
        <f t="shared" si="1"/>
        <v>0</v>
      </c>
      <c r="G19" s="503">
        <f t="shared" si="1"/>
        <v>0</v>
      </c>
      <c r="H19" s="498">
        <f>SUM($F$9:F19)/A19</f>
        <v>0</v>
      </c>
      <c r="I19" s="499">
        <f>SUM($G$9:G19)/A19</f>
        <v>0</v>
      </c>
      <c r="J19" s="443">
        <f t="shared" si="2"/>
        <v>0</v>
      </c>
      <c r="K19" s="459">
        <f t="shared" si="3"/>
        <v>0</v>
      </c>
      <c r="L19" s="495" t="e">
        <f t="shared" si="4"/>
        <v>#DIV/0!</v>
      </c>
      <c r="M19" s="464" t="e">
        <f t="shared" si="5"/>
        <v>#DIV/0!</v>
      </c>
      <c r="N19" s="366"/>
      <c r="O19" s="446"/>
      <c r="P19" s="446"/>
      <c r="Q19" s="446"/>
      <c r="R19" s="446"/>
      <c r="S19" s="647">
        <f t="shared" si="6"/>
        <v>0</v>
      </c>
      <c r="T19" s="305"/>
    </row>
    <row r="20" spans="1:20" s="367" customFormat="1" ht="12" customHeight="1">
      <c r="A20" s="364">
        <v>12</v>
      </c>
      <c r="B20" s="365">
        <f>'FRIT HGE91-FHG'!B20</f>
        <v>46246</v>
      </c>
      <c r="C20" s="331" t="s">
        <v>334</v>
      </c>
      <c r="D20" s="502">
        <f t="shared" si="0"/>
        <v>0</v>
      </c>
      <c r="E20" s="499"/>
      <c r="F20" s="446">
        <f t="shared" si="1"/>
        <v>0</v>
      </c>
      <c r="G20" s="503">
        <f t="shared" si="1"/>
        <v>0</v>
      </c>
      <c r="H20" s="498">
        <f>SUM($F$9:F20)/A20</f>
        <v>0</v>
      </c>
      <c r="I20" s="499">
        <f>SUM($G$9:G20)/A20</f>
        <v>0</v>
      </c>
      <c r="J20" s="443">
        <f t="shared" si="2"/>
        <v>0</v>
      </c>
      <c r="K20" s="459">
        <f t="shared" si="3"/>
        <v>0</v>
      </c>
      <c r="L20" s="495" t="e">
        <f t="shared" si="4"/>
        <v>#DIV/0!</v>
      </c>
      <c r="M20" s="464" t="e">
        <f t="shared" si="5"/>
        <v>#DIV/0!</v>
      </c>
      <c r="N20" s="366"/>
      <c r="O20" s="446"/>
      <c r="P20" s="446"/>
      <c r="Q20" s="446"/>
      <c r="R20" s="446"/>
      <c r="S20" s="647">
        <f t="shared" si="6"/>
        <v>0</v>
      </c>
      <c r="T20" s="305"/>
    </row>
    <row r="21" spans="1:20" s="367" customFormat="1" ht="12" customHeight="1">
      <c r="A21" s="364">
        <v>13</v>
      </c>
      <c r="B21" s="365">
        <f>'FRIT HGE91-FHG'!B21</f>
        <v>46247</v>
      </c>
      <c r="C21" s="331" t="s">
        <v>334</v>
      </c>
      <c r="D21" s="502">
        <f t="shared" si="0"/>
        <v>0</v>
      </c>
      <c r="E21" s="499"/>
      <c r="F21" s="446">
        <f t="shared" si="1"/>
        <v>0</v>
      </c>
      <c r="G21" s="503">
        <f t="shared" si="1"/>
        <v>0</v>
      </c>
      <c r="H21" s="498">
        <f>SUM($F$9:F21)/A21</f>
        <v>0</v>
      </c>
      <c r="I21" s="499">
        <f>SUM($G$9:G21)/A21</f>
        <v>0</v>
      </c>
      <c r="J21" s="443">
        <f t="shared" si="2"/>
        <v>0</v>
      </c>
      <c r="K21" s="459">
        <f t="shared" si="3"/>
        <v>0</v>
      </c>
      <c r="L21" s="495" t="e">
        <f t="shared" si="4"/>
        <v>#DIV/0!</v>
      </c>
      <c r="M21" s="464" t="e">
        <f t="shared" si="5"/>
        <v>#DIV/0!</v>
      </c>
      <c r="N21" s="366"/>
      <c r="O21" s="446"/>
      <c r="P21" s="446"/>
      <c r="Q21" s="446"/>
      <c r="R21" s="446"/>
      <c r="S21" s="647">
        <f t="shared" si="6"/>
        <v>0</v>
      </c>
      <c r="T21" s="305"/>
    </row>
    <row r="22" spans="1:20" s="367" customFormat="1" ht="12" customHeight="1">
      <c r="A22" s="364">
        <v>14</v>
      </c>
      <c r="B22" s="365">
        <f>'FRIT HGE91-FHG'!B22</f>
        <v>46248</v>
      </c>
      <c r="C22" s="331" t="s">
        <v>334</v>
      </c>
      <c r="D22" s="502">
        <f t="shared" si="0"/>
        <v>0</v>
      </c>
      <c r="E22" s="499"/>
      <c r="F22" s="446">
        <f t="shared" si="1"/>
        <v>0</v>
      </c>
      <c r="G22" s="503">
        <f t="shared" si="1"/>
        <v>0</v>
      </c>
      <c r="H22" s="498">
        <f>SUM($F$9:F22)/A22</f>
        <v>0</v>
      </c>
      <c r="I22" s="499">
        <f>SUM($G$9:G22)/A22</f>
        <v>0</v>
      </c>
      <c r="J22" s="443">
        <f t="shared" si="2"/>
        <v>0</v>
      </c>
      <c r="K22" s="459">
        <f t="shared" si="3"/>
        <v>0</v>
      </c>
      <c r="L22" s="495" t="e">
        <f t="shared" si="4"/>
        <v>#DIV/0!</v>
      </c>
      <c r="M22" s="464" t="e">
        <f t="shared" si="5"/>
        <v>#DIV/0!</v>
      </c>
      <c r="N22" s="366"/>
      <c r="O22" s="446"/>
      <c r="P22" s="446"/>
      <c r="Q22" s="446"/>
      <c r="R22" s="446"/>
      <c r="S22" s="647">
        <f t="shared" si="6"/>
        <v>0</v>
      </c>
      <c r="T22" s="305"/>
    </row>
    <row r="23" spans="1:20" s="367" customFormat="1" ht="12" customHeight="1">
      <c r="A23" s="504">
        <v>15</v>
      </c>
      <c r="B23" s="365">
        <f>'FRIT HGE91-FHG'!B23</f>
        <v>46249</v>
      </c>
      <c r="C23" s="331" t="s">
        <v>334</v>
      </c>
      <c r="D23" s="502">
        <f t="shared" ref="D23:D25" si="7">E23-E23*N23</f>
        <v>0</v>
      </c>
      <c r="E23" s="499"/>
      <c r="F23" s="446">
        <f t="shared" si="1"/>
        <v>0</v>
      </c>
      <c r="G23" s="503">
        <f t="shared" si="1"/>
        <v>0</v>
      </c>
      <c r="H23" s="504">
        <f>SUM($F$9:F23)/A23</f>
        <v>0</v>
      </c>
      <c r="I23" s="499">
        <f>SUM($G$9:G23)/A23</f>
        <v>0</v>
      </c>
      <c r="J23" s="504">
        <f t="shared" si="2"/>
        <v>0</v>
      </c>
      <c r="K23" s="459">
        <f t="shared" si="3"/>
        <v>0</v>
      </c>
      <c r="L23" s="505" t="e">
        <f t="shared" si="4"/>
        <v>#DIV/0!</v>
      </c>
      <c r="M23" s="464" t="e">
        <f t="shared" si="5"/>
        <v>#DIV/0!</v>
      </c>
      <c r="N23" s="366"/>
      <c r="O23" s="446"/>
      <c r="P23" s="446"/>
      <c r="Q23" s="446"/>
      <c r="R23" s="446"/>
      <c r="S23" s="647">
        <f t="shared" si="6"/>
        <v>0</v>
      </c>
      <c r="T23" s="305"/>
    </row>
    <row r="24" spans="1:20" s="367" customFormat="1" ht="12" customHeight="1">
      <c r="A24" s="364">
        <v>16</v>
      </c>
      <c r="B24" s="365">
        <f>'FRIT HGE91-FHG'!B24</f>
        <v>46250</v>
      </c>
      <c r="C24" s="331" t="s">
        <v>334</v>
      </c>
      <c r="D24" s="502">
        <f t="shared" si="7"/>
        <v>0</v>
      </c>
      <c r="E24" s="499"/>
      <c r="F24" s="446">
        <f t="shared" si="1"/>
        <v>0</v>
      </c>
      <c r="G24" s="503">
        <f t="shared" si="1"/>
        <v>0</v>
      </c>
      <c r="H24" s="498">
        <f>SUM($F$9:F24)/A24</f>
        <v>0</v>
      </c>
      <c r="I24" s="499">
        <f>SUM($G$9:G24)/A24</f>
        <v>0</v>
      </c>
      <c r="J24" s="443">
        <f t="shared" si="2"/>
        <v>0</v>
      </c>
      <c r="K24" s="459">
        <f t="shared" si="3"/>
        <v>0</v>
      </c>
      <c r="L24" s="495" t="e">
        <f t="shared" si="4"/>
        <v>#DIV/0!</v>
      </c>
      <c r="M24" s="464" t="e">
        <f t="shared" si="5"/>
        <v>#DIV/0!</v>
      </c>
      <c r="N24" s="366"/>
      <c r="O24" s="446"/>
      <c r="P24" s="446"/>
      <c r="Q24" s="446"/>
      <c r="R24" s="446"/>
      <c r="S24" s="647">
        <f t="shared" si="6"/>
        <v>0</v>
      </c>
      <c r="T24" s="305"/>
    </row>
    <row r="25" spans="1:20" s="367" customFormat="1" ht="12" customHeight="1">
      <c r="A25" s="364">
        <v>17</v>
      </c>
      <c r="B25" s="365">
        <f>'FRIT HGE91-FHG'!B25</f>
        <v>46251</v>
      </c>
      <c r="C25" s="331" t="s">
        <v>334</v>
      </c>
      <c r="D25" s="502">
        <f t="shared" si="7"/>
        <v>0</v>
      </c>
      <c r="E25" s="499"/>
      <c r="F25" s="446">
        <f t="shared" si="1"/>
        <v>0</v>
      </c>
      <c r="G25" s="503">
        <f t="shared" si="1"/>
        <v>0</v>
      </c>
      <c r="H25" s="498">
        <f>SUM($F$9:F25)/A25</f>
        <v>0</v>
      </c>
      <c r="I25" s="499">
        <f>SUM($G$9:G25)/A25</f>
        <v>0</v>
      </c>
      <c r="J25" s="443">
        <f t="shared" si="2"/>
        <v>0</v>
      </c>
      <c r="K25" s="459">
        <f t="shared" si="3"/>
        <v>0</v>
      </c>
      <c r="L25" s="495" t="e">
        <f t="shared" si="4"/>
        <v>#DIV/0!</v>
      </c>
      <c r="M25" s="464" t="e">
        <f t="shared" si="5"/>
        <v>#DIV/0!</v>
      </c>
      <c r="N25" s="366"/>
      <c r="O25" s="446"/>
      <c r="P25" s="446"/>
      <c r="Q25" s="446"/>
      <c r="R25" s="446"/>
      <c r="S25" s="647">
        <f t="shared" si="6"/>
        <v>0</v>
      </c>
    </row>
    <row r="26" spans="1:20" s="367" customFormat="1" ht="12" customHeight="1">
      <c r="A26" s="364">
        <v>18</v>
      </c>
      <c r="B26" s="365">
        <f>'FRIT HGE91-FHG'!B26</f>
        <v>46252</v>
      </c>
      <c r="C26" s="331" t="s">
        <v>334</v>
      </c>
      <c r="D26" s="502">
        <f t="shared" si="0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0</v>
      </c>
      <c r="I26" s="499">
        <f>SUM($G$9:G26)/A26</f>
        <v>0</v>
      </c>
      <c r="J26" s="443">
        <f t="shared" si="2"/>
        <v>0</v>
      </c>
      <c r="K26" s="459">
        <f t="shared" si="3"/>
        <v>0</v>
      </c>
      <c r="L26" s="495" t="e">
        <f t="shared" si="4"/>
        <v>#DIV/0!</v>
      </c>
      <c r="M26" s="464" t="e">
        <f t="shared" si="5"/>
        <v>#DIV/0!</v>
      </c>
      <c r="N26" s="366"/>
      <c r="O26" s="446"/>
      <c r="P26" s="446"/>
      <c r="Q26" s="446"/>
      <c r="R26" s="446"/>
      <c r="S26" s="647">
        <f t="shared" si="6"/>
        <v>0</v>
      </c>
    </row>
    <row r="27" spans="1:20" s="367" customFormat="1" ht="12" customHeight="1">
      <c r="A27" s="364">
        <v>19</v>
      </c>
      <c r="B27" s="365">
        <f>'FRIT HGE91-FHG'!B27</f>
        <v>46253</v>
      </c>
      <c r="C27" s="331" t="s">
        <v>334</v>
      </c>
      <c r="D27" s="502">
        <f t="shared" si="0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0</v>
      </c>
      <c r="I27" s="499">
        <f>SUM($G$9:G27)/A27</f>
        <v>0</v>
      </c>
      <c r="J27" s="443">
        <f t="shared" si="2"/>
        <v>0</v>
      </c>
      <c r="K27" s="459">
        <f t="shared" si="3"/>
        <v>0</v>
      </c>
      <c r="L27" s="495" t="e">
        <f t="shared" si="4"/>
        <v>#DIV/0!</v>
      </c>
      <c r="M27" s="464" t="e">
        <f t="shared" si="5"/>
        <v>#DIV/0!</v>
      </c>
      <c r="N27" s="366"/>
      <c r="O27" s="446"/>
      <c r="P27" s="446"/>
      <c r="Q27" s="446"/>
      <c r="R27" s="446"/>
      <c r="S27" s="647">
        <f t="shared" si="6"/>
        <v>0</v>
      </c>
    </row>
    <row r="28" spans="1:20" s="367" customFormat="1" ht="12" customHeight="1">
      <c r="A28" s="504">
        <v>20</v>
      </c>
      <c r="B28" s="365">
        <f>'FRIT HGE91-FHG'!B28</f>
        <v>46254</v>
      </c>
      <c r="C28" s="331" t="s">
        <v>334</v>
      </c>
      <c r="D28" s="502">
        <f t="shared" si="0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0</v>
      </c>
      <c r="I28" s="499">
        <f>SUM($G$9:G28)/A28</f>
        <v>0</v>
      </c>
      <c r="J28" s="504">
        <f t="shared" si="2"/>
        <v>0</v>
      </c>
      <c r="K28" s="459">
        <f t="shared" si="3"/>
        <v>0</v>
      </c>
      <c r="L28" s="505" t="e">
        <f t="shared" si="4"/>
        <v>#DIV/0!</v>
      </c>
      <c r="M28" s="464" t="e">
        <f t="shared" si="5"/>
        <v>#DIV/0!</v>
      </c>
      <c r="N28" s="366"/>
      <c r="O28" s="446"/>
      <c r="P28" s="446"/>
      <c r="Q28" s="446"/>
      <c r="R28" s="446"/>
      <c r="S28" s="647">
        <f t="shared" si="6"/>
        <v>0</v>
      </c>
    </row>
    <row r="29" spans="1:20" s="367" customFormat="1" ht="12" customHeight="1">
      <c r="A29" s="364">
        <v>21</v>
      </c>
      <c r="B29" s="365">
        <f>'FRIT HGE91-FHG'!B29</f>
        <v>46255</v>
      </c>
      <c r="C29" s="331" t="s">
        <v>334</v>
      </c>
      <c r="D29" s="502">
        <f t="shared" si="0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0</v>
      </c>
      <c r="I29" s="499">
        <f>SUM($G$9:G29)/A29</f>
        <v>0</v>
      </c>
      <c r="J29" s="443">
        <f t="shared" si="2"/>
        <v>0</v>
      </c>
      <c r="K29" s="459">
        <f t="shared" si="3"/>
        <v>0</v>
      </c>
      <c r="L29" s="495" t="e">
        <f t="shared" si="4"/>
        <v>#DIV/0!</v>
      </c>
      <c r="M29" s="464" t="e">
        <f t="shared" si="5"/>
        <v>#DIV/0!</v>
      </c>
      <c r="N29" s="366"/>
      <c r="O29" s="446"/>
      <c r="P29" s="446"/>
      <c r="Q29" s="446"/>
      <c r="R29" s="446"/>
      <c r="S29" s="647">
        <f t="shared" si="6"/>
        <v>0</v>
      </c>
    </row>
    <row r="30" spans="1:20" s="367" customFormat="1" ht="12" customHeight="1">
      <c r="A30" s="364">
        <v>22</v>
      </c>
      <c r="B30" s="365">
        <f>'FRIT HGE91-FHG'!B30</f>
        <v>46256</v>
      </c>
      <c r="C30" s="331" t="s">
        <v>334</v>
      </c>
      <c r="D30" s="502">
        <f t="shared" si="0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0</v>
      </c>
      <c r="I30" s="499">
        <f>SUM($G$9:G30)/A30</f>
        <v>0</v>
      </c>
      <c r="J30" s="443">
        <f t="shared" si="2"/>
        <v>0</v>
      </c>
      <c r="K30" s="459">
        <f t="shared" si="3"/>
        <v>0</v>
      </c>
      <c r="L30" s="495" t="e">
        <f t="shared" si="4"/>
        <v>#DIV/0!</v>
      </c>
      <c r="M30" s="464" t="e">
        <f t="shared" si="5"/>
        <v>#DIV/0!</v>
      </c>
      <c r="N30" s="366"/>
      <c r="O30" s="446"/>
      <c r="P30" s="446"/>
      <c r="Q30" s="446"/>
      <c r="R30" s="446"/>
      <c r="S30" s="647">
        <f t="shared" si="6"/>
        <v>0</v>
      </c>
    </row>
    <row r="31" spans="1:20" s="367" customFormat="1" ht="12" customHeight="1">
      <c r="A31" s="364">
        <v>23</v>
      </c>
      <c r="B31" s="365">
        <f>'FRIT HGE91-FHG'!B31</f>
        <v>46257</v>
      </c>
      <c r="C31" s="331" t="s">
        <v>334</v>
      </c>
      <c r="D31" s="502">
        <f t="shared" si="0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0</v>
      </c>
      <c r="I31" s="499">
        <f>SUM($G$9:G31)/A31</f>
        <v>0</v>
      </c>
      <c r="J31" s="443">
        <f t="shared" si="2"/>
        <v>0</v>
      </c>
      <c r="K31" s="459">
        <f t="shared" si="3"/>
        <v>0</v>
      </c>
      <c r="L31" s="495" t="e">
        <f t="shared" si="4"/>
        <v>#DIV/0!</v>
      </c>
      <c r="M31" s="464" t="e">
        <f t="shared" si="5"/>
        <v>#DIV/0!</v>
      </c>
      <c r="N31" s="366"/>
      <c r="O31" s="446"/>
      <c r="P31" s="446"/>
      <c r="Q31" s="446"/>
      <c r="R31" s="446"/>
      <c r="S31" s="647">
        <f t="shared" si="6"/>
        <v>0</v>
      </c>
    </row>
    <row r="32" spans="1:20" s="367" customFormat="1" ht="12" customHeight="1">
      <c r="A32" s="364">
        <v>24</v>
      </c>
      <c r="B32" s="365">
        <f>'FRIT HGE91-FHG'!B32</f>
        <v>46258</v>
      </c>
      <c r="C32" s="331" t="s">
        <v>334</v>
      </c>
      <c r="D32" s="502">
        <f t="shared" si="0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0</v>
      </c>
      <c r="I32" s="499">
        <f>SUM($G$9:G32)/A32</f>
        <v>0</v>
      </c>
      <c r="J32" s="443">
        <f t="shared" si="2"/>
        <v>0</v>
      </c>
      <c r="K32" s="459">
        <f t="shared" si="3"/>
        <v>0</v>
      </c>
      <c r="L32" s="495" t="e">
        <f t="shared" si="4"/>
        <v>#DIV/0!</v>
      </c>
      <c r="M32" s="464" t="e">
        <f t="shared" si="5"/>
        <v>#DIV/0!</v>
      </c>
      <c r="N32" s="366"/>
      <c r="O32" s="446"/>
      <c r="P32" s="446"/>
      <c r="Q32" s="446"/>
      <c r="R32" s="446"/>
      <c r="S32" s="647">
        <f t="shared" si="6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334</v>
      </c>
      <c r="D33" s="502">
        <f t="shared" si="0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0</v>
      </c>
      <c r="I33" s="499">
        <f>SUM($G$9:G33)/A33</f>
        <v>0</v>
      </c>
      <c r="J33" s="460">
        <f t="shared" si="2"/>
        <v>0</v>
      </c>
      <c r="K33" s="459">
        <f t="shared" si="3"/>
        <v>0</v>
      </c>
      <c r="L33" s="506" t="e">
        <f t="shared" si="4"/>
        <v>#DIV/0!</v>
      </c>
      <c r="M33" s="464" t="e">
        <f t="shared" si="5"/>
        <v>#DIV/0!</v>
      </c>
      <c r="N33" s="366"/>
      <c r="O33" s="446"/>
      <c r="P33" s="446"/>
      <c r="Q33" s="446"/>
      <c r="R33" s="446"/>
      <c r="S33" s="647">
        <f t="shared" si="6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334</v>
      </c>
      <c r="D34" s="502">
        <f t="shared" si="0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0</v>
      </c>
      <c r="I34" s="499">
        <f>SUM($G$9:G34)/A34</f>
        <v>0</v>
      </c>
      <c r="J34" s="443">
        <f t="shared" si="2"/>
        <v>0</v>
      </c>
      <c r="K34" s="459">
        <f t="shared" si="3"/>
        <v>0</v>
      </c>
      <c r="L34" s="495" t="e">
        <f t="shared" si="4"/>
        <v>#DIV/0!</v>
      </c>
      <c r="M34" s="464" t="e">
        <f t="shared" si="5"/>
        <v>#DIV/0!</v>
      </c>
      <c r="N34" s="366"/>
      <c r="O34" s="446"/>
      <c r="P34" s="446"/>
      <c r="Q34" s="446"/>
      <c r="R34" s="446"/>
      <c r="S34" s="647">
        <f t="shared" si="6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334</v>
      </c>
      <c r="D35" s="502">
        <f t="shared" si="0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0</v>
      </c>
      <c r="I35" s="499">
        <f>SUM($G$9:G35)/A35</f>
        <v>0</v>
      </c>
      <c r="J35" s="443">
        <f t="shared" si="2"/>
        <v>0</v>
      </c>
      <c r="K35" s="459">
        <f t="shared" si="3"/>
        <v>0</v>
      </c>
      <c r="L35" s="495" t="e">
        <f t="shared" si="4"/>
        <v>#DIV/0!</v>
      </c>
      <c r="M35" s="464" t="e">
        <f t="shared" si="5"/>
        <v>#DIV/0!</v>
      </c>
      <c r="N35" s="366"/>
      <c r="O35" s="446"/>
      <c r="P35" s="446"/>
      <c r="Q35" s="446"/>
      <c r="R35" s="446"/>
      <c r="S35" s="647">
        <f t="shared" si="6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346</v>
      </c>
      <c r="D36" s="502">
        <f t="shared" si="0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0</v>
      </c>
      <c r="I36" s="499">
        <f>SUM($G$9:G36)/A36</f>
        <v>0</v>
      </c>
      <c r="J36" s="443">
        <f t="shared" si="2"/>
        <v>0</v>
      </c>
      <c r="K36" s="459">
        <f t="shared" si="3"/>
        <v>0</v>
      </c>
      <c r="L36" s="495" t="e">
        <f t="shared" si="4"/>
        <v>#DIV/0!</v>
      </c>
      <c r="M36" s="464" t="e">
        <f t="shared" si="5"/>
        <v>#DIV/0!</v>
      </c>
      <c r="N36" s="366"/>
      <c r="O36" s="446"/>
      <c r="P36" s="446"/>
      <c r="Q36" s="446"/>
      <c r="R36" s="446"/>
      <c r="S36" s="647">
        <f t="shared" si="6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334</v>
      </c>
      <c r="D37" s="502">
        <f t="shared" si="0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0</v>
      </c>
      <c r="I37" s="499">
        <f>SUM($G$9:G37)/A37</f>
        <v>0</v>
      </c>
      <c r="J37" s="443">
        <f t="shared" si="2"/>
        <v>0</v>
      </c>
      <c r="K37" s="459">
        <f t="shared" si="3"/>
        <v>0</v>
      </c>
      <c r="L37" s="495" t="e">
        <f t="shared" si="4"/>
        <v>#DIV/0!</v>
      </c>
      <c r="M37" s="464" t="e">
        <f t="shared" si="5"/>
        <v>#DIV/0!</v>
      </c>
      <c r="N37" s="366"/>
      <c r="O37" s="446"/>
      <c r="P37" s="446"/>
      <c r="Q37" s="446"/>
      <c r="R37" s="446"/>
      <c r="S37" s="647">
        <f t="shared" si="6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334</v>
      </c>
      <c r="D38" s="502">
        <f t="shared" si="0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0</v>
      </c>
      <c r="I38" s="499">
        <f>SUM($G$9:G38)/A38</f>
        <v>0</v>
      </c>
      <c r="J38" s="504">
        <f t="shared" si="2"/>
        <v>0</v>
      </c>
      <c r="K38" s="459">
        <f t="shared" si="3"/>
        <v>0</v>
      </c>
      <c r="L38" s="505" t="e">
        <f t="shared" si="4"/>
        <v>#DIV/0!</v>
      </c>
      <c r="M38" s="464" t="e">
        <f t="shared" si="5"/>
        <v>#DIV/0!</v>
      </c>
      <c r="N38" s="366"/>
      <c r="O38" s="446"/>
      <c r="P38" s="446"/>
      <c r="Q38" s="446"/>
      <c r="R38" s="446"/>
      <c r="S38" s="647">
        <f t="shared" si="6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334</v>
      </c>
      <c r="D39" s="502">
        <f t="shared" si="0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0</v>
      </c>
      <c r="I39" s="499">
        <f>SUM($G$9:G39)/A39</f>
        <v>0</v>
      </c>
      <c r="J39" s="443">
        <f t="shared" si="2"/>
        <v>0</v>
      </c>
      <c r="K39" s="459">
        <f t="shared" si="3"/>
        <v>0</v>
      </c>
      <c r="L39" s="495" t="e">
        <f t="shared" si="4"/>
        <v>#DIV/0!</v>
      </c>
      <c r="M39" s="464" t="e">
        <f t="shared" si="5"/>
        <v>#DIV/0!</v>
      </c>
      <c r="N39" s="366"/>
      <c r="O39" s="446"/>
      <c r="P39" s="446"/>
      <c r="Q39" s="446"/>
      <c r="R39" s="446"/>
      <c r="S39" s="647">
        <f t="shared" si="6"/>
        <v>0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666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2089" priority="478" operator="lessThan">
      <formula>15</formula>
    </cfRule>
    <cfRule type="cellIs" dxfId="12088" priority="479" operator="greaterThan">
      <formula>20</formula>
    </cfRule>
    <cfRule type="cellIs" dxfId="12087" priority="480" operator="between">
      <formula>15</formula>
      <formula>20</formula>
    </cfRule>
    <cfRule type="cellIs" dxfId="12086" priority="481" operator="between">
      <formula>15</formula>
      <formula>20</formula>
    </cfRule>
    <cfRule type="cellIs" dxfId="12085" priority="482" operator="lessThan">
      <formula>15</formula>
    </cfRule>
    <cfRule type="cellIs" dxfId="12084" priority="483" operator="greaterThan">
      <formula>20</formula>
    </cfRule>
    <cfRule type="cellIs" dxfId="12083" priority="484" operator="between">
      <formula>15</formula>
      <formula>21</formula>
    </cfRule>
    <cfRule type="cellIs" dxfId="12082" priority="485" operator="lessThan">
      <formula>15</formula>
    </cfRule>
    <cfRule type="cellIs" dxfId="12081" priority="486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2"/>
  <pageSetup paperSize="8" orientation="landscape" horizontalDpi="4294967292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workbookViewId="0">
      <pane ySplit="8" topLeftCell="A15" activePane="bottomLeft" state="frozen"/>
      <selection pane="bottomLeft" activeCell="Q26" sqref="Q26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2" style="142" customWidth="1"/>
    <col min="12" max="13" width="11.85546875" style="143" customWidth="1"/>
    <col min="14" max="14" width="6.42578125" style="143" customWidth="1"/>
    <col min="15" max="18" width="10.1406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211" customFormat="1" ht="18.75" customHeight="1">
      <c r="A4" s="1600" t="s">
        <v>33</v>
      </c>
      <c r="B4" s="1600"/>
      <c r="C4" s="316" t="str">
        <f>J4</f>
        <v>ZIRCON ZS08 (0016)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1019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1211"/>
      <c r="U6" s="1211"/>
      <c r="V6" s="1211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143"/>
      <c r="U7" s="143"/>
      <c r="V7" s="143"/>
    </row>
    <row r="8" spans="1:29" s="305" customFormat="1" ht="12" customHeight="1">
      <c r="A8" s="1597" t="s">
        <v>3</v>
      </c>
      <c r="B8" s="1598"/>
      <c r="C8" s="1599"/>
      <c r="D8" s="387">
        <f>J8</f>
        <v>4566</v>
      </c>
      <c r="E8" s="388">
        <f>K8</f>
        <v>4566</v>
      </c>
      <c r="F8" s="602">
        <f>F40</f>
        <v>2352</v>
      </c>
      <c r="G8" s="603">
        <f>G40</f>
        <v>2352</v>
      </c>
      <c r="H8" s="387"/>
      <c r="I8" s="388"/>
      <c r="J8" s="624">
        <f>K8-K8*N8</f>
        <v>4566</v>
      </c>
      <c r="K8" s="324">
        <v>4566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181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334</v>
      </c>
      <c r="D9" s="502">
        <f>E9-E9*N9</f>
        <v>0</v>
      </c>
      <c r="E9" s="499"/>
      <c r="F9" s="446">
        <f>O9+Q9</f>
        <v>113</v>
      </c>
      <c r="G9" s="503">
        <f>P9+R9</f>
        <v>113</v>
      </c>
      <c r="H9" s="498">
        <f>SUM($F$9:F9)/A9</f>
        <v>113</v>
      </c>
      <c r="I9" s="499">
        <f>SUM($G$9:G9)/A9</f>
        <v>113</v>
      </c>
      <c r="J9" s="443">
        <f>J8+D9-F9</f>
        <v>4453</v>
      </c>
      <c r="K9" s="459">
        <f>K8+E9-G9</f>
        <v>4453</v>
      </c>
      <c r="L9" s="495">
        <f>J9/H9</f>
        <v>39.407079646017699</v>
      </c>
      <c r="M9" s="464">
        <f>K9/I9</f>
        <v>39.407079646017699</v>
      </c>
      <c r="N9" s="366"/>
      <c r="O9" s="446">
        <v>113</v>
      </c>
      <c r="P9" s="446">
        <f>O9</f>
        <v>113</v>
      </c>
      <c r="Q9" s="446"/>
      <c r="R9" s="446">
        <f>Q9</f>
        <v>0</v>
      </c>
      <c r="S9" s="647">
        <f>J9/$S$8</f>
        <v>24.60220994475138</v>
      </c>
      <c r="T9" s="305"/>
      <c r="U9" s="305"/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334</v>
      </c>
      <c r="D10" s="502">
        <f t="shared" ref="D10:D38" si="0">E10-E10*N10</f>
        <v>0</v>
      </c>
      <c r="E10" s="499"/>
      <c r="F10" s="446">
        <f t="shared" ref="F10:G39" si="1">O10+Q10</f>
        <v>113</v>
      </c>
      <c r="G10" s="503">
        <f t="shared" si="1"/>
        <v>113</v>
      </c>
      <c r="H10" s="498">
        <f>SUM($F$9:F10)/A10</f>
        <v>113</v>
      </c>
      <c r="I10" s="499">
        <f>SUM($G$9:G10)/A10</f>
        <v>113</v>
      </c>
      <c r="J10" s="443">
        <f t="shared" ref="J10:K25" si="2">J9+D10-F10</f>
        <v>4340</v>
      </c>
      <c r="K10" s="459">
        <f t="shared" si="2"/>
        <v>4340</v>
      </c>
      <c r="L10" s="495">
        <f t="shared" ref="L10:M39" si="3">J10/H10</f>
        <v>38.407079646017699</v>
      </c>
      <c r="M10" s="464">
        <f t="shared" si="3"/>
        <v>38.407079646017699</v>
      </c>
      <c r="N10" s="366"/>
      <c r="O10" s="446">
        <v>113</v>
      </c>
      <c r="P10" s="446">
        <f t="shared" ref="P10:P39" si="4">O10</f>
        <v>113</v>
      </c>
      <c r="Q10" s="446"/>
      <c r="R10" s="446">
        <f t="shared" ref="R10:R39" si="5">Q10</f>
        <v>0</v>
      </c>
      <c r="S10" s="647">
        <f t="shared" ref="S10:S39" si="6">J10/$S$8</f>
        <v>23.977900552486187</v>
      </c>
      <c r="T10" s="305"/>
      <c r="U10" s="305"/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334</v>
      </c>
      <c r="D11" s="502">
        <f t="shared" si="0"/>
        <v>0</v>
      </c>
      <c r="E11" s="499"/>
      <c r="F11" s="446">
        <f t="shared" si="1"/>
        <v>68</v>
      </c>
      <c r="G11" s="503">
        <f t="shared" si="1"/>
        <v>68</v>
      </c>
      <c r="H11" s="498">
        <f>SUM($F$9:F11)/A11</f>
        <v>98</v>
      </c>
      <c r="I11" s="499">
        <f>SUM($G$9:G11)/A11</f>
        <v>98</v>
      </c>
      <c r="J11" s="443">
        <f t="shared" si="2"/>
        <v>4272</v>
      </c>
      <c r="K11" s="459">
        <f t="shared" si="2"/>
        <v>4272</v>
      </c>
      <c r="L11" s="495">
        <f t="shared" si="3"/>
        <v>43.591836734693878</v>
      </c>
      <c r="M11" s="464">
        <f t="shared" si="3"/>
        <v>43.591836734693878</v>
      </c>
      <c r="N11" s="366"/>
      <c r="O11" s="446">
        <v>68</v>
      </c>
      <c r="P11" s="446">
        <f t="shared" si="4"/>
        <v>68</v>
      </c>
      <c r="Q11" s="446"/>
      <c r="R11" s="446">
        <f t="shared" si="5"/>
        <v>0</v>
      </c>
      <c r="S11" s="647">
        <f t="shared" si="6"/>
        <v>23.60220994475138</v>
      </c>
      <c r="T11" s="305"/>
      <c r="U11" s="305"/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334</v>
      </c>
      <c r="D12" s="502">
        <f t="shared" si="0"/>
        <v>0</v>
      </c>
      <c r="E12" s="499"/>
      <c r="F12" s="446">
        <f t="shared" si="1"/>
        <v>113</v>
      </c>
      <c r="G12" s="503">
        <f t="shared" si="1"/>
        <v>113</v>
      </c>
      <c r="H12" s="498">
        <f>SUM($F$9:F12)/A12</f>
        <v>101.75</v>
      </c>
      <c r="I12" s="499">
        <f>SUM($G$9:G12)/A12</f>
        <v>101.75</v>
      </c>
      <c r="J12" s="443">
        <f t="shared" si="2"/>
        <v>4159</v>
      </c>
      <c r="K12" s="459">
        <f t="shared" si="2"/>
        <v>4159</v>
      </c>
      <c r="L12" s="495">
        <f t="shared" si="3"/>
        <v>40.874692874692876</v>
      </c>
      <c r="M12" s="464">
        <f t="shared" si="3"/>
        <v>40.874692874692876</v>
      </c>
      <c r="N12" s="366"/>
      <c r="O12" s="446">
        <v>113</v>
      </c>
      <c r="P12" s="446">
        <f t="shared" si="4"/>
        <v>113</v>
      </c>
      <c r="Q12" s="446"/>
      <c r="R12" s="446">
        <f t="shared" si="5"/>
        <v>0</v>
      </c>
      <c r="S12" s="647">
        <f t="shared" si="6"/>
        <v>22.977900552486187</v>
      </c>
      <c r="T12" s="305"/>
      <c r="U12" s="305"/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334</v>
      </c>
      <c r="D13" s="502">
        <f t="shared" si="0"/>
        <v>0</v>
      </c>
      <c r="E13" s="499"/>
      <c r="F13" s="446">
        <f t="shared" si="1"/>
        <v>68</v>
      </c>
      <c r="G13" s="503">
        <f t="shared" si="1"/>
        <v>68</v>
      </c>
      <c r="H13" s="504">
        <f>SUM($F$9:F13)/A13</f>
        <v>95</v>
      </c>
      <c r="I13" s="499">
        <f>SUM($G$9:G13)/A13</f>
        <v>95</v>
      </c>
      <c r="J13" s="504">
        <f t="shared" si="2"/>
        <v>4091</v>
      </c>
      <c r="K13" s="459">
        <f t="shared" si="2"/>
        <v>4091</v>
      </c>
      <c r="L13" s="505">
        <f t="shared" si="3"/>
        <v>43.06315789473684</v>
      </c>
      <c r="M13" s="464">
        <f t="shared" si="3"/>
        <v>43.06315789473684</v>
      </c>
      <c r="N13" s="366"/>
      <c r="O13" s="446">
        <v>68</v>
      </c>
      <c r="P13" s="446">
        <f t="shared" si="4"/>
        <v>68</v>
      </c>
      <c r="Q13" s="446"/>
      <c r="R13" s="446">
        <f t="shared" si="5"/>
        <v>0</v>
      </c>
      <c r="S13" s="647">
        <f t="shared" si="6"/>
        <v>22.60220994475138</v>
      </c>
      <c r="T13" s="305"/>
      <c r="U13" s="305"/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334</v>
      </c>
      <c r="D14" s="502">
        <f t="shared" si="0"/>
        <v>0</v>
      </c>
      <c r="E14" s="499"/>
      <c r="F14" s="446">
        <f t="shared" si="1"/>
        <v>113</v>
      </c>
      <c r="G14" s="503">
        <f t="shared" si="1"/>
        <v>113</v>
      </c>
      <c r="H14" s="498">
        <f>SUM($F$9:F14)/A14</f>
        <v>98</v>
      </c>
      <c r="I14" s="499">
        <f>SUM($G$9:G14)/A14</f>
        <v>98</v>
      </c>
      <c r="J14" s="443">
        <f t="shared" si="2"/>
        <v>3978</v>
      </c>
      <c r="K14" s="459">
        <f t="shared" si="2"/>
        <v>3978</v>
      </c>
      <c r="L14" s="495">
        <f t="shared" si="3"/>
        <v>40.591836734693878</v>
      </c>
      <c r="M14" s="464">
        <f t="shared" si="3"/>
        <v>40.591836734693878</v>
      </c>
      <c r="N14" s="366"/>
      <c r="O14" s="446">
        <v>113</v>
      </c>
      <c r="P14" s="446">
        <f t="shared" si="4"/>
        <v>113</v>
      </c>
      <c r="Q14" s="446"/>
      <c r="R14" s="446">
        <f t="shared" si="5"/>
        <v>0</v>
      </c>
      <c r="S14" s="647">
        <f t="shared" si="6"/>
        <v>21.977900552486187</v>
      </c>
      <c r="T14" s="305"/>
      <c r="U14" s="305"/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334</v>
      </c>
      <c r="D15" s="502">
        <f t="shared" si="0"/>
        <v>3564</v>
      </c>
      <c r="E15" s="499">
        <v>3600</v>
      </c>
      <c r="F15" s="446">
        <f t="shared" si="1"/>
        <v>113</v>
      </c>
      <c r="G15" s="503">
        <f t="shared" si="1"/>
        <v>113</v>
      </c>
      <c r="H15" s="498">
        <f>SUM($F$9:F15)/A15</f>
        <v>100.14285714285714</v>
      </c>
      <c r="I15" s="499">
        <f>SUM($G$9:G15)/A15</f>
        <v>100.14285714285714</v>
      </c>
      <c r="J15" s="443">
        <f t="shared" si="2"/>
        <v>7429</v>
      </c>
      <c r="K15" s="459">
        <f t="shared" si="2"/>
        <v>7465</v>
      </c>
      <c r="L15" s="495">
        <f t="shared" si="3"/>
        <v>74.184022824536385</v>
      </c>
      <c r="M15" s="464">
        <f t="shared" si="3"/>
        <v>74.543509272467901</v>
      </c>
      <c r="N15" s="366">
        <v>0.01</v>
      </c>
      <c r="O15" s="446">
        <v>113</v>
      </c>
      <c r="P15" s="446">
        <f t="shared" si="4"/>
        <v>113</v>
      </c>
      <c r="Q15" s="446"/>
      <c r="R15" s="446">
        <f t="shared" si="5"/>
        <v>0</v>
      </c>
      <c r="S15" s="647">
        <f t="shared" si="6"/>
        <v>41.044198895027627</v>
      </c>
      <c r="T15" s="305"/>
      <c r="U15" s="305"/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334</v>
      </c>
      <c r="D16" s="502">
        <f t="shared" si="0"/>
        <v>0</v>
      </c>
      <c r="E16" s="499"/>
      <c r="F16" s="446">
        <f t="shared" si="1"/>
        <v>113</v>
      </c>
      <c r="G16" s="503">
        <f t="shared" si="1"/>
        <v>113</v>
      </c>
      <c r="H16" s="498">
        <f>SUM($F$9:F16)/A16</f>
        <v>101.75</v>
      </c>
      <c r="I16" s="499">
        <f>SUM($G$9:G16)/A16</f>
        <v>101.75</v>
      </c>
      <c r="J16" s="443">
        <f t="shared" si="2"/>
        <v>7316</v>
      </c>
      <c r="K16" s="459">
        <f t="shared" si="2"/>
        <v>7352</v>
      </c>
      <c r="L16" s="495">
        <f t="shared" si="3"/>
        <v>71.9017199017199</v>
      </c>
      <c r="M16" s="464">
        <f t="shared" si="3"/>
        <v>72.255528255528262</v>
      </c>
      <c r="N16" s="366"/>
      <c r="O16" s="446">
        <v>113</v>
      </c>
      <c r="P16" s="446">
        <f t="shared" si="4"/>
        <v>113</v>
      </c>
      <c r="Q16" s="446"/>
      <c r="R16" s="446">
        <f t="shared" si="5"/>
        <v>0</v>
      </c>
      <c r="S16" s="647">
        <f t="shared" si="6"/>
        <v>40.41988950276243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31" t="s">
        <v>334</v>
      </c>
      <c r="D17" s="502">
        <f t="shared" si="0"/>
        <v>0</v>
      </c>
      <c r="E17" s="499"/>
      <c r="F17" s="446">
        <f t="shared" si="1"/>
        <v>68</v>
      </c>
      <c r="G17" s="503">
        <f t="shared" si="1"/>
        <v>68</v>
      </c>
      <c r="H17" s="498">
        <f>SUM($F$9:F17)/A17</f>
        <v>98</v>
      </c>
      <c r="I17" s="499">
        <f>SUM($G$9:G17)/A17</f>
        <v>98</v>
      </c>
      <c r="J17" s="443">
        <f t="shared" si="2"/>
        <v>7248</v>
      </c>
      <c r="K17" s="459">
        <f t="shared" si="2"/>
        <v>7284</v>
      </c>
      <c r="L17" s="495">
        <f t="shared" si="3"/>
        <v>73.959183673469383</v>
      </c>
      <c r="M17" s="464">
        <f t="shared" si="3"/>
        <v>74.326530612244895</v>
      </c>
      <c r="N17" s="366"/>
      <c r="O17" s="446">
        <v>68</v>
      </c>
      <c r="P17" s="446">
        <f t="shared" si="4"/>
        <v>68</v>
      </c>
      <c r="Q17" s="446"/>
      <c r="R17" s="446">
        <f t="shared" si="5"/>
        <v>0</v>
      </c>
      <c r="S17" s="647">
        <f t="shared" si="6"/>
        <v>40.044198895027627</v>
      </c>
      <c r="T17" s="305"/>
      <c r="U17" s="305"/>
    </row>
    <row r="18" spans="1:21" s="367" customFormat="1" ht="12" customHeight="1">
      <c r="A18" s="504">
        <v>10</v>
      </c>
      <c r="B18" s="365">
        <f>'FRIT HGE91-FHG'!B18</f>
        <v>46244</v>
      </c>
      <c r="C18" s="331" t="s">
        <v>334</v>
      </c>
      <c r="D18" s="502">
        <f t="shared" si="0"/>
        <v>0</v>
      </c>
      <c r="E18" s="499"/>
      <c r="F18" s="446">
        <f t="shared" si="1"/>
        <v>113</v>
      </c>
      <c r="G18" s="503">
        <f t="shared" si="1"/>
        <v>113</v>
      </c>
      <c r="H18" s="504">
        <f>SUM($F$9:F18)/A18</f>
        <v>99.5</v>
      </c>
      <c r="I18" s="499">
        <f>SUM($G$9:G18)/A18</f>
        <v>99.5</v>
      </c>
      <c r="J18" s="504">
        <f t="shared" si="2"/>
        <v>7135</v>
      </c>
      <c r="K18" s="459">
        <f t="shared" si="2"/>
        <v>7171</v>
      </c>
      <c r="L18" s="505">
        <f t="shared" si="3"/>
        <v>71.708542713567837</v>
      </c>
      <c r="M18" s="464">
        <f t="shared" si="3"/>
        <v>72.070351758793976</v>
      </c>
      <c r="N18" s="366"/>
      <c r="O18" s="446">
        <v>113</v>
      </c>
      <c r="P18" s="446">
        <f t="shared" si="4"/>
        <v>113</v>
      </c>
      <c r="Q18" s="446"/>
      <c r="R18" s="446">
        <f t="shared" si="5"/>
        <v>0</v>
      </c>
      <c r="S18" s="647">
        <f t="shared" si="6"/>
        <v>39.41988950276243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31" t="s">
        <v>334</v>
      </c>
      <c r="D19" s="502">
        <f t="shared" si="0"/>
        <v>0</v>
      </c>
      <c r="E19" s="499"/>
      <c r="F19" s="446">
        <f t="shared" si="1"/>
        <v>181</v>
      </c>
      <c r="G19" s="503">
        <f t="shared" si="1"/>
        <v>181</v>
      </c>
      <c r="H19" s="498">
        <f>SUM($F$9:F19)/A19</f>
        <v>106.90909090909091</v>
      </c>
      <c r="I19" s="499">
        <f>SUM($G$9:G19)/A19</f>
        <v>106.90909090909091</v>
      </c>
      <c r="J19" s="443">
        <f t="shared" si="2"/>
        <v>6954</v>
      </c>
      <c r="K19" s="459">
        <f t="shared" si="2"/>
        <v>6990</v>
      </c>
      <c r="L19" s="495">
        <f t="shared" si="3"/>
        <v>65.045918367346943</v>
      </c>
      <c r="M19" s="464">
        <f t="shared" si="3"/>
        <v>65.382653061224488</v>
      </c>
      <c r="N19" s="366"/>
      <c r="O19" s="446">
        <v>113</v>
      </c>
      <c r="P19" s="446">
        <f t="shared" si="4"/>
        <v>113</v>
      </c>
      <c r="Q19" s="446">
        <v>68</v>
      </c>
      <c r="R19" s="446">
        <f t="shared" si="5"/>
        <v>68</v>
      </c>
      <c r="S19" s="647">
        <f t="shared" si="6"/>
        <v>38.41988950276243</v>
      </c>
      <c r="T19" s="305"/>
      <c r="U19" s="305"/>
    </row>
    <row r="20" spans="1:21" s="367" customFormat="1" ht="12" customHeight="1">
      <c r="A20" s="364">
        <v>12</v>
      </c>
      <c r="B20" s="365">
        <f>'FRIT HGE91-FHG'!B20</f>
        <v>46246</v>
      </c>
      <c r="C20" s="331" t="s">
        <v>334</v>
      </c>
      <c r="D20" s="502">
        <f t="shared" si="0"/>
        <v>0</v>
      </c>
      <c r="E20" s="499"/>
      <c r="F20" s="446">
        <f t="shared" si="1"/>
        <v>181</v>
      </c>
      <c r="G20" s="503">
        <f t="shared" si="1"/>
        <v>181</v>
      </c>
      <c r="H20" s="498">
        <f>SUM($F$9:F20)/A20</f>
        <v>113.08333333333333</v>
      </c>
      <c r="I20" s="499">
        <f>SUM($G$9:G20)/A20</f>
        <v>113.08333333333333</v>
      </c>
      <c r="J20" s="443">
        <f t="shared" si="2"/>
        <v>6773</v>
      </c>
      <c r="K20" s="459">
        <f t="shared" si="2"/>
        <v>6809</v>
      </c>
      <c r="L20" s="495">
        <f t="shared" si="3"/>
        <v>59.89388356669123</v>
      </c>
      <c r="M20" s="464">
        <f t="shared" si="3"/>
        <v>60.212232866617541</v>
      </c>
      <c r="N20" s="366"/>
      <c r="O20" s="446">
        <v>68</v>
      </c>
      <c r="P20" s="446">
        <f t="shared" si="4"/>
        <v>68</v>
      </c>
      <c r="Q20" s="446">
        <v>113</v>
      </c>
      <c r="R20" s="446">
        <f t="shared" si="5"/>
        <v>113</v>
      </c>
      <c r="S20" s="647">
        <f t="shared" si="6"/>
        <v>37.41988950276243</v>
      </c>
      <c r="T20" s="305"/>
      <c r="U20" s="305"/>
    </row>
    <row r="21" spans="1:21" s="367" customFormat="1" ht="12" customHeight="1">
      <c r="A21" s="364">
        <v>13</v>
      </c>
      <c r="B21" s="365">
        <f>'FRIT HGE91-FHG'!B21</f>
        <v>46247</v>
      </c>
      <c r="C21" s="331" t="s">
        <v>334</v>
      </c>
      <c r="D21" s="502">
        <f t="shared" si="0"/>
        <v>0</v>
      </c>
      <c r="E21" s="499"/>
      <c r="F21" s="446">
        <f t="shared" si="1"/>
        <v>181</v>
      </c>
      <c r="G21" s="503">
        <f t="shared" si="1"/>
        <v>181</v>
      </c>
      <c r="H21" s="498">
        <f>SUM($F$9:F21)/A21</f>
        <v>118.30769230769231</v>
      </c>
      <c r="I21" s="499">
        <f>SUM($G$9:G21)/A21</f>
        <v>118.30769230769231</v>
      </c>
      <c r="J21" s="443">
        <f t="shared" si="2"/>
        <v>6592</v>
      </c>
      <c r="K21" s="459">
        <f t="shared" si="2"/>
        <v>6628</v>
      </c>
      <c r="L21" s="495">
        <f t="shared" si="3"/>
        <v>55.719115734720418</v>
      </c>
      <c r="M21" s="464">
        <f t="shared" si="3"/>
        <v>56.023407022106632</v>
      </c>
      <c r="N21" s="366"/>
      <c r="O21" s="446">
        <v>113</v>
      </c>
      <c r="P21" s="446">
        <f t="shared" si="4"/>
        <v>113</v>
      </c>
      <c r="Q21" s="446">
        <v>68</v>
      </c>
      <c r="R21" s="446">
        <f t="shared" si="5"/>
        <v>68</v>
      </c>
      <c r="S21" s="647">
        <f t="shared" si="6"/>
        <v>36.41988950276243</v>
      </c>
      <c r="T21" s="305"/>
      <c r="U21" s="305"/>
    </row>
    <row r="22" spans="1:21" s="367" customFormat="1" ht="12" customHeight="1">
      <c r="A22" s="364">
        <v>14</v>
      </c>
      <c r="B22" s="365">
        <f>'FRIT HGE91-FHG'!B22</f>
        <v>46248</v>
      </c>
      <c r="C22" s="331" t="s">
        <v>334</v>
      </c>
      <c r="D22" s="502">
        <f t="shared" si="0"/>
        <v>0</v>
      </c>
      <c r="E22" s="499"/>
      <c r="F22" s="446">
        <f t="shared" si="1"/>
        <v>226</v>
      </c>
      <c r="G22" s="503">
        <f t="shared" si="1"/>
        <v>226</v>
      </c>
      <c r="H22" s="498">
        <f>SUM($F$9:F22)/A22</f>
        <v>126</v>
      </c>
      <c r="I22" s="499">
        <f>SUM($G$9:G22)/A22</f>
        <v>126</v>
      </c>
      <c r="J22" s="443">
        <f t="shared" si="2"/>
        <v>6366</v>
      </c>
      <c r="K22" s="459">
        <f t="shared" si="2"/>
        <v>6402</v>
      </c>
      <c r="L22" s="495">
        <f t="shared" si="3"/>
        <v>50.523809523809526</v>
      </c>
      <c r="M22" s="464">
        <f t="shared" si="3"/>
        <v>50.80952380952381</v>
      </c>
      <c r="N22" s="366"/>
      <c r="O22" s="446">
        <v>113</v>
      </c>
      <c r="P22" s="446">
        <f t="shared" si="4"/>
        <v>113</v>
      </c>
      <c r="Q22" s="446">
        <v>113</v>
      </c>
      <c r="R22" s="446">
        <f t="shared" si="5"/>
        <v>113</v>
      </c>
      <c r="S22" s="647">
        <f t="shared" si="6"/>
        <v>35.171270718232044</v>
      </c>
      <c r="T22" s="305"/>
      <c r="U22" s="305"/>
    </row>
    <row r="23" spans="1:21" s="367" customFormat="1" ht="12" customHeight="1">
      <c r="A23" s="504">
        <v>15</v>
      </c>
      <c r="B23" s="365">
        <f>'FRIT HGE91-FHG'!B23</f>
        <v>46249</v>
      </c>
      <c r="C23" s="331" t="s">
        <v>334</v>
      </c>
      <c r="D23" s="502">
        <f t="shared" si="0"/>
        <v>0</v>
      </c>
      <c r="E23" s="499"/>
      <c r="F23" s="446">
        <f t="shared" si="1"/>
        <v>181</v>
      </c>
      <c r="G23" s="503">
        <f t="shared" si="1"/>
        <v>181</v>
      </c>
      <c r="H23" s="504">
        <f>SUM($F$9:F23)/A23</f>
        <v>129.66666666666666</v>
      </c>
      <c r="I23" s="499">
        <f>SUM($G$9:G23)/A23</f>
        <v>129.66666666666666</v>
      </c>
      <c r="J23" s="504">
        <f t="shared" si="2"/>
        <v>6185</v>
      </c>
      <c r="K23" s="459">
        <f t="shared" si="2"/>
        <v>6221</v>
      </c>
      <c r="L23" s="505">
        <f t="shared" si="3"/>
        <v>47.699228791773784</v>
      </c>
      <c r="M23" s="464">
        <f t="shared" si="3"/>
        <v>47.976863753213372</v>
      </c>
      <c r="N23" s="366"/>
      <c r="O23" s="446">
        <v>68</v>
      </c>
      <c r="P23" s="446">
        <f t="shared" si="4"/>
        <v>68</v>
      </c>
      <c r="Q23" s="446">
        <v>113</v>
      </c>
      <c r="R23" s="446">
        <f t="shared" si="5"/>
        <v>113</v>
      </c>
      <c r="S23" s="647">
        <f t="shared" si="6"/>
        <v>34.171270718232044</v>
      </c>
      <c r="T23" s="305"/>
      <c r="U23" s="305"/>
    </row>
    <row r="24" spans="1:21" s="367" customFormat="1" ht="12" customHeight="1">
      <c r="A24" s="364">
        <v>16</v>
      </c>
      <c r="B24" s="365">
        <f>'FRIT HGE91-FHG'!B24</f>
        <v>46250</v>
      </c>
      <c r="C24" s="331" t="s">
        <v>334</v>
      </c>
      <c r="D24" s="502">
        <f t="shared" si="0"/>
        <v>0</v>
      </c>
      <c r="E24" s="499"/>
      <c r="F24" s="446">
        <f t="shared" si="1"/>
        <v>226</v>
      </c>
      <c r="G24" s="503">
        <f t="shared" si="1"/>
        <v>226</v>
      </c>
      <c r="H24" s="498">
        <f>SUM($F$9:F24)/A24</f>
        <v>135.6875</v>
      </c>
      <c r="I24" s="499">
        <f>SUM($G$9:G24)/A24</f>
        <v>135.6875</v>
      </c>
      <c r="J24" s="443">
        <f t="shared" si="2"/>
        <v>5959</v>
      </c>
      <c r="K24" s="459">
        <f t="shared" si="2"/>
        <v>5995</v>
      </c>
      <c r="L24" s="495">
        <f t="shared" si="3"/>
        <v>43.917088899124828</v>
      </c>
      <c r="M24" s="464">
        <f t="shared" si="3"/>
        <v>44.182404421925384</v>
      </c>
      <c r="N24" s="366"/>
      <c r="O24" s="446">
        <v>113</v>
      </c>
      <c r="P24" s="446">
        <f t="shared" si="4"/>
        <v>113</v>
      </c>
      <c r="Q24" s="446">
        <v>113</v>
      </c>
      <c r="R24" s="446">
        <f t="shared" si="5"/>
        <v>113</v>
      </c>
      <c r="S24" s="647">
        <f t="shared" si="6"/>
        <v>32.922651933701658</v>
      </c>
      <c r="T24" s="305"/>
    </row>
    <row r="25" spans="1:21" s="367" customFormat="1" ht="12" customHeight="1">
      <c r="A25" s="364">
        <v>17</v>
      </c>
      <c r="B25" s="365">
        <f>'FRIT HGE91-FHG'!B25</f>
        <v>46251</v>
      </c>
      <c r="C25" s="331" t="s">
        <v>334</v>
      </c>
      <c r="D25" s="502">
        <f t="shared" si="0"/>
        <v>0</v>
      </c>
      <c r="E25" s="499"/>
      <c r="F25" s="446">
        <f t="shared" si="1"/>
        <v>181</v>
      </c>
      <c r="G25" s="503">
        <f t="shared" si="1"/>
        <v>181</v>
      </c>
      <c r="H25" s="498">
        <f>SUM($F$9:F25)/A25</f>
        <v>138.35294117647058</v>
      </c>
      <c r="I25" s="499">
        <f>SUM($G$9:G25)/A25</f>
        <v>138.35294117647058</v>
      </c>
      <c r="J25" s="443">
        <f t="shared" si="2"/>
        <v>5778</v>
      </c>
      <c r="K25" s="459">
        <f t="shared" si="2"/>
        <v>5814</v>
      </c>
      <c r="L25" s="495">
        <f t="shared" si="3"/>
        <v>41.762755102040821</v>
      </c>
      <c r="M25" s="464">
        <f t="shared" si="3"/>
        <v>42.022959183673471</v>
      </c>
      <c r="N25" s="366"/>
      <c r="O25" s="446">
        <v>68</v>
      </c>
      <c r="P25" s="446">
        <f t="shared" si="4"/>
        <v>68</v>
      </c>
      <c r="Q25" s="446">
        <v>113</v>
      </c>
      <c r="R25" s="446">
        <f t="shared" si="5"/>
        <v>113</v>
      </c>
      <c r="S25" s="647">
        <f t="shared" si="6"/>
        <v>31.922651933701658</v>
      </c>
      <c r="T25" s="305"/>
    </row>
    <row r="26" spans="1:21" s="367" customFormat="1" ht="12" customHeight="1">
      <c r="A26" s="364">
        <v>18</v>
      </c>
      <c r="B26" s="365">
        <f>'FRIT HGE91-FHG'!B26</f>
        <v>46252</v>
      </c>
      <c r="C26" s="331" t="s">
        <v>334</v>
      </c>
      <c r="D26" s="502">
        <f t="shared" si="0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130.66666666666666</v>
      </c>
      <c r="I26" s="499">
        <f>SUM($G$9:G26)/A26</f>
        <v>130.66666666666666</v>
      </c>
      <c r="J26" s="443">
        <f t="shared" ref="J26:K38" si="7">J25+D26-F26</f>
        <v>5778</v>
      </c>
      <c r="K26" s="459">
        <f t="shared" si="7"/>
        <v>5814</v>
      </c>
      <c r="L26" s="495">
        <f t="shared" si="3"/>
        <v>44.219387755102041</v>
      </c>
      <c r="M26" s="464">
        <f t="shared" si="3"/>
        <v>44.494897959183675</v>
      </c>
      <c r="N26" s="366"/>
      <c r="O26" s="446"/>
      <c r="P26" s="446">
        <f t="shared" si="4"/>
        <v>0</v>
      </c>
      <c r="Q26" s="446"/>
      <c r="R26" s="446">
        <f t="shared" si="5"/>
        <v>0</v>
      </c>
      <c r="S26" s="647">
        <f t="shared" si="6"/>
        <v>31.922651933701658</v>
      </c>
      <c r="T26" s="305"/>
    </row>
    <row r="27" spans="1:21" s="367" customFormat="1" ht="12" customHeight="1">
      <c r="A27" s="364">
        <v>19</v>
      </c>
      <c r="B27" s="365">
        <f>'FRIT HGE91-FHG'!B27</f>
        <v>46253</v>
      </c>
      <c r="C27" s="331" t="s">
        <v>334</v>
      </c>
      <c r="D27" s="502">
        <f t="shared" si="0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123.78947368421052</v>
      </c>
      <c r="I27" s="499">
        <f>SUM($G$9:G27)/A27</f>
        <v>123.78947368421052</v>
      </c>
      <c r="J27" s="443">
        <f t="shared" si="7"/>
        <v>5778</v>
      </c>
      <c r="K27" s="459">
        <f t="shared" si="7"/>
        <v>5814</v>
      </c>
      <c r="L27" s="495">
        <f t="shared" si="3"/>
        <v>46.676020408163268</v>
      </c>
      <c r="M27" s="464">
        <f t="shared" si="3"/>
        <v>46.966836734693878</v>
      </c>
      <c r="N27" s="366"/>
      <c r="O27" s="446"/>
      <c r="P27" s="446">
        <f t="shared" si="4"/>
        <v>0</v>
      </c>
      <c r="Q27" s="446"/>
      <c r="R27" s="446">
        <f t="shared" si="5"/>
        <v>0</v>
      </c>
      <c r="S27" s="647">
        <f t="shared" si="6"/>
        <v>31.922651933701658</v>
      </c>
      <c r="T27" s="305"/>
    </row>
    <row r="28" spans="1:21" s="367" customFormat="1" ht="12" customHeight="1">
      <c r="A28" s="504">
        <v>20</v>
      </c>
      <c r="B28" s="365">
        <f>'FRIT HGE91-FHG'!B28</f>
        <v>46254</v>
      </c>
      <c r="C28" s="331" t="s">
        <v>334</v>
      </c>
      <c r="D28" s="502">
        <f t="shared" si="0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117.6</v>
      </c>
      <c r="I28" s="499">
        <f>SUM($G$9:G28)/A28</f>
        <v>117.6</v>
      </c>
      <c r="J28" s="504">
        <f t="shared" si="7"/>
        <v>5778</v>
      </c>
      <c r="K28" s="459">
        <f t="shared" si="7"/>
        <v>5814</v>
      </c>
      <c r="L28" s="505">
        <f t="shared" si="3"/>
        <v>49.132653061224495</v>
      </c>
      <c r="M28" s="464">
        <f t="shared" si="3"/>
        <v>49.438775510204081</v>
      </c>
      <c r="N28" s="366"/>
      <c r="O28" s="446"/>
      <c r="P28" s="446">
        <f t="shared" si="4"/>
        <v>0</v>
      </c>
      <c r="Q28" s="446"/>
      <c r="R28" s="446">
        <f t="shared" si="5"/>
        <v>0</v>
      </c>
      <c r="S28" s="647">
        <f t="shared" si="6"/>
        <v>31.922651933701658</v>
      </c>
      <c r="T28" s="305"/>
    </row>
    <row r="29" spans="1:21" s="367" customFormat="1" ht="12" customHeight="1">
      <c r="A29" s="364">
        <v>21</v>
      </c>
      <c r="B29" s="365">
        <f>'FRIT HGE91-FHG'!B29</f>
        <v>46255</v>
      </c>
      <c r="C29" s="331" t="s">
        <v>334</v>
      </c>
      <c r="D29" s="502">
        <f t="shared" si="0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112</v>
      </c>
      <c r="I29" s="499">
        <f>SUM($G$9:G29)/A29</f>
        <v>112</v>
      </c>
      <c r="J29" s="443">
        <f t="shared" si="7"/>
        <v>5778</v>
      </c>
      <c r="K29" s="459">
        <f t="shared" si="7"/>
        <v>5814</v>
      </c>
      <c r="L29" s="495">
        <f t="shared" si="3"/>
        <v>51.589285714285715</v>
      </c>
      <c r="M29" s="464">
        <f t="shared" si="3"/>
        <v>51.910714285714285</v>
      </c>
      <c r="N29" s="366"/>
      <c r="O29" s="446"/>
      <c r="P29" s="446">
        <f t="shared" si="4"/>
        <v>0</v>
      </c>
      <c r="Q29" s="446"/>
      <c r="R29" s="446">
        <f t="shared" si="5"/>
        <v>0</v>
      </c>
      <c r="S29" s="647">
        <f t="shared" si="6"/>
        <v>31.922651933701658</v>
      </c>
      <c r="T29" s="305"/>
    </row>
    <row r="30" spans="1:21" s="367" customFormat="1" ht="12" customHeight="1">
      <c r="A30" s="364">
        <v>22</v>
      </c>
      <c r="B30" s="365">
        <f>'FRIT HGE91-FHG'!B30</f>
        <v>46256</v>
      </c>
      <c r="C30" s="331" t="s">
        <v>334</v>
      </c>
      <c r="D30" s="502">
        <f t="shared" si="0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106.90909090909091</v>
      </c>
      <c r="I30" s="499">
        <f>SUM($G$9:G30)/A30</f>
        <v>106.90909090909091</v>
      </c>
      <c r="J30" s="443">
        <f t="shared" si="7"/>
        <v>5778</v>
      </c>
      <c r="K30" s="459">
        <f t="shared" si="7"/>
        <v>5814</v>
      </c>
      <c r="L30" s="495">
        <f t="shared" si="3"/>
        <v>54.045918367346943</v>
      </c>
      <c r="M30" s="464">
        <f t="shared" si="3"/>
        <v>54.382653061224488</v>
      </c>
      <c r="N30" s="366"/>
      <c r="O30" s="446"/>
      <c r="P30" s="446">
        <f t="shared" si="4"/>
        <v>0</v>
      </c>
      <c r="Q30" s="446"/>
      <c r="R30" s="446">
        <f t="shared" si="5"/>
        <v>0</v>
      </c>
      <c r="S30" s="647">
        <f t="shared" si="6"/>
        <v>31.922651933701658</v>
      </c>
      <c r="T30" s="305"/>
    </row>
    <row r="31" spans="1:21" s="367" customFormat="1" ht="12" customHeight="1">
      <c r="A31" s="364">
        <v>23</v>
      </c>
      <c r="B31" s="365">
        <f>'FRIT HGE91-FHG'!B31</f>
        <v>46257</v>
      </c>
      <c r="C31" s="331" t="s">
        <v>334</v>
      </c>
      <c r="D31" s="502">
        <f t="shared" si="0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102.26086956521739</v>
      </c>
      <c r="I31" s="499">
        <f>SUM($G$9:G31)/A31</f>
        <v>102.26086956521739</v>
      </c>
      <c r="J31" s="443">
        <f t="shared" si="7"/>
        <v>5778</v>
      </c>
      <c r="K31" s="459">
        <f t="shared" si="7"/>
        <v>5814</v>
      </c>
      <c r="L31" s="495">
        <f t="shared" si="3"/>
        <v>56.502551020408163</v>
      </c>
      <c r="M31" s="464">
        <f t="shared" si="3"/>
        <v>56.854591836734691</v>
      </c>
      <c r="N31" s="366"/>
      <c r="O31" s="446"/>
      <c r="P31" s="446">
        <f t="shared" si="4"/>
        <v>0</v>
      </c>
      <c r="Q31" s="446"/>
      <c r="R31" s="446">
        <f t="shared" si="5"/>
        <v>0</v>
      </c>
      <c r="S31" s="647">
        <f t="shared" si="6"/>
        <v>31.922651933701658</v>
      </c>
      <c r="T31" s="305"/>
    </row>
    <row r="32" spans="1:21" s="367" customFormat="1" ht="12" customHeight="1">
      <c r="A32" s="364">
        <v>24</v>
      </c>
      <c r="B32" s="365">
        <f>'FRIT HGE91-FHG'!B32</f>
        <v>46258</v>
      </c>
      <c r="C32" s="331" t="s">
        <v>334</v>
      </c>
      <c r="D32" s="502">
        <f t="shared" si="0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98</v>
      </c>
      <c r="I32" s="499">
        <f>SUM($G$9:G32)/A32</f>
        <v>98</v>
      </c>
      <c r="J32" s="443">
        <f t="shared" si="7"/>
        <v>5778</v>
      </c>
      <c r="K32" s="459">
        <f t="shared" si="7"/>
        <v>5814</v>
      </c>
      <c r="L32" s="495">
        <f t="shared" si="3"/>
        <v>58.95918367346939</v>
      </c>
      <c r="M32" s="464">
        <f t="shared" si="3"/>
        <v>59.326530612244895</v>
      </c>
      <c r="N32" s="366"/>
      <c r="O32" s="446"/>
      <c r="P32" s="446">
        <f t="shared" si="4"/>
        <v>0</v>
      </c>
      <c r="Q32" s="446"/>
      <c r="R32" s="446">
        <f t="shared" si="5"/>
        <v>0</v>
      </c>
      <c r="S32" s="647">
        <f t="shared" si="6"/>
        <v>31.922651933701658</v>
      </c>
      <c r="T32" s="305"/>
    </row>
    <row r="33" spans="1:20" s="367" customFormat="1" ht="12" customHeight="1">
      <c r="A33" s="460">
        <v>25</v>
      </c>
      <c r="B33" s="365">
        <f>'FRIT HGE91-FHG'!B33</f>
        <v>46259</v>
      </c>
      <c r="C33" s="331" t="s">
        <v>334</v>
      </c>
      <c r="D33" s="502">
        <f t="shared" si="0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94.08</v>
      </c>
      <c r="I33" s="499">
        <f>SUM($G$9:G33)/A33</f>
        <v>94.08</v>
      </c>
      <c r="J33" s="460">
        <f t="shared" si="7"/>
        <v>5778</v>
      </c>
      <c r="K33" s="459">
        <f t="shared" si="7"/>
        <v>5814</v>
      </c>
      <c r="L33" s="506">
        <f t="shared" si="3"/>
        <v>61.41581632653061</v>
      </c>
      <c r="M33" s="464">
        <f t="shared" si="3"/>
        <v>61.798469387755105</v>
      </c>
      <c r="N33" s="366"/>
      <c r="O33" s="446"/>
      <c r="P33" s="446">
        <f t="shared" si="4"/>
        <v>0</v>
      </c>
      <c r="Q33" s="446"/>
      <c r="R33" s="446">
        <f t="shared" si="5"/>
        <v>0</v>
      </c>
      <c r="S33" s="647">
        <f t="shared" si="6"/>
        <v>31.922651933701658</v>
      </c>
      <c r="T33" s="305"/>
    </row>
    <row r="34" spans="1:20" s="367" customFormat="1" ht="12" customHeight="1">
      <c r="A34" s="364">
        <v>26</v>
      </c>
      <c r="B34" s="365">
        <f>'FRIT HGE91-FHG'!B34</f>
        <v>46260</v>
      </c>
      <c r="C34" s="331" t="s">
        <v>334</v>
      </c>
      <c r="D34" s="502">
        <f t="shared" si="0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90.461538461538467</v>
      </c>
      <c r="I34" s="499">
        <f>SUM($G$9:G34)/A34</f>
        <v>90.461538461538467</v>
      </c>
      <c r="J34" s="443">
        <f t="shared" si="7"/>
        <v>5778</v>
      </c>
      <c r="K34" s="459">
        <f t="shared" si="7"/>
        <v>5814</v>
      </c>
      <c r="L34" s="495">
        <f t="shared" si="3"/>
        <v>63.87244897959183</v>
      </c>
      <c r="M34" s="464">
        <f t="shared" si="3"/>
        <v>64.270408163265301</v>
      </c>
      <c r="N34" s="366"/>
      <c r="O34" s="446"/>
      <c r="P34" s="446">
        <f t="shared" si="4"/>
        <v>0</v>
      </c>
      <c r="Q34" s="446"/>
      <c r="R34" s="446">
        <f t="shared" si="5"/>
        <v>0</v>
      </c>
      <c r="S34" s="647">
        <f t="shared" si="6"/>
        <v>31.922651933701658</v>
      </c>
      <c r="T34" s="305"/>
    </row>
    <row r="35" spans="1:20" s="367" customFormat="1" ht="12" customHeight="1">
      <c r="A35" s="364">
        <v>27</v>
      </c>
      <c r="B35" s="365">
        <f>'FRIT HGE91-FHG'!B35</f>
        <v>46261</v>
      </c>
      <c r="C35" s="331" t="s">
        <v>334</v>
      </c>
      <c r="D35" s="502">
        <f t="shared" si="0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87.111111111111114</v>
      </c>
      <c r="I35" s="499">
        <f>SUM($G$9:G35)/A35</f>
        <v>87.111111111111114</v>
      </c>
      <c r="J35" s="443">
        <f t="shared" si="7"/>
        <v>5778</v>
      </c>
      <c r="K35" s="459">
        <f t="shared" si="7"/>
        <v>5814</v>
      </c>
      <c r="L35" s="495">
        <f t="shared" si="3"/>
        <v>66.329081632653057</v>
      </c>
      <c r="M35" s="464">
        <f t="shared" si="3"/>
        <v>66.742346938775512</v>
      </c>
      <c r="N35" s="366"/>
      <c r="O35" s="446"/>
      <c r="P35" s="446">
        <f t="shared" si="4"/>
        <v>0</v>
      </c>
      <c r="Q35" s="446"/>
      <c r="R35" s="446">
        <f t="shared" si="5"/>
        <v>0</v>
      </c>
      <c r="S35" s="647">
        <f t="shared" si="6"/>
        <v>31.922651933701658</v>
      </c>
      <c r="T35" s="305"/>
    </row>
    <row r="36" spans="1:20" s="367" customFormat="1" ht="12" customHeight="1">
      <c r="A36" s="364">
        <v>28</v>
      </c>
      <c r="B36" s="365">
        <f>'FRIT HGE91-FHG'!B36</f>
        <v>46262</v>
      </c>
      <c r="C36" s="331" t="s">
        <v>346</v>
      </c>
      <c r="D36" s="502">
        <f t="shared" si="0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84</v>
      </c>
      <c r="I36" s="499">
        <f>SUM($G$9:G36)/A36</f>
        <v>84</v>
      </c>
      <c r="J36" s="443">
        <f t="shared" si="7"/>
        <v>5778</v>
      </c>
      <c r="K36" s="459">
        <f t="shared" si="7"/>
        <v>5814</v>
      </c>
      <c r="L36" s="495">
        <f t="shared" si="3"/>
        <v>68.785714285714292</v>
      </c>
      <c r="M36" s="464">
        <f t="shared" si="3"/>
        <v>69.214285714285708</v>
      </c>
      <c r="N36" s="366"/>
      <c r="O36" s="446"/>
      <c r="P36" s="446">
        <f t="shared" si="4"/>
        <v>0</v>
      </c>
      <c r="Q36" s="446"/>
      <c r="R36" s="446">
        <f t="shared" si="5"/>
        <v>0</v>
      </c>
      <c r="S36" s="647">
        <f t="shared" si="6"/>
        <v>31.922651933701658</v>
      </c>
      <c r="T36" s="305"/>
    </row>
    <row r="37" spans="1:20" s="367" customFormat="1" ht="12" customHeight="1">
      <c r="A37" s="364">
        <v>29</v>
      </c>
      <c r="B37" s="365">
        <f>'FRIT HGE91-FHG'!B37</f>
        <v>46263</v>
      </c>
      <c r="C37" s="331" t="s">
        <v>334</v>
      </c>
      <c r="D37" s="502">
        <f t="shared" si="0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81.103448275862064</v>
      </c>
      <c r="I37" s="499">
        <f>SUM($G$9:G37)/A37</f>
        <v>81.103448275862064</v>
      </c>
      <c r="J37" s="443">
        <f t="shared" si="7"/>
        <v>5778</v>
      </c>
      <c r="K37" s="459">
        <f t="shared" si="7"/>
        <v>5814</v>
      </c>
      <c r="L37" s="495">
        <f t="shared" si="3"/>
        <v>71.242346938775512</v>
      </c>
      <c r="M37" s="464">
        <f t="shared" si="3"/>
        <v>71.686224489795919</v>
      </c>
      <c r="N37" s="366"/>
      <c r="O37" s="446"/>
      <c r="P37" s="446">
        <f t="shared" si="4"/>
        <v>0</v>
      </c>
      <c r="Q37" s="446"/>
      <c r="R37" s="446">
        <f t="shared" si="5"/>
        <v>0</v>
      </c>
      <c r="S37" s="647">
        <f t="shared" si="6"/>
        <v>31.922651933701658</v>
      </c>
      <c r="T37" s="305"/>
    </row>
    <row r="38" spans="1:20" s="367" customFormat="1" ht="12" customHeight="1">
      <c r="A38" s="504">
        <v>30</v>
      </c>
      <c r="B38" s="365">
        <f>'FRIT HGE91-FHG'!B38</f>
        <v>46264</v>
      </c>
      <c r="C38" s="331" t="s">
        <v>334</v>
      </c>
      <c r="D38" s="502">
        <f t="shared" si="0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78.400000000000006</v>
      </c>
      <c r="I38" s="499">
        <f>SUM($G$9:G38)/A38</f>
        <v>78.400000000000006</v>
      </c>
      <c r="J38" s="504">
        <f t="shared" si="7"/>
        <v>5778</v>
      </c>
      <c r="K38" s="459">
        <f t="shared" si="7"/>
        <v>5814</v>
      </c>
      <c r="L38" s="505">
        <f t="shared" si="3"/>
        <v>73.698979591836732</v>
      </c>
      <c r="M38" s="464">
        <f t="shared" si="3"/>
        <v>74.158163265306115</v>
      </c>
      <c r="N38" s="366"/>
      <c r="O38" s="446"/>
      <c r="P38" s="446">
        <f t="shared" si="4"/>
        <v>0</v>
      </c>
      <c r="Q38" s="446"/>
      <c r="R38" s="446">
        <f t="shared" si="5"/>
        <v>0</v>
      </c>
      <c r="S38" s="647">
        <f t="shared" si="6"/>
        <v>31.922651933701658</v>
      </c>
    </row>
    <row r="39" spans="1:20" s="367" customFormat="1" ht="12" customHeight="1">
      <c r="A39" s="364">
        <v>31</v>
      </c>
      <c r="B39" s="365">
        <f>'FRIT HGE91-FHG'!B39</f>
        <v>46265</v>
      </c>
      <c r="C39" s="331" t="s">
        <v>334</v>
      </c>
      <c r="D39" s="502">
        <f>E39-E39*N39</f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75.870967741935488</v>
      </c>
      <c r="I39" s="499">
        <f>SUM($G$9:G39)/A39</f>
        <v>75.870967741935488</v>
      </c>
      <c r="J39" s="443">
        <f>J38+D39-F39</f>
        <v>5778</v>
      </c>
      <c r="K39" s="459">
        <f>K38+E39-G39</f>
        <v>5814</v>
      </c>
      <c r="L39" s="495">
        <f t="shared" si="3"/>
        <v>76.155612244897952</v>
      </c>
      <c r="M39" s="464">
        <f t="shared" si="3"/>
        <v>76.630102040816325</v>
      </c>
      <c r="N39" s="366"/>
      <c r="O39" s="446"/>
      <c r="P39" s="446">
        <f t="shared" si="4"/>
        <v>0</v>
      </c>
      <c r="Q39" s="446"/>
      <c r="R39" s="446">
        <f t="shared" si="5"/>
        <v>0</v>
      </c>
      <c r="S39" s="647">
        <f t="shared" si="6"/>
        <v>31.922651933701658</v>
      </c>
    </row>
    <row r="40" spans="1:20" s="374" customFormat="1" ht="12" customHeight="1">
      <c r="A40" s="1212" t="s">
        <v>29</v>
      </c>
      <c r="B40" s="1213"/>
      <c r="C40" s="1214"/>
      <c r="D40" s="388">
        <f>SUM(D9:D39)</f>
        <v>3564</v>
      </c>
      <c r="E40" s="388">
        <f>SUM(E9:E39)</f>
        <v>3600</v>
      </c>
      <c r="F40" s="666">
        <f>SUM(F9:F39)</f>
        <v>2352</v>
      </c>
      <c r="G40" s="496">
        <f>SUM(G9:G39)</f>
        <v>2352</v>
      </c>
      <c r="H40" s="389"/>
      <c r="I40" s="496"/>
      <c r="J40" s="389">
        <f>J39</f>
        <v>5778</v>
      </c>
      <c r="K40" s="461">
        <f>K39</f>
        <v>5814</v>
      </c>
      <c r="L40" s="464"/>
      <c r="M40" s="464"/>
      <c r="N40" s="507"/>
      <c r="O40" s="389">
        <f>SUM(O9:O39)</f>
        <v>1651</v>
      </c>
      <c r="P40" s="496">
        <f>SUM(P9:P39)</f>
        <v>1651</v>
      </c>
      <c r="Q40" s="389">
        <f>SUM(Q9:Q39)</f>
        <v>701</v>
      </c>
      <c r="R40" s="496">
        <f>SUM(R9:R39)</f>
        <v>701</v>
      </c>
    </row>
    <row r="41" spans="1:20" s="374" customFormat="1" ht="12" customHeight="1">
      <c r="A41" s="1212" t="s">
        <v>15</v>
      </c>
      <c r="B41" s="1213"/>
      <c r="C41" s="1214"/>
      <c r="D41" s="388">
        <f>D8+D40</f>
        <v>8130</v>
      </c>
      <c r="E41" s="388">
        <f>E8+E40</f>
        <v>8166</v>
      </c>
      <c r="F41" s="389">
        <f>F40</f>
        <v>2352</v>
      </c>
      <c r="G41" s="496">
        <f>G40</f>
        <v>2352</v>
      </c>
      <c r="H41" s="389"/>
      <c r="I41" s="496"/>
      <c r="J41" s="389">
        <f>D41-F41</f>
        <v>5778</v>
      </c>
      <c r="K41" s="389">
        <f>E41-G41</f>
        <v>5814</v>
      </c>
      <c r="L41" s="464"/>
      <c r="M41" s="464"/>
      <c r="N41" s="507"/>
      <c r="O41" s="507"/>
      <c r="P41" s="507"/>
      <c r="Q41" s="507"/>
      <c r="R41" s="507"/>
    </row>
    <row r="42" spans="1:20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20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20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20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20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20">
      <c r="D47" s="143"/>
      <c r="E47" s="143"/>
      <c r="F47" s="143"/>
      <c r="G47" s="143"/>
      <c r="H47" s="143"/>
      <c r="I47" s="143"/>
      <c r="J47" s="143"/>
      <c r="K47" s="143"/>
    </row>
    <row r="48" spans="1:20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080" priority="1" operator="lessThan">
      <formula>15</formula>
    </cfRule>
    <cfRule type="cellIs" dxfId="12079" priority="2" operator="greaterThan">
      <formula>20</formula>
    </cfRule>
    <cfRule type="cellIs" dxfId="12078" priority="3" operator="between">
      <formula>15</formula>
      <formula>20</formula>
    </cfRule>
    <cfRule type="cellIs" dxfId="12077" priority="4" operator="between">
      <formula>15</formula>
      <formula>20</formula>
    </cfRule>
    <cfRule type="cellIs" dxfId="12076" priority="5" operator="lessThan">
      <formula>15</formula>
    </cfRule>
    <cfRule type="cellIs" dxfId="12075" priority="6" operator="greaterThan">
      <formula>20</formula>
    </cfRule>
    <cfRule type="cellIs" dxfId="12074" priority="7" operator="between">
      <formula>15</formula>
      <formula>21</formula>
    </cfRule>
    <cfRule type="cellIs" dxfId="12073" priority="8" operator="lessThan">
      <formula>15</formula>
    </cfRule>
    <cfRule type="cellIs" dxfId="12072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2"/>
  <pageSetup paperSize="8" orientation="landscape" horizontalDpi="4294967292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2" style="142" customWidth="1"/>
    <col min="12" max="13" width="11.85546875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668" customFormat="1" ht="18.75" customHeight="1">
      <c r="A4" s="1600" t="s">
        <v>33</v>
      </c>
      <c r="B4" s="1600"/>
      <c r="C4" s="316" t="str">
        <f>J4</f>
        <v>ZIRCON ZRD5M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337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668"/>
      <c r="U6" s="668"/>
      <c r="V6" s="668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143"/>
      <c r="U7" s="143"/>
      <c r="V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602">
        <f>F40</f>
        <v>0</v>
      </c>
      <c r="G8" s="603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116.7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ref="D10:D39" si="0">E10-E10*N10</f>
        <v>0</v>
      </c>
      <c r="E10" s="499"/>
      <c r="F10" s="446">
        <f t="shared" ref="F10:G39" si="1">O10+Q10</f>
        <v>0</v>
      </c>
      <c r="G10" s="503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ref="J10:K25" si="2">J9+D10-F10</f>
        <v>0</v>
      </c>
      <c r="K10" s="459">
        <f t="shared" si="2"/>
        <v>0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0"/>
        <v>0</v>
      </c>
      <c r="E11" s="499"/>
      <c r="F11" s="446">
        <f t="shared" si="1"/>
        <v>0</v>
      </c>
      <c r="G11" s="503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2"/>
        <v>0</v>
      </c>
      <c r="K11" s="459">
        <f t="shared" si="2"/>
        <v>0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0"/>
        <v>0</v>
      </c>
      <c r="E12" s="499"/>
      <c r="F12" s="446">
        <f t="shared" si="1"/>
        <v>0</v>
      </c>
      <c r="G12" s="503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si="2"/>
        <v>0</v>
      </c>
      <c r="K12" s="459">
        <f t="shared" si="2"/>
        <v>0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0"/>
        <v>0</v>
      </c>
      <c r="E13" s="499"/>
      <c r="F13" s="446">
        <f t="shared" si="1"/>
        <v>0</v>
      </c>
      <c r="G13" s="503">
        <f t="shared" si="1"/>
        <v>0</v>
      </c>
      <c r="H13" s="504">
        <f>SUM($F$9:F13)/A13</f>
        <v>0</v>
      </c>
      <c r="I13" s="499">
        <f>SUM($G$9:G13)/A13</f>
        <v>0</v>
      </c>
      <c r="J13" s="504">
        <f t="shared" si="2"/>
        <v>0</v>
      </c>
      <c r="K13" s="459">
        <f t="shared" si="2"/>
        <v>0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0"/>
        <v>0</v>
      </c>
      <c r="E14" s="499"/>
      <c r="F14" s="446">
        <f t="shared" si="1"/>
        <v>0</v>
      </c>
      <c r="G14" s="503">
        <f t="shared" si="1"/>
        <v>0</v>
      </c>
      <c r="H14" s="498">
        <f>SUM($F$9:F14)/A14</f>
        <v>0</v>
      </c>
      <c r="I14" s="499">
        <f>SUM($G$9:G14)/A14</f>
        <v>0</v>
      </c>
      <c r="J14" s="443">
        <f t="shared" si="2"/>
        <v>0</v>
      </c>
      <c r="K14" s="459">
        <f t="shared" si="2"/>
        <v>0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0"/>
        <v>0</v>
      </c>
      <c r="E15" s="499"/>
      <c r="F15" s="446">
        <f t="shared" si="1"/>
        <v>0</v>
      </c>
      <c r="G15" s="503">
        <f t="shared" si="1"/>
        <v>0</v>
      </c>
      <c r="H15" s="498">
        <f>SUM($F$9:F15)/A15</f>
        <v>0</v>
      </c>
      <c r="I15" s="499">
        <f>SUM($G$9:G15)/A15</f>
        <v>0</v>
      </c>
      <c r="J15" s="443">
        <f t="shared" si="2"/>
        <v>0</v>
      </c>
      <c r="K15" s="459">
        <f t="shared" si="2"/>
        <v>0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0"/>
        <v>0</v>
      </c>
      <c r="E16" s="499"/>
      <c r="F16" s="446">
        <f t="shared" si="1"/>
        <v>0</v>
      </c>
      <c r="G16" s="503">
        <f t="shared" si="1"/>
        <v>0</v>
      </c>
      <c r="H16" s="498">
        <f>SUM($F$9:F16)/A16</f>
        <v>0</v>
      </c>
      <c r="I16" s="499">
        <f>SUM($G$9:G16)/A16</f>
        <v>0</v>
      </c>
      <c r="J16" s="443">
        <f t="shared" si="2"/>
        <v>0</v>
      </c>
      <c r="K16" s="459">
        <f t="shared" si="2"/>
        <v>0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0"/>
        <v>0</v>
      </c>
      <c r="E17" s="499"/>
      <c r="F17" s="446">
        <f t="shared" si="1"/>
        <v>0</v>
      </c>
      <c r="G17" s="503">
        <f t="shared" si="1"/>
        <v>0</v>
      </c>
      <c r="H17" s="498">
        <f>SUM($F$9:F17)/A17</f>
        <v>0</v>
      </c>
      <c r="I17" s="499">
        <f>SUM($G$9:G17)/A17</f>
        <v>0</v>
      </c>
      <c r="J17" s="443">
        <f t="shared" si="2"/>
        <v>0</v>
      </c>
      <c r="K17" s="459">
        <f t="shared" si="2"/>
        <v>0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0"/>
        <v>0</v>
      </c>
      <c r="E18" s="499"/>
      <c r="F18" s="446">
        <f t="shared" si="1"/>
        <v>0</v>
      </c>
      <c r="G18" s="503">
        <f t="shared" si="1"/>
        <v>0</v>
      </c>
      <c r="H18" s="504">
        <f>SUM($F$9:F18)/A18</f>
        <v>0</v>
      </c>
      <c r="I18" s="499">
        <f>SUM($G$9:G18)/A18</f>
        <v>0</v>
      </c>
      <c r="J18" s="504">
        <f t="shared" si="2"/>
        <v>0</v>
      </c>
      <c r="K18" s="459">
        <f t="shared" si="2"/>
        <v>0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0"/>
        <v>0</v>
      </c>
      <c r="E19" s="499"/>
      <c r="F19" s="446">
        <f t="shared" si="1"/>
        <v>0</v>
      </c>
      <c r="G19" s="503">
        <f t="shared" si="1"/>
        <v>0</v>
      </c>
      <c r="H19" s="498">
        <f>SUM($F$9:F19)/A19</f>
        <v>0</v>
      </c>
      <c r="I19" s="499">
        <f>SUM($G$9:G19)/A19</f>
        <v>0</v>
      </c>
      <c r="J19" s="443">
        <f t="shared" si="2"/>
        <v>0</v>
      </c>
      <c r="K19" s="459">
        <f t="shared" si="2"/>
        <v>0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 t="shared" si="0"/>
        <v>0</v>
      </c>
      <c r="E20" s="499"/>
      <c r="F20" s="446">
        <f t="shared" si="1"/>
        <v>0</v>
      </c>
      <c r="G20" s="503">
        <f t="shared" si="1"/>
        <v>0</v>
      </c>
      <c r="H20" s="498">
        <f>SUM($F$9:F20)/A20</f>
        <v>0</v>
      </c>
      <c r="I20" s="499">
        <f>SUM($G$9:G20)/A20</f>
        <v>0</v>
      </c>
      <c r="J20" s="443">
        <f t="shared" si="2"/>
        <v>0</v>
      </c>
      <c r="K20" s="459">
        <f t="shared" si="2"/>
        <v>0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si="0"/>
        <v>0</v>
      </c>
      <c r="E21" s="499"/>
      <c r="F21" s="446">
        <f t="shared" si="1"/>
        <v>0</v>
      </c>
      <c r="G21" s="503">
        <f t="shared" si="1"/>
        <v>0</v>
      </c>
      <c r="H21" s="498">
        <f>SUM($F$9:F21)/A21</f>
        <v>0</v>
      </c>
      <c r="I21" s="499">
        <f>SUM($G$9:G21)/A21</f>
        <v>0</v>
      </c>
      <c r="J21" s="443">
        <f t="shared" si="2"/>
        <v>0</v>
      </c>
      <c r="K21" s="459">
        <f t="shared" si="2"/>
        <v>0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0"/>
        <v>0</v>
      </c>
      <c r="E22" s="499"/>
      <c r="F22" s="446">
        <f t="shared" si="1"/>
        <v>0</v>
      </c>
      <c r="G22" s="503">
        <f t="shared" si="1"/>
        <v>0</v>
      </c>
      <c r="H22" s="498">
        <f>SUM($F$9:F22)/A22</f>
        <v>0</v>
      </c>
      <c r="I22" s="499">
        <f>SUM($G$9:G22)/A22</f>
        <v>0</v>
      </c>
      <c r="J22" s="443">
        <f t="shared" si="2"/>
        <v>0</v>
      </c>
      <c r="K22" s="459">
        <f t="shared" si="2"/>
        <v>0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0"/>
        <v>0</v>
      </c>
      <c r="E23" s="499"/>
      <c r="F23" s="446">
        <f t="shared" si="1"/>
        <v>0</v>
      </c>
      <c r="G23" s="503">
        <f t="shared" si="1"/>
        <v>0</v>
      </c>
      <c r="H23" s="504">
        <f>SUM($F$9:F23)/A23</f>
        <v>0</v>
      </c>
      <c r="I23" s="499">
        <f>SUM($G$9:G23)/A23</f>
        <v>0</v>
      </c>
      <c r="J23" s="504">
        <f t="shared" si="2"/>
        <v>0</v>
      </c>
      <c r="K23" s="459">
        <f t="shared" si="2"/>
        <v>0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0"/>
        <v>0</v>
      </c>
      <c r="E24" s="499"/>
      <c r="F24" s="446">
        <f t="shared" si="1"/>
        <v>0</v>
      </c>
      <c r="G24" s="503">
        <f t="shared" si="1"/>
        <v>0</v>
      </c>
      <c r="H24" s="498">
        <f>SUM($F$9:F24)/A24</f>
        <v>0</v>
      </c>
      <c r="I24" s="499">
        <f>SUM($G$9:G24)/A24</f>
        <v>0</v>
      </c>
      <c r="J24" s="443">
        <f t="shared" si="2"/>
        <v>0</v>
      </c>
      <c r="K24" s="459">
        <f t="shared" si="2"/>
        <v>0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>
        <f t="shared" si="0"/>
        <v>0</v>
      </c>
      <c r="E25" s="499"/>
      <c r="F25" s="446">
        <f t="shared" si="1"/>
        <v>0</v>
      </c>
      <c r="G25" s="503">
        <f t="shared" si="1"/>
        <v>0</v>
      </c>
      <c r="H25" s="498">
        <f>SUM($F$9:F25)/A25</f>
        <v>0</v>
      </c>
      <c r="I25" s="499">
        <f>SUM($G$9:G25)/A25</f>
        <v>0</v>
      </c>
      <c r="J25" s="443">
        <f t="shared" si="2"/>
        <v>0</v>
      </c>
      <c r="K25" s="459">
        <f t="shared" si="2"/>
        <v>0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0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0</v>
      </c>
      <c r="I26" s="499">
        <f>SUM($G$9:G26)/A26</f>
        <v>0</v>
      </c>
      <c r="J26" s="443">
        <f t="shared" ref="J26:K39" si="5">J25+D26-F26</f>
        <v>0</v>
      </c>
      <c r="K26" s="459">
        <f t="shared" si="5"/>
        <v>0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0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0</v>
      </c>
      <c r="I27" s="499">
        <f>SUM($G$9:G27)/A27</f>
        <v>0</v>
      </c>
      <c r="J27" s="443">
        <f t="shared" si="5"/>
        <v>0</v>
      </c>
      <c r="K27" s="459">
        <f t="shared" si="5"/>
        <v>0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0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0</v>
      </c>
      <c r="I28" s="499">
        <f>SUM($G$9:G28)/A28</f>
        <v>0</v>
      </c>
      <c r="J28" s="504">
        <f t="shared" si="5"/>
        <v>0</v>
      </c>
      <c r="K28" s="459">
        <f t="shared" si="5"/>
        <v>0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0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0</v>
      </c>
      <c r="I29" s="499">
        <f>SUM($G$9:G29)/A29</f>
        <v>0</v>
      </c>
      <c r="J29" s="443">
        <f t="shared" si="5"/>
        <v>0</v>
      </c>
      <c r="K29" s="459">
        <f t="shared" si="5"/>
        <v>0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0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0</v>
      </c>
      <c r="I30" s="499">
        <f>SUM($G$9:G30)/A30</f>
        <v>0</v>
      </c>
      <c r="J30" s="443">
        <f t="shared" si="5"/>
        <v>0</v>
      </c>
      <c r="K30" s="459">
        <f t="shared" si="5"/>
        <v>0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0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0</v>
      </c>
      <c r="I31" s="499">
        <f>SUM($G$9:G31)/A31</f>
        <v>0</v>
      </c>
      <c r="J31" s="443">
        <f t="shared" si="5"/>
        <v>0</v>
      </c>
      <c r="K31" s="459">
        <f t="shared" si="5"/>
        <v>0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0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0</v>
      </c>
      <c r="I32" s="499">
        <f>SUM($G$9:G32)/A32</f>
        <v>0</v>
      </c>
      <c r="J32" s="443">
        <f t="shared" si="5"/>
        <v>0</v>
      </c>
      <c r="K32" s="459">
        <f t="shared" si="5"/>
        <v>0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>
        <f t="shared" si="0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0</v>
      </c>
      <c r="I33" s="499">
        <f>SUM($G$9:G33)/A33</f>
        <v>0</v>
      </c>
      <c r="J33" s="460">
        <f t="shared" si="5"/>
        <v>0</v>
      </c>
      <c r="K33" s="459">
        <f t="shared" si="5"/>
        <v>0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0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0</v>
      </c>
      <c r="I34" s="499">
        <f>SUM($G$9:G34)/A34</f>
        <v>0</v>
      </c>
      <c r="J34" s="443">
        <f t="shared" si="5"/>
        <v>0</v>
      </c>
      <c r="K34" s="459">
        <f t="shared" si="5"/>
        <v>0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0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0</v>
      </c>
      <c r="I35" s="499">
        <f>SUM($G$9:G35)/A35</f>
        <v>0</v>
      </c>
      <c r="J35" s="443">
        <f t="shared" si="5"/>
        <v>0</v>
      </c>
      <c r="K35" s="459">
        <f t="shared" si="5"/>
        <v>0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>
        <f t="shared" si="0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0</v>
      </c>
      <c r="I36" s="499">
        <f>SUM($G$9:G36)/A36</f>
        <v>0</v>
      </c>
      <c r="J36" s="443">
        <f t="shared" si="5"/>
        <v>0</v>
      </c>
      <c r="K36" s="459">
        <f t="shared" si="5"/>
        <v>0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0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0</v>
      </c>
      <c r="I37" s="499">
        <f>SUM($G$9:G37)/A37</f>
        <v>0</v>
      </c>
      <c r="J37" s="443">
        <f t="shared" si="5"/>
        <v>0</v>
      </c>
      <c r="K37" s="459">
        <f t="shared" si="5"/>
        <v>0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0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0</v>
      </c>
      <c r="I38" s="499">
        <f>SUM($G$9:G38)/A38</f>
        <v>0</v>
      </c>
      <c r="J38" s="504">
        <f t="shared" si="5"/>
        <v>0</v>
      </c>
      <c r="K38" s="459">
        <f t="shared" si="5"/>
        <v>0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0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0</v>
      </c>
      <c r="I39" s="499">
        <f>SUM($G$9:G39)/A39</f>
        <v>0</v>
      </c>
      <c r="J39" s="443">
        <f t="shared" si="5"/>
        <v>0</v>
      </c>
      <c r="K39" s="459">
        <f t="shared" si="5"/>
        <v>0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669" t="s">
        <v>29</v>
      </c>
      <c r="B40" s="670"/>
      <c r="C40" s="671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669" t="s">
        <v>15</v>
      </c>
      <c r="B41" s="670"/>
      <c r="C41" s="671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071" priority="1" operator="lessThan">
      <formula>15</formula>
    </cfRule>
    <cfRule type="cellIs" dxfId="12070" priority="2" operator="greaterThan">
      <formula>20</formula>
    </cfRule>
    <cfRule type="cellIs" dxfId="12069" priority="3" operator="between">
      <formula>15</formula>
      <formula>20</formula>
    </cfRule>
    <cfRule type="cellIs" dxfId="12068" priority="4" operator="between">
      <formula>15</formula>
      <formula>20</formula>
    </cfRule>
    <cfRule type="cellIs" dxfId="12067" priority="5" operator="lessThan">
      <formula>15</formula>
    </cfRule>
    <cfRule type="cellIs" dxfId="12066" priority="6" operator="greaterThan">
      <formula>20</formula>
    </cfRule>
    <cfRule type="cellIs" dxfId="12065" priority="7" operator="between">
      <formula>15</formula>
      <formula>21</formula>
    </cfRule>
    <cfRule type="cellIs" dxfId="12064" priority="8" operator="lessThan">
      <formula>15</formula>
    </cfRule>
    <cfRule type="cellIs" dxfId="12063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2"/>
  <pageSetup paperSize="8" orientation="landscape" horizontalDpi="4294967292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49"/>
  <sheetViews>
    <sheetView zoomScaleSheetLayoutView="80" workbookViewId="0">
      <pane ySplit="8" topLeftCell="A12" activePane="bottomLeft" state="frozen"/>
      <selection activeCell="D10" sqref="D10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4" width="6.42578125" style="143" customWidth="1"/>
    <col min="15" max="15" width="11.5703125" style="143" bestFit="1" customWidth="1"/>
    <col min="16" max="16" width="9.42578125" style="143" bestFit="1" customWidth="1"/>
    <col min="17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P3" s="324"/>
      <c r="Q3" s="324"/>
    </row>
    <row r="4" spans="1:25" s="376" customFormat="1" ht="18.75" customHeight="1">
      <c r="A4" s="1600" t="s">
        <v>33</v>
      </c>
      <c r="B4" s="1600"/>
      <c r="C4" s="316" t="str">
        <f>J4</f>
        <v>FRIT 853- ACV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370</v>
      </c>
      <c r="K4" s="319"/>
      <c r="L4" s="319"/>
      <c r="M4" s="319"/>
      <c r="O4" s="143"/>
      <c r="P4" s="324"/>
      <c r="Q4" s="324"/>
    </row>
    <row r="5" spans="1:25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  <c r="P6" s="324"/>
      <c r="Q6" s="324"/>
    </row>
    <row r="7" spans="1:25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>
        <v>2.5999999999999999E-2</v>
      </c>
      <c r="O8" s="143">
        <v>3465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104</v>
      </c>
      <c r="D9" s="502">
        <f>E9-E9*N9</f>
        <v>0</v>
      </c>
      <c r="E9" s="499"/>
      <c r="F9" s="446"/>
      <c r="G9" s="503"/>
      <c r="H9" s="498">
        <f>SUM($F$9:F9)/A9</f>
        <v>0</v>
      </c>
      <c r="I9" s="499">
        <f>SUM($G$9:G9)/A9</f>
        <v>0</v>
      </c>
      <c r="J9" s="443">
        <f t="shared" ref="J9:K24" si="0">J8+D9-F9</f>
        <v>0</v>
      </c>
      <c r="K9" s="459">
        <f t="shared" si="0"/>
        <v>0</v>
      </c>
      <c r="L9" s="495" t="e">
        <f t="shared" ref="L9:M24" si="1">J9/H9</f>
        <v>#DIV/0!</v>
      </c>
      <c r="M9" s="464" t="e">
        <f t="shared" si="1"/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502">
        <f>E10-E10*N10</f>
        <v>0</v>
      </c>
      <c r="E10" s="499"/>
      <c r="F10" s="446"/>
      <c r="G10" s="503"/>
      <c r="H10" s="498">
        <f>SUM($F$9:F10)/A10</f>
        <v>0</v>
      </c>
      <c r="I10" s="499">
        <f>SUM($G$9:G10)/A10</f>
        <v>0</v>
      </c>
      <c r="J10" s="443">
        <f t="shared" si="0"/>
        <v>0</v>
      </c>
      <c r="K10" s="459">
        <f t="shared" si="0"/>
        <v>0</v>
      </c>
      <c r="L10" s="495" t="e">
        <f t="shared" si="1"/>
        <v>#DIV/0!</v>
      </c>
      <c r="M10" s="464" t="e">
        <f t="shared" si="1"/>
        <v>#DIV/0!</v>
      </c>
      <c r="N10" s="366"/>
      <c r="O10" s="647">
        <f t="shared" ref="O10:O39" si="2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502">
        <f>E11-E11*N11</f>
        <v>0</v>
      </c>
      <c r="E11" s="499"/>
      <c r="F11" s="446"/>
      <c r="G11" s="503"/>
      <c r="H11" s="498">
        <f>SUM($F$9:F11)/A11</f>
        <v>0</v>
      </c>
      <c r="I11" s="499">
        <f>SUM($G$9:G11)/A11</f>
        <v>0</v>
      </c>
      <c r="J11" s="443">
        <f t="shared" si="0"/>
        <v>0</v>
      </c>
      <c r="K11" s="459">
        <f t="shared" si="0"/>
        <v>0</v>
      </c>
      <c r="L11" s="495" t="e">
        <f t="shared" si="1"/>
        <v>#DIV/0!</v>
      </c>
      <c r="M11" s="464" t="e">
        <f t="shared" si="1"/>
        <v>#DIV/0!</v>
      </c>
      <c r="N11" s="366"/>
      <c r="O11" s="647">
        <f t="shared" si="2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104</v>
      </c>
      <c r="D12" s="502">
        <f>E12-E12*N12</f>
        <v>0</v>
      </c>
      <c r="E12" s="499"/>
      <c r="F12" s="446"/>
      <c r="G12" s="503"/>
      <c r="H12" s="498">
        <f>SUM($F$9:F12)/A12</f>
        <v>0</v>
      </c>
      <c r="I12" s="499">
        <f>SUM($G$9:G12)/A12</f>
        <v>0</v>
      </c>
      <c r="J12" s="443">
        <f t="shared" si="0"/>
        <v>0</v>
      </c>
      <c r="K12" s="459">
        <f t="shared" si="0"/>
        <v>0</v>
      </c>
      <c r="L12" s="495" t="e">
        <f t="shared" si="1"/>
        <v>#DIV/0!</v>
      </c>
      <c r="M12" s="464" t="e">
        <f t="shared" si="1"/>
        <v>#DIV/0!</v>
      </c>
      <c r="N12" s="366"/>
      <c r="O12" s="647">
        <f t="shared" si="2"/>
        <v>0</v>
      </c>
    </row>
    <row r="13" spans="1:25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502">
        <f t="shared" ref="D13:D39" si="3">E13-E13*N13</f>
        <v>0</v>
      </c>
      <c r="E13" s="499"/>
      <c r="F13" s="446"/>
      <c r="G13" s="503"/>
      <c r="H13" s="504">
        <f>SUM($F$9:F13)/A13</f>
        <v>0</v>
      </c>
      <c r="I13" s="499">
        <f>SUM($G$9:G13)/A13</f>
        <v>0</v>
      </c>
      <c r="J13" s="504">
        <f t="shared" si="0"/>
        <v>0</v>
      </c>
      <c r="K13" s="459">
        <f t="shared" si="0"/>
        <v>0</v>
      </c>
      <c r="L13" s="505" t="e">
        <f t="shared" si="1"/>
        <v>#DIV/0!</v>
      </c>
      <c r="M13" s="464" t="e">
        <f t="shared" si="1"/>
        <v>#DIV/0!</v>
      </c>
      <c r="N13" s="366"/>
      <c r="O13" s="647">
        <f t="shared" si="2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502">
        <f t="shared" si="3"/>
        <v>0</v>
      </c>
      <c r="E14" s="499"/>
      <c r="F14" s="446"/>
      <c r="G14" s="503"/>
      <c r="H14" s="498">
        <f>SUM($F$9:F14)/A14</f>
        <v>0</v>
      </c>
      <c r="I14" s="499">
        <f>SUM($G$9:G14)/A14</f>
        <v>0</v>
      </c>
      <c r="J14" s="443">
        <f t="shared" si="0"/>
        <v>0</v>
      </c>
      <c r="K14" s="459">
        <f t="shared" si="0"/>
        <v>0</v>
      </c>
      <c r="L14" s="495" t="e">
        <f>J14/H14</f>
        <v>#DIV/0!</v>
      </c>
      <c r="M14" s="464" t="e">
        <f t="shared" si="1"/>
        <v>#DIV/0!</v>
      </c>
      <c r="N14" s="366"/>
      <c r="O14" s="647">
        <f t="shared" si="2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502">
        <f t="shared" si="3"/>
        <v>0</v>
      </c>
      <c r="E15" s="499"/>
      <c r="F15" s="446"/>
      <c r="G15" s="503"/>
      <c r="H15" s="498">
        <f>SUM($F$9:F15)/A15</f>
        <v>0</v>
      </c>
      <c r="I15" s="499">
        <f>SUM($G$9:G15)/A15</f>
        <v>0</v>
      </c>
      <c r="J15" s="443">
        <f t="shared" si="0"/>
        <v>0</v>
      </c>
      <c r="K15" s="459">
        <f t="shared" si="0"/>
        <v>0</v>
      </c>
      <c r="L15" s="495" t="e">
        <f t="shared" si="1"/>
        <v>#DIV/0!</v>
      </c>
      <c r="M15" s="464" t="e">
        <f t="shared" si="1"/>
        <v>#DIV/0!</v>
      </c>
      <c r="N15" s="366"/>
      <c r="O15" s="647">
        <f t="shared" si="2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502">
        <f t="shared" si="3"/>
        <v>0</v>
      </c>
      <c r="E16" s="499"/>
      <c r="F16" s="446"/>
      <c r="G16" s="503"/>
      <c r="H16" s="498">
        <f>SUM($F$9:F16)/A16</f>
        <v>0</v>
      </c>
      <c r="I16" s="499">
        <f>SUM($G$9:G16)/A16</f>
        <v>0</v>
      </c>
      <c r="J16" s="443">
        <f t="shared" si="0"/>
        <v>0</v>
      </c>
      <c r="K16" s="459">
        <f t="shared" si="0"/>
        <v>0</v>
      </c>
      <c r="L16" s="495" t="e">
        <f t="shared" si="1"/>
        <v>#DIV/0!</v>
      </c>
      <c r="M16" s="464" t="e">
        <f t="shared" si="1"/>
        <v>#DIV/0!</v>
      </c>
      <c r="N16" s="366"/>
      <c r="O16" s="647">
        <f t="shared" si="2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502">
        <f t="shared" si="3"/>
        <v>0</v>
      </c>
      <c r="E17" s="499"/>
      <c r="F17" s="446"/>
      <c r="G17" s="503"/>
      <c r="H17" s="498">
        <f>SUM($F$9:F17)/A17</f>
        <v>0</v>
      </c>
      <c r="I17" s="499">
        <f>SUM($G$9:G17)/A17</f>
        <v>0</v>
      </c>
      <c r="J17" s="443">
        <f t="shared" si="0"/>
        <v>0</v>
      </c>
      <c r="K17" s="459">
        <f t="shared" si="0"/>
        <v>0</v>
      </c>
      <c r="L17" s="495" t="e">
        <f t="shared" si="1"/>
        <v>#DIV/0!</v>
      </c>
      <c r="M17" s="464" t="e">
        <f t="shared" si="1"/>
        <v>#DIV/0!</v>
      </c>
      <c r="N17" s="366"/>
      <c r="O17" s="647">
        <f t="shared" si="2"/>
        <v>0</v>
      </c>
    </row>
    <row r="18" spans="1:15" s="367" customFormat="1" ht="12" customHeight="1">
      <c r="A18" s="504">
        <v>10</v>
      </c>
      <c r="B18" s="365">
        <f>'FRIT HGE91-FHG'!B18</f>
        <v>46244</v>
      </c>
      <c r="C18" s="331" t="s">
        <v>104</v>
      </c>
      <c r="D18" s="502">
        <f t="shared" si="3"/>
        <v>0</v>
      </c>
      <c r="E18" s="499"/>
      <c r="F18" s="446"/>
      <c r="G18" s="503"/>
      <c r="H18" s="504">
        <f>SUM($F$9:F18)/A18</f>
        <v>0</v>
      </c>
      <c r="I18" s="499">
        <f>SUM($G$9:G18)/A18</f>
        <v>0</v>
      </c>
      <c r="J18" s="504">
        <f t="shared" si="0"/>
        <v>0</v>
      </c>
      <c r="K18" s="459">
        <f t="shared" si="0"/>
        <v>0</v>
      </c>
      <c r="L18" s="505" t="e">
        <f t="shared" si="1"/>
        <v>#DIV/0!</v>
      </c>
      <c r="M18" s="464" t="e">
        <f t="shared" si="1"/>
        <v>#DIV/0!</v>
      </c>
      <c r="N18" s="366"/>
      <c r="O18" s="647">
        <f t="shared" si="2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346</v>
      </c>
      <c r="D19" s="502">
        <f>E19-E19*N19</f>
        <v>0</v>
      </c>
      <c r="E19" s="499"/>
      <c r="F19" s="446"/>
      <c r="G19" s="503"/>
      <c r="H19" s="498">
        <f>SUM($F$9:F19)/A19</f>
        <v>0</v>
      </c>
      <c r="I19" s="499">
        <f>SUM($G$9:G19)/A19</f>
        <v>0</v>
      </c>
      <c r="J19" s="443">
        <f t="shared" si="0"/>
        <v>0</v>
      </c>
      <c r="K19" s="459">
        <f t="shared" si="0"/>
        <v>0</v>
      </c>
      <c r="L19" s="495" t="e">
        <f t="shared" si="1"/>
        <v>#DIV/0!</v>
      </c>
      <c r="M19" s="464" t="e">
        <f t="shared" si="1"/>
        <v>#DIV/0!</v>
      </c>
      <c r="N19" s="366"/>
      <c r="O19" s="647">
        <f t="shared" si="2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104</v>
      </c>
      <c r="D20" s="502">
        <f t="shared" si="3"/>
        <v>0</v>
      </c>
      <c r="E20" s="499"/>
      <c r="F20" s="446"/>
      <c r="G20" s="503"/>
      <c r="H20" s="498">
        <f>SUM($F$9:F20)/A20</f>
        <v>0</v>
      </c>
      <c r="I20" s="499">
        <f>SUM($G$9:G20)/A20</f>
        <v>0</v>
      </c>
      <c r="J20" s="443">
        <f t="shared" si="0"/>
        <v>0</v>
      </c>
      <c r="K20" s="459">
        <f t="shared" si="0"/>
        <v>0</v>
      </c>
      <c r="L20" s="495" t="e">
        <f t="shared" si="1"/>
        <v>#DIV/0!</v>
      </c>
      <c r="M20" s="464" t="e">
        <f t="shared" si="1"/>
        <v>#DIV/0!</v>
      </c>
      <c r="N20" s="366"/>
      <c r="O20" s="647">
        <f t="shared" si="2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502">
        <f t="shared" si="3"/>
        <v>0</v>
      </c>
      <c r="E21" s="499"/>
      <c r="F21" s="446"/>
      <c r="G21" s="503"/>
      <c r="H21" s="498">
        <f>SUM($F$9:F21)/A21</f>
        <v>0</v>
      </c>
      <c r="I21" s="499">
        <f>SUM($G$9:G21)/A21</f>
        <v>0</v>
      </c>
      <c r="J21" s="443">
        <f t="shared" si="0"/>
        <v>0</v>
      </c>
      <c r="K21" s="459">
        <f>K20+E21-G21</f>
        <v>0</v>
      </c>
      <c r="L21" s="495" t="e">
        <f t="shared" si="1"/>
        <v>#DIV/0!</v>
      </c>
      <c r="M21" s="464" t="e">
        <f t="shared" si="1"/>
        <v>#DIV/0!</v>
      </c>
      <c r="N21" s="366"/>
      <c r="O21" s="647">
        <f t="shared" si="2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346</v>
      </c>
      <c r="D22" s="502">
        <f t="shared" si="3"/>
        <v>0</v>
      </c>
      <c r="E22" s="499"/>
      <c r="F22" s="446"/>
      <c r="G22" s="503"/>
      <c r="H22" s="498">
        <f>SUM($F$9:F22)/A22</f>
        <v>0</v>
      </c>
      <c r="I22" s="499">
        <f>SUM($G$9:G22)/A22</f>
        <v>0</v>
      </c>
      <c r="J22" s="443">
        <f t="shared" si="0"/>
        <v>0</v>
      </c>
      <c r="K22" s="459">
        <f>K21+E22-G22</f>
        <v>0</v>
      </c>
      <c r="L22" s="495" t="e">
        <f t="shared" si="1"/>
        <v>#DIV/0!</v>
      </c>
      <c r="M22" s="464" t="e">
        <f t="shared" si="1"/>
        <v>#DIV/0!</v>
      </c>
      <c r="N22" s="366"/>
      <c r="O22" s="647">
        <f t="shared" si="2"/>
        <v>0</v>
      </c>
    </row>
    <row r="23" spans="1:15" s="367" customFormat="1" ht="12" customHeight="1">
      <c r="A23" s="504">
        <v>15</v>
      </c>
      <c r="B23" s="365">
        <f>'FRIT HGE91-FHG'!B23</f>
        <v>46249</v>
      </c>
      <c r="C23" s="331" t="s">
        <v>104</v>
      </c>
      <c r="D23" s="502">
        <f t="shared" si="3"/>
        <v>0</v>
      </c>
      <c r="E23" s="499"/>
      <c r="F23" s="446"/>
      <c r="G23" s="503"/>
      <c r="H23" s="504">
        <f>SUM($F$9:F23)/A23</f>
        <v>0</v>
      </c>
      <c r="I23" s="499">
        <f>SUM($G$9:G23)/A23</f>
        <v>0</v>
      </c>
      <c r="J23" s="504">
        <f t="shared" si="0"/>
        <v>0</v>
      </c>
      <c r="K23" s="459">
        <f t="shared" si="0"/>
        <v>0</v>
      </c>
      <c r="L23" s="505" t="e">
        <f t="shared" si="1"/>
        <v>#DIV/0!</v>
      </c>
      <c r="M23" s="464" t="e">
        <f t="shared" si="1"/>
        <v>#DIV/0!</v>
      </c>
      <c r="N23" s="366"/>
      <c r="O23" s="647">
        <f t="shared" si="2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502">
        <f t="shared" si="3"/>
        <v>0</v>
      </c>
      <c r="E24" s="499"/>
      <c r="F24" s="446"/>
      <c r="G24" s="503"/>
      <c r="H24" s="498">
        <f>SUM($F$9:F24)/A24</f>
        <v>0</v>
      </c>
      <c r="I24" s="499">
        <f>SUM($G$9:G24)/A24</f>
        <v>0</v>
      </c>
      <c r="J24" s="443">
        <f t="shared" si="0"/>
        <v>0</v>
      </c>
      <c r="K24" s="459">
        <f>K23+E24-G24</f>
        <v>0</v>
      </c>
      <c r="L24" s="495" t="e">
        <f t="shared" si="1"/>
        <v>#DIV/0!</v>
      </c>
      <c r="M24" s="464" t="e">
        <f t="shared" si="1"/>
        <v>#DIV/0!</v>
      </c>
      <c r="N24" s="366"/>
      <c r="O24" s="647">
        <f t="shared" si="2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502">
        <f t="shared" si="3"/>
        <v>0</v>
      </c>
      <c r="E25" s="499"/>
      <c r="F25" s="446"/>
      <c r="G25" s="503"/>
      <c r="H25" s="498">
        <f>SUM($F$9:F25)/A25</f>
        <v>0</v>
      </c>
      <c r="I25" s="499">
        <f>SUM($G$9:G25)/A25</f>
        <v>0</v>
      </c>
      <c r="J25" s="443">
        <f t="shared" ref="J25:K39" si="4">J24+D25-F25</f>
        <v>0</v>
      </c>
      <c r="K25" s="459">
        <f>K24+E25-G25</f>
        <v>0</v>
      </c>
      <c r="L25" s="495" t="e">
        <f t="shared" ref="L25:M39" si="5">J25/H25</f>
        <v>#DIV/0!</v>
      </c>
      <c r="M25" s="464" t="e">
        <f t="shared" si="5"/>
        <v>#DIV/0!</v>
      </c>
      <c r="N25" s="366"/>
      <c r="O25" s="647">
        <f t="shared" si="2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502">
        <f t="shared" si="3"/>
        <v>0</v>
      </c>
      <c r="E26" s="499"/>
      <c r="F26" s="446"/>
      <c r="G26" s="503"/>
      <c r="H26" s="498">
        <f>SUM($F$9:F26)/A26</f>
        <v>0</v>
      </c>
      <c r="I26" s="499">
        <f>SUM($G$9:G26)/A26</f>
        <v>0</v>
      </c>
      <c r="J26" s="443">
        <f t="shared" si="4"/>
        <v>0</v>
      </c>
      <c r="K26" s="459">
        <f>K25+E26-G26</f>
        <v>0</v>
      </c>
      <c r="L26" s="495" t="e">
        <f t="shared" si="5"/>
        <v>#DIV/0!</v>
      </c>
      <c r="M26" s="464" t="e">
        <f t="shared" si="5"/>
        <v>#DIV/0!</v>
      </c>
      <c r="N26" s="366"/>
      <c r="O26" s="647">
        <f t="shared" si="2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104</v>
      </c>
      <c r="D27" s="502">
        <f t="shared" si="3"/>
        <v>0</v>
      </c>
      <c r="E27" s="499"/>
      <c r="F27" s="446"/>
      <c r="G27" s="503"/>
      <c r="H27" s="498">
        <f>SUM($F$9:F27)/A27</f>
        <v>0</v>
      </c>
      <c r="I27" s="499">
        <f>SUM($G$9:G27)/A27</f>
        <v>0</v>
      </c>
      <c r="J27" s="443">
        <f t="shared" si="4"/>
        <v>0</v>
      </c>
      <c r="K27" s="459">
        <f>K26+E27-G27</f>
        <v>0</v>
      </c>
      <c r="L27" s="495" t="e">
        <f t="shared" si="5"/>
        <v>#DIV/0!</v>
      </c>
      <c r="M27" s="464" t="e">
        <f t="shared" si="5"/>
        <v>#DIV/0!</v>
      </c>
      <c r="N27" s="366"/>
      <c r="O27" s="647">
        <f t="shared" si="2"/>
        <v>0</v>
      </c>
    </row>
    <row r="28" spans="1:15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502">
        <f t="shared" si="3"/>
        <v>0</v>
      </c>
      <c r="E28" s="499"/>
      <c r="F28" s="446"/>
      <c r="G28" s="503"/>
      <c r="H28" s="504">
        <f>SUM($F$9:F28)/A28</f>
        <v>0</v>
      </c>
      <c r="I28" s="499">
        <f>SUM($G$9:G28)/A28</f>
        <v>0</v>
      </c>
      <c r="J28" s="504">
        <f t="shared" si="4"/>
        <v>0</v>
      </c>
      <c r="K28" s="459">
        <f t="shared" si="4"/>
        <v>0</v>
      </c>
      <c r="L28" s="505" t="e">
        <f t="shared" si="5"/>
        <v>#DIV/0!</v>
      </c>
      <c r="M28" s="464" t="e">
        <f t="shared" si="5"/>
        <v>#DIV/0!</v>
      </c>
      <c r="N28" s="366"/>
      <c r="O28" s="647">
        <f t="shared" si="2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502">
        <f t="shared" si="3"/>
        <v>0</v>
      </c>
      <c r="E29" s="499"/>
      <c r="F29" s="446"/>
      <c r="G29" s="503"/>
      <c r="H29" s="498">
        <f>SUM($F$9:F29)/A29</f>
        <v>0</v>
      </c>
      <c r="I29" s="499">
        <f>SUM($G$9:G29)/A29</f>
        <v>0</v>
      </c>
      <c r="J29" s="443">
        <f t="shared" si="4"/>
        <v>0</v>
      </c>
      <c r="K29" s="459">
        <f t="shared" si="4"/>
        <v>0</v>
      </c>
      <c r="L29" s="495" t="e">
        <f t="shared" si="5"/>
        <v>#DIV/0!</v>
      </c>
      <c r="M29" s="464" t="e">
        <f t="shared" si="5"/>
        <v>#DIV/0!</v>
      </c>
      <c r="N29" s="366"/>
      <c r="O29" s="647">
        <f t="shared" si="2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502">
        <f t="shared" si="3"/>
        <v>0</v>
      </c>
      <c r="E30" s="499"/>
      <c r="F30" s="446"/>
      <c r="G30" s="503"/>
      <c r="H30" s="498">
        <f>SUM($F$9:F30)/A30</f>
        <v>0</v>
      </c>
      <c r="I30" s="499">
        <f>SUM($G$9:G30)/A30</f>
        <v>0</v>
      </c>
      <c r="J30" s="443">
        <f t="shared" si="4"/>
        <v>0</v>
      </c>
      <c r="K30" s="459">
        <f t="shared" si="4"/>
        <v>0</v>
      </c>
      <c r="L30" s="495" t="e">
        <f t="shared" si="5"/>
        <v>#DIV/0!</v>
      </c>
      <c r="M30" s="464" t="e">
        <f t="shared" si="5"/>
        <v>#DIV/0!</v>
      </c>
      <c r="N30" s="366"/>
      <c r="O30" s="647">
        <f t="shared" si="2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502">
        <f t="shared" si="3"/>
        <v>0</v>
      </c>
      <c r="E31" s="499"/>
      <c r="F31" s="446"/>
      <c r="G31" s="503"/>
      <c r="H31" s="498">
        <f>SUM($F$9:F31)/A31</f>
        <v>0</v>
      </c>
      <c r="I31" s="499">
        <f>SUM($G$9:G31)/A31</f>
        <v>0</v>
      </c>
      <c r="J31" s="443">
        <f t="shared" si="4"/>
        <v>0</v>
      </c>
      <c r="K31" s="459">
        <f t="shared" si="4"/>
        <v>0</v>
      </c>
      <c r="L31" s="495" t="e">
        <f t="shared" si="5"/>
        <v>#DIV/0!</v>
      </c>
      <c r="M31" s="464" t="e">
        <f t="shared" si="5"/>
        <v>#DIV/0!</v>
      </c>
      <c r="N31" s="366"/>
      <c r="O31" s="647">
        <f t="shared" si="2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346</v>
      </c>
      <c r="D32" s="502">
        <f t="shared" si="3"/>
        <v>0</v>
      </c>
      <c r="E32" s="499"/>
      <c r="F32" s="446"/>
      <c r="G32" s="503"/>
      <c r="H32" s="498">
        <f>SUM($F$9:F32)/A32</f>
        <v>0</v>
      </c>
      <c r="I32" s="499">
        <f>SUM($G$9:G32)/A32</f>
        <v>0</v>
      </c>
      <c r="J32" s="443">
        <f t="shared" si="4"/>
        <v>0</v>
      </c>
      <c r="K32" s="459">
        <f t="shared" si="4"/>
        <v>0</v>
      </c>
      <c r="L32" s="495" t="e">
        <f t="shared" si="5"/>
        <v>#DIV/0!</v>
      </c>
      <c r="M32" s="464" t="e">
        <f t="shared" si="5"/>
        <v>#DIV/0!</v>
      </c>
      <c r="N32" s="366"/>
      <c r="O32" s="647">
        <f t="shared" si="2"/>
        <v>0</v>
      </c>
    </row>
    <row r="33" spans="1:17" s="367" customFormat="1" ht="12" customHeight="1">
      <c r="A33" s="460">
        <v>25</v>
      </c>
      <c r="B33" s="365">
        <f>'FRIT HGE91-FHG'!B33</f>
        <v>46259</v>
      </c>
      <c r="C33" s="331" t="s">
        <v>104</v>
      </c>
      <c r="D33" s="502">
        <f t="shared" si="3"/>
        <v>0</v>
      </c>
      <c r="E33" s="499"/>
      <c r="F33" s="446"/>
      <c r="G33" s="503"/>
      <c r="H33" s="460">
        <f>SUM($F$9:F33)/A33</f>
        <v>0</v>
      </c>
      <c r="I33" s="499">
        <f>SUM($G$9:G33)/A33</f>
        <v>0</v>
      </c>
      <c r="J33" s="460">
        <f t="shared" si="4"/>
        <v>0</v>
      </c>
      <c r="K33" s="459">
        <f t="shared" si="4"/>
        <v>0</v>
      </c>
      <c r="L33" s="506" t="e">
        <f t="shared" si="5"/>
        <v>#DIV/0!</v>
      </c>
      <c r="M33" s="464" t="e">
        <f t="shared" si="5"/>
        <v>#DIV/0!</v>
      </c>
      <c r="N33" s="366"/>
      <c r="O33" s="647">
        <f t="shared" si="2"/>
        <v>0</v>
      </c>
    </row>
    <row r="34" spans="1:17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3"/>
        <v>0</v>
      </c>
      <c r="E34" s="499"/>
      <c r="F34" s="446"/>
      <c r="G34" s="503"/>
      <c r="H34" s="498">
        <f>SUM($F$9:F34)/A34</f>
        <v>0</v>
      </c>
      <c r="I34" s="499">
        <f>SUM($G$9:G34)/A34</f>
        <v>0</v>
      </c>
      <c r="J34" s="443">
        <f t="shared" si="4"/>
        <v>0</v>
      </c>
      <c r="K34" s="459">
        <f t="shared" si="4"/>
        <v>0</v>
      </c>
      <c r="L34" s="495" t="e">
        <f t="shared" si="5"/>
        <v>#DIV/0!</v>
      </c>
      <c r="M34" s="464" t="e">
        <f t="shared" si="5"/>
        <v>#DIV/0!</v>
      </c>
      <c r="N34" s="366"/>
      <c r="O34" s="647">
        <f t="shared" si="2"/>
        <v>0</v>
      </c>
    </row>
    <row r="35" spans="1:17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502">
        <f t="shared" si="3"/>
        <v>0</v>
      </c>
      <c r="E35" s="499"/>
      <c r="F35" s="446"/>
      <c r="G35" s="503"/>
      <c r="H35" s="498">
        <f>SUM($F$9:F35)/A35</f>
        <v>0</v>
      </c>
      <c r="I35" s="499">
        <f>SUM($G$9:G35)/A35</f>
        <v>0</v>
      </c>
      <c r="J35" s="443">
        <f t="shared" si="4"/>
        <v>0</v>
      </c>
      <c r="K35" s="459">
        <f t="shared" si="4"/>
        <v>0</v>
      </c>
      <c r="L35" s="495" t="e">
        <f t="shared" si="5"/>
        <v>#DIV/0!</v>
      </c>
      <c r="M35" s="464" t="e">
        <f t="shared" si="5"/>
        <v>#DIV/0!</v>
      </c>
      <c r="N35" s="366"/>
      <c r="O35" s="647">
        <f t="shared" si="2"/>
        <v>0</v>
      </c>
    </row>
    <row r="36" spans="1:17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 t="shared" si="3"/>
        <v>0</v>
      </c>
      <c r="E36" s="499"/>
      <c r="F36" s="446"/>
      <c r="G36" s="503"/>
      <c r="H36" s="498">
        <f>SUM($F$9:F36)/A36</f>
        <v>0</v>
      </c>
      <c r="I36" s="499">
        <f>SUM($G$9:G36)/A36</f>
        <v>0</v>
      </c>
      <c r="J36" s="443">
        <f t="shared" si="4"/>
        <v>0</v>
      </c>
      <c r="K36" s="459">
        <f t="shared" si="4"/>
        <v>0</v>
      </c>
      <c r="L36" s="495" t="e">
        <f t="shared" si="5"/>
        <v>#DIV/0!</v>
      </c>
      <c r="M36" s="464" t="e">
        <f t="shared" si="5"/>
        <v>#DIV/0!</v>
      </c>
      <c r="N36" s="366"/>
      <c r="O36" s="647">
        <f t="shared" si="2"/>
        <v>0</v>
      </c>
    </row>
    <row r="37" spans="1:17" s="367" customFormat="1" ht="12" customHeight="1">
      <c r="A37" s="364">
        <v>29</v>
      </c>
      <c r="B37" s="365">
        <f>'FRIT HGE91-FHG'!B37</f>
        <v>46263</v>
      </c>
      <c r="C37" s="331" t="s">
        <v>346</v>
      </c>
      <c r="D37" s="502">
        <f t="shared" si="3"/>
        <v>0</v>
      </c>
      <c r="E37" s="499"/>
      <c r="F37" s="446"/>
      <c r="G37" s="503"/>
      <c r="H37" s="498">
        <f>SUM($F$9:F37)/A37</f>
        <v>0</v>
      </c>
      <c r="I37" s="499">
        <f>SUM($G$9:G37)/A37</f>
        <v>0</v>
      </c>
      <c r="J37" s="443">
        <f t="shared" si="4"/>
        <v>0</v>
      </c>
      <c r="K37" s="459">
        <f t="shared" si="4"/>
        <v>0</v>
      </c>
      <c r="L37" s="495" t="e">
        <f t="shared" si="5"/>
        <v>#DIV/0!</v>
      </c>
      <c r="M37" s="464" t="e">
        <f t="shared" si="5"/>
        <v>#DIV/0!</v>
      </c>
      <c r="N37" s="366"/>
      <c r="O37" s="647">
        <f t="shared" si="2"/>
        <v>0</v>
      </c>
    </row>
    <row r="38" spans="1:17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502">
        <f t="shared" si="3"/>
        <v>0</v>
      </c>
      <c r="E38" s="499"/>
      <c r="F38" s="446"/>
      <c r="G38" s="503"/>
      <c r="H38" s="504">
        <f>SUM($F$9:F38)/A38</f>
        <v>0</v>
      </c>
      <c r="I38" s="499">
        <f>SUM($G$9:G38)/A38</f>
        <v>0</v>
      </c>
      <c r="J38" s="504">
        <f t="shared" si="4"/>
        <v>0</v>
      </c>
      <c r="K38" s="459">
        <f t="shared" si="4"/>
        <v>0</v>
      </c>
      <c r="L38" s="505" t="e">
        <f t="shared" si="5"/>
        <v>#DIV/0!</v>
      </c>
      <c r="M38" s="464" t="e">
        <f t="shared" si="5"/>
        <v>#DIV/0!</v>
      </c>
      <c r="N38" s="366"/>
      <c r="O38" s="647">
        <f t="shared" si="2"/>
        <v>0</v>
      </c>
    </row>
    <row r="39" spans="1:17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502">
        <f t="shared" si="3"/>
        <v>0</v>
      </c>
      <c r="E39" s="499"/>
      <c r="F39" s="446"/>
      <c r="G39" s="503"/>
      <c r="H39" s="498">
        <f>SUM($F$9:F39)/A39</f>
        <v>0</v>
      </c>
      <c r="I39" s="499">
        <f>SUM($G$9:G39)/A39</f>
        <v>0</v>
      </c>
      <c r="J39" s="443">
        <f t="shared" si="4"/>
        <v>0</v>
      </c>
      <c r="K39" s="459">
        <f t="shared" si="4"/>
        <v>0</v>
      </c>
      <c r="L39" s="495" t="e">
        <f t="shared" si="5"/>
        <v>#DIV/0!</v>
      </c>
      <c r="M39" s="464" t="e">
        <f t="shared" si="5"/>
        <v>#DIV/0!</v>
      </c>
      <c r="N39" s="366"/>
      <c r="O39" s="647">
        <f t="shared" si="2"/>
        <v>0</v>
      </c>
    </row>
    <row r="40" spans="1:17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Q40" s="367"/>
    </row>
    <row r="41" spans="1:17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461">
        <f>E41-G41</f>
        <v>0</v>
      </c>
      <c r="L41" s="464"/>
      <c r="M41" s="464"/>
      <c r="N41" s="507"/>
      <c r="Q41" s="367"/>
    </row>
    <row r="42" spans="1:17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Q42" s="367"/>
    </row>
    <row r="43" spans="1:17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7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7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7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7">
      <c r="D47" s="143"/>
      <c r="E47" s="143"/>
      <c r="F47" s="143"/>
      <c r="G47" s="143"/>
      <c r="H47" s="143"/>
      <c r="I47" s="143"/>
      <c r="J47" s="143"/>
      <c r="K47" s="143"/>
    </row>
    <row r="48" spans="1:17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2"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2062" priority="415" operator="lessThan">
      <formula>15</formula>
    </cfRule>
    <cfRule type="cellIs" dxfId="12061" priority="416" operator="greaterThan">
      <formula>20</formula>
    </cfRule>
    <cfRule type="cellIs" dxfId="12060" priority="417" operator="between">
      <formula>15</formula>
      <formula>20</formula>
    </cfRule>
    <cfRule type="cellIs" dxfId="12059" priority="418" operator="between">
      <formula>15</formula>
      <formula>20</formula>
    </cfRule>
    <cfRule type="cellIs" dxfId="12058" priority="419" operator="lessThan">
      <formula>15</formula>
    </cfRule>
    <cfRule type="cellIs" dxfId="12057" priority="420" operator="greaterThan">
      <formula>20</formula>
    </cfRule>
    <cfRule type="cellIs" dxfId="12056" priority="421" operator="between">
      <formula>15</formula>
      <formula>21</formula>
    </cfRule>
    <cfRule type="cellIs" dxfId="12055" priority="422" operator="lessThan">
      <formula>15</formula>
    </cfRule>
    <cfRule type="cellIs" dxfId="12054" priority="423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zoomScaleSheetLayoutView="80" workbookViewId="0">
      <pane ySplit="8" topLeftCell="A18" activePane="bottomLeft" state="frozen"/>
      <selection pane="bottomLeft" activeCell="P26" sqref="P26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4" width="6.42578125" style="143" customWidth="1"/>
    <col min="15" max="18" width="11.8554687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</row>
    <row r="4" spans="1:29" s="749" customFormat="1" ht="18.75" customHeight="1">
      <c r="A4" s="1600" t="s">
        <v>33</v>
      </c>
      <c r="B4" s="1600"/>
      <c r="C4" s="316" t="str">
        <f>J4</f>
        <v>FRIT 502-ACV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1131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324"/>
      <c r="U6" s="324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26577.645</v>
      </c>
      <c r="E8" s="388">
        <f>K8</f>
        <v>26765</v>
      </c>
      <c r="F8" s="389">
        <f>F40</f>
        <v>38925</v>
      </c>
      <c r="G8" s="388">
        <f>G40</f>
        <v>39387</v>
      </c>
      <c r="H8" s="387"/>
      <c r="I8" s="388"/>
      <c r="J8" s="624">
        <f>K8-K8*N8</f>
        <v>26577.645</v>
      </c>
      <c r="K8" s="324">
        <v>26765</v>
      </c>
      <c r="L8" s="462"/>
      <c r="M8" s="463"/>
      <c r="N8" s="366">
        <v>7.0000000000000001E-3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1688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104</v>
      </c>
      <c r="D9" s="502">
        <f>E9-E9*N9</f>
        <v>0</v>
      </c>
      <c r="E9" s="499"/>
      <c r="F9" s="446">
        <f>O9+Q9</f>
        <v>1125</v>
      </c>
      <c r="G9" s="503">
        <f>P9+R9</f>
        <v>1136</v>
      </c>
      <c r="H9" s="498">
        <f>SUM($F$9:F9)/A9</f>
        <v>1125</v>
      </c>
      <c r="I9" s="499">
        <f>SUM($G$9:G9)/A9</f>
        <v>1136</v>
      </c>
      <c r="J9" s="443">
        <f t="shared" ref="J9:K24" si="0">J8+D9-F9</f>
        <v>25452.645</v>
      </c>
      <c r="K9" s="459">
        <f t="shared" si="0"/>
        <v>25629</v>
      </c>
      <c r="L9" s="495">
        <f t="shared" ref="L9:M24" si="1">J9/H9</f>
        <v>22.624573333333334</v>
      </c>
      <c r="M9" s="464">
        <f t="shared" si="1"/>
        <v>22.56073943661972</v>
      </c>
      <c r="N9" s="366"/>
      <c r="O9" s="446">
        <v>1125</v>
      </c>
      <c r="P9" s="446">
        <v>1136</v>
      </c>
      <c r="Q9" s="446"/>
      <c r="R9" s="446"/>
      <c r="S9" s="647">
        <f>J9/$S$8</f>
        <v>15.078581161137441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502">
        <f>E10-E10*N10</f>
        <v>0</v>
      </c>
      <c r="E10" s="499"/>
      <c r="F10" s="446">
        <f t="shared" ref="F10:G39" si="2">O10+Q10</f>
        <v>2475</v>
      </c>
      <c r="G10" s="503">
        <f t="shared" si="2"/>
        <v>2500</v>
      </c>
      <c r="H10" s="498">
        <f>SUM($F$9:F10)/A10</f>
        <v>1800</v>
      </c>
      <c r="I10" s="499">
        <f>SUM($G$9:G10)/A10</f>
        <v>1818</v>
      </c>
      <c r="J10" s="443">
        <f t="shared" si="0"/>
        <v>22977.645</v>
      </c>
      <c r="K10" s="459">
        <f t="shared" si="0"/>
        <v>23129</v>
      </c>
      <c r="L10" s="495">
        <f t="shared" si="1"/>
        <v>12.765358333333333</v>
      </c>
      <c r="M10" s="464">
        <f t="shared" si="1"/>
        <v>12.722222222222221</v>
      </c>
      <c r="N10" s="366"/>
      <c r="O10" s="446">
        <v>1125</v>
      </c>
      <c r="P10" s="446">
        <v>1136</v>
      </c>
      <c r="Q10" s="446">
        <v>1350</v>
      </c>
      <c r="R10" s="446">
        <v>1364</v>
      </c>
      <c r="S10" s="647">
        <f t="shared" ref="S10:S39" si="3">J10/$S$8</f>
        <v>13.61234893364929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502">
        <f>E11-E11*N11</f>
        <v>0</v>
      </c>
      <c r="E11" s="499"/>
      <c r="F11" s="446">
        <f t="shared" si="2"/>
        <v>2250</v>
      </c>
      <c r="G11" s="503">
        <f t="shared" si="2"/>
        <v>2272</v>
      </c>
      <c r="H11" s="498">
        <f>SUM($F$9:F11)/A11</f>
        <v>1950</v>
      </c>
      <c r="I11" s="499">
        <f>SUM($G$9:G11)/A11</f>
        <v>1969.3333333333333</v>
      </c>
      <c r="J11" s="443">
        <f t="shared" si="0"/>
        <v>20727.645</v>
      </c>
      <c r="K11" s="459">
        <f t="shared" si="0"/>
        <v>20857</v>
      </c>
      <c r="L11" s="495">
        <f t="shared" si="1"/>
        <v>10.629561538461539</v>
      </c>
      <c r="M11" s="464">
        <f t="shared" si="1"/>
        <v>10.590893703452945</v>
      </c>
      <c r="N11" s="366"/>
      <c r="O11" s="446">
        <v>2250</v>
      </c>
      <c r="P11" s="446">
        <v>2272</v>
      </c>
      <c r="Q11" s="446"/>
      <c r="R11" s="446"/>
      <c r="S11" s="647">
        <f t="shared" si="3"/>
        <v>12.279410545023698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104</v>
      </c>
      <c r="D12" s="502">
        <f>E12-E12*N12</f>
        <v>0</v>
      </c>
      <c r="E12" s="499"/>
      <c r="F12" s="446">
        <f t="shared" si="2"/>
        <v>2475</v>
      </c>
      <c r="G12" s="503">
        <f t="shared" si="2"/>
        <v>2508</v>
      </c>
      <c r="H12" s="498">
        <f>SUM($F$9:F12)/A12</f>
        <v>2081.25</v>
      </c>
      <c r="I12" s="499">
        <f>SUM($G$9:G12)/A12</f>
        <v>2104</v>
      </c>
      <c r="J12" s="443">
        <f t="shared" si="0"/>
        <v>18252.645</v>
      </c>
      <c r="K12" s="459">
        <f t="shared" si="0"/>
        <v>18349</v>
      </c>
      <c r="L12" s="495">
        <f t="shared" si="1"/>
        <v>8.7700396396396396</v>
      </c>
      <c r="M12" s="464">
        <f t="shared" si="1"/>
        <v>8.7210076045627378</v>
      </c>
      <c r="N12" s="366"/>
      <c r="O12" s="446">
        <v>1125</v>
      </c>
      <c r="P12" s="446">
        <v>1140</v>
      </c>
      <c r="Q12" s="446">
        <v>1350</v>
      </c>
      <c r="R12" s="446">
        <v>1368</v>
      </c>
      <c r="S12" s="647">
        <f t="shared" si="3"/>
        <v>10.813178317535545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502">
        <f t="shared" ref="D13:D39" si="4">E13-E13*N13</f>
        <v>0</v>
      </c>
      <c r="E13" s="499"/>
      <c r="F13" s="446">
        <f t="shared" si="2"/>
        <v>3285</v>
      </c>
      <c r="G13" s="503">
        <f t="shared" si="2"/>
        <v>3329</v>
      </c>
      <c r="H13" s="504">
        <f>SUM($F$9:F13)/A13</f>
        <v>2322</v>
      </c>
      <c r="I13" s="499">
        <f>SUM($G$9:G13)/A13</f>
        <v>2349</v>
      </c>
      <c r="J13" s="504">
        <f t="shared" si="0"/>
        <v>14967.645</v>
      </c>
      <c r="K13" s="459">
        <f t="shared" si="0"/>
        <v>15020</v>
      </c>
      <c r="L13" s="505">
        <f t="shared" si="1"/>
        <v>6.4460142118863049</v>
      </c>
      <c r="M13" s="464">
        <f t="shared" si="1"/>
        <v>6.3942103022562788</v>
      </c>
      <c r="N13" s="366"/>
      <c r="O13" s="446">
        <v>1935</v>
      </c>
      <c r="P13" s="446">
        <v>1961</v>
      </c>
      <c r="Q13" s="446">
        <v>1350</v>
      </c>
      <c r="R13" s="446">
        <v>1368</v>
      </c>
      <c r="S13" s="647">
        <f t="shared" si="3"/>
        <v>8.8670882701421796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502">
        <f t="shared" si="4"/>
        <v>14764.532999999999</v>
      </c>
      <c r="E14" s="499">
        <v>14959</v>
      </c>
      <c r="F14" s="446">
        <f t="shared" si="2"/>
        <v>2475</v>
      </c>
      <c r="G14" s="503">
        <f t="shared" si="2"/>
        <v>2503</v>
      </c>
      <c r="H14" s="498">
        <f>SUM($F$9:F14)/A14</f>
        <v>2347.5</v>
      </c>
      <c r="I14" s="499">
        <f>SUM($G$9:G14)/A14</f>
        <v>2374.6666666666665</v>
      </c>
      <c r="J14" s="443">
        <f t="shared" si="0"/>
        <v>27257.178</v>
      </c>
      <c r="K14" s="459">
        <f t="shared" si="0"/>
        <v>27476</v>
      </c>
      <c r="L14" s="495">
        <f>J14/H14</f>
        <v>11.61115143769968</v>
      </c>
      <c r="M14" s="464">
        <f t="shared" si="1"/>
        <v>11.570466030320045</v>
      </c>
      <c r="N14" s="366">
        <v>1.2999999999999999E-2</v>
      </c>
      <c r="O14" s="446">
        <v>1125</v>
      </c>
      <c r="P14" s="446">
        <v>1138</v>
      </c>
      <c r="Q14" s="446">
        <v>1350</v>
      </c>
      <c r="R14" s="446">
        <v>1365</v>
      </c>
      <c r="S14" s="647">
        <f t="shared" si="3"/>
        <v>16.147617298578201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502">
        <f t="shared" si="4"/>
        <v>0</v>
      </c>
      <c r="E15" s="499"/>
      <c r="F15" s="446">
        <f t="shared" si="2"/>
        <v>2475</v>
      </c>
      <c r="G15" s="503">
        <f t="shared" si="2"/>
        <v>2503</v>
      </c>
      <c r="H15" s="498">
        <f>SUM($F$9:F15)/A15</f>
        <v>2365.7142857142858</v>
      </c>
      <c r="I15" s="499">
        <f>SUM($G$9:G15)/A15</f>
        <v>2393</v>
      </c>
      <c r="J15" s="443">
        <f t="shared" si="0"/>
        <v>24782.178</v>
      </c>
      <c r="K15" s="459">
        <f t="shared" si="0"/>
        <v>24973</v>
      </c>
      <c r="L15" s="495">
        <f t="shared" si="1"/>
        <v>10.475558333333334</v>
      </c>
      <c r="M15" s="464">
        <f t="shared" si="1"/>
        <v>10.435854575846218</v>
      </c>
      <c r="N15" s="366"/>
      <c r="O15" s="446">
        <v>1125</v>
      </c>
      <c r="P15" s="446">
        <v>1138</v>
      </c>
      <c r="Q15" s="446">
        <v>1350</v>
      </c>
      <c r="R15" s="446">
        <v>1365</v>
      </c>
      <c r="S15" s="647">
        <f t="shared" si="3"/>
        <v>14.681385071090048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502">
        <f t="shared" si="4"/>
        <v>24401.404999999999</v>
      </c>
      <c r="E16" s="499">
        <v>24773</v>
      </c>
      <c r="F16" s="446">
        <f t="shared" si="2"/>
        <v>4950</v>
      </c>
      <c r="G16" s="503">
        <f t="shared" si="2"/>
        <v>5006</v>
      </c>
      <c r="H16" s="498">
        <f>SUM($F$9:F16)/A16</f>
        <v>2688.75</v>
      </c>
      <c r="I16" s="499">
        <f>SUM($G$9:G16)/A16</f>
        <v>2719.625</v>
      </c>
      <c r="J16" s="443">
        <f t="shared" si="0"/>
        <v>44233.582999999999</v>
      </c>
      <c r="K16" s="459">
        <f t="shared" si="0"/>
        <v>44740</v>
      </c>
      <c r="L16" s="495">
        <f t="shared" si="1"/>
        <v>16.451355834495583</v>
      </c>
      <c r="M16" s="464">
        <f t="shared" si="1"/>
        <v>16.450797444500619</v>
      </c>
      <c r="N16" s="366">
        <v>1.4999999999999999E-2</v>
      </c>
      <c r="O16" s="446">
        <v>2250</v>
      </c>
      <c r="P16" s="446">
        <v>2276</v>
      </c>
      <c r="Q16" s="446">
        <v>2700</v>
      </c>
      <c r="R16" s="446">
        <v>2730</v>
      </c>
      <c r="S16" s="647">
        <f t="shared" si="3"/>
        <v>26.204729265402843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502">
        <f t="shared" si="4"/>
        <v>0</v>
      </c>
      <c r="E17" s="499"/>
      <c r="F17" s="446">
        <f t="shared" si="2"/>
        <v>2475</v>
      </c>
      <c r="G17" s="503">
        <f t="shared" si="2"/>
        <v>2503</v>
      </c>
      <c r="H17" s="498">
        <f>SUM($F$9:F17)/A17</f>
        <v>2665</v>
      </c>
      <c r="I17" s="499">
        <f>SUM($G$9:G17)/A17</f>
        <v>2695.5555555555557</v>
      </c>
      <c r="J17" s="443">
        <f t="shared" si="0"/>
        <v>41758.582999999999</v>
      </c>
      <c r="K17" s="459">
        <f t="shared" si="0"/>
        <v>42237</v>
      </c>
      <c r="L17" s="495">
        <f t="shared" si="1"/>
        <v>15.66926191369606</v>
      </c>
      <c r="M17" s="464">
        <f t="shared" si="1"/>
        <v>15.669126133553174</v>
      </c>
      <c r="N17" s="366"/>
      <c r="O17" s="446">
        <v>1125</v>
      </c>
      <c r="P17" s="446">
        <v>1138</v>
      </c>
      <c r="Q17" s="446">
        <v>1350</v>
      </c>
      <c r="R17" s="446">
        <v>1365</v>
      </c>
      <c r="S17" s="647">
        <f t="shared" si="3"/>
        <v>24.738497037914691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104</v>
      </c>
      <c r="D18" s="502">
        <f t="shared" si="4"/>
        <v>0</v>
      </c>
      <c r="E18" s="499"/>
      <c r="F18" s="446">
        <f t="shared" si="2"/>
        <v>3690</v>
      </c>
      <c r="G18" s="503">
        <f t="shared" si="2"/>
        <v>3734</v>
      </c>
      <c r="H18" s="504">
        <f>SUM($F$9:F18)/A18</f>
        <v>2767.5</v>
      </c>
      <c r="I18" s="499">
        <f>SUM($G$9:G18)/A18</f>
        <v>2799.4</v>
      </c>
      <c r="J18" s="504">
        <f t="shared" si="0"/>
        <v>38068.582999999999</v>
      </c>
      <c r="K18" s="459">
        <f t="shared" si="0"/>
        <v>38503</v>
      </c>
      <c r="L18" s="505">
        <f t="shared" si="1"/>
        <v>13.755585546522131</v>
      </c>
      <c r="M18" s="464">
        <f t="shared" si="1"/>
        <v>13.754018718296777</v>
      </c>
      <c r="N18" s="366"/>
      <c r="O18" s="446">
        <v>2250</v>
      </c>
      <c r="P18" s="446">
        <v>2278</v>
      </c>
      <c r="Q18" s="446">
        <v>1440</v>
      </c>
      <c r="R18" s="446">
        <v>1456</v>
      </c>
      <c r="S18" s="647">
        <f t="shared" si="3"/>
        <v>22.552478080568719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346</v>
      </c>
      <c r="D19" s="502">
        <f>E19-E19*N19</f>
        <v>0</v>
      </c>
      <c r="E19" s="499"/>
      <c r="F19" s="446">
        <f t="shared" si="2"/>
        <v>1125</v>
      </c>
      <c r="G19" s="503">
        <f t="shared" si="2"/>
        <v>1139</v>
      </c>
      <c r="H19" s="498">
        <f>SUM($F$9:F19)/A19</f>
        <v>2618.181818181818</v>
      </c>
      <c r="I19" s="499">
        <f>SUM($G$9:G19)/A19</f>
        <v>2648.4545454545455</v>
      </c>
      <c r="J19" s="443">
        <f t="shared" si="0"/>
        <v>36943.582999999999</v>
      </c>
      <c r="K19" s="459">
        <f t="shared" si="0"/>
        <v>37364</v>
      </c>
      <c r="L19" s="495">
        <f t="shared" si="1"/>
        <v>14.110396284722222</v>
      </c>
      <c r="M19" s="464">
        <f t="shared" si="1"/>
        <v>14.107850204235746</v>
      </c>
      <c r="N19" s="366"/>
      <c r="O19" s="446">
        <v>1125</v>
      </c>
      <c r="P19" s="446">
        <v>1139</v>
      </c>
      <c r="Q19" s="446"/>
      <c r="R19" s="446"/>
      <c r="S19" s="647">
        <f t="shared" si="3"/>
        <v>21.886008886255922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104</v>
      </c>
      <c r="D20" s="502">
        <f t="shared" si="4"/>
        <v>0</v>
      </c>
      <c r="E20" s="499"/>
      <c r="F20" s="446">
        <f t="shared" si="2"/>
        <v>1125</v>
      </c>
      <c r="G20" s="503">
        <f t="shared" si="2"/>
        <v>1140</v>
      </c>
      <c r="H20" s="498">
        <f>SUM($F$9:F20)/A20</f>
        <v>2493.75</v>
      </c>
      <c r="I20" s="499">
        <f>SUM($G$9:G20)/A20</f>
        <v>2522.75</v>
      </c>
      <c r="J20" s="443">
        <f t="shared" si="0"/>
        <v>35818.582999999999</v>
      </c>
      <c r="K20" s="459">
        <f t="shared" si="0"/>
        <v>36224</v>
      </c>
      <c r="L20" s="495">
        <f t="shared" si="1"/>
        <v>14.363341553884711</v>
      </c>
      <c r="M20" s="464">
        <f t="shared" si="1"/>
        <v>14.35893370329997</v>
      </c>
      <c r="N20" s="366"/>
      <c r="O20" s="446">
        <v>1125</v>
      </c>
      <c r="P20" s="446">
        <v>1140</v>
      </c>
      <c r="Q20" s="446"/>
      <c r="R20" s="446"/>
      <c r="S20" s="647">
        <f t="shared" si="3"/>
        <v>21.219539691943126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502">
        <f t="shared" si="4"/>
        <v>0</v>
      </c>
      <c r="E21" s="499"/>
      <c r="F21" s="446">
        <f t="shared" si="2"/>
        <v>2250</v>
      </c>
      <c r="G21" s="503">
        <f t="shared" si="2"/>
        <v>2280</v>
      </c>
      <c r="H21" s="498">
        <f>SUM($F$9:F21)/A21</f>
        <v>2475</v>
      </c>
      <c r="I21" s="499">
        <f>SUM($G$9:G21)/A21</f>
        <v>2504.0769230769229</v>
      </c>
      <c r="J21" s="443">
        <f t="shared" si="0"/>
        <v>33568.582999999999</v>
      </c>
      <c r="K21" s="459">
        <f>K20+E21-G21</f>
        <v>33944</v>
      </c>
      <c r="L21" s="495">
        <f t="shared" si="1"/>
        <v>13.563063838383838</v>
      </c>
      <c r="M21" s="464">
        <f t="shared" si="1"/>
        <v>13.555494117285658</v>
      </c>
      <c r="N21" s="366"/>
      <c r="O21" s="446">
        <v>2250</v>
      </c>
      <c r="P21" s="446">
        <v>2280</v>
      </c>
      <c r="Q21" s="446"/>
      <c r="R21" s="446"/>
      <c r="S21" s="647">
        <f t="shared" si="3"/>
        <v>19.886601303317534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346</v>
      </c>
      <c r="D22" s="502">
        <f t="shared" si="4"/>
        <v>0</v>
      </c>
      <c r="E22" s="499"/>
      <c r="F22" s="446">
        <f t="shared" si="2"/>
        <v>1125</v>
      </c>
      <c r="G22" s="503">
        <f t="shared" si="2"/>
        <v>1139</v>
      </c>
      <c r="H22" s="498">
        <f>SUM($F$9:F22)/A22</f>
        <v>2378.5714285714284</v>
      </c>
      <c r="I22" s="499">
        <f>SUM($G$9:G22)/A22</f>
        <v>2406.5714285714284</v>
      </c>
      <c r="J22" s="443">
        <f t="shared" si="0"/>
        <v>32443.582999999999</v>
      </c>
      <c r="K22" s="459">
        <f>K21+E22-G22</f>
        <v>32805</v>
      </c>
      <c r="L22" s="495">
        <f t="shared" si="1"/>
        <v>13.639944804804806</v>
      </c>
      <c r="M22" s="464">
        <f t="shared" si="1"/>
        <v>13.631425857770392</v>
      </c>
      <c r="N22" s="366"/>
      <c r="O22" s="446">
        <v>1125</v>
      </c>
      <c r="P22" s="446">
        <v>1139</v>
      </c>
      <c r="Q22" s="446"/>
      <c r="R22" s="446"/>
      <c r="S22" s="647">
        <f t="shared" si="3"/>
        <v>19.220132109004737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104</v>
      </c>
      <c r="D23" s="502">
        <f t="shared" si="4"/>
        <v>0</v>
      </c>
      <c r="E23" s="499"/>
      <c r="F23" s="446">
        <f t="shared" si="2"/>
        <v>2250</v>
      </c>
      <c r="G23" s="503">
        <f t="shared" si="2"/>
        <v>2278</v>
      </c>
      <c r="H23" s="504">
        <f>SUM($F$9:F23)/A23</f>
        <v>2370</v>
      </c>
      <c r="I23" s="499">
        <f>SUM($G$9:G23)/A23</f>
        <v>2398</v>
      </c>
      <c r="J23" s="504">
        <f t="shared" si="0"/>
        <v>30193.582999999999</v>
      </c>
      <c r="K23" s="459">
        <f t="shared" si="0"/>
        <v>30527</v>
      </c>
      <c r="L23" s="505">
        <f t="shared" si="1"/>
        <v>12.739908438818565</v>
      </c>
      <c r="M23" s="464">
        <f t="shared" si="1"/>
        <v>12.730191826522102</v>
      </c>
      <c r="N23" s="366"/>
      <c r="O23" s="446">
        <v>2250</v>
      </c>
      <c r="P23" s="446">
        <v>2278</v>
      </c>
      <c r="Q23" s="446"/>
      <c r="R23" s="446"/>
      <c r="S23" s="647">
        <f t="shared" si="3"/>
        <v>17.887193720379145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502">
        <f t="shared" si="4"/>
        <v>0</v>
      </c>
      <c r="E24" s="499"/>
      <c r="F24" s="446">
        <f t="shared" si="2"/>
        <v>1125</v>
      </c>
      <c r="G24" s="503">
        <f t="shared" si="2"/>
        <v>1139</v>
      </c>
      <c r="H24" s="498">
        <f>SUM($F$9:F24)/A24</f>
        <v>2292.1875</v>
      </c>
      <c r="I24" s="499">
        <f>SUM($G$9:G24)/A24</f>
        <v>2319.3125</v>
      </c>
      <c r="J24" s="443">
        <f t="shared" si="0"/>
        <v>29068.582999999999</v>
      </c>
      <c r="K24" s="459">
        <f>K23+E24-G24</f>
        <v>29388</v>
      </c>
      <c r="L24" s="495">
        <f t="shared" si="1"/>
        <v>12.681590402181321</v>
      </c>
      <c r="M24" s="464">
        <f t="shared" si="1"/>
        <v>12.670996254277938</v>
      </c>
      <c r="N24" s="366"/>
      <c r="O24" s="446">
        <v>1125</v>
      </c>
      <c r="P24" s="446">
        <v>1139</v>
      </c>
      <c r="Q24" s="446"/>
      <c r="R24" s="446"/>
      <c r="S24" s="647">
        <f t="shared" si="3"/>
        <v>17.220724526066348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502">
        <f t="shared" si="4"/>
        <v>0</v>
      </c>
      <c r="E25" s="499"/>
      <c r="F25" s="446">
        <f t="shared" si="2"/>
        <v>2250</v>
      </c>
      <c r="G25" s="503">
        <f t="shared" si="2"/>
        <v>2278</v>
      </c>
      <c r="H25" s="498">
        <f>SUM($F$9:F25)/A25</f>
        <v>2289.705882352941</v>
      </c>
      <c r="I25" s="499">
        <f>SUM($G$9:G25)/A25</f>
        <v>2316.8823529411766</v>
      </c>
      <c r="J25" s="443">
        <f t="shared" ref="J25:K39" si="5">J24+D25-F25</f>
        <v>26818.582999999999</v>
      </c>
      <c r="K25" s="459">
        <f>K24+E25-G25</f>
        <v>27110</v>
      </c>
      <c r="L25" s="495">
        <f t="shared" ref="L25:M39" si="6">J25/H25</f>
        <v>11.71267594091201</v>
      </c>
      <c r="M25" s="464">
        <f t="shared" si="6"/>
        <v>11.70106888059512</v>
      </c>
      <c r="N25" s="366"/>
      <c r="O25" s="446">
        <v>2250</v>
      </c>
      <c r="P25" s="446">
        <v>2278</v>
      </c>
      <c r="Q25" s="446"/>
      <c r="R25" s="446"/>
      <c r="S25" s="647">
        <f t="shared" si="3"/>
        <v>15.887786137440758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502">
        <f t="shared" si="4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2162.5</v>
      </c>
      <c r="I26" s="499">
        <f>SUM($G$9:G26)/A26</f>
        <v>2188.1666666666665</v>
      </c>
      <c r="J26" s="443">
        <f t="shared" si="5"/>
        <v>26818.582999999999</v>
      </c>
      <c r="K26" s="459">
        <f>K25+E26-G26</f>
        <v>27110</v>
      </c>
      <c r="L26" s="495">
        <f t="shared" si="6"/>
        <v>12.401656878612716</v>
      </c>
      <c r="M26" s="464">
        <f t="shared" si="6"/>
        <v>12.389367050041892</v>
      </c>
      <c r="N26" s="366"/>
      <c r="O26" s="446"/>
      <c r="P26" s="446"/>
      <c r="Q26" s="446"/>
      <c r="R26" s="446"/>
      <c r="S26" s="647">
        <f t="shared" si="3"/>
        <v>15.887786137440758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104</v>
      </c>
      <c r="D27" s="502">
        <f t="shared" si="4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2048.6842105263158</v>
      </c>
      <c r="I27" s="499">
        <f>SUM($G$9:G27)/A27</f>
        <v>2073</v>
      </c>
      <c r="J27" s="443">
        <f t="shared" si="5"/>
        <v>26818.582999999999</v>
      </c>
      <c r="K27" s="459">
        <f>K26+E27-G27</f>
        <v>27110</v>
      </c>
      <c r="L27" s="495">
        <f t="shared" si="6"/>
        <v>13.090637816313423</v>
      </c>
      <c r="M27" s="464">
        <f t="shared" si="6"/>
        <v>13.077665219488663</v>
      </c>
      <c r="N27" s="366"/>
      <c r="O27" s="446"/>
      <c r="P27" s="446"/>
      <c r="Q27" s="446"/>
      <c r="R27" s="446"/>
      <c r="S27" s="647">
        <f t="shared" si="3"/>
        <v>15.887786137440758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502">
        <f t="shared" si="4"/>
        <v>0</v>
      </c>
      <c r="E28" s="499"/>
      <c r="F28" s="446">
        <f t="shared" si="2"/>
        <v>0</v>
      </c>
      <c r="G28" s="503">
        <f t="shared" si="2"/>
        <v>0</v>
      </c>
      <c r="H28" s="504">
        <f>SUM($F$9:F28)/A28</f>
        <v>1946.25</v>
      </c>
      <c r="I28" s="499">
        <f>SUM($G$9:G28)/A28</f>
        <v>1969.35</v>
      </c>
      <c r="J28" s="504">
        <f t="shared" si="5"/>
        <v>26818.582999999999</v>
      </c>
      <c r="K28" s="459">
        <f t="shared" si="5"/>
        <v>27110</v>
      </c>
      <c r="L28" s="505">
        <f t="shared" si="6"/>
        <v>13.779618754014129</v>
      </c>
      <c r="M28" s="464">
        <f t="shared" si="6"/>
        <v>13.765963388935436</v>
      </c>
      <c r="N28" s="366"/>
      <c r="O28" s="446"/>
      <c r="P28" s="446"/>
      <c r="Q28" s="446"/>
      <c r="R28" s="446"/>
      <c r="S28" s="647">
        <f t="shared" si="3"/>
        <v>15.887786137440758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502">
        <f t="shared" si="4"/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1853.5714285714287</v>
      </c>
      <c r="I29" s="499">
        <f>SUM($G$9:G29)/A29</f>
        <v>1875.5714285714287</v>
      </c>
      <c r="J29" s="443">
        <f t="shared" si="5"/>
        <v>26818.582999999999</v>
      </c>
      <c r="K29" s="459">
        <f t="shared" si="5"/>
        <v>27110</v>
      </c>
      <c r="L29" s="495">
        <f t="shared" si="6"/>
        <v>14.468599691714834</v>
      </c>
      <c r="M29" s="464">
        <f t="shared" si="6"/>
        <v>14.454261558382207</v>
      </c>
      <c r="N29" s="366"/>
      <c r="O29" s="446"/>
      <c r="P29" s="446"/>
      <c r="Q29" s="446"/>
      <c r="R29" s="446"/>
      <c r="S29" s="647">
        <f t="shared" si="3"/>
        <v>15.887786137440758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502">
        <f t="shared" si="4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1769.3181818181818</v>
      </c>
      <c r="I30" s="499">
        <f>SUM($G$9:G30)/A30</f>
        <v>1790.3181818181818</v>
      </c>
      <c r="J30" s="443">
        <f t="shared" si="5"/>
        <v>26818.582999999999</v>
      </c>
      <c r="K30" s="459">
        <f t="shared" si="5"/>
        <v>27110</v>
      </c>
      <c r="L30" s="495">
        <f t="shared" si="6"/>
        <v>15.157580629415543</v>
      </c>
      <c r="M30" s="464">
        <f t="shared" si="6"/>
        <v>15.14255972782898</v>
      </c>
      <c r="N30" s="366"/>
      <c r="O30" s="446"/>
      <c r="P30" s="446"/>
      <c r="Q30" s="446"/>
      <c r="R30" s="446"/>
      <c r="S30" s="647">
        <f t="shared" si="3"/>
        <v>15.887786137440758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502">
        <f t="shared" si="4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1692.391304347826</v>
      </c>
      <c r="I31" s="499">
        <f>SUM($G$9:G31)/A31</f>
        <v>1712.4782608695652</v>
      </c>
      <c r="J31" s="443">
        <f t="shared" si="5"/>
        <v>26818.582999999999</v>
      </c>
      <c r="K31" s="459">
        <f t="shared" si="5"/>
        <v>27110</v>
      </c>
      <c r="L31" s="495">
        <f t="shared" si="6"/>
        <v>15.846561567116249</v>
      </c>
      <c r="M31" s="464">
        <f t="shared" si="6"/>
        <v>15.830857897275751</v>
      </c>
      <c r="N31" s="366"/>
      <c r="O31" s="446"/>
      <c r="P31" s="446"/>
      <c r="Q31" s="446"/>
      <c r="R31" s="446"/>
      <c r="S31" s="647">
        <f t="shared" si="3"/>
        <v>15.887786137440758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346</v>
      </c>
      <c r="D32" s="502">
        <f t="shared" si="4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1621.875</v>
      </c>
      <c r="I32" s="499">
        <f>SUM($G$9:G32)/A32</f>
        <v>1641.125</v>
      </c>
      <c r="J32" s="443">
        <f t="shared" si="5"/>
        <v>26818.582999999999</v>
      </c>
      <c r="K32" s="459">
        <f t="shared" si="5"/>
        <v>27110</v>
      </c>
      <c r="L32" s="495">
        <f t="shared" si="6"/>
        <v>16.535542504816956</v>
      </c>
      <c r="M32" s="464">
        <f t="shared" si="6"/>
        <v>16.519156066722523</v>
      </c>
      <c r="N32" s="366"/>
      <c r="O32" s="446"/>
      <c r="P32" s="446"/>
      <c r="Q32" s="446"/>
      <c r="R32" s="446"/>
      <c r="S32" s="647">
        <f t="shared" si="3"/>
        <v>15.887786137440758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104</v>
      </c>
      <c r="D33" s="502">
        <f t="shared" si="4"/>
        <v>0</v>
      </c>
      <c r="E33" s="499"/>
      <c r="F33" s="446">
        <f t="shared" si="2"/>
        <v>0</v>
      </c>
      <c r="G33" s="503">
        <f t="shared" si="2"/>
        <v>0</v>
      </c>
      <c r="H33" s="460">
        <f>SUM($F$9:F33)/A33</f>
        <v>1557</v>
      </c>
      <c r="I33" s="499">
        <f>SUM($G$9:G33)/A33</f>
        <v>1575.48</v>
      </c>
      <c r="J33" s="460">
        <f t="shared" si="5"/>
        <v>26818.582999999999</v>
      </c>
      <c r="K33" s="459">
        <f t="shared" si="5"/>
        <v>27110</v>
      </c>
      <c r="L33" s="506">
        <f t="shared" si="6"/>
        <v>17.224523442517661</v>
      </c>
      <c r="M33" s="464">
        <f t="shared" si="6"/>
        <v>17.207454236169294</v>
      </c>
      <c r="N33" s="366"/>
      <c r="O33" s="446"/>
      <c r="P33" s="446"/>
      <c r="Q33" s="446"/>
      <c r="R33" s="446"/>
      <c r="S33" s="647">
        <f t="shared" si="3"/>
        <v>15.887786137440758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4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1497.1153846153845</v>
      </c>
      <c r="I34" s="499">
        <f>SUM($G$9:G34)/A34</f>
        <v>1514.8846153846155</v>
      </c>
      <c r="J34" s="443">
        <f t="shared" si="5"/>
        <v>26818.582999999999</v>
      </c>
      <c r="K34" s="459">
        <f t="shared" si="5"/>
        <v>27110</v>
      </c>
      <c r="L34" s="495">
        <f t="shared" si="6"/>
        <v>17.91350438021837</v>
      </c>
      <c r="M34" s="464">
        <f t="shared" si="6"/>
        <v>17.895752405616065</v>
      </c>
      <c r="N34" s="366"/>
      <c r="O34" s="446"/>
      <c r="P34" s="446"/>
      <c r="Q34" s="446"/>
      <c r="R34" s="446"/>
      <c r="S34" s="647">
        <f t="shared" si="3"/>
        <v>15.887786137440758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502">
        <f t="shared" si="4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1441.6666666666667</v>
      </c>
      <c r="I35" s="499">
        <f>SUM($G$9:G35)/A35</f>
        <v>1458.7777777777778</v>
      </c>
      <c r="J35" s="443">
        <f t="shared" si="5"/>
        <v>26818.582999999999</v>
      </c>
      <c r="K35" s="459">
        <f t="shared" si="5"/>
        <v>27110</v>
      </c>
      <c r="L35" s="495">
        <f t="shared" si="6"/>
        <v>18.602485317919072</v>
      </c>
      <c r="M35" s="464">
        <f t="shared" si="6"/>
        <v>18.584050575062836</v>
      </c>
      <c r="N35" s="366"/>
      <c r="O35" s="446"/>
      <c r="P35" s="446"/>
      <c r="Q35" s="446"/>
      <c r="R35" s="446"/>
      <c r="S35" s="647">
        <f t="shared" si="3"/>
        <v>15.887786137440758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 t="shared" si="4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1390.1785714285713</v>
      </c>
      <c r="I36" s="499">
        <f>SUM($G$9:G36)/A36</f>
        <v>1406.6785714285713</v>
      </c>
      <c r="J36" s="443">
        <f t="shared" si="5"/>
        <v>26818.582999999999</v>
      </c>
      <c r="K36" s="459">
        <f t="shared" si="5"/>
        <v>27110</v>
      </c>
      <c r="L36" s="495">
        <f t="shared" si="6"/>
        <v>19.291466255619781</v>
      </c>
      <c r="M36" s="464">
        <f t="shared" si="6"/>
        <v>19.27234874450961</v>
      </c>
      <c r="N36" s="366"/>
      <c r="O36" s="446"/>
      <c r="P36" s="446"/>
      <c r="Q36" s="446"/>
      <c r="R36" s="446"/>
      <c r="S36" s="647">
        <f t="shared" si="3"/>
        <v>15.887786137440758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346</v>
      </c>
      <c r="D37" s="502">
        <f t="shared" si="4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1342.2413793103449</v>
      </c>
      <c r="I37" s="499">
        <f>SUM($G$9:G37)/A37</f>
        <v>1358.1724137931035</v>
      </c>
      <c r="J37" s="443">
        <f t="shared" si="5"/>
        <v>26818.582999999999</v>
      </c>
      <c r="K37" s="459">
        <f t="shared" si="5"/>
        <v>27110</v>
      </c>
      <c r="L37" s="495">
        <f t="shared" si="6"/>
        <v>19.980447193320487</v>
      </c>
      <c r="M37" s="464">
        <f t="shared" si="6"/>
        <v>19.960646913956381</v>
      </c>
      <c r="N37" s="366"/>
      <c r="O37" s="446"/>
      <c r="P37" s="446"/>
      <c r="Q37" s="446"/>
      <c r="R37" s="446"/>
      <c r="S37" s="647">
        <f t="shared" si="3"/>
        <v>15.887786137440758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502">
        <f t="shared" si="4"/>
        <v>0</v>
      </c>
      <c r="E38" s="499"/>
      <c r="F38" s="446">
        <f t="shared" si="2"/>
        <v>0</v>
      </c>
      <c r="G38" s="503">
        <f t="shared" si="2"/>
        <v>0</v>
      </c>
      <c r="H38" s="504">
        <f>SUM($F$9:F38)/A38</f>
        <v>1297.5</v>
      </c>
      <c r="I38" s="499">
        <f>SUM($G$9:G38)/A38</f>
        <v>1312.9</v>
      </c>
      <c r="J38" s="504">
        <f t="shared" si="5"/>
        <v>26818.582999999999</v>
      </c>
      <c r="K38" s="459">
        <f t="shared" si="5"/>
        <v>27110</v>
      </c>
      <c r="L38" s="505">
        <f t="shared" si="6"/>
        <v>20.669428131021192</v>
      </c>
      <c r="M38" s="464">
        <f t="shared" si="6"/>
        <v>20.648945083403152</v>
      </c>
      <c r="N38" s="366"/>
      <c r="O38" s="446"/>
      <c r="P38" s="446"/>
      <c r="Q38" s="446"/>
      <c r="R38" s="446"/>
      <c r="S38" s="647">
        <f t="shared" si="3"/>
        <v>15.887786137440758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502">
        <f t="shared" si="4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1255.6451612903227</v>
      </c>
      <c r="I39" s="499">
        <f>SUM($G$9:G39)/A39</f>
        <v>1270.5483870967741</v>
      </c>
      <c r="J39" s="443">
        <f t="shared" si="5"/>
        <v>26818.582999999999</v>
      </c>
      <c r="K39" s="459">
        <f t="shared" si="5"/>
        <v>27110</v>
      </c>
      <c r="L39" s="495">
        <f t="shared" si="6"/>
        <v>21.358409068721897</v>
      </c>
      <c r="M39" s="464">
        <f t="shared" si="6"/>
        <v>21.337243252849927</v>
      </c>
      <c r="N39" s="366"/>
      <c r="O39" s="446"/>
      <c r="P39" s="446"/>
      <c r="Q39" s="446"/>
      <c r="R39" s="446"/>
      <c r="S39" s="647">
        <f t="shared" si="3"/>
        <v>15.887786137440758</v>
      </c>
    </row>
    <row r="40" spans="1:19" s="374" customFormat="1" ht="12" customHeight="1">
      <c r="A40" s="750" t="s">
        <v>29</v>
      </c>
      <c r="B40" s="751"/>
      <c r="C40" s="752"/>
      <c r="D40" s="388">
        <f>SUM(D9:D39)</f>
        <v>39165.937999999995</v>
      </c>
      <c r="E40" s="388">
        <f>SUM(E9:E39)</f>
        <v>39732</v>
      </c>
      <c r="F40" s="389">
        <f>SUM(F9:F39)</f>
        <v>38925</v>
      </c>
      <c r="G40" s="496">
        <f>SUM(G9:G39)</f>
        <v>39387</v>
      </c>
      <c r="H40" s="389"/>
      <c r="I40" s="496"/>
      <c r="J40" s="389">
        <f>J39</f>
        <v>26818.582999999999</v>
      </c>
      <c r="K40" s="461">
        <f>K39</f>
        <v>27110</v>
      </c>
      <c r="L40" s="464"/>
      <c r="M40" s="464"/>
      <c r="N40" s="507"/>
      <c r="O40" s="389">
        <f>SUM(O9:O39)</f>
        <v>26685</v>
      </c>
      <c r="P40" s="496">
        <f>SUM(P9:P39)</f>
        <v>27006</v>
      </c>
      <c r="Q40" s="389">
        <f>SUM(Q9:Q39)</f>
        <v>12240</v>
      </c>
      <c r="R40" s="496">
        <f>SUM(R9:R39)</f>
        <v>12381</v>
      </c>
    </row>
    <row r="41" spans="1:19" s="374" customFormat="1" ht="12" customHeight="1">
      <c r="A41" s="750" t="s">
        <v>15</v>
      </c>
      <c r="B41" s="751"/>
      <c r="C41" s="752"/>
      <c r="D41" s="388">
        <f>D8+D40</f>
        <v>65743.582999999999</v>
      </c>
      <c r="E41" s="388">
        <f>E8+E40</f>
        <v>66497</v>
      </c>
      <c r="F41" s="389">
        <f>F40</f>
        <v>38925</v>
      </c>
      <c r="G41" s="496">
        <f>G40</f>
        <v>39387</v>
      </c>
      <c r="H41" s="389"/>
      <c r="I41" s="496"/>
      <c r="J41" s="389">
        <f>D41-F41</f>
        <v>26818.582999999999</v>
      </c>
      <c r="K41" s="461">
        <f>E41-G41</f>
        <v>27110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053" priority="1" operator="lessThan">
      <formula>15</formula>
    </cfRule>
    <cfRule type="cellIs" dxfId="12052" priority="2" operator="greaterThan">
      <formula>20</formula>
    </cfRule>
    <cfRule type="cellIs" dxfId="12051" priority="3" operator="between">
      <formula>15</formula>
      <formula>20</formula>
    </cfRule>
    <cfRule type="cellIs" dxfId="12050" priority="4" operator="between">
      <formula>15</formula>
      <formula>20</formula>
    </cfRule>
    <cfRule type="cellIs" dxfId="12049" priority="5" operator="lessThan">
      <formula>15</formula>
    </cfRule>
    <cfRule type="cellIs" dxfId="12048" priority="6" operator="greaterThan">
      <formula>20</formula>
    </cfRule>
    <cfRule type="cellIs" dxfId="12047" priority="7" operator="between">
      <formula>15</formula>
      <formula>21</formula>
    </cfRule>
    <cfRule type="cellIs" dxfId="12046" priority="8" operator="lessThan">
      <formula>15</formula>
    </cfRule>
    <cfRule type="cellIs" dxfId="12045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C49"/>
  <sheetViews>
    <sheetView workbookViewId="0">
      <pane ySplit="8" topLeftCell="A18" activePane="bottomLeft" state="frozen"/>
      <selection pane="bottomLeft" activeCell="O40" sqref="O40:R40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7.42578125" style="143" customWidth="1"/>
    <col min="4" max="7" width="10.140625" style="142" customWidth="1"/>
    <col min="8" max="9" width="9.28515625" style="142" customWidth="1"/>
    <col min="10" max="11" width="10.8554687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</row>
    <row r="4" spans="1:29" s="725" customFormat="1" ht="18.75" customHeight="1">
      <c r="A4" s="1600" t="s">
        <v>33</v>
      </c>
      <c r="B4" s="1600"/>
      <c r="C4" s="316" t="str">
        <f>J4</f>
        <v>FRIT FS459-FHU</v>
      </c>
      <c r="D4" s="383"/>
      <c r="E4" s="383" t="s">
        <v>228</v>
      </c>
      <c r="F4" s="383"/>
      <c r="G4" s="383"/>
      <c r="I4" s="383" t="s">
        <v>120</v>
      </c>
      <c r="J4" s="316" t="s">
        <v>356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937">
        <f>K8-K8*N8</f>
        <v>0</v>
      </c>
      <c r="K8" s="324">
        <v>0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4680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>J9/H9</f>
        <v>#DIV/0!</v>
      </c>
      <c r="M9" s="464" t="e">
        <f t="shared" ref="L9:M25" si="0"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ref="D10:D19" si="1">E10-E10*N10</f>
        <v>0</v>
      </c>
      <c r="E10" s="499"/>
      <c r="F10" s="446">
        <f t="shared" ref="F10:G39" si="2">O10+Q10</f>
        <v>0</v>
      </c>
      <c r="G10" s="503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ref="J10:K25" si="3">J9+D10-F10</f>
        <v>0</v>
      </c>
      <c r="K10" s="459">
        <f t="shared" si="3"/>
        <v>0</v>
      </c>
      <c r="L10" s="495" t="e">
        <f>J10/H10</f>
        <v>#DIV/0!</v>
      </c>
      <c r="M10" s="464" t="e">
        <f t="shared" si="0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1"/>
        <v>0</v>
      </c>
      <c r="E11" s="499"/>
      <c r="F11" s="446">
        <f t="shared" si="2"/>
        <v>0</v>
      </c>
      <c r="G11" s="503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3"/>
        <v>0</v>
      </c>
      <c r="K11" s="459">
        <f t="shared" si="3"/>
        <v>0</v>
      </c>
      <c r="L11" s="495" t="e">
        <f t="shared" si="0"/>
        <v>#DIV/0!</v>
      </c>
      <c r="M11" s="464" t="e">
        <f t="shared" si="0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1"/>
        <v>0</v>
      </c>
      <c r="E12" s="499"/>
      <c r="F12" s="446">
        <f t="shared" si="2"/>
        <v>0</v>
      </c>
      <c r="G12" s="503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3"/>
        <v>0</v>
      </c>
      <c r="K12" s="459">
        <f t="shared" si="3"/>
        <v>0</v>
      </c>
      <c r="L12" s="495" t="e">
        <f t="shared" si="0"/>
        <v>#DIV/0!</v>
      </c>
      <c r="M12" s="464" t="e">
        <f t="shared" si="0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1"/>
        <v>0</v>
      </c>
      <c r="E13" s="499"/>
      <c r="F13" s="446">
        <f t="shared" si="2"/>
        <v>0</v>
      </c>
      <c r="G13" s="503">
        <f t="shared" si="2"/>
        <v>0</v>
      </c>
      <c r="H13" s="709">
        <f>SUM($F$9:F13)/A13</f>
        <v>0</v>
      </c>
      <c r="I13" s="499">
        <f>SUM($G$9:G13)/A13</f>
        <v>0</v>
      </c>
      <c r="J13" s="504">
        <f t="shared" si="3"/>
        <v>0</v>
      </c>
      <c r="K13" s="459">
        <f t="shared" si="3"/>
        <v>0</v>
      </c>
      <c r="L13" s="505" t="e">
        <f t="shared" si="0"/>
        <v>#DIV/0!</v>
      </c>
      <c r="M13" s="464" t="e">
        <f t="shared" si="0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1"/>
        <v>0</v>
      </c>
      <c r="E14" s="499"/>
      <c r="F14" s="446">
        <f t="shared" si="2"/>
        <v>0</v>
      </c>
      <c r="G14" s="503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3"/>
        <v>0</v>
      </c>
      <c r="K14" s="459">
        <f t="shared" si="3"/>
        <v>0</v>
      </c>
      <c r="L14" s="495" t="e">
        <f t="shared" si="0"/>
        <v>#DIV/0!</v>
      </c>
      <c r="M14" s="464" t="e">
        <f t="shared" si="0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1"/>
        <v>0</v>
      </c>
      <c r="E15" s="499"/>
      <c r="F15" s="446">
        <f t="shared" si="2"/>
        <v>0</v>
      </c>
      <c r="G15" s="503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3"/>
        <v>0</v>
      </c>
      <c r="K15" s="459">
        <f t="shared" si="3"/>
        <v>0</v>
      </c>
      <c r="L15" s="495" t="e">
        <f t="shared" si="0"/>
        <v>#DIV/0!</v>
      </c>
      <c r="M15" s="464" t="e">
        <f t="shared" si="0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1"/>
        <v>0</v>
      </c>
      <c r="E16" s="499"/>
      <c r="F16" s="446">
        <f t="shared" si="2"/>
        <v>0</v>
      </c>
      <c r="G16" s="503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3"/>
        <v>0</v>
      </c>
      <c r="K16" s="459">
        <f t="shared" si="3"/>
        <v>0</v>
      </c>
      <c r="L16" s="495" t="e">
        <f t="shared" si="0"/>
        <v>#DIV/0!</v>
      </c>
      <c r="M16" s="464" t="e">
        <f t="shared" si="0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1"/>
        <v>0</v>
      </c>
      <c r="E17" s="499"/>
      <c r="F17" s="446">
        <f t="shared" si="2"/>
        <v>0</v>
      </c>
      <c r="G17" s="503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3"/>
        <v>0</v>
      </c>
      <c r="K17" s="459">
        <f t="shared" si="3"/>
        <v>0</v>
      </c>
      <c r="L17" s="495" t="e">
        <f t="shared" si="0"/>
        <v>#DIV/0!</v>
      </c>
      <c r="M17" s="464" t="e">
        <f t="shared" si="0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1"/>
        <v>0</v>
      </c>
      <c r="E18" s="499"/>
      <c r="F18" s="446">
        <f t="shared" si="2"/>
        <v>0</v>
      </c>
      <c r="G18" s="503">
        <f t="shared" si="2"/>
        <v>0</v>
      </c>
      <c r="H18" s="709">
        <f>SUM($F$9:F18)/A18</f>
        <v>0</v>
      </c>
      <c r="I18" s="499">
        <f>SUM($G$9:G18)/A18</f>
        <v>0</v>
      </c>
      <c r="J18" s="504">
        <f t="shared" si="3"/>
        <v>0</v>
      </c>
      <c r="K18" s="459">
        <f t="shared" si="3"/>
        <v>0</v>
      </c>
      <c r="L18" s="505" t="e">
        <f t="shared" si="0"/>
        <v>#DIV/0!</v>
      </c>
      <c r="M18" s="464" t="e">
        <f t="shared" si="0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1"/>
        <v>0</v>
      </c>
      <c r="E19" s="499"/>
      <c r="F19" s="446">
        <f t="shared" si="2"/>
        <v>0</v>
      </c>
      <c r="G19" s="503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3"/>
        <v>0</v>
      </c>
      <c r="K19" s="459">
        <f t="shared" si="3"/>
        <v>0</v>
      </c>
      <c r="L19" s="495" t="e">
        <f t="shared" si="0"/>
        <v>#DIV/0!</v>
      </c>
      <c r="M19" s="464" t="e">
        <f t="shared" si="0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>E20-E20*N20</f>
        <v>0</v>
      </c>
      <c r="E20" s="499"/>
      <c r="F20" s="446">
        <f t="shared" si="2"/>
        <v>0</v>
      </c>
      <c r="G20" s="503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3"/>
        <v>0</v>
      </c>
      <c r="K20" s="459">
        <f t="shared" si="3"/>
        <v>0</v>
      </c>
      <c r="L20" s="495" t="e">
        <f>J20/H20</f>
        <v>#DIV/0!</v>
      </c>
      <c r="M20" s="464" t="e">
        <f t="shared" si="0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ref="D21:D39" si="5">E21-E21*N21</f>
        <v>0</v>
      </c>
      <c r="E21" s="499"/>
      <c r="F21" s="446">
        <f t="shared" si="2"/>
        <v>0</v>
      </c>
      <c r="G21" s="503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3"/>
        <v>0</v>
      </c>
      <c r="K21" s="459">
        <f t="shared" si="3"/>
        <v>0</v>
      </c>
      <c r="L21" s="495" t="e">
        <f t="shared" si="0"/>
        <v>#DIV/0!</v>
      </c>
      <c r="M21" s="464" t="e">
        <f t="shared" si="0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5"/>
        <v>0</v>
      </c>
      <c r="E22" s="499"/>
      <c r="F22" s="446">
        <f t="shared" si="2"/>
        <v>0</v>
      </c>
      <c r="G22" s="503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3"/>
        <v>0</v>
      </c>
      <c r="K22" s="459">
        <f t="shared" si="3"/>
        <v>0</v>
      </c>
      <c r="L22" s="495" t="e">
        <f t="shared" si="0"/>
        <v>#DIV/0!</v>
      </c>
      <c r="M22" s="464" t="e">
        <f t="shared" si="0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348</v>
      </c>
      <c r="D23" s="502">
        <f t="shared" si="5"/>
        <v>0</v>
      </c>
      <c r="E23" s="499"/>
      <c r="F23" s="446">
        <f t="shared" si="2"/>
        <v>0</v>
      </c>
      <c r="G23" s="503">
        <f t="shared" si="2"/>
        <v>0</v>
      </c>
      <c r="H23" s="709">
        <f>SUM($F$9:F23)/A23</f>
        <v>0</v>
      </c>
      <c r="I23" s="499">
        <f>SUM($G$9:G23)/A23</f>
        <v>0</v>
      </c>
      <c r="J23" s="504">
        <f t="shared" si="3"/>
        <v>0</v>
      </c>
      <c r="K23" s="459">
        <f t="shared" si="3"/>
        <v>0</v>
      </c>
      <c r="L23" s="505" t="e">
        <f t="shared" si="0"/>
        <v>#DIV/0!</v>
      </c>
      <c r="M23" s="464" t="e">
        <f t="shared" si="0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ref="D24:D25" si="6">E24-E24*N24</f>
        <v>0</v>
      </c>
      <c r="E24" s="499"/>
      <c r="F24" s="446">
        <f t="shared" si="2"/>
        <v>0</v>
      </c>
      <c r="G24" s="503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3"/>
        <v>0</v>
      </c>
      <c r="K24" s="459">
        <f t="shared" si="3"/>
        <v>0</v>
      </c>
      <c r="L24" s="495" t="e">
        <f t="shared" si="0"/>
        <v>#DIV/0!</v>
      </c>
      <c r="M24" s="464" t="e">
        <f t="shared" si="0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>
        <f t="shared" si="6"/>
        <v>0</v>
      </c>
      <c r="E25" s="499"/>
      <c r="F25" s="446">
        <f t="shared" si="2"/>
        <v>0</v>
      </c>
      <c r="G25" s="503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si="3"/>
        <v>0</v>
      </c>
      <c r="K25" s="459">
        <f t="shared" si="3"/>
        <v>0</v>
      </c>
      <c r="L25" s="495" t="e">
        <f>J25/H25</f>
        <v>#DIV/0!</v>
      </c>
      <c r="M25" s="464" t="e">
        <f t="shared" si="0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5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ref="J26:K39" si="7">J25+D26-F26</f>
        <v>0</v>
      </c>
      <c r="K26" s="459">
        <f t="shared" si="7"/>
        <v>0</v>
      </c>
      <c r="L26" s="495" t="e">
        <f t="shared" ref="L26:M39" si="8">J26/H26</f>
        <v>#DIV/0!</v>
      </c>
      <c r="M26" s="464" t="e">
        <f t="shared" si="8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5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7"/>
        <v>0</v>
      </c>
      <c r="K27" s="459">
        <f t="shared" si="7"/>
        <v>0</v>
      </c>
      <c r="L27" s="495" t="e">
        <f t="shared" si="8"/>
        <v>#DIV/0!</v>
      </c>
      <c r="M27" s="464" t="e">
        <f t="shared" si="8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5"/>
        <v>0</v>
      </c>
      <c r="E28" s="499"/>
      <c r="F28" s="446">
        <f t="shared" si="2"/>
        <v>0</v>
      </c>
      <c r="G28" s="503">
        <f t="shared" si="2"/>
        <v>0</v>
      </c>
      <c r="H28" s="709">
        <f>SUM($F$9:F28)/A28</f>
        <v>0</v>
      </c>
      <c r="I28" s="499">
        <f>SUM($G$9:G28)/A28</f>
        <v>0</v>
      </c>
      <c r="J28" s="504">
        <f t="shared" si="7"/>
        <v>0</v>
      </c>
      <c r="K28" s="459">
        <f t="shared" si="7"/>
        <v>0</v>
      </c>
      <c r="L28" s="505" t="e">
        <f t="shared" si="8"/>
        <v>#DIV/0!</v>
      </c>
      <c r="M28" s="464" t="e">
        <f t="shared" si="8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921">
        <f t="shared" si="5"/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7"/>
        <v>0</v>
      </c>
      <c r="K29" s="459">
        <f t="shared" si="7"/>
        <v>0</v>
      </c>
      <c r="L29" s="495" t="e">
        <f t="shared" si="8"/>
        <v>#DIV/0!</v>
      </c>
      <c r="M29" s="464" t="e">
        <f t="shared" si="8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5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7"/>
        <v>0</v>
      </c>
      <c r="K30" s="459">
        <f t="shared" si="7"/>
        <v>0</v>
      </c>
      <c r="L30" s="495" t="e">
        <f t="shared" si="8"/>
        <v>#DIV/0!</v>
      </c>
      <c r="M30" s="464" t="e">
        <f t="shared" si="8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5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7"/>
        <v>0</v>
      </c>
      <c r="K31" s="459">
        <f t="shared" si="7"/>
        <v>0</v>
      </c>
      <c r="L31" s="495" t="e">
        <f t="shared" si="8"/>
        <v>#DIV/0!</v>
      </c>
      <c r="M31" s="464" t="e">
        <f t="shared" si="8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5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7"/>
        <v>0</v>
      </c>
      <c r="K32" s="459">
        <f t="shared" si="7"/>
        <v>0</v>
      </c>
      <c r="L32" s="495" t="e">
        <f t="shared" si="8"/>
        <v>#DIV/0!</v>
      </c>
      <c r="M32" s="464" t="e">
        <f t="shared" si="8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921">
        <f t="shared" si="5"/>
        <v>0</v>
      </c>
      <c r="E33" s="499"/>
      <c r="F33" s="446">
        <f t="shared" si="2"/>
        <v>0</v>
      </c>
      <c r="G33" s="503">
        <f t="shared" si="2"/>
        <v>0</v>
      </c>
      <c r="H33" s="708">
        <f>SUM($F$9:F33)/A33</f>
        <v>0</v>
      </c>
      <c r="I33" s="499">
        <f>SUM($G$9:G33)/A33</f>
        <v>0</v>
      </c>
      <c r="J33" s="460">
        <f t="shared" si="7"/>
        <v>0</v>
      </c>
      <c r="K33" s="459">
        <f t="shared" si="7"/>
        <v>0</v>
      </c>
      <c r="L33" s="506" t="e">
        <f t="shared" si="8"/>
        <v>#DIV/0!</v>
      </c>
      <c r="M33" s="464" t="e">
        <f t="shared" si="8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921">
        <f t="shared" si="5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7"/>
        <v>0</v>
      </c>
      <c r="K34" s="459">
        <f t="shared" si="7"/>
        <v>0</v>
      </c>
      <c r="L34" s="495" t="e">
        <f t="shared" si="8"/>
        <v>#DIV/0!</v>
      </c>
      <c r="M34" s="464" t="e">
        <f t="shared" si="8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5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7"/>
        <v>0</v>
      </c>
      <c r="K35" s="459">
        <f t="shared" si="7"/>
        <v>0</v>
      </c>
      <c r="L35" s="495" t="e">
        <f t="shared" si="8"/>
        <v>#DIV/0!</v>
      </c>
      <c r="M35" s="464" t="e">
        <f t="shared" si="8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>
        <f>E36-E36*N36</f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0</v>
      </c>
      <c r="I36" s="499">
        <f>SUM($G$9:G36)/A36</f>
        <v>0</v>
      </c>
      <c r="J36" s="443">
        <f>J35+D36-F36</f>
        <v>0</v>
      </c>
      <c r="K36" s="459">
        <f>K35+E36-G36</f>
        <v>0</v>
      </c>
      <c r="L36" s="495" t="e">
        <f t="shared" si="8"/>
        <v>#DIV/0!</v>
      </c>
      <c r="M36" s="464" t="e">
        <f t="shared" si="8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5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7"/>
        <v>0</v>
      </c>
      <c r="K37" s="459">
        <f t="shared" si="7"/>
        <v>0</v>
      </c>
      <c r="L37" s="495" t="e">
        <f t="shared" si="8"/>
        <v>#DIV/0!</v>
      </c>
      <c r="M37" s="464" t="e">
        <f t="shared" si="8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5"/>
        <v>0</v>
      </c>
      <c r="E38" s="499"/>
      <c r="F38" s="446">
        <f t="shared" si="2"/>
        <v>0</v>
      </c>
      <c r="G38" s="503">
        <f t="shared" si="2"/>
        <v>0</v>
      </c>
      <c r="H38" s="498">
        <f>SUM($F$9:F38)/A38</f>
        <v>0</v>
      </c>
      <c r="I38" s="499">
        <f>SUM($G$9:G38)/A38</f>
        <v>0</v>
      </c>
      <c r="J38" s="504">
        <f t="shared" si="7"/>
        <v>0</v>
      </c>
      <c r="K38" s="459">
        <f t="shared" si="7"/>
        <v>0</v>
      </c>
      <c r="L38" s="505" t="e">
        <f t="shared" si="8"/>
        <v>#DIV/0!</v>
      </c>
      <c r="M38" s="464" t="e">
        <f t="shared" si="8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5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7"/>
        <v>0</v>
      </c>
      <c r="K39" s="459">
        <f t="shared" si="7"/>
        <v>0</v>
      </c>
      <c r="L39" s="495" t="e">
        <f t="shared" si="8"/>
        <v>#DIV/0!</v>
      </c>
      <c r="M39" s="464" t="e">
        <f t="shared" si="8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726" t="s">
        <v>29</v>
      </c>
      <c r="B40" s="727"/>
      <c r="C40" s="728"/>
      <c r="D40" s="388">
        <f>SUM(D9:D39)</f>
        <v>0</v>
      </c>
      <c r="E40" s="923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641">
        <f>J39</f>
        <v>0</v>
      </c>
      <c r="K40" s="642">
        <f>K39</f>
        <v>0</v>
      </c>
      <c r="L40" s="464"/>
      <c r="M40" s="464"/>
      <c r="N40" s="366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726" t="s">
        <v>15</v>
      </c>
      <c r="B41" s="727"/>
      <c r="C41" s="728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641">
        <f>D41-F41</f>
        <v>0</v>
      </c>
      <c r="K41" s="641">
        <f>E41-G41</f>
        <v>0</v>
      </c>
      <c r="L41" s="464"/>
      <c r="M41" s="464"/>
      <c r="N41" s="366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044" priority="1" operator="lessThan">
      <formula>15</formula>
    </cfRule>
    <cfRule type="cellIs" dxfId="12043" priority="2" operator="greaterThan">
      <formula>20</formula>
    </cfRule>
    <cfRule type="cellIs" dxfId="12042" priority="3" operator="between">
      <formula>15</formula>
      <formula>20</formula>
    </cfRule>
    <cfRule type="cellIs" dxfId="12041" priority="4" operator="between">
      <formula>15</formula>
      <formula>20</formula>
    </cfRule>
    <cfRule type="cellIs" dxfId="12040" priority="5" operator="lessThan">
      <formula>15</formula>
    </cfRule>
    <cfRule type="cellIs" dxfId="12039" priority="6" operator="greaterThan">
      <formula>20</formula>
    </cfRule>
    <cfRule type="cellIs" dxfId="12038" priority="7" operator="between">
      <formula>15</formula>
      <formula>21</formula>
    </cfRule>
    <cfRule type="cellIs" dxfId="12037" priority="8" operator="lessThan">
      <formula>15</formula>
    </cfRule>
    <cfRule type="cellIs" dxfId="12036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2"/>
  <pageSetup paperSize="8" orientation="landscape" horizontalDpi="4294967292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7.42578125" style="143" customWidth="1"/>
    <col min="4" max="7" width="10.140625" style="142" customWidth="1"/>
    <col min="8" max="9" width="9.28515625" style="142" customWidth="1"/>
    <col min="10" max="11" width="10.8554687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1" width="11" style="143" customWidth="1"/>
    <col min="22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</row>
    <row r="4" spans="1:29" s="749" customFormat="1" ht="18.75" customHeight="1">
      <c r="A4" s="1600" t="s">
        <v>33</v>
      </c>
      <c r="B4" s="1600"/>
      <c r="C4" s="316" t="str">
        <f>J4</f>
        <v>FRIT A608 -ACV</v>
      </c>
      <c r="D4" s="383"/>
      <c r="E4" s="383" t="s">
        <v>228</v>
      </c>
      <c r="F4" s="383"/>
      <c r="G4" s="383"/>
      <c r="I4" s="383" t="s">
        <v>120</v>
      </c>
      <c r="J4" s="316" t="s">
        <v>383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>
        <v>1.4E-2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1080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 t="shared" ref="D9:D19" si="0"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 t="shared" ref="L9:M25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0</v>
      </c>
      <c r="T9" s="305"/>
      <c r="U9" s="305"/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si="0"/>
        <v>0</v>
      </c>
      <c r="E10" s="499"/>
      <c r="F10" s="446">
        <f t="shared" ref="F10:G39" si="2">O10+Q10</f>
        <v>0</v>
      </c>
      <c r="G10" s="503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ref="J10:K25" si="3">J9+D10-F10</f>
        <v>0</v>
      </c>
      <c r="K10" s="459">
        <f t="shared" si="3"/>
        <v>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  <c r="T10" s="305"/>
      <c r="U10" s="305"/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0"/>
        <v>0</v>
      </c>
      <c r="E11" s="499"/>
      <c r="F11" s="446">
        <f t="shared" si="2"/>
        <v>0</v>
      </c>
      <c r="G11" s="503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3"/>
        <v>0</v>
      </c>
      <c r="K11" s="459">
        <f t="shared" si="3"/>
        <v>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0</v>
      </c>
      <c r="T11" s="305"/>
      <c r="U11" s="305"/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0"/>
        <v>0</v>
      </c>
      <c r="E12" s="499"/>
      <c r="F12" s="446">
        <f t="shared" si="2"/>
        <v>0</v>
      </c>
      <c r="G12" s="503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3"/>
        <v>0</v>
      </c>
      <c r="K12" s="459">
        <f t="shared" si="3"/>
        <v>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0</v>
      </c>
      <c r="T12" s="305"/>
      <c r="U12" s="305"/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0"/>
        <v>0</v>
      </c>
      <c r="E13" s="499"/>
      <c r="F13" s="446">
        <f t="shared" si="2"/>
        <v>0</v>
      </c>
      <c r="G13" s="503">
        <f t="shared" si="2"/>
        <v>0</v>
      </c>
      <c r="H13" s="709">
        <f>SUM($F$9:F13)/A13</f>
        <v>0</v>
      </c>
      <c r="I13" s="499">
        <f>SUM($G$9:G13)/A13</f>
        <v>0</v>
      </c>
      <c r="J13" s="504">
        <f t="shared" si="3"/>
        <v>0</v>
      </c>
      <c r="K13" s="459">
        <f t="shared" si="3"/>
        <v>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0</v>
      </c>
      <c r="T13" s="305"/>
      <c r="U13" s="305"/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0"/>
        <v>0</v>
      </c>
      <c r="E14" s="499"/>
      <c r="F14" s="446">
        <f t="shared" si="2"/>
        <v>0</v>
      </c>
      <c r="G14" s="503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3"/>
        <v>0</v>
      </c>
      <c r="K14" s="459">
        <f t="shared" si="3"/>
        <v>0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0</v>
      </c>
      <c r="T14" s="305"/>
      <c r="U14" s="305"/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0"/>
        <v>0</v>
      </c>
      <c r="E15" s="499"/>
      <c r="F15" s="446">
        <f t="shared" si="2"/>
        <v>0</v>
      </c>
      <c r="G15" s="503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3"/>
        <v>0</v>
      </c>
      <c r="K15" s="459">
        <f t="shared" si="3"/>
        <v>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0</v>
      </c>
      <c r="T15" s="305"/>
      <c r="U15" s="305"/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0"/>
        <v>0</v>
      </c>
      <c r="E16" s="499"/>
      <c r="F16" s="446">
        <f t="shared" si="2"/>
        <v>0</v>
      </c>
      <c r="G16" s="503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3"/>
        <v>0</v>
      </c>
      <c r="K16" s="459">
        <f t="shared" si="3"/>
        <v>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>J16/$S$8</f>
        <v>0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0"/>
        <v>0</v>
      </c>
      <c r="E17" s="499"/>
      <c r="F17" s="446">
        <f t="shared" si="2"/>
        <v>0</v>
      </c>
      <c r="G17" s="503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3"/>
        <v>0</v>
      </c>
      <c r="K17" s="459">
        <f t="shared" si="3"/>
        <v>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0</v>
      </c>
      <c r="T17" s="305"/>
      <c r="U17" s="305"/>
    </row>
    <row r="18" spans="1:21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0"/>
        <v>0</v>
      </c>
      <c r="E18" s="499"/>
      <c r="F18" s="446">
        <f t="shared" si="2"/>
        <v>0</v>
      </c>
      <c r="G18" s="503">
        <f t="shared" si="2"/>
        <v>0</v>
      </c>
      <c r="H18" s="709">
        <f>SUM($F$9:F18)/A18</f>
        <v>0</v>
      </c>
      <c r="I18" s="499">
        <f>SUM($G$9:G18)/A18</f>
        <v>0</v>
      </c>
      <c r="J18" s="504">
        <f t="shared" si="3"/>
        <v>0</v>
      </c>
      <c r="K18" s="459">
        <f t="shared" si="3"/>
        <v>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0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0"/>
        <v>0</v>
      </c>
      <c r="E19" s="499"/>
      <c r="F19" s="446">
        <f t="shared" si="2"/>
        <v>0</v>
      </c>
      <c r="G19" s="503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3"/>
        <v>0</v>
      </c>
      <c r="K19" s="459">
        <f t="shared" si="3"/>
        <v>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0</v>
      </c>
      <c r="T19" s="305"/>
      <c r="U19" s="305"/>
    </row>
    <row r="20" spans="1:21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>E20-E20*N20</f>
        <v>0</v>
      </c>
      <c r="E20" s="499"/>
      <c r="F20" s="446">
        <f t="shared" si="2"/>
        <v>0</v>
      </c>
      <c r="G20" s="503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3"/>
        <v>0</v>
      </c>
      <c r="K20" s="459">
        <f t="shared" si="3"/>
        <v>0</v>
      </c>
      <c r="L20" s="495" t="e">
        <f>J20/H20</f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0</v>
      </c>
      <c r="T20" s="305"/>
      <c r="U20" s="305"/>
    </row>
    <row r="21" spans="1:21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ref="D21:D39" si="5">E21-E21*N21</f>
        <v>0</v>
      </c>
      <c r="E21" s="499"/>
      <c r="F21" s="446">
        <f t="shared" si="2"/>
        <v>0</v>
      </c>
      <c r="G21" s="503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3"/>
        <v>0</v>
      </c>
      <c r="K21" s="459">
        <f t="shared" si="3"/>
        <v>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0</v>
      </c>
      <c r="T21" s="305"/>
      <c r="U21" s="305"/>
    </row>
    <row r="22" spans="1:21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5"/>
        <v>0</v>
      </c>
      <c r="E22" s="499"/>
      <c r="F22" s="446">
        <f t="shared" si="2"/>
        <v>0</v>
      </c>
      <c r="G22" s="503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3"/>
        <v>0</v>
      </c>
      <c r="K22" s="459">
        <f t="shared" si="3"/>
        <v>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0</v>
      </c>
      <c r="T22" s="305"/>
      <c r="U22" s="305"/>
    </row>
    <row r="23" spans="1:21" s="367" customFormat="1" ht="12" customHeight="1">
      <c r="A23" s="504">
        <v>15</v>
      </c>
      <c r="B23" s="365">
        <f>'FRIT HGE91-FHG'!B23</f>
        <v>46249</v>
      </c>
      <c r="C23" s="331" t="s">
        <v>348</v>
      </c>
      <c r="D23" s="502">
        <f t="shared" si="5"/>
        <v>0</v>
      </c>
      <c r="E23" s="499"/>
      <c r="F23" s="446">
        <f t="shared" si="2"/>
        <v>0</v>
      </c>
      <c r="G23" s="503">
        <f t="shared" si="2"/>
        <v>0</v>
      </c>
      <c r="H23" s="709">
        <f>SUM($F$9:F23)/A23</f>
        <v>0</v>
      </c>
      <c r="I23" s="499">
        <f>SUM($G$9:G23)/A23</f>
        <v>0</v>
      </c>
      <c r="J23" s="504">
        <f t="shared" si="3"/>
        <v>0</v>
      </c>
      <c r="K23" s="459">
        <f t="shared" si="3"/>
        <v>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21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5"/>
        <v>0</v>
      </c>
      <c r="E24" s="499"/>
      <c r="F24" s="446">
        <f t="shared" si="2"/>
        <v>0</v>
      </c>
      <c r="G24" s="503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3"/>
        <v>0</v>
      </c>
      <c r="K24" s="459">
        <f t="shared" si="3"/>
        <v>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21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>
        <f t="shared" si="5"/>
        <v>0</v>
      </c>
      <c r="E25" s="499"/>
      <c r="F25" s="446">
        <f t="shared" si="2"/>
        <v>0</v>
      </c>
      <c r="G25" s="503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si="3"/>
        <v>0</v>
      </c>
      <c r="K25" s="459">
        <f t="shared" si="3"/>
        <v>0</v>
      </c>
      <c r="L25" s="495" t="e">
        <f>J25/H25</f>
        <v>#DIV/0!</v>
      </c>
      <c r="M25" s="464" t="e">
        <f t="shared" si="1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21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5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ref="J26:K39" si="6">J25+D26-F26</f>
        <v>0</v>
      </c>
      <c r="K26" s="459">
        <f t="shared" si="6"/>
        <v>0</v>
      </c>
      <c r="L26" s="495" t="e">
        <f t="shared" ref="L26:M39" si="7">J26/H26</f>
        <v>#DIV/0!</v>
      </c>
      <c r="M26" s="464" t="e">
        <f t="shared" si="7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21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5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6"/>
        <v>0</v>
      </c>
      <c r="K27" s="459">
        <f t="shared" si="6"/>
        <v>0</v>
      </c>
      <c r="L27" s="495" t="e">
        <f t="shared" si="7"/>
        <v>#DIV/0!</v>
      </c>
      <c r="M27" s="464" t="e">
        <f t="shared" si="7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21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5"/>
        <v>0</v>
      </c>
      <c r="E28" s="499"/>
      <c r="F28" s="446">
        <f t="shared" si="2"/>
        <v>0</v>
      </c>
      <c r="G28" s="503">
        <f t="shared" si="2"/>
        <v>0</v>
      </c>
      <c r="H28" s="709">
        <f>SUM($F$9:F28)/A28</f>
        <v>0</v>
      </c>
      <c r="I28" s="499">
        <f>SUM($G$9:G28)/A28</f>
        <v>0</v>
      </c>
      <c r="J28" s="504">
        <f t="shared" si="6"/>
        <v>0</v>
      </c>
      <c r="K28" s="459">
        <f t="shared" si="6"/>
        <v>0</v>
      </c>
      <c r="L28" s="505" t="e">
        <f t="shared" si="7"/>
        <v>#DIV/0!</v>
      </c>
      <c r="M28" s="464" t="e">
        <f t="shared" si="7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21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5"/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6"/>
        <v>0</v>
      </c>
      <c r="K29" s="459">
        <f t="shared" si="6"/>
        <v>0</v>
      </c>
      <c r="L29" s="495" t="e">
        <f t="shared" si="7"/>
        <v>#DIV/0!</v>
      </c>
      <c r="M29" s="464" t="e">
        <f t="shared" si="7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21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5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6"/>
        <v>0</v>
      </c>
      <c r="K30" s="459">
        <f t="shared" si="6"/>
        <v>0</v>
      </c>
      <c r="L30" s="495" t="e">
        <f t="shared" si="7"/>
        <v>#DIV/0!</v>
      </c>
      <c r="M30" s="464" t="e">
        <f t="shared" si="7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21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5"/>
        <v>0</v>
      </c>
      <c r="E31" s="499"/>
      <c r="F31" s="446">
        <f t="shared" si="2"/>
        <v>0</v>
      </c>
      <c r="G31" s="503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6"/>
        <v>0</v>
      </c>
      <c r="K31" s="459">
        <f t="shared" si="6"/>
        <v>0</v>
      </c>
      <c r="L31" s="495" t="e">
        <f t="shared" si="7"/>
        <v>#DIV/0!</v>
      </c>
      <c r="M31" s="464" t="e">
        <f t="shared" si="7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21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5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6"/>
        <v>0</v>
      </c>
      <c r="K32" s="459">
        <f t="shared" si="6"/>
        <v>0</v>
      </c>
      <c r="L32" s="495" t="e">
        <f t="shared" si="7"/>
        <v>#DIV/0!</v>
      </c>
      <c r="M32" s="464" t="e">
        <f t="shared" si="7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>
        <f t="shared" si="5"/>
        <v>0</v>
      </c>
      <c r="E33" s="499"/>
      <c r="F33" s="446">
        <f t="shared" si="2"/>
        <v>0</v>
      </c>
      <c r="G33" s="503">
        <f t="shared" si="2"/>
        <v>0</v>
      </c>
      <c r="H33" s="708">
        <f>SUM($F$9:F33)/A33</f>
        <v>0</v>
      </c>
      <c r="I33" s="499">
        <f>SUM($G$9:G33)/A33</f>
        <v>0</v>
      </c>
      <c r="J33" s="460">
        <f t="shared" si="6"/>
        <v>0</v>
      </c>
      <c r="K33" s="459">
        <f t="shared" si="6"/>
        <v>0</v>
      </c>
      <c r="L33" s="506" t="e">
        <f t="shared" si="7"/>
        <v>#DIV/0!</v>
      </c>
      <c r="M33" s="464" t="e">
        <f t="shared" si="7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5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6"/>
        <v>0</v>
      </c>
      <c r="K34" s="459">
        <f t="shared" si="6"/>
        <v>0</v>
      </c>
      <c r="L34" s="495" t="e">
        <f t="shared" si="7"/>
        <v>#DIV/0!</v>
      </c>
      <c r="M34" s="464" t="e">
        <f t="shared" si="7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5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6"/>
        <v>0</v>
      </c>
      <c r="K35" s="459">
        <f t="shared" si="6"/>
        <v>0</v>
      </c>
      <c r="L35" s="495" t="e">
        <f t="shared" si="7"/>
        <v>#DIV/0!</v>
      </c>
      <c r="M35" s="464" t="e">
        <f t="shared" si="7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921">
        <f t="shared" si="5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6"/>
        <v>0</v>
      </c>
      <c r="K36" s="459">
        <f t="shared" si="6"/>
        <v>0</v>
      </c>
      <c r="L36" s="495" t="e">
        <f t="shared" si="7"/>
        <v>#DIV/0!</v>
      </c>
      <c r="M36" s="464" t="e">
        <f t="shared" si="7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5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6"/>
        <v>0</v>
      </c>
      <c r="K37" s="459">
        <f t="shared" si="6"/>
        <v>0</v>
      </c>
      <c r="L37" s="495" t="e">
        <f t="shared" si="7"/>
        <v>#DIV/0!</v>
      </c>
      <c r="M37" s="464" t="e">
        <f t="shared" si="7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5"/>
        <v>0</v>
      </c>
      <c r="E38" s="499"/>
      <c r="F38" s="446">
        <f t="shared" si="2"/>
        <v>0</v>
      </c>
      <c r="G38" s="503">
        <f t="shared" si="2"/>
        <v>0</v>
      </c>
      <c r="H38" s="498">
        <f>SUM($F$9:F38)/A38</f>
        <v>0</v>
      </c>
      <c r="I38" s="499">
        <f>SUM($G$9:G38)/A38</f>
        <v>0</v>
      </c>
      <c r="J38" s="504">
        <f t="shared" si="6"/>
        <v>0</v>
      </c>
      <c r="K38" s="459">
        <f t="shared" si="6"/>
        <v>0</v>
      </c>
      <c r="L38" s="505" t="e">
        <f t="shared" si="7"/>
        <v>#DIV/0!</v>
      </c>
      <c r="M38" s="464" t="e">
        <f t="shared" si="7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5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6"/>
        <v>0</v>
      </c>
      <c r="K39" s="459">
        <f t="shared" si="6"/>
        <v>0</v>
      </c>
      <c r="L39" s="495" t="e">
        <f t="shared" si="7"/>
        <v>#DIV/0!</v>
      </c>
      <c r="M39" s="464" t="e">
        <f t="shared" si="7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750" t="s">
        <v>29</v>
      </c>
      <c r="B40" s="751"/>
      <c r="C40" s="75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366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750" t="s">
        <v>15</v>
      </c>
      <c r="B41" s="751"/>
      <c r="C41" s="75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641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035" priority="1" operator="lessThan">
      <formula>15</formula>
    </cfRule>
    <cfRule type="cellIs" dxfId="12034" priority="2" operator="greaterThan">
      <formula>20</formula>
    </cfRule>
    <cfRule type="cellIs" dxfId="12033" priority="3" operator="between">
      <formula>15</formula>
      <formula>20</formula>
    </cfRule>
    <cfRule type="cellIs" dxfId="12032" priority="4" operator="between">
      <formula>15</formula>
      <formula>20</formula>
    </cfRule>
    <cfRule type="cellIs" dxfId="12031" priority="5" operator="lessThan">
      <formula>15</formula>
    </cfRule>
    <cfRule type="cellIs" dxfId="12030" priority="6" operator="greaterThan">
      <formula>20</formula>
    </cfRule>
    <cfRule type="cellIs" dxfId="12029" priority="7" operator="between">
      <formula>15</formula>
      <formula>21</formula>
    </cfRule>
    <cfRule type="cellIs" dxfId="12028" priority="8" operator="lessThan">
      <formula>15</formula>
    </cfRule>
    <cfRule type="cellIs" dxfId="12027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2"/>
  <pageSetup paperSize="8" orientation="landscape" horizontalDpi="4294967292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Y49"/>
  <sheetViews>
    <sheetView workbookViewId="0">
      <pane ySplit="8" topLeftCell="A9" activePane="bottomLeft" state="frozen"/>
      <selection activeCell="D10" sqref="D10"/>
      <selection pane="bottomLeft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7.42578125" style="143" customWidth="1"/>
    <col min="4" max="7" width="10.140625" style="142" customWidth="1"/>
    <col min="8" max="9" width="9.28515625" style="142" customWidth="1"/>
    <col min="10" max="11" width="10.85546875" style="142" customWidth="1"/>
    <col min="12" max="13" width="12" style="143" customWidth="1"/>
    <col min="14" max="14" width="6.42578125" style="143" customWidth="1"/>
    <col min="15" max="15" width="11.5703125" style="143" bestFit="1" customWidth="1"/>
    <col min="16" max="16" width="9.42578125" style="143" bestFit="1" customWidth="1"/>
    <col min="17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P3" s="324"/>
      <c r="Q3" s="324"/>
    </row>
    <row r="4" spans="1:25" s="847" customFormat="1" ht="18.75" customHeight="1">
      <c r="A4" s="1600" t="s">
        <v>33</v>
      </c>
      <c r="B4" s="1600"/>
      <c r="C4" s="316" t="str">
        <f>J4</f>
        <v>FRIT A608-2 ACV</v>
      </c>
      <c r="D4" s="383"/>
      <c r="E4" s="383" t="s">
        <v>228</v>
      </c>
      <c r="F4" s="383"/>
      <c r="G4" s="383"/>
      <c r="I4" s="383" t="s">
        <v>120</v>
      </c>
      <c r="J4" s="316" t="s">
        <v>688</v>
      </c>
      <c r="K4" s="319"/>
      <c r="L4" s="319"/>
      <c r="M4" s="319"/>
      <c r="O4" s="143"/>
      <c r="P4" s="324"/>
      <c r="Q4" s="324"/>
    </row>
    <row r="5" spans="1:25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>
        <v>1.7999999999999999E-2</v>
      </c>
      <c r="O8" s="143">
        <v>1350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 t="shared" ref="D9:D19" si="0">E9-E9*N9</f>
        <v>0</v>
      </c>
      <c r="E9" s="499"/>
      <c r="F9" s="446"/>
      <c r="G9" s="499"/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 t="shared" ref="L9:M25" si="1">J9/H9</f>
        <v>#DIV/0!</v>
      </c>
      <c r="M9" s="464" t="e">
        <f t="shared" si="1"/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si="0"/>
        <v>0</v>
      </c>
      <c r="E10" s="499"/>
      <c r="F10" s="446"/>
      <c r="G10" s="499"/>
      <c r="H10" s="498">
        <f>SUM($F$9:F10)/A10</f>
        <v>0</v>
      </c>
      <c r="I10" s="499">
        <f>SUM($G$9:G10)/A10</f>
        <v>0</v>
      </c>
      <c r="J10" s="443">
        <f t="shared" ref="J10:K25" si="2">J9+D10-F10</f>
        <v>0</v>
      </c>
      <c r="K10" s="459">
        <f t="shared" si="2"/>
        <v>0</v>
      </c>
      <c r="L10" s="495" t="e">
        <f t="shared" si="1"/>
        <v>#DIV/0!</v>
      </c>
      <c r="M10" s="464" t="e">
        <f t="shared" si="1"/>
        <v>#DIV/0!</v>
      </c>
      <c r="N10" s="366"/>
      <c r="O10" s="647">
        <f t="shared" ref="O10:O39" si="3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0"/>
        <v>0</v>
      </c>
      <c r="E11" s="499"/>
      <c r="F11" s="446"/>
      <c r="G11" s="499"/>
      <c r="H11" s="498">
        <f>SUM($F$9:F11)/A11</f>
        <v>0</v>
      </c>
      <c r="I11" s="499">
        <f>SUM($G$9:G11)/A11</f>
        <v>0</v>
      </c>
      <c r="J11" s="443">
        <f t="shared" si="2"/>
        <v>0</v>
      </c>
      <c r="K11" s="459">
        <f t="shared" si="2"/>
        <v>0</v>
      </c>
      <c r="L11" s="495" t="e">
        <f t="shared" si="1"/>
        <v>#DIV/0!</v>
      </c>
      <c r="M11" s="464" t="e">
        <f t="shared" si="1"/>
        <v>#DIV/0!</v>
      </c>
      <c r="N11" s="366"/>
      <c r="O11" s="647">
        <f t="shared" si="3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0"/>
        <v>0</v>
      </c>
      <c r="E12" s="499"/>
      <c r="F12" s="446"/>
      <c r="G12" s="499"/>
      <c r="H12" s="498">
        <f>SUM($F$9:F12)/A12</f>
        <v>0</v>
      </c>
      <c r="I12" s="499">
        <f>SUM($G$9:G12)/A12</f>
        <v>0</v>
      </c>
      <c r="J12" s="443">
        <f t="shared" si="2"/>
        <v>0</v>
      </c>
      <c r="K12" s="459">
        <f t="shared" si="2"/>
        <v>0</v>
      </c>
      <c r="L12" s="495" t="e">
        <f t="shared" si="1"/>
        <v>#DIV/0!</v>
      </c>
      <c r="M12" s="464" t="e">
        <f t="shared" si="1"/>
        <v>#DIV/0!</v>
      </c>
      <c r="N12" s="366"/>
      <c r="O12" s="647">
        <f t="shared" si="3"/>
        <v>0</v>
      </c>
    </row>
    <row r="13" spans="1:25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0"/>
        <v>0</v>
      </c>
      <c r="E13" s="499"/>
      <c r="F13" s="446"/>
      <c r="G13" s="499"/>
      <c r="H13" s="709">
        <f>SUM($F$9:F13)/A13</f>
        <v>0</v>
      </c>
      <c r="I13" s="499">
        <f>SUM($G$9:G13)/A13</f>
        <v>0</v>
      </c>
      <c r="J13" s="504">
        <f t="shared" si="2"/>
        <v>0</v>
      </c>
      <c r="K13" s="459">
        <f t="shared" si="2"/>
        <v>0</v>
      </c>
      <c r="L13" s="505" t="e">
        <f t="shared" si="1"/>
        <v>#DIV/0!</v>
      </c>
      <c r="M13" s="464" t="e">
        <f t="shared" si="1"/>
        <v>#DIV/0!</v>
      </c>
      <c r="N13" s="366"/>
      <c r="O13" s="647">
        <f t="shared" si="3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0"/>
        <v>0</v>
      </c>
      <c r="E14" s="499"/>
      <c r="F14" s="446"/>
      <c r="G14" s="499"/>
      <c r="H14" s="498">
        <f>SUM($F$9:F14)/A14</f>
        <v>0</v>
      </c>
      <c r="I14" s="499">
        <f>SUM($G$9:G14)/A14</f>
        <v>0</v>
      </c>
      <c r="J14" s="443">
        <f t="shared" si="2"/>
        <v>0</v>
      </c>
      <c r="K14" s="459">
        <f t="shared" si="2"/>
        <v>0</v>
      </c>
      <c r="L14" s="495" t="e">
        <f t="shared" si="1"/>
        <v>#DIV/0!</v>
      </c>
      <c r="M14" s="464" t="e">
        <f t="shared" si="1"/>
        <v>#DIV/0!</v>
      </c>
      <c r="N14" s="366"/>
      <c r="O14" s="647">
        <f t="shared" si="3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0"/>
        <v>0</v>
      </c>
      <c r="E15" s="499"/>
      <c r="F15" s="446"/>
      <c r="G15" s="499"/>
      <c r="H15" s="498">
        <f>SUM($F$9:F15)/A15</f>
        <v>0</v>
      </c>
      <c r="I15" s="499">
        <f>SUM($G$9:G15)/A15</f>
        <v>0</v>
      </c>
      <c r="J15" s="443">
        <f t="shared" si="2"/>
        <v>0</v>
      </c>
      <c r="K15" s="459">
        <f t="shared" si="2"/>
        <v>0</v>
      </c>
      <c r="L15" s="495" t="e">
        <f t="shared" si="1"/>
        <v>#DIV/0!</v>
      </c>
      <c r="M15" s="464" t="e">
        <f t="shared" si="1"/>
        <v>#DIV/0!</v>
      </c>
      <c r="N15" s="366"/>
      <c r="O15" s="647">
        <f t="shared" si="3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0"/>
        <v>0</v>
      </c>
      <c r="E16" s="499"/>
      <c r="F16" s="446"/>
      <c r="G16" s="499"/>
      <c r="H16" s="498">
        <f>SUM($F$9:F16)/A16</f>
        <v>0</v>
      </c>
      <c r="I16" s="499">
        <f>SUM($G$9:G16)/A16</f>
        <v>0</v>
      </c>
      <c r="J16" s="443">
        <f t="shared" si="2"/>
        <v>0</v>
      </c>
      <c r="K16" s="459">
        <f t="shared" si="2"/>
        <v>0</v>
      </c>
      <c r="L16" s="495" t="e">
        <f t="shared" si="1"/>
        <v>#DIV/0!</v>
      </c>
      <c r="M16" s="464" t="e">
        <f t="shared" si="1"/>
        <v>#DIV/0!</v>
      </c>
      <c r="N16" s="366"/>
      <c r="O16" s="647">
        <f t="shared" si="3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0"/>
        <v>0</v>
      </c>
      <c r="E17" s="499"/>
      <c r="F17" s="446"/>
      <c r="G17" s="499"/>
      <c r="H17" s="498">
        <f>SUM($F$9:F17)/A17</f>
        <v>0</v>
      </c>
      <c r="I17" s="499">
        <f>SUM($G$9:G17)/A17</f>
        <v>0</v>
      </c>
      <c r="J17" s="443">
        <f t="shared" si="2"/>
        <v>0</v>
      </c>
      <c r="K17" s="459">
        <f t="shared" si="2"/>
        <v>0</v>
      </c>
      <c r="L17" s="495" t="e">
        <f t="shared" si="1"/>
        <v>#DIV/0!</v>
      </c>
      <c r="M17" s="464" t="e">
        <f t="shared" si="1"/>
        <v>#DIV/0!</v>
      </c>
      <c r="N17" s="366"/>
      <c r="O17" s="647">
        <f t="shared" si="3"/>
        <v>0</v>
      </c>
    </row>
    <row r="18" spans="1:15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0"/>
        <v>0</v>
      </c>
      <c r="E18" s="499"/>
      <c r="F18" s="446"/>
      <c r="G18" s="499"/>
      <c r="H18" s="709">
        <f>SUM($F$9:F18)/A18</f>
        <v>0</v>
      </c>
      <c r="I18" s="499">
        <f>SUM($G$9:G18)/A18</f>
        <v>0</v>
      </c>
      <c r="J18" s="504">
        <f t="shared" si="2"/>
        <v>0</v>
      </c>
      <c r="K18" s="459">
        <f t="shared" si="2"/>
        <v>0</v>
      </c>
      <c r="L18" s="505" t="e">
        <f t="shared" si="1"/>
        <v>#DIV/0!</v>
      </c>
      <c r="M18" s="464" t="e">
        <f t="shared" si="1"/>
        <v>#DIV/0!</v>
      </c>
      <c r="N18" s="366"/>
      <c r="O18" s="647">
        <f t="shared" si="3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0"/>
        <v>0</v>
      </c>
      <c r="E19" s="499"/>
      <c r="F19" s="446"/>
      <c r="G19" s="499"/>
      <c r="H19" s="498">
        <f>SUM($F$9:F19)/A19</f>
        <v>0</v>
      </c>
      <c r="I19" s="499">
        <f>SUM($G$9:G19)/A19</f>
        <v>0</v>
      </c>
      <c r="J19" s="443">
        <f t="shared" si="2"/>
        <v>0</v>
      </c>
      <c r="K19" s="459">
        <f t="shared" si="2"/>
        <v>0</v>
      </c>
      <c r="L19" s="495" t="e">
        <f t="shared" si="1"/>
        <v>#DIV/0!</v>
      </c>
      <c r="M19" s="464" t="e">
        <f t="shared" si="1"/>
        <v>#DIV/0!</v>
      </c>
      <c r="N19" s="366"/>
      <c r="O19" s="647">
        <f t="shared" si="3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>E20-E20*N20</f>
        <v>0</v>
      </c>
      <c r="E20" s="499"/>
      <c r="F20" s="446"/>
      <c r="G20" s="499"/>
      <c r="H20" s="498">
        <f>SUM($F$9:F20)/A20</f>
        <v>0</v>
      </c>
      <c r="I20" s="499">
        <f>SUM($G$9:G20)/A20</f>
        <v>0</v>
      </c>
      <c r="J20" s="443">
        <f t="shared" si="2"/>
        <v>0</v>
      </c>
      <c r="K20" s="459">
        <f t="shared" si="2"/>
        <v>0</v>
      </c>
      <c r="L20" s="495" t="e">
        <f>J20/H20</f>
        <v>#DIV/0!</v>
      </c>
      <c r="M20" s="464" t="e">
        <f t="shared" si="1"/>
        <v>#DIV/0!</v>
      </c>
      <c r="N20" s="366"/>
      <c r="O20" s="647">
        <f t="shared" si="3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ref="D21:D39" si="4">E21-E21*N21</f>
        <v>0</v>
      </c>
      <c r="E21" s="499"/>
      <c r="F21" s="446"/>
      <c r="G21" s="499"/>
      <c r="H21" s="498">
        <f>SUM($F$9:F21)/A21</f>
        <v>0</v>
      </c>
      <c r="I21" s="499">
        <f>SUM($G$9:G21)/A21</f>
        <v>0</v>
      </c>
      <c r="J21" s="443">
        <f t="shared" si="2"/>
        <v>0</v>
      </c>
      <c r="K21" s="459">
        <f t="shared" si="2"/>
        <v>0</v>
      </c>
      <c r="L21" s="495" t="e">
        <f t="shared" si="1"/>
        <v>#DIV/0!</v>
      </c>
      <c r="M21" s="464" t="e">
        <f t="shared" si="1"/>
        <v>#DIV/0!</v>
      </c>
      <c r="N21" s="366"/>
      <c r="O21" s="647">
        <f t="shared" si="3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4"/>
        <v>0</v>
      </c>
      <c r="E22" s="499"/>
      <c r="F22" s="446"/>
      <c r="G22" s="499"/>
      <c r="H22" s="498">
        <f>SUM($F$9:F22)/A22</f>
        <v>0</v>
      </c>
      <c r="I22" s="499">
        <f>SUM($G$9:G22)/A22</f>
        <v>0</v>
      </c>
      <c r="J22" s="443">
        <f t="shared" si="2"/>
        <v>0</v>
      </c>
      <c r="K22" s="459">
        <f t="shared" si="2"/>
        <v>0</v>
      </c>
      <c r="L22" s="495" t="e">
        <f t="shared" si="1"/>
        <v>#DIV/0!</v>
      </c>
      <c r="M22" s="464" t="e">
        <f t="shared" si="1"/>
        <v>#DIV/0!</v>
      </c>
      <c r="N22" s="366"/>
      <c r="O22" s="647">
        <f t="shared" si="3"/>
        <v>0</v>
      </c>
    </row>
    <row r="23" spans="1:15" s="367" customFormat="1" ht="12" customHeight="1">
      <c r="A23" s="504">
        <v>15</v>
      </c>
      <c r="B23" s="365">
        <f>'FRIT HGE91-FHG'!B23</f>
        <v>46249</v>
      </c>
      <c r="C23" s="331" t="s">
        <v>348</v>
      </c>
      <c r="D23" s="502">
        <f t="shared" si="4"/>
        <v>0</v>
      </c>
      <c r="E23" s="499"/>
      <c r="F23" s="446"/>
      <c r="G23" s="499"/>
      <c r="H23" s="709">
        <f>SUM($F$9:F23)/A23</f>
        <v>0</v>
      </c>
      <c r="I23" s="499">
        <f>SUM($G$9:G23)/A23</f>
        <v>0</v>
      </c>
      <c r="J23" s="504">
        <f t="shared" si="2"/>
        <v>0</v>
      </c>
      <c r="K23" s="459">
        <f t="shared" si="2"/>
        <v>0</v>
      </c>
      <c r="L23" s="505" t="e">
        <f t="shared" si="1"/>
        <v>#DIV/0!</v>
      </c>
      <c r="M23" s="464" t="e">
        <f t="shared" si="1"/>
        <v>#DIV/0!</v>
      </c>
      <c r="N23" s="366"/>
      <c r="O23" s="647">
        <f t="shared" si="3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4"/>
        <v>0</v>
      </c>
      <c r="E24" s="499"/>
      <c r="F24" s="446"/>
      <c r="G24" s="499"/>
      <c r="H24" s="498">
        <f>SUM($F$9:F24)/A24</f>
        <v>0</v>
      </c>
      <c r="I24" s="499">
        <f>SUM($G$9:G24)/A24</f>
        <v>0</v>
      </c>
      <c r="J24" s="443">
        <f t="shared" si="2"/>
        <v>0</v>
      </c>
      <c r="K24" s="459">
        <f t="shared" si="2"/>
        <v>0</v>
      </c>
      <c r="L24" s="495" t="e">
        <f t="shared" si="1"/>
        <v>#DIV/0!</v>
      </c>
      <c r="M24" s="464" t="e">
        <f t="shared" si="1"/>
        <v>#DIV/0!</v>
      </c>
      <c r="N24" s="366"/>
      <c r="O24" s="647">
        <f t="shared" si="3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>
        <f t="shared" si="4"/>
        <v>0</v>
      </c>
      <c r="E25" s="499"/>
      <c r="F25" s="446"/>
      <c r="G25" s="499"/>
      <c r="H25" s="498">
        <f>SUM($F$9:F25)/A25</f>
        <v>0</v>
      </c>
      <c r="I25" s="499">
        <f>SUM($G$9:G25)/A25</f>
        <v>0</v>
      </c>
      <c r="J25" s="443">
        <f t="shared" si="2"/>
        <v>0</v>
      </c>
      <c r="K25" s="459">
        <f t="shared" si="2"/>
        <v>0</v>
      </c>
      <c r="L25" s="495" t="e">
        <f>J25/H25</f>
        <v>#DIV/0!</v>
      </c>
      <c r="M25" s="464" t="e">
        <f t="shared" si="1"/>
        <v>#DIV/0!</v>
      </c>
      <c r="N25" s="366"/>
      <c r="O25" s="647">
        <f t="shared" si="3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4"/>
        <v>0</v>
      </c>
      <c r="E26" s="499"/>
      <c r="F26" s="446"/>
      <c r="G26" s="499"/>
      <c r="H26" s="498">
        <f>SUM($F$9:F26)/A26</f>
        <v>0</v>
      </c>
      <c r="I26" s="499">
        <f>SUM($G$9:G26)/A26</f>
        <v>0</v>
      </c>
      <c r="J26" s="443">
        <f t="shared" ref="J26:K39" si="5">J25+D26-F26</f>
        <v>0</v>
      </c>
      <c r="K26" s="459">
        <f t="shared" si="5"/>
        <v>0</v>
      </c>
      <c r="L26" s="495" t="e">
        <f t="shared" ref="L26:M39" si="6">J26/H26</f>
        <v>#DIV/0!</v>
      </c>
      <c r="M26" s="464" t="e">
        <f t="shared" si="6"/>
        <v>#DIV/0!</v>
      </c>
      <c r="N26" s="366"/>
      <c r="O26" s="647">
        <f t="shared" si="3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4"/>
        <v>0</v>
      </c>
      <c r="E27" s="499"/>
      <c r="F27" s="446"/>
      <c r="G27" s="499"/>
      <c r="H27" s="498">
        <f>SUM($F$9:F27)/A27</f>
        <v>0</v>
      </c>
      <c r="I27" s="499">
        <f>SUM($G$9:G27)/A27</f>
        <v>0</v>
      </c>
      <c r="J27" s="443">
        <f t="shared" si="5"/>
        <v>0</v>
      </c>
      <c r="K27" s="459">
        <f t="shared" si="5"/>
        <v>0</v>
      </c>
      <c r="L27" s="495" t="e">
        <f t="shared" si="6"/>
        <v>#DIV/0!</v>
      </c>
      <c r="M27" s="464" t="e">
        <f t="shared" si="6"/>
        <v>#DIV/0!</v>
      </c>
      <c r="N27" s="366"/>
      <c r="O27" s="647">
        <f t="shared" si="3"/>
        <v>0</v>
      </c>
    </row>
    <row r="28" spans="1:15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4"/>
        <v>0</v>
      </c>
      <c r="E28" s="499"/>
      <c r="F28" s="446"/>
      <c r="G28" s="499"/>
      <c r="H28" s="709">
        <f>SUM($F$9:F28)/A28</f>
        <v>0</v>
      </c>
      <c r="I28" s="499">
        <f>SUM($G$9:G28)/A28</f>
        <v>0</v>
      </c>
      <c r="J28" s="504">
        <f t="shared" si="5"/>
        <v>0</v>
      </c>
      <c r="K28" s="459">
        <f t="shared" si="5"/>
        <v>0</v>
      </c>
      <c r="L28" s="505" t="e">
        <f t="shared" si="6"/>
        <v>#DIV/0!</v>
      </c>
      <c r="M28" s="464" t="e">
        <f t="shared" si="6"/>
        <v>#DIV/0!</v>
      </c>
      <c r="N28" s="366"/>
      <c r="O28" s="647">
        <f t="shared" si="3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4"/>
        <v>0</v>
      </c>
      <c r="E29" s="499"/>
      <c r="F29" s="446"/>
      <c r="G29" s="499"/>
      <c r="H29" s="498">
        <f>SUM($F$9:F29)/A29</f>
        <v>0</v>
      </c>
      <c r="I29" s="499">
        <f>SUM($G$9:G29)/A29</f>
        <v>0</v>
      </c>
      <c r="J29" s="443">
        <f t="shared" si="5"/>
        <v>0</v>
      </c>
      <c r="K29" s="459">
        <f t="shared" si="5"/>
        <v>0</v>
      </c>
      <c r="L29" s="495" t="e">
        <f t="shared" si="6"/>
        <v>#DIV/0!</v>
      </c>
      <c r="M29" s="464" t="e">
        <f t="shared" si="6"/>
        <v>#DIV/0!</v>
      </c>
      <c r="N29" s="366"/>
      <c r="O29" s="647">
        <f t="shared" si="3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4"/>
        <v>0</v>
      </c>
      <c r="E30" s="499"/>
      <c r="F30" s="446"/>
      <c r="G30" s="499"/>
      <c r="H30" s="498">
        <f>SUM($F$9:F30)/A30</f>
        <v>0</v>
      </c>
      <c r="I30" s="499">
        <f>SUM($G$9:G30)/A30</f>
        <v>0</v>
      </c>
      <c r="J30" s="443">
        <f t="shared" si="5"/>
        <v>0</v>
      </c>
      <c r="K30" s="459">
        <f t="shared" si="5"/>
        <v>0</v>
      </c>
      <c r="L30" s="495" t="e">
        <f t="shared" si="6"/>
        <v>#DIV/0!</v>
      </c>
      <c r="M30" s="464" t="e">
        <f t="shared" si="6"/>
        <v>#DIV/0!</v>
      </c>
      <c r="N30" s="366"/>
      <c r="O30" s="647">
        <f t="shared" si="3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4"/>
        <v>0</v>
      </c>
      <c r="E31" s="499"/>
      <c r="F31" s="446"/>
      <c r="G31" s="499"/>
      <c r="H31" s="498">
        <f>SUM($F$9:F31)/A31</f>
        <v>0</v>
      </c>
      <c r="I31" s="499">
        <f>SUM($G$9:G31)/A31</f>
        <v>0</v>
      </c>
      <c r="J31" s="443">
        <f t="shared" si="5"/>
        <v>0</v>
      </c>
      <c r="K31" s="459">
        <f t="shared" si="5"/>
        <v>0</v>
      </c>
      <c r="L31" s="495" t="e">
        <f t="shared" si="6"/>
        <v>#DIV/0!</v>
      </c>
      <c r="M31" s="464" t="e">
        <f t="shared" si="6"/>
        <v>#DIV/0!</v>
      </c>
      <c r="N31" s="366"/>
      <c r="O31" s="647">
        <f t="shared" si="3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4"/>
        <v>0</v>
      </c>
      <c r="E32" s="499"/>
      <c r="F32" s="446"/>
      <c r="G32" s="499"/>
      <c r="H32" s="498">
        <f>SUM($F$9:F32)/A32</f>
        <v>0</v>
      </c>
      <c r="I32" s="499">
        <f>SUM($G$9:G32)/A32</f>
        <v>0</v>
      </c>
      <c r="J32" s="443">
        <f t="shared" si="5"/>
        <v>0</v>
      </c>
      <c r="K32" s="459">
        <f t="shared" si="5"/>
        <v>0</v>
      </c>
      <c r="L32" s="495" t="e">
        <f t="shared" si="6"/>
        <v>#DIV/0!</v>
      </c>
      <c r="M32" s="464" t="e">
        <f t="shared" si="6"/>
        <v>#DIV/0!</v>
      </c>
      <c r="N32" s="366"/>
      <c r="O32" s="647">
        <f t="shared" si="3"/>
        <v>0</v>
      </c>
    </row>
    <row r="33" spans="1:15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>
        <f t="shared" si="4"/>
        <v>0</v>
      </c>
      <c r="E33" s="499"/>
      <c r="F33" s="446"/>
      <c r="G33" s="499"/>
      <c r="H33" s="708">
        <f>SUM($F$9:F33)/A33</f>
        <v>0</v>
      </c>
      <c r="I33" s="499">
        <f>SUM($G$9:G33)/A33</f>
        <v>0</v>
      </c>
      <c r="J33" s="460">
        <f t="shared" si="5"/>
        <v>0</v>
      </c>
      <c r="K33" s="459">
        <f t="shared" si="5"/>
        <v>0</v>
      </c>
      <c r="L33" s="506" t="e">
        <f t="shared" si="6"/>
        <v>#DIV/0!</v>
      </c>
      <c r="M33" s="464" t="e">
        <f t="shared" si="6"/>
        <v>#DIV/0!</v>
      </c>
      <c r="N33" s="366"/>
      <c r="O33" s="647">
        <f t="shared" si="3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4"/>
        <v>0</v>
      </c>
      <c r="E34" s="499"/>
      <c r="F34" s="446"/>
      <c r="G34" s="499"/>
      <c r="H34" s="498">
        <f>SUM($F$9:F34)/A34</f>
        <v>0</v>
      </c>
      <c r="I34" s="499">
        <f>SUM($G$9:G34)/A34</f>
        <v>0</v>
      </c>
      <c r="J34" s="443">
        <f t="shared" si="5"/>
        <v>0</v>
      </c>
      <c r="K34" s="459">
        <f t="shared" si="5"/>
        <v>0</v>
      </c>
      <c r="L34" s="495" t="e">
        <f t="shared" si="6"/>
        <v>#DIV/0!</v>
      </c>
      <c r="M34" s="464" t="e">
        <f t="shared" si="6"/>
        <v>#DIV/0!</v>
      </c>
      <c r="N34" s="366"/>
      <c r="O34" s="647">
        <f t="shared" si="3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4"/>
        <v>0</v>
      </c>
      <c r="E35" s="499"/>
      <c r="F35" s="446"/>
      <c r="G35" s="499"/>
      <c r="H35" s="498">
        <f>SUM($F$9:F35)/A35</f>
        <v>0</v>
      </c>
      <c r="I35" s="499">
        <f>SUM($G$9:G35)/A35</f>
        <v>0</v>
      </c>
      <c r="J35" s="443">
        <f t="shared" si="5"/>
        <v>0</v>
      </c>
      <c r="K35" s="459">
        <f t="shared" si="5"/>
        <v>0</v>
      </c>
      <c r="L35" s="495" t="e">
        <f t="shared" si="6"/>
        <v>#DIV/0!</v>
      </c>
      <c r="M35" s="464" t="e">
        <f t="shared" si="6"/>
        <v>#DIV/0!</v>
      </c>
      <c r="N35" s="366"/>
      <c r="O35" s="647">
        <f t="shared" si="3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>
        <f t="shared" si="4"/>
        <v>0</v>
      </c>
      <c r="E36" s="499"/>
      <c r="F36" s="446"/>
      <c r="G36" s="499"/>
      <c r="H36" s="498">
        <f>SUM($F$9:F36)/A36</f>
        <v>0</v>
      </c>
      <c r="I36" s="499">
        <f>SUM($G$9:G36)/A36</f>
        <v>0</v>
      </c>
      <c r="J36" s="443">
        <f t="shared" si="5"/>
        <v>0</v>
      </c>
      <c r="K36" s="459">
        <f t="shared" si="5"/>
        <v>0</v>
      </c>
      <c r="L36" s="495" t="e">
        <f t="shared" si="6"/>
        <v>#DIV/0!</v>
      </c>
      <c r="M36" s="464" t="e">
        <f t="shared" si="6"/>
        <v>#DIV/0!</v>
      </c>
      <c r="N36" s="366"/>
      <c r="O36" s="647">
        <f t="shared" si="3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4"/>
        <v>0</v>
      </c>
      <c r="E37" s="499"/>
      <c r="F37" s="446"/>
      <c r="G37" s="499"/>
      <c r="H37" s="498">
        <f>SUM($F$9:F37)/A37</f>
        <v>0</v>
      </c>
      <c r="I37" s="499">
        <f>SUM($G$9:G37)/A37</f>
        <v>0</v>
      </c>
      <c r="J37" s="443">
        <f t="shared" si="5"/>
        <v>0</v>
      </c>
      <c r="K37" s="459">
        <f t="shared" si="5"/>
        <v>0</v>
      </c>
      <c r="L37" s="495" t="e">
        <f t="shared" si="6"/>
        <v>#DIV/0!</v>
      </c>
      <c r="M37" s="464" t="e">
        <f t="shared" si="6"/>
        <v>#DIV/0!</v>
      </c>
      <c r="N37" s="366"/>
      <c r="O37" s="647">
        <f t="shared" si="3"/>
        <v>0</v>
      </c>
    </row>
    <row r="38" spans="1:15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4"/>
        <v>0</v>
      </c>
      <c r="E38" s="499"/>
      <c r="F38" s="446"/>
      <c r="G38" s="499"/>
      <c r="H38" s="498">
        <f>SUM($F$9:F38)/A38</f>
        <v>0</v>
      </c>
      <c r="I38" s="499">
        <f>SUM($G$9:G38)/A38</f>
        <v>0</v>
      </c>
      <c r="J38" s="504">
        <f t="shared" si="5"/>
        <v>0</v>
      </c>
      <c r="K38" s="459">
        <f t="shared" si="5"/>
        <v>0</v>
      </c>
      <c r="L38" s="505" t="e">
        <f t="shared" si="6"/>
        <v>#DIV/0!</v>
      </c>
      <c r="M38" s="464" t="e">
        <f t="shared" si="6"/>
        <v>#DIV/0!</v>
      </c>
      <c r="N38" s="366"/>
      <c r="O38" s="647">
        <f t="shared" si="3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4"/>
        <v>0</v>
      </c>
      <c r="E39" s="499"/>
      <c r="F39" s="446"/>
      <c r="G39" s="499"/>
      <c r="H39" s="498">
        <f>SUM($F$9:F39)/A39</f>
        <v>0</v>
      </c>
      <c r="I39" s="499">
        <f>SUM($G$9:G39)/A39</f>
        <v>0</v>
      </c>
      <c r="J39" s="443">
        <f t="shared" si="5"/>
        <v>0</v>
      </c>
      <c r="K39" s="459">
        <f t="shared" si="5"/>
        <v>0</v>
      </c>
      <c r="L39" s="495" t="e">
        <f t="shared" si="6"/>
        <v>#DIV/0!</v>
      </c>
      <c r="M39" s="464" t="e">
        <f t="shared" si="6"/>
        <v>#DIV/0!</v>
      </c>
      <c r="N39" s="366"/>
      <c r="O39" s="647">
        <f t="shared" si="3"/>
        <v>0</v>
      </c>
    </row>
    <row r="40" spans="1:15" s="374" customFormat="1" ht="12" customHeight="1">
      <c r="A40" s="848" t="s">
        <v>29</v>
      </c>
      <c r="B40" s="849"/>
      <c r="C40" s="850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366"/>
    </row>
    <row r="41" spans="1:15" s="374" customFormat="1" ht="12" customHeight="1">
      <c r="A41" s="848" t="s">
        <v>15</v>
      </c>
      <c r="B41" s="849"/>
      <c r="C41" s="850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</row>
    <row r="42" spans="1:15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5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5">
      <c r="D47" s="143"/>
      <c r="E47" s="143"/>
      <c r="F47" s="143"/>
      <c r="G47" s="143"/>
      <c r="H47" s="143"/>
      <c r="I47" s="143"/>
      <c r="J47" s="143"/>
      <c r="K47" s="143"/>
    </row>
    <row r="48" spans="1:15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2"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026" priority="1" operator="lessThan">
      <formula>15</formula>
    </cfRule>
    <cfRule type="cellIs" dxfId="12025" priority="2" operator="greaterThan">
      <formula>20</formula>
    </cfRule>
    <cfRule type="cellIs" dxfId="12024" priority="3" operator="between">
      <formula>15</formula>
      <formula>20</formula>
    </cfRule>
    <cfRule type="cellIs" dxfId="12023" priority="4" operator="between">
      <formula>15</formula>
      <formula>20</formula>
    </cfRule>
    <cfRule type="cellIs" dxfId="12022" priority="5" operator="lessThan">
      <formula>15</formula>
    </cfRule>
    <cfRule type="cellIs" dxfId="12021" priority="6" operator="greaterThan">
      <formula>20</formula>
    </cfRule>
    <cfRule type="cellIs" dxfId="12020" priority="7" operator="between">
      <formula>15</formula>
      <formula>21</formula>
    </cfRule>
    <cfRule type="cellIs" dxfId="12019" priority="8" operator="lessThan">
      <formula>15</formula>
    </cfRule>
    <cfRule type="cellIs" dxfId="12018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2"/>
  <pageSetup paperSize="8" orientation="landscape" horizontalDpi="4294967292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C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0" width="12.42578125" style="142" customWidth="1"/>
    <col min="11" max="11" width="14.140625" style="142" customWidth="1"/>
    <col min="12" max="13" width="12" style="143" customWidth="1"/>
    <col min="14" max="14" width="6.42578125" style="143" customWidth="1"/>
    <col min="15" max="18" width="12.5703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729" customFormat="1" ht="18.75" customHeight="1">
      <c r="A4" s="1600" t="s">
        <v>33</v>
      </c>
      <c r="B4" s="1600"/>
      <c r="C4" s="316" t="str">
        <f>J4</f>
        <v>FRIT HGT05-FHG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358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729"/>
      <c r="U6" s="729"/>
      <c r="V6" s="729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143"/>
      <c r="U7" s="143"/>
      <c r="V7" s="143"/>
    </row>
    <row r="8" spans="1:29" s="305" customFormat="1" ht="12" customHeight="1">
      <c r="A8" s="1597" t="s">
        <v>3</v>
      </c>
      <c r="B8" s="1598"/>
      <c r="C8" s="1599"/>
      <c r="D8" s="387">
        <f>J8</f>
        <v>51930.207999999999</v>
      </c>
      <c r="E8" s="388">
        <f>K8</f>
        <v>52349</v>
      </c>
      <c r="F8" s="389"/>
      <c r="G8" s="388"/>
      <c r="H8" s="387"/>
      <c r="I8" s="388"/>
      <c r="J8" s="624">
        <f>K8-K8*N8</f>
        <v>51930.207999999999</v>
      </c>
      <c r="K8" s="324">
        <v>52349</v>
      </c>
      <c r="L8" s="462"/>
      <c r="M8" s="463"/>
      <c r="N8" s="366">
        <v>8.0000000000000002E-3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2385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104</v>
      </c>
      <c r="D9" s="502">
        <f>E9-E9*N9</f>
        <v>0</v>
      </c>
      <c r="E9" s="499"/>
      <c r="F9" s="446">
        <f>O9+Q9</f>
        <v>1125</v>
      </c>
      <c r="G9" s="503">
        <f>P9+R9</f>
        <v>1134</v>
      </c>
      <c r="H9" s="498">
        <f>SUM($F$9:F9)/A9</f>
        <v>1125</v>
      </c>
      <c r="I9" s="499">
        <f>SUM($G$9:G9)/A9</f>
        <v>1134</v>
      </c>
      <c r="J9" s="443">
        <f t="shared" ref="J9:K24" si="0">J8+D9-F9</f>
        <v>50805.207999999999</v>
      </c>
      <c r="K9" s="459">
        <f t="shared" si="0"/>
        <v>51215</v>
      </c>
      <c r="L9" s="495">
        <f t="shared" ref="L9:M24" si="1">J9/H9</f>
        <v>45.160184888888885</v>
      </c>
      <c r="M9" s="464">
        <f t="shared" si="1"/>
        <v>45.163139329805993</v>
      </c>
      <c r="N9" s="366"/>
      <c r="O9" s="446">
        <v>1125</v>
      </c>
      <c r="P9" s="446">
        <v>1134</v>
      </c>
      <c r="Q9" s="446"/>
      <c r="R9" s="446"/>
      <c r="S9" s="647">
        <f>J9/$S$8</f>
        <v>21.301974004192871</v>
      </c>
      <c r="T9" s="305"/>
      <c r="U9" s="305"/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502">
        <f t="shared" ref="D10:D39" si="2">E10-E10*N10</f>
        <v>0</v>
      </c>
      <c r="E10" s="499"/>
      <c r="F10" s="446">
        <f t="shared" ref="F10:G39" si="3">O10+Q10</f>
        <v>1125</v>
      </c>
      <c r="G10" s="503">
        <f t="shared" si="3"/>
        <v>1134</v>
      </c>
      <c r="H10" s="498">
        <f>SUM($F$9:F10)/A10</f>
        <v>1125</v>
      </c>
      <c r="I10" s="499">
        <f>SUM($G$9:G10)/A10</f>
        <v>1134</v>
      </c>
      <c r="J10" s="443">
        <f t="shared" si="0"/>
        <v>49680.207999999999</v>
      </c>
      <c r="K10" s="459">
        <f t="shared" si="0"/>
        <v>50081</v>
      </c>
      <c r="L10" s="495">
        <f t="shared" si="1"/>
        <v>44.160184888888885</v>
      </c>
      <c r="M10" s="464">
        <f t="shared" si="1"/>
        <v>44.163139329805993</v>
      </c>
      <c r="N10" s="366"/>
      <c r="O10" s="446">
        <v>1125</v>
      </c>
      <c r="P10" s="446">
        <v>1134</v>
      </c>
      <c r="Q10" s="446"/>
      <c r="R10" s="446"/>
      <c r="S10" s="647">
        <f t="shared" ref="S10:S39" si="4">J10/$S$8</f>
        <v>20.830275890985323</v>
      </c>
      <c r="T10" s="305"/>
      <c r="U10" s="305"/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921">
        <f t="shared" si="2"/>
        <v>0</v>
      </c>
      <c r="E11" s="499"/>
      <c r="F11" s="446">
        <f t="shared" si="3"/>
        <v>2250</v>
      </c>
      <c r="G11" s="503">
        <f t="shared" si="3"/>
        <v>2268</v>
      </c>
      <c r="H11" s="498">
        <f>SUM($F$9:F11)/A11</f>
        <v>1500</v>
      </c>
      <c r="I11" s="499">
        <f>SUM($G$9:G11)/A11</f>
        <v>1512</v>
      </c>
      <c r="J11" s="443">
        <f t="shared" si="0"/>
        <v>47430.207999999999</v>
      </c>
      <c r="K11" s="459">
        <f t="shared" si="0"/>
        <v>47813</v>
      </c>
      <c r="L11" s="495">
        <f t="shared" si="1"/>
        <v>31.620138666666666</v>
      </c>
      <c r="M11" s="464">
        <f t="shared" si="1"/>
        <v>31.622354497354497</v>
      </c>
      <c r="N11" s="366"/>
      <c r="O11" s="446">
        <v>2250</v>
      </c>
      <c r="P11" s="446">
        <v>2268</v>
      </c>
      <c r="Q11" s="446"/>
      <c r="R11" s="446"/>
      <c r="S11" s="647">
        <f t="shared" si="4"/>
        <v>19.88687966457023</v>
      </c>
      <c r="T11" s="305"/>
      <c r="U11" s="305"/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104</v>
      </c>
      <c r="D12" s="502">
        <f t="shared" si="2"/>
        <v>0</v>
      </c>
      <c r="E12" s="499"/>
      <c r="F12" s="446">
        <f t="shared" si="3"/>
        <v>1125</v>
      </c>
      <c r="G12" s="503">
        <f t="shared" si="3"/>
        <v>1134</v>
      </c>
      <c r="H12" s="498">
        <f>SUM($F$9:F12)/A12</f>
        <v>1406.25</v>
      </c>
      <c r="I12" s="499">
        <f>SUM($G$9:G12)/A12</f>
        <v>1417.5</v>
      </c>
      <c r="J12" s="443">
        <f t="shared" si="0"/>
        <v>46305.207999999999</v>
      </c>
      <c r="K12" s="459">
        <f t="shared" si="0"/>
        <v>46679</v>
      </c>
      <c r="L12" s="495">
        <f t="shared" si="1"/>
        <v>32.928147911111111</v>
      </c>
      <c r="M12" s="464">
        <f t="shared" si="1"/>
        <v>32.930511463844795</v>
      </c>
      <c r="N12" s="366"/>
      <c r="O12" s="446">
        <v>1125</v>
      </c>
      <c r="P12" s="446">
        <v>1134</v>
      </c>
      <c r="Q12" s="446"/>
      <c r="R12" s="446"/>
      <c r="S12" s="647">
        <f t="shared" si="4"/>
        <v>19.415181551362682</v>
      </c>
      <c r="T12" s="305"/>
      <c r="U12" s="305"/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502">
        <f t="shared" si="2"/>
        <v>0</v>
      </c>
      <c r="E13" s="499"/>
      <c r="F13" s="446">
        <f t="shared" si="3"/>
        <v>2340</v>
      </c>
      <c r="G13" s="503">
        <f t="shared" si="3"/>
        <v>2363</v>
      </c>
      <c r="H13" s="504">
        <f>SUM($F$9:F13)/A13</f>
        <v>1593</v>
      </c>
      <c r="I13" s="499">
        <f>SUM($G$9:G13)/A13</f>
        <v>1606.6</v>
      </c>
      <c r="J13" s="504">
        <f t="shared" si="0"/>
        <v>43965.207999999999</v>
      </c>
      <c r="K13" s="459">
        <f t="shared" si="0"/>
        <v>44316</v>
      </c>
      <c r="L13" s="505">
        <f t="shared" si="1"/>
        <v>27.599000627746388</v>
      </c>
      <c r="M13" s="464">
        <f t="shared" si="1"/>
        <v>27.583717166687418</v>
      </c>
      <c r="N13" s="366"/>
      <c r="O13" s="446">
        <v>2340</v>
      </c>
      <c r="P13" s="446">
        <v>2363</v>
      </c>
      <c r="Q13" s="446"/>
      <c r="R13" s="446"/>
      <c r="S13" s="647">
        <f t="shared" si="4"/>
        <v>18.434049475890983</v>
      </c>
      <c r="T13" s="305"/>
      <c r="U13" s="305"/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502">
        <f t="shared" si="2"/>
        <v>0</v>
      </c>
      <c r="E14" s="499"/>
      <c r="F14" s="446">
        <f t="shared" si="3"/>
        <v>1125</v>
      </c>
      <c r="G14" s="503">
        <f t="shared" si="3"/>
        <v>1136</v>
      </c>
      <c r="H14" s="498">
        <f>SUM($F$9:F14)/A14</f>
        <v>1515</v>
      </c>
      <c r="I14" s="499">
        <f>SUM($G$9:G14)/A14</f>
        <v>1528.1666666666667</v>
      </c>
      <c r="J14" s="443">
        <f t="shared" si="0"/>
        <v>42840.207999999999</v>
      </c>
      <c r="K14" s="459">
        <f t="shared" si="0"/>
        <v>43180</v>
      </c>
      <c r="L14" s="495">
        <f t="shared" si="1"/>
        <v>28.277365016501648</v>
      </c>
      <c r="M14" s="464">
        <f t="shared" si="1"/>
        <v>28.256080270476605</v>
      </c>
      <c r="N14" s="366"/>
      <c r="O14" s="446">
        <v>1125</v>
      </c>
      <c r="P14" s="446">
        <v>1136</v>
      </c>
      <c r="Q14" s="446"/>
      <c r="R14" s="446"/>
      <c r="S14" s="647">
        <f t="shared" si="4"/>
        <v>17.962351362683439</v>
      </c>
      <c r="T14" s="305"/>
      <c r="U14" s="305"/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502">
        <f t="shared" si="2"/>
        <v>0</v>
      </c>
      <c r="E15" s="499"/>
      <c r="F15" s="446">
        <f t="shared" si="3"/>
        <v>1125</v>
      </c>
      <c r="G15" s="503">
        <f t="shared" si="3"/>
        <v>1133</v>
      </c>
      <c r="H15" s="498">
        <f>SUM($F$9:F15)/A15</f>
        <v>1459.2857142857142</v>
      </c>
      <c r="I15" s="499">
        <f>SUM($G$9:G15)/A15</f>
        <v>1471.7142857142858</v>
      </c>
      <c r="J15" s="443">
        <f t="shared" si="0"/>
        <v>41715.207999999999</v>
      </c>
      <c r="K15" s="459">
        <f t="shared" si="0"/>
        <v>42047</v>
      </c>
      <c r="L15" s="495">
        <f t="shared" si="1"/>
        <v>28.58604561918747</v>
      </c>
      <c r="M15" s="464">
        <f t="shared" si="1"/>
        <v>28.570083478936127</v>
      </c>
      <c r="N15" s="366"/>
      <c r="O15" s="446">
        <v>1125</v>
      </c>
      <c r="P15" s="446">
        <v>1133</v>
      </c>
      <c r="Q15" s="446"/>
      <c r="R15" s="446"/>
      <c r="S15" s="647">
        <f t="shared" si="4"/>
        <v>17.490653249475891</v>
      </c>
      <c r="T15" s="305"/>
      <c r="U15" s="305"/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502">
        <f t="shared" si="2"/>
        <v>0</v>
      </c>
      <c r="E16" s="499"/>
      <c r="F16" s="446">
        <f t="shared" si="3"/>
        <v>2250</v>
      </c>
      <c r="G16" s="503">
        <f t="shared" si="3"/>
        <v>2260</v>
      </c>
      <c r="H16" s="498">
        <f>SUM($F$9:F16)/A16</f>
        <v>1558.125</v>
      </c>
      <c r="I16" s="499">
        <f>SUM($G$9:G16)/A16</f>
        <v>1570.25</v>
      </c>
      <c r="J16" s="443">
        <f t="shared" si="0"/>
        <v>39465.207999999999</v>
      </c>
      <c r="K16" s="459">
        <f t="shared" si="0"/>
        <v>39787</v>
      </c>
      <c r="L16" s="495">
        <f t="shared" si="1"/>
        <v>25.328653349378257</v>
      </c>
      <c r="M16" s="464">
        <f t="shared" si="1"/>
        <v>25.338003502626972</v>
      </c>
      <c r="N16" s="366"/>
      <c r="O16" s="446">
        <v>2250</v>
      </c>
      <c r="P16" s="446">
        <v>2260</v>
      </c>
      <c r="Q16" s="446"/>
      <c r="R16" s="446"/>
      <c r="S16" s="647">
        <f t="shared" si="4"/>
        <v>16.547257023060798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502">
        <f>E17-E17*N17</f>
        <v>0</v>
      </c>
      <c r="E17" s="499"/>
      <c r="F17" s="446">
        <f t="shared" si="3"/>
        <v>1125</v>
      </c>
      <c r="G17" s="503">
        <f t="shared" si="3"/>
        <v>1130</v>
      </c>
      <c r="H17" s="498">
        <f>SUM($F$9:F17)/A17</f>
        <v>1510</v>
      </c>
      <c r="I17" s="499">
        <f>SUM($G$9:G17)/A17</f>
        <v>1521.3333333333333</v>
      </c>
      <c r="J17" s="443">
        <f t="shared" si="0"/>
        <v>38340.207999999999</v>
      </c>
      <c r="K17" s="459">
        <f t="shared" si="0"/>
        <v>38657</v>
      </c>
      <c r="L17" s="495">
        <f t="shared" si="1"/>
        <v>25.390866225165563</v>
      </c>
      <c r="M17" s="464">
        <f t="shared" si="1"/>
        <v>25.409947414548643</v>
      </c>
      <c r="N17" s="366"/>
      <c r="O17" s="446">
        <v>1125</v>
      </c>
      <c r="P17" s="446">
        <v>1130</v>
      </c>
      <c r="Q17" s="446"/>
      <c r="R17" s="446"/>
      <c r="S17" s="647">
        <f t="shared" si="4"/>
        <v>16.07555890985325</v>
      </c>
      <c r="T17" s="305"/>
      <c r="U17" s="305"/>
    </row>
    <row r="18" spans="1:21" s="367" customFormat="1" ht="12" customHeight="1">
      <c r="A18" s="504">
        <v>10</v>
      </c>
      <c r="B18" s="365">
        <f>'FRIT HGE91-FHG'!B18</f>
        <v>46244</v>
      </c>
      <c r="C18" s="331" t="s">
        <v>104</v>
      </c>
      <c r="D18" s="921">
        <f t="shared" si="2"/>
        <v>0</v>
      </c>
      <c r="E18" s="499"/>
      <c r="F18" s="446">
        <f t="shared" si="3"/>
        <v>2250</v>
      </c>
      <c r="G18" s="503">
        <f t="shared" si="3"/>
        <v>2260</v>
      </c>
      <c r="H18" s="504">
        <f>SUM($F$9:F18)/A18</f>
        <v>1584</v>
      </c>
      <c r="I18" s="499">
        <f>SUM($G$9:G18)/A18</f>
        <v>1595.2</v>
      </c>
      <c r="J18" s="504">
        <f t="shared" si="0"/>
        <v>36090.207999999999</v>
      </c>
      <c r="K18" s="459">
        <f t="shared" si="0"/>
        <v>36397</v>
      </c>
      <c r="L18" s="505">
        <f t="shared" si="1"/>
        <v>22.784222222222223</v>
      </c>
      <c r="M18" s="464">
        <f t="shared" si="1"/>
        <v>22.816574724172519</v>
      </c>
      <c r="N18" s="366"/>
      <c r="O18" s="446">
        <v>2250</v>
      </c>
      <c r="P18" s="446">
        <v>2260</v>
      </c>
      <c r="Q18" s="446"/>
      <c r="R18" s="446"/>
      <c r="S18" s="647">
        <f t="shared" si="4"/>
        <v>15.132162683438155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31" t="s">
        <v>104</v>
      </c>
      <c r="D19" s="502">
        <f t="shared" si="2"/>
        <v>0</v>
      </c>
      <c r="E19" s="499"/>
      <c r="F19" s="446">
        <f t="shared" si="3"/>
        <v>2385</v>
      </c>
      <c r="G19" s="503">
        <f t="shared" si="3"/>
        <v>2395</v>
      </c>
      <c r="H19" s="498">
        <f>SUM($F$9:F19)/A19</f>
        <v>1656.8181818181818</v>
      </c>
      <c r="I19" s="499">
        <f>SUM($G$9:G19)/A19</f>
        <v>1667.909090909091</v>
      </c>
      <c r="J19" s="443">
        <f t="shared" si="0"/>
        <v>33705.207999999999</v>
      </c>
      <c r="K19" s="459">
        <f t="shared" si="0"/>
        <v>34002</v>
      </c>
      <c r="L19" s="495">
        <f t="shared" si="1"/>
        <v>20.343335418381344</v>
      </c>
      <c r="M19" s="464">
        <f t="shared" si="1"/>
        <v>20.386003161279771</v>
      </c>
      <c r="N19" s="366"/>
      <c r="O19" s="446">
        <v>1125</v>
      </c>
      <c r="P19" s="446">
        <v>1130</v>
      </c>
      <c r="Q19" s="446">
        <v>1260</v>
      </c>
      <c r="R19" s="446">
        <v>1265</v>
      </c>
      <c r="S19" s="647">
        <f t="shared" si="4"/>
        <v>14.132162683438155</v>
      </c>
      <c r="T19" s="305"/>
      <c r="U19" s="305"/>
    </row>
    <row r="20" spans="1:21" s="367" customFormat="1" ht="12" customHeight="1">
      <c r="A20" s="364">
        <v>12</v>
      </c>
      <c r="B20" s="365">
        <f>'FRIT HGE91-FHG'!B20</f>
        <v>46246</v>
      </c>
      <c r="C20" s="331" t="s">
        <v>349</v>
      </c>
      <c r="D20" s="502">
        <f>E20-E20*N20</f>
        <v>0</v>
      </c>
      <c r="E20" s="499"/>
      <c r="F20" s="446">
        <f t="shared" si="3"/>
        <v>2385</v>
      </c>
      <c r="G20" s="503">
        <f t="shared" si="3"/>
        <v>2400</v>
      </c>
      <c r="H20" s="498">
        <f>SUM($F$9:F20)/A20</f>
        <v>1717.5</v>
      </c>
      <c r="I20" s="499">
        <f>SUM($G$9:G20)/A20</f>
        <v>1728.9166666666667</v>
      </c>
      <c r="J20" s="443">
        <f t="shared" si="0"/>
        <v>31320.207999999999</v>
      </c>
      <c r="K20" s="459">
        <f t="shared" si="0"/>
        <v>31602</v>
      </c>
      <c r="L20" s="495">
        <f t="shared" si="1"/>
        <v>18.235928966521104</v>
      </c>
      <c r="M20" s="464">
        <f t="shared" si="1"/>
        <v>18.27849809611028</v>
      </c>
      <c r="N20" s="366"/>
      <c r="O20" s="446">
        <v>1125</v>
      </c>
      <c r="P20" s="446">
        <v>1132</v>
      </c>
      <c r="Q20" s="446">
        <v>1260</v>
      </c>
      <c r="R20" s="446">
        <v>1268</v>
      </c>
      <c r="S20" s="647">
        <f t="shared" si="4"/>
        <v>13.132162683438155</v>
      </c>
      <c r="T20" s="305"/>
      <c r="U20" s="305"/>
    </row>
    <row r="21" spans="1:21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502">
        <f t="shared" si="2"/>
        <v>0</v>
      </c>
      <c r="E21" s="499"/>
      <c r="F21" s="446">
        <f t="shared" si="3"/>
        <v>3510</v>
      </c>
      <c r="G21" s="503">
        <f t="shared" si="3"/>
        <v>3532</v>
      </c>
      <c r="H21" s="498">
        <f>SUM($F$9:F21)/A21</f>
        <v>1855.3846153846155</v>
      </c>
      <c r="I21" s="499">
        <f>SUM($G$9:G21)/A21</f>
        <v>1867.6153846153845</v>
      </c>
      <c r="J21" s="443">
        <f t="shared" si="0"/>
        <v>27810.207999999999</v>
      </c>
      <c r="K21" s="459">
        <f>K20+E21-G21</f>
        <v>28070</v>
      </c>
      <c r="L21" s="495">
        <f t="shared" si="1"/>
        <v>14.988918076285239</v>
      </c>
      <c r="M21" s="464">
        <f t="shared" si="1"/>
        <v>15.02986119691915</v>
      </c>
      <c r="N21" s="366"/>
      <c r="O21" s="446">
        <v>2250</v>
      </c>
      <c r="P21" s="446">
        <v>2264</v>
      </c>
      <c r="Q21" s="446">
        <v>1260</v>
      </c>
      <c r="R21" s="446">
        <v>1268</v>
      </c>
      <c r="S21" s="647">
        <f t="shared" si="4"/>
        <v>11.660464570230607</v>
      </c>
      <c r="T21" s="305"/>
      <c r="U21" s="305"/>
    </row>
    <row r="22" spans="1:21" s="367" customFormat="1" ht="12" customHeight="1">
      <c r="A22" s="364">
        <v>14</v>
      </c>
      <c r="B22" s="365">
        <f>'FRIT HGE91-FHG'!B22</f>
        <v>46248</v>
      </c>
      <c r="C22" s="331" t="s">
        <v>104</v>
      </c>
      <c r="D22" s="502">
        <f t="shared" si="2"/>
        <v>0</v>
      </c>
      <c r="E22" s="499"/>
      <c r="F22" s="446">
        <f t="shared" si="3"/>
        <v>3645</v>
      </c>
      <c r="G22" s="503">
        <f t="shared" si="3"/>
        <v>3682</v>
      </c>
      <c r="H22" s="498">
        <f>SUM($F$9:F22)/A22</f>
        <v>1983.2142857142858</v>
      </c>
      <c r="I22" s="499">
        <f>SUM($G$9:G22)/A22</f>
        <v>1997.2142857142858</v>
      </c>
      <c r="J22" s="443">
        <f t="shared" si="0"/>
        <v>24165.207999999999</v>
      </c>
      <c r="K22" s="459">
        <f>K21+E22-G22</f>
        <v>24388</v>
      </c>
      <c r="L22" s="495">
        <f t="shared" si="1"/>
        <v>12.184869872141183</v>
      </c>
      <c r="M22" s="464">
        <f t="shared" si="1"/>
        <v>12.211008189978898</v>
      </c>
      <c r="N22" s="366"/>
      <c r="O22" s="446">
        <v>1125</v>
      </c>
      <c r="P22" s="446">
        <v>1136</v>
      </c>
      <c r="Q22" s="446">
        <v>2520</v>
      </c>
      <c r="R22" s="446">
        <v>2546</v>
      </c>
      <c r="S22" s="647">
        <f t="shared" si="4"/>
        <v>10.132162683438155</v>
      </c>
      <c r="T22" s="305"/>
      <c r="U22" s="305"/>
    </row>
    <row r="23" spans="1:21" s="367" customFormat="1" ht="12" customHeight="1">
      <c r="A23" s="504">
        <v>15</v>
      </c>
      <c r="B23" s="365">
        <f>'FRIT HGE91-FHG'!B23</f>
        <v>46249</v>
      </c>
      <c r="C23" s="331" t="s">
        <v>104</v>
      </c>
      <c r="D23" s="502">
        <f t="shared" ref="D23:D25" si="5">E23-E23*N23</f>
        <v>0</v>
      </c>
      <c r="E23" s="499"/>
      <c r="F23" s="446">
        <f t="shared" si="3"/>
        <v>4770</v>
      </c>
      <c r="G23" s="503">
        <f t="shared" si="3"/>
        <v>4800</v>
      </c>
      <c r="H23" s="504">
        <f>SUM($F$9:F23)/A23</f>
        <v>2169</v>
      </c>
      <c r="I23" s="499">
        <f>SUM($G$9:G23)/A23</f>
        <v>2184.0666666666666</v>
      </c>
      <c r="J23" s="504">
        <f t="shared" si="0"/>
        <v>19395.207999999999</v>
      </c>
      <c r="K23" s="459">
        <f t="shared" si="0"/>
        <v>19588</v>
      </c>
      <c r="L23" s="505">
        <f t="shared" si="1"/>
        <v>8.9420046104195468</v>
      </c>
      <c r="M23" s="464">
        <f t="shared" si="1"/>
        <v>8.9685907023595135</v>
      </c>
      <c r="N23" s="366"/>
      <c r="O23" s="446">
        <v>2250</v>
      </c>
      <c r="P23" s="446">
        <v>2264</v>
      </c>
      <c r="Q23" s="446">
        <v>2520</v>
      </c>
      <c r="R23" s="446">
        <v>2536</v>
      </c>
      <c r="S23" s="647">
        <f t="shared" si="4"/>
        <v>8.1321626834381551</v>
      </c>
      <c r="T23" s="305"/>
      <c r="U23" s="305"/>
    </row>
    <row r="24" spans="1:21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502">
        <f t="shared" si="5"/>
        <v>0</v>
      </c>
      <c r="E24" s="499"/>
      <c r="F24" s="446">
        <f t="shared" si="3"/>
        <v>3645</v>
      </c>
      <c r="G24" s="503">
        <f t="shared" si="3"/>
        <v>3668</v>
      </c>
      <c r="H24" s="498">
        <f>SUM($F$9:F24)/A24</f>
        <v>2261.25</v>
      </c>
      <c r="I24" s="499">
        <f>SUM($G$9:G24)/A24</f>
        <v>2276.8125</v>
      </c>
      <c r="J24" s="443">
        <f t="shared" si="0"/>
        <v>15750.207999999999</v>
      </c>
      <c r="K24" s="459">
        <f>K23+E24-G24</f>
        <v>15920</v>
      </c>
      <c r="L24" s="495">
        <f t="shared" si="1"/>
        <v>6.9652661138750682</v>
      </c>
      <c r="M24" s="464">
        <f t="shared" si="1"/>
        <v>6.9922314639435612</v>
      </c>
      <c r="N24" s="366"/>
      <c r="O24" s="446">
        <v>1125</v>
      </c>
      <c r="P24" s="446">
        <v>1132</v>
      </c>
      <c r="Q24" s="446">
        <v>2520</v>
      </c>
      <c r="R24" s="446">
        <v>2536</v>
      </c>
      <c r="S24" s="647">
        <f t="shared" si="4"/>
        <v>6.6038607966457015</v>
      </c>
      <c r="T24" s="305"/>
      <c r="U24" s="305"/>
    </row>
    <row r="25" spans="1:21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502">
        <f t="shared" si="5"/>
        <v>33750</v>
      </c>
      <c r="E25" s="499">
        <v>33750</v>
      </c>
      <c r="F25" s="446">
        <f t="shared" si="3"/>
        <v>3510</v>
      </c>
      <c r="G25" s="503">
        <f t="shared" si="3"/>
        <v>3545</v>
      </c>
      <c r="H25" s="498">
        <f>SUM($F$9:F25)/A25</f>
        <v>2334.705882352941</v>
      </c>
      <c r="I25" s="499">
        <f>SUM($G$9:G25)/A25</f>
        <v>2351.4117647058824</v>
      </c>
      <c r="J25" s="443">
        <f t="shared" ref="J25:K39" si="6">J24+D25-F25</f>
        <v>45990.207999999999</v>
      </c>
      <c r="K25" s="459">
        <f>K24+E25-G25</f>
        <v>46125</v>
      </c>
      <c r="L25" s="495">
        <f t="shared" ref="L25:M39" si="7">J25/H25</f>
        <v>19.698501788863695</v>
      </c>
      <c r="M25" s="464">
        <f t="shared" si="7"/>
        <v>19.615875318957322</v>
      </c>
      <c r="N25" s="366"/>
      <c r="O25" s="446">
        <v>2250</v>
      </c>
      <c r="P25" s="446">
        <v>2272</v>
      </c>
      <c r="Q25" s="446">
        <v>1260</v>
      </c>
      <c r="R25" s="446">
        <v>1273</v>
      </c>
      <c r="S25" s="647">
        <f t="shared" si="4"/>
        <v>19.28310607966457</v>
      </c>
    </row>
    <row r="26" spans="1:21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502">
        <f t="shared" si="2"/>
        <v>0</v>
      </c>
      <c r="E26" s="499"/>
      <c r="F26" s="446">
        <f t="shared" si="3"/>
        <v>0</v>
      </c>
      <c r="G26" s="503">
        <f t="shared" si="3"/>
        <v>0</v>
      </c>
      <c r="H26" s="498">
        <f>SUM($F$9:F26)/A26</f>
        <v>2205</v>
      </c>
      <c r="I26" s="499">
        <f>SUM($G$9:G26)/A26</f>
        <v>2220.7777777777778</v>
      </c>
      <c r="J26" s="443">
        <f t="shared" si="6"/>
        <v>45990.207999999999</v>
      </c>
      <c r="K26" s="459">
        <f>K25+E26-G26</f>
        <v>46125</v>
      </c>
      <c r="L26" s="495">
        <f t="shared" si="7"/>
        <v>20.857237188208614</v>
      </c>
      <c r="M26" s="464">
        <f t="shared" si="7"/>
        <v>20.769750337719518</v>
      </c>
      <c r="N26" s="366"/>
      <c r="O26" s="446"/>
      <c r="P26" s="446"/>
      <c r="Q26" s="446"/>
      <c r="R26" s="446"/>
      <c r="S26" s="647">
        <f t="shared" si="4"/>
        <v>19.28310607966457</v>
      </c>
    </row>
    <row r="27" spans="1:21" s="367" customFormat="1" ht="12" customHeight="1">
      <c r="A27" s="364">
        <v>19</v>
      </c>
      <c r="B27" s="365">
        <f>'FRIT HGE91-FHG'!B27</f>
        <v>46253</v>
      </c>
      <c r="C27" s="331" t="s">
        <v>349</v>
      </c>
      <c r="D27" s="502">
        <f t="shared" si="2"/>
        <v>0</v>
      </c>
      <c r="E27" s="499"/>
      <c r="F27" s="446">
        <f t="shared" si="3"/>
        <v>0</v>
      </c>
      <c r="G27" s="503">
        <f t="shared" si="3"/>
        <v>0</v>
      </c>
      <c r="H27" s="498">
        <f>SUM($F$9:F27)/A27</f>
        <v>2088.9473684210525</v>
      </c>
      <c r="I27" s="499">
        <f>SUM($G$9:G27)/A27</f>
        <v>2103.8947368421054</v>
      </c>
      <c r="J27" s="443">
        <f t="shared" si="6"/>
        <v>45990.207999999999</v>
      </c>
      <c r="K27" s="459">
        <f>K26+E27-G27</f>
        <v>46125</v>
      </c>
      <c r="L27" s="495">
        <f t="shared" si="7"/>
        <v>22.015972587553541</v>
      </c>
      <c r="M27" s="464">
        <f t="shared" si="7"/>
        <v>21.923625356481711</v>
      </c>
      <c r="N27" s="366"/>
      <c r="O27" s="446"/>
      <c r="P27" s="446"/>
      <c r="Q27" s="446"/>
      <c r="R27" s="446"/>
      <c r="S27" s="647">
        <f t="shared" si="4"/>
        <v>19.28310607966457</v>
      </c>
    </row>
    <row r="28" spans="1:21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502">
        <f t="shared" si="2"/>
        <v>0</v>
      </c>
      <c r="E28" s="499"/>
      <c r="F28" s="446">
        <f t="shared" si="3"/>
        <v>0</v>
      </c>
      <c r="G28" s="503">
        <f t="shared" si="3"/>
        <v>0</v>
      </c>
      <c r="H28" s="504">
        <f>SUM($F$9:F28)/A28</f>
        <v>1984.5</v>
      </c>
      <c r="I28" s="499">
        <f>SUM($G$9:G28)/A28</f>
        <v>1998.7</v>
      </c>
      <c r="J28" s="504">
        <f t="shared" si="6"/>
        <v>45990.207999999999</v>
      </c>
      <c r="K28" s="459">
        <f t="shared" si="6"/>
        <v>46125</v>
      </c>
      <c r="L28" s="505">
        <f t="shared" si="7"/>
        <v>23.174707986898461</v>
      </c>
      <c r="M28" s="464">
        <f t="shared" si="7"/>
        <v>23.077500375243908</v>
      </c>
      <c r="N28" s="366"/>
      <c r="O28" s="446"/>
      <c r="P28" s="446"/>
      <c r="Q28" s="446"/>
      <c r="R28" s="446"/>
      <c r="S28" s="647">
        <f t="shared" si="4"/>
        <v>19.28310607966457</v>
      </c>
    </row>
    <row r="29" spans="1:21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502">
        <f t="shared" si="2"/>
        <v>0</v>
      </c>
      <c r="E29" s="499"/>
      <c r="F29" s="446">
        <f t="shared" si="3"/>
        <v>0</v>
      </c>
      <c r="G29" s="503">
        <f t="shared" si="3"/>
        <v>0</v>
      </c>
      <c r="H29" s="498">
        <f>SUM($F$9:F29)/A29</f>
        <v>1890</v>
      </c>
      <c r="I29" s="499">
        <f>SUM($G$9:G29)/A29</f>
        <v>1903.5238095238096</v>
      </c>
      <c r="J29" s="443">
        <f t="shared" si="6"/>
        <v>45990.207999999999</v>
      </c>
      <c r="K29" s="459">
        <f t="shared" si="6"/>
        <v>46125</v>
      </c>
      <c r="L29" s="495">
        <f t="shared" si="7"/>
        <v>24.333443386243385</v>
      </c>
      <c r="M29" s="464">
        <f t="shared" si="7"/>
        <v>24.231375394006104</v>
      </c>
      <c r="N29" s="366"/>
      <c r="O29" s="446"/>
      <c r="P29" s="446"/>
      <c r="Q29" s="446"/>
      <c r="R29" s="446"/>
      <c r="S29" s="647">
        <f t="shared" si="4"/>
        <v>19.28310607966457</v>
      </c>
    </row>
    <row r="30" spans="1:21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502">
        <f t="shared" si="2"/>
        <v>0</v>
      </c>
      <c r="E30" s="499"/>
      <c r="F30" s="446">
        <f t="shared" si="3"/>
        <v>0</v>
      </c>
      <c r="G30" s="503">
        <f t="shared" si="3"/>
        <v>0</v>
      </c>
      <c r="H30" s="498">
        <f>SUM($F$9:F30)/A30</f>
        <v>1804.090909090909</v>
      </c>
      <c r="I30" s="499">
        <f>SUM($G$9:G30)/A30</f>
        <v>1817</v>
      </c>
      <c r="J30" s="443">
        <f t="shared" si="6"/>
        <v>45990.207999999999</v>
      </c>
      <c r="K30" s="459">
        <f t="shared" si="6"/>
        <v>46125</v>
      </c>
      <c r="L30" s="495">
        <f t="shared" si="7"/>
        <v>25.492178785588308</v>
      </c>
      <c r="M30" s="464">
        <f t="shared" si="7"/>
        <v>25.385250412768301</v>
      </c>
      <c r="N30" s="366"/>
      <c r="O30" s="446"/>
      <c r="P30" s="446"/>
      <c r="Q30" s="446"/>
      <c r="R30" s="446"/>
      <c r="S30" s="647">
        <f t="shared" si="4"/>
        <v>19.28310607966457</v>
      </c>
    </row>
    <row r="31" spans="1:21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502">
        <f t="shared" si="2"/>
        <v>0</v>
      </c>
      <c r="E31" s="499"/>
      <c r="F31" s="446">
        <f t="shared" si="3"/>
        <v>0</v>
      </c>
      <c r="G31" s="503">
        <f t="shared" si="3"/>
        <v>0</v>
      </c>
      <c r="H31" s="498">
        <f>SUM($F$9:F31)/A31</f>
        <v>1725.6521739130435</v>
      </c>
      <c r="I31" s="499">
        <f>SUM($G$9:G31)/A31</f>
        <v>1738</v>
      </c>
      <c r="J31" s="443">
        <f t="shared" si="6"/>
        <v>45990.207999999999</v>
      </c>
      <c r="K31" s="459">
        <f t="shared" si="6"/>
        <v>46125</v>
      </c>
      <c r="L31" s="495">
        <f t="shared" si="7"/>
        <v>26.650914184933232</v>
      </c>
      <c r="M31" s="464">
        <f t="shared" si="7"/>
        <v>26.539125431530493</v>
      </c>
      <c r="N31" s="366"/>
      <c r="O31" s="446"/>
      <c r="P31" s="446"/>
      <c r="Q31" s="446"/>
      <c r="R31" s="446"/>
      <c r="S31" s="647">
        <f t="shared" si="4"/>
        <v>19.28310607966457</v>
      </c>
    </row>
    <row r="32" spans="1:21" s="367" customFormat="1" ht="12" customHeight="1">
      <c r="A32" s="364">
        <v>24</v>
      </c>
      <c r="B32" s="365">
        <f>'FRIT HGE91-FHG'!B32</f>
        <v>46258</v>
      </c>
      <c r="C32" s="331" t="s">
        <v>104</v>
      </c>
      <c r="D32" s="502">
        <f t="shared" si="2"/>
        <v>0</v>
      </c>
      <c r="E32" s="499"/>
      <c r="F32" s="446">
        <f t="shared" si="3"/>
        <v>0</v>
      </c>
      <c r="G32" s="503">
        <f t="shared" si="3"/>
        <v>0</v>
      </c>
      <c r="H32" s="498">
        <f>SUM($F$9:F32)/A32</f>
        <v>1653.75</v>
      </c>
      <c r="I32" s="499">
        <f>SUM($G$9:G32)/A32</f>
        <v>1665.5833333333333</v>
      </c>
      <c r="J32" s="443">
        <f t="shared" si="6"/>
        <v>45990.207999999999</v>
      </c>
      <c r="K32" s="459">
        <f t="shared" si="6"/>
        <v>46125</v>
      </c>
      <c r="L32" s="495">
        <f t="shared" si="7"/>
        <v>27.809649584278155</v>
      </c>
      <c r="M32" s="464">
        <f t="shared" si="7"/>
        <v>27.69300045029269</v>
      </c>
      <c r="N32" s="366"/>
      <c r="O32" s="446"/>
      <c r="P32" s="446"/>
      <c r="Q32" s="446"/>
      <c r="R32" s="446"/>
      <c r="S32" s="647">
        <f t="shared" si="4"/>
        <v>19.28310607966457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349</v>
      </c>
      <c r="D33" s="502">
        <f t="shared" si="2"/>
        <v>0</v>
      </c>
      <c r="E33" s="499"/>
      <c r="F33" s="446">
        <f t="shared" si="3"/>
        <v>0</v>
      </c>
      <c r="G33" s="503">
        <f t="shared" si="3"/>
        <v>0</v>
      </c>
      <c r="H33" s="460">
        <f>SUM($F$9:F33)/A33</f>
        <v>1587.6</v>
      </c>
      <c r="I33" s="499">
        <f>SUM($G$9:G33)/A33</f>
        <v>1598.96</v>
      </c>
      <c r="J33" s="460">
        <f t="shared" si="6"/>
        <v>45990.207999999999</v>
      </c>
      <c r="K33" s="459">
        <f t="shared" si="6"/>
        <v>46125</v>
      </c>
      <c r="L33" s="506">
        <f t="shared" si="7"/>
        <v>28.968384983623078</v>
      </c>
      <c r="M33" s="464">
        <f t="shared" si="7"/>
        <v>28.846875469054886</v>
      </c>
      <c r="N33" s="366"/>
      <c r="O33" s="446"/>
      <c r="P33" s="446"/>
      <c r="Q33" s="446"/>
      <c r="R33" s="446"/>
      <c r="S33" s="647">
        <f t="shared" si="4"/>
        <v>19.28310607966457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2"/>
        <v>0</v>
      </c>
      <c r="E34" s="499"/>
      <c r="F34" s="446">
        <f t="shared" si="3"/>
        <v>0</v>
      </c>
      <c r="G34" s="503">
        <f t="shared" si="3"/>
        <v>0</v>
      </c>
      <c r="H34" s="498">
        <f>SUM($F$9:F34)/A34</f>
        <v>1526.5384615384614</v>
      </c>
      <c r="I34" s="499">
        <f>SUM($G$9:G34)/A34</f>
        <v>1537.4615384615386</v>
      </c>
      <c r="J34" s="443">
        <f t="shared" si="6"/>
        <v>45990.207999999999</v>
      </c>
      <c r="K34" s="459">
        <f t="shared" si="6"/>
        <v>46125</v>
      </c>
      <c r="L34" s="495">
        <f t="shared" si="7"/>
        <v>30.127120382968002</v>
      </c>
      <c r="M34" s="464">
        <f t="shared" si="7"/>
        <v>30.000750487817079</v>
      </c>
      <c r="N34" s="366"/>
      <c r="O34" s="446"/>
      <c r="P34" s="446"/>
      <c r="Q34" s="446"/>
      <c r="R34" s="446"/>
      <c r="S34" s="647">
        <f t="shared" si="4"/>
        <v>19.28310607966457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921">
        <f>E35-E35*N35</f>
        <v>0</v>
      </c>
      <c r="E35" s="499"/>
      <c r="F35" s="446">
        <f t="shared" si="3"/>
        <v>0</v>
      </c>
      <c r="G35" s="503">
        <f t="shared" si="3"/>
        <v>0</v>
      </c>
      <c r="H35" s="498">
        <f>SUM($F$9:F35)/A35</f>
        <v>1470</v>
      </c>
      <c r="I35" s="499">
        <f>SUM($G$9:G35)/A35</f>
        <v>1480.5185185185185</v>
      </c>
      <c r="J35" s="443">
        <f t="shared" si="6"/>
        <v>45990.207999999999</v>
      </c>
      <c r="K35" s="459">
        <f>K34+E35-G35</f>
        <v>46125</v>
      </c>
      <c r="L35" s="495">
        <f t="shared" si="7"/>
        <v>31.285855782312925</v>
      </c>
      <c r="M35" s="464">
        <f t="shared" si="7"/>
        <v>31.154625506579276</v>
      </c>
      <c r="N35" s="366"/>
      <c r="O35" s="446"/>
      <c r="P35" s="446"/>
      <c r="Q35" s="446"/>
      <c r="R35" s="446"/>
      <c r="S35" s="647">
        <f t="shared" si="4"/>
        <v>19.28310607966457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>E36-E36*N36</f>
        <v>0</v>
      </c>
      <c r="E36" s="499"/>
      <c r="F36" s="446">
        <f t="shared" si="3"/>
        <v>0</v>
      </c>
      <c r="G36" s="503">
        <f t="shared" si="3"/>
        <v>0</v>
      </c>
      <c r="H36" s="498">
        <f>SUM($F$9:F36)/A36</f>
        <v>1417.5</v>
      </c>
      <c r="I36" s="499">
        <f>SUM($G$9:G36)/A36</f>
        <v>1427.6428571428571</v>
      </c>
      <c r="J36" s="443">
        <f t="shared" si="6"/>
        <v>45990.207999999999</v>
      </c>
      <c r="K36" s="459">
        <f>K35+E36-G36</f>
        <v>46125</v>
      </c>
      <c r="L36" s="495">
        <f t="shared" si="7"/>
        <v>32.444591181657849</v>
      </c>
      <c r="M36" s="464">
        <f t="shared" si="7"/>
        <v>32.308500525341472</v>
      </c>
      <c r="N36" s="366"/>
      <c r="O36" s="446"/>
      <c r="P36" s="446"/>
      <c r="Q36" s="446"/>
      <c r="R36" s="446"/>
      <c r="S36" s="647">
        <f t="shared" si="4"/>
        <v>19.28310607966457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104</v>
      </c>
      <c r="D37" s="502">
        <f t="shared" si="2"/>
        <v>0</v>
      </c>
      <c r="E37" s="499"/>
      <c r="F37" s="446">
        <f t="shared" si="3"/>
        <v>0</v>
      </c>
      <c r="G37" s="503">
        <f t="shared" si="3"/>
        <v>0</v>
      </c>
      <c r="H37" s="498">
        <f>SUM($F$9:F37)/A37</f>
        <v>1368.6206896551723</v>
      </c>
      <c r="I37" s="499">
        <f>SUM($G$9:G37)/A37</f>
        <v>1378.4137931034484</v>
      </c>
      <c r="J37" s="443">
        <f t="shared" si="6"/>
        <v>45990.207999999999</v>
      </c>
      <c r="K37" s="459">
        <f t="shared" si="6"/>
        <v>46125</v>
      </c>
      <c r="L37" s="495">
        <f t="shared" si="7"/>
        <v>33.603326581002776</v>
      </c>
      <c r="M37" s="464">
        <f t="shared" si="7"/>
        <v>33.462375544103665</v>
      </c>
      <c r="N37" s="366"/>
      <c r="O37" s="446"/>
      <c r="P37" s="446"/>
      <c r="Q37" s="446"/>
      <c r="R37" s="446"/>
      <c r="S37" s="647">
        <f t="shared" si="4"/>
        <v>19.28310607966457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502">
        <f t="shared" si="2"/>
        <v>0</v>
      </c>
      <c r="E38" s="499"/>
      <c r="F38" s="446">
        <f t="shared" si="3"/>
        <v>0</v>
      </c>
      <c r="G38" s="503">
        <f t="shared" si="3"/>
        <v>0</v>
      </c>
      <c r="H38" s="504">
        <f>SUM($F$9:F38)/A38</f>
        <v>1323</v>
      </c>
      <c r="I38" s="499">
        <f>SUM($G$9:G38)/A38</f>
        <v>1332.4666666666667</v>
      </c>
      <c r="J38" s="504">
        <f t="shared" si="6"/>
        <v>45990.207999999999</v>
      </c>
      <c r="K38" s="459">
        <f t="shared" si="6"/>
        <v>46125</v>
      </c>
      <c r="L38" s="505">
        <f t="shared" si="7"/>
        <v>34.762061980347696</v>
      </c>
      <c r="M38" s="464">
        <f t="shared" si="7"/>
        <v>34.616250562865865</v>
      </c>
      <c r="N38" s="366"/>
      <c r="O38" s="446"/>
      <c r="P38" s="446"/>
      <c r="Q38" s="446"/>
      <c r="R38" s="446"/>
      <c r="S38" s="647">
        <f t="shared" si="4"/>
        <v>19.28310607966457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502">
        <f t="shared" si="2"/>
        <v>0</v>
      </c>
      <c r="E39" s="499"/>
      <c r="F39" s="446">
        <f t="shared" si="3"/>
        <v>0</v>
      </c>
      <c r="G39" s="503">
        <f t="shared" si="3"/>
        <v>0</v>
      </c>
      <c r="H39" s="498">
        <f>SUM($F$9:F39)/A39</f>
        <v>1280.3225806451612</v>
      </c>
      <c r="I39" s="499">
        <f>SUM($G$9:G39)/A39</f>
        <v>1289.483870967742</v>
      </c>
      <c r="J39" s="443">
        <f t="shared" si="6"/>
        <v>45990.207999999999</v>
      </c>
      <c r="K39" s="459">
        <f t="shared" si="6"/>
        <v>46125</v>
      </c>
      <c r="L39" s="495">
        <f t="shared" si="7"/>
        <v>35.920797379692615</v>
      </c>
      <c r="M39" s="464">
        <f t="shared" si="7"/>
        <v>35.770125581628058</v>
      </c>
      <c r="N39" s="366"/>
      <c r="O39" s="446"/>
      <c r="P39" s="446"/>
      <c r="Q39" s="446"/>
      <c r="R39" s="446"/>
      <c r="S39" s="647">
        <f t="shared" si="4"/>
        <v>19.28310607966457</v>
      </c>
    </row>
    <row r="40" spans="1:19" s="374" customFormat="1" ht="12" customHeight="1">
      <c r="A40" s="730" t="s">
        <v>29</v>
      </c>
      <c r="B40" s="731"/>
      <c r="C40" s="732"/>
      <c r="D40" s="388">
        <f>SUM(D9:D39)</f>
        <v>33750</v>
      </c>
      <c r="E40" s="388">
        <f>SUM(E9:E39)</f>
        <v>33750</v>
      </c>
      <c r="F40" s="389">
        <f>SUM(F9:F39)</f>
        <v>39690</v>
      </c>
      <c r="G40" s="496">
        <f>SUM(G9:G39)</f>
        <v>39974</v>
      </c>
      <c r="H40" s="389"/>
      <c r="I40" s="496"/>
      <c r="J40" s="389">
        <f>J39</f>
        <v>45990.207999999999</v>
      </c>
      <c r="K40" s="461">
        <f>K39</f>
        <v>46125</v>
      </c>
      <c r="L40" s="464"/>
      <c r="M40" s="464"/>
      <c r="N40" s="366"/>
      <c r="O40" s="389">
        <f>SUM(O9:O39)</f>
        <v>27090</v>
      </c>
      <c r="P40" s="496">
        <f>SUM(P9:P39)</f>
        <v>27282</v>
      </c>
      <c r="Q40" s="389">
        <f>SUM(Q9:Q39)</f>
        <v>12600</v>
      </c>
      <c r="R40" s="496">
        <f>SUM(R9:R39)</f>
        <v>12692</v>
      </c>
    </row>
    <row r="41" spans="1:19" s="374" customFormat="1" ht="12" customHeight="1">
      <c r="A41" s="730" t="s">
        <v>15</v>
      </c>
      <c r="B41" s="731"/>
      <c r="C41" s="732"/>
      <c r="D41" s="388">
        <f>D8+D40</f>
        <v>85680.207999999999</v>
      </c>
      <c r="E41" s="388">
        <f>E8+E40</f>
        <v>86099</v>
      </c>
      <c r="F41" s="389">
        <f>F40</f>
        <v>39690</v>
      </c>
      <c r="G41" s="496">
        <f>G40</f>
        <v>39974</v>
      </c>
      <c r="H41" s="389"/>
      <c r="I41" s="496"/>
      <c r="J41" s="389">
        <f>D41-F41</f>
        <v>45990.207999999999</v>
      </c>
      <c r="K41" s="389">
        <f>E41-G41</f>
        <v>46125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2017" priority="1" operator="lessThan">
      <formula>15</formula>
    </cfRule>
    <cfRule type="cellIs" dxfId="12016" priority="2" operator="greaterThan">
      <formula>20</formula>
    </cfRule>
    <cfRule type="cellIs" dxfId="12015" priority="3" operator="between">
      <formula>15</formula>
      <formula>20</formula>
    </cfRule>
    <cfRule type="cellIs" dxfId="12014" priority="4" operator="between">
      <formula>15</formula>
      <formula>20</formula>
    </cfRule>
    <cfRule type="cellIs" dxfId="12013" priority="5" operator="lessThan">
      <formula>15</formula>
    </cfRule>
    <cfRule type="cellIs" dxfId="12012" priority="6" operator="greaterThan">
      <formula>20</formula>
    </cfRule>
    <cfRule type="cellIs" dxfId="12011" priority="7" operator="between">
      <formula>15</formula>
      <formula>21</formula>
    </cfRule>
    <cfRule type="cellIs" dxfId="12010" priority="8" operator="lessThan">
      <formula>15</formula>
    </cfRule>
    <cfRule type="cellIs" dxfId="12009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7.42578125" style="143" customWidth="1"/>
    <col min="4" max="7" width="10.140625" style="142" customWidth="1"/>
    <col min="8" max="9" width="9.28515625" style="142" customWidth="1"/>
    <col min="10" max="11" width="10.8554687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</row>
    <row r="4" spans="1:29" s="376" customFormat="1" ht="18.75" customHeight="1">
      <c r="A4" s="1600" t="s">
        <v>33</v>
      </c>
      <c r="B4" s="1600"/>
      <c r="C4" s="316" t="s">
        <v>288</v>
      </c>
      <c r="D4" s="383"/>
      <c r="E4" s="383" t="s">
        <v>228</v>
      </c>
      <c r="F4" s="383"/>
      <c r="G4" s="383"/>
      <c r="I4" s="383" t="s">
        <v>120</v>
      </c>
      <c r="J4" s="316" t="s">
        <v>287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>
        <v>2.1000000000000001E-2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2835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104</v>
      </c>
      <c r="D9" s="502">
        <f t="shared" ref="D9:D19" si="0">E9-E9*N9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SUM($G$8:G9)/A9</f>
        <v>0</v>
      </c>
      <c r="J9" s="443">
        <f>J8+D9-F9</f>
        <v>0</v>
      </c>
      <c r="K9" s="459">
        <f>K8+E9-G9</f>
        <v>0</v>
      </c>
      <c r="L9" s="495" t="e">
        <f t="shared" ref="L9:M25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502">
        <f t="shared" si="0"/>
        <v>0</v>
      </c>
      <c r="E10" s="499"/>
      <c r="F10" s="446">
        <f t="shared" ref="F10:G39" si="2">O10+Q10</f>
        <v>0</v>
      </c>
      <c r="G10" s="503">
        <f t="shared" si="2"/>
        <v>0</v>
      </c>
      <c r="H10" s="498">
        <f>SUM($F$9:F10)/A10</f>
        <v>0</v>
      </c>
      <c r="I10" s="499">
        <f>SUM($G$8:G10)/A10</f>
        <v>0</v>
      </c>
      <c r="J10" s="443">
        <f t="shared" ref="J10:K25" si="3">J9+D10-F10</f>
        <v>0</v>
      </c>
      <c r="K10" s="459">
        <f t="shared" si="3"/>
        <v>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502">
        <f t="shared" si="0"/>
        <v>0</v>
      </c>
      <c r="E11" s="499"/>
      <c r="F11" s="446">
        <f t="shared" si="2"/>
        <v>0</v>
      </c>
      <c r="G11" s="503">
        <f t="shared" si="2"/>
        <v>0</v>
      </c>
      <c r="H11" s="498">
        <f>SUM($F$9:F11)/A11</f>
        <v>0</v>
      </c>
      <c r="I11" s="499">
        <f>SUM($G$8:G11)/A11</f>
        <v>0</v>
      </c>
      <c r="J11" s="443">
        <f t="shared" si="3"/>
        <v>0</v>
      </c>
      <c r="K11" s="459">
        <f t="shared" si="3"/>
        <v>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104</v>
      </c>
      <c r="D12" s="502">
        <f t="shared" si="0"/>
        <v>0</v>
      </c>
      <c r="E12" s="499"/>
      <c r="F12" s="446">
        <f t="shared" si="2"/>
        <v>0</v>
      </c>
      <c r="G12" s="503">
        <f t="shared" si="2"/>
        <v>0</v>
      </c>
      <c r="H12" s="498">
        <f>SUM($F$9:F12)/A12</f>
        <v>0</v>
      </c>
      <c r="I12" s="499">
        <f>SUM($G$8:G12)/A12</f>
        <v>0</v>
      </c>
      <c r="J12" s="443">
        <f t="shared" si="3"/>
        <v>0</v>
      </c>
      <c r="K12" s="459">
        <f t="shared" si="3"/>
        <v>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502">
        <f t="shared" si="0"/>
        <v>0</v>
      </c>
      <c r="E13" s="499"/>
      <c r="F13" s="446">
        <f t="shared" si="2"/>
        <v>0</v>
      </c>
      <c r="G13" s="503">
        <f t="shared" si="2"/>
        <v>0</v>
      </c>
      <c r="H13" s="709">
        <f>SUM($F$9:F13)/A13</f>
        <v>0</v>
      </c>
      <c r="I13" s="499">
        <f>SUM($G$8:G13)/A13</f>
        <v>0</v>
      </c>
      <c r="J13" s="504">
        <f t="shared" si="3"/>
        <v>0</v>
      </c>
      <c r="K13" s="459">
        <f t="shared" si="3"/>
        <v>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502">
        <f t="shared" si="0"/>
        <v>0</v>
      </c>
      <c r="E14" s="499"/>
      <c r="F14" s="446">
        <f t="shared" si="2"/>
        <v>0</v>
      </c>
      <c r="G14" s="503">
        <f t="shared" si="2"/>
        <v>0</v>
      </c>
      <c r="H14" s="498">
        <f>SUM($F$9:F14)/A14</f>
        <v>0</v>
      </c>
      <c r="I14" s="499">
        <f>SUM($G$8:G14)/A14</f>
        <v>0</v>
      </c>
      <c r="J14" s="443">
        <f t="shared" si="3"/>
        <v>0</v>
      </c>
      <c r="K14" s="459">
        <f t="shared" si="3"/>
        <v>0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502">
        <f t="shared" si="0"/>
        <v>0</v>
      </c>
      <c r="E15" s="499"/>
      <c r="F15" s="446">
        <f t="shared" si="2"/>
        <v>0</v>
      </c>
      <c r="G15" s="503">
        <f t="shared" si="2"/>
        <v>0</v>
      </c>
      <c r="H15" s="498">
        <f>SUM($F$9:F15)/A15</f>
        <v>0</v>
      </c>
      <c r="I15" s="499">
        <f>SUM($G$8:G15)/A15</f>
        <v>0</v>
      </c>
      <c r="J15" s="443">
        <f t="shared" si="3"/>
        <v>0</v>
      </c>
      <c r="K15" s="459">
        <f t="shared" si="3"/>
        <v>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502">
        <f t="shared" si="0"/>
        <v>0</v>
      </c>
      <c r="E16" s="499"/>
      <c r="F16" s="446">
        <f t="shared" si="2"/>
        <v>0</v>
      </c>
      <c r="G16" s="503">
        <f t="shared" si="2"/>
        <v>0</v>
      </c>
      <c r="H16" s="498">
        <f>SUM($F$9:F16)/A16</f>
        <v>0</v>
      </c>
      <c r="I16" s="499">
        <f>SUM($G$8:G16)/A16</f>
        <v>0</v>
      </c>
      <c r="J16" s="443">
        <f t="shared" si="3"/>
        <v>0</v>
      </c>
      <c r="K16" s="459">
        <f t="shared" si="3"/>
        <v>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502">
        <f t="shared" si="0"/>
        <v>0</v>
      </c>
      <c r="E17" s="499"/>
      <c r="F17" s="446">
        <f t="shared" si="2"/>
        <v>0</v>
      </c>
      <c r="G17" s="503">
        <f t="shared" si="2"/>
        <v>0</v>
      </c>
      <c r="H17" s="498">
        <f>SUM($F$9:F17)/A17</f>
        <v>0</v>
      </c>
      <c r="I17" s="499">
        <f>SUM($G$8:G17)/A17</f>
        <v>0</v>
      </c>
      <c r="J17" s="443">
        <f t="shared" si="3"/>
        <v>0</v>
      </c>
      <c r="K17" s="459">
        <f t="shared" si="3"/>
        <v>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346</v>
      </c>
      <c r="D18" s="502">
        <f t="shared" si="0"/>
        <v>0</v>
      </c>
      <c r="E18" s="499"/>
      <c r="F18" s="446">
        <f t="shared" si="2"/>
        <v>0</v>
      </c>
      <c r="G18" s="503">
        <f t="shared" si="2"/>
        <v>0</v>
      </c>
      <c r="H18" s="709">
        <f>SUM($F$9:F18)/A18</f>
        <v>0</v>
      </c>
      <c r="I18" s="499">
        <f>SUM($G$8:G18)/A18</f>
        <v>0</v>
      </c>
      <c r="J18" s="504">
        <f t="shared" si="3"/>
        <v>0</v>
      </c>
      <c r="K18" s="459">
        <f t="shared" si="3"/>
        <v>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0"/>
        <v>0</v>
      </c>
      <c r="E19" s="499"/>
      <c r="F19" s="446">
        <f t="shared" si="2"/>
        <v>0</v>
      </c>
      <c r="G19" s="503">
        <f t="shared" si="2"/>
        <v>0</v>
      </c>
      <c r="H19" s="498">
        <f>SUM($F$9:F19)/A19</f>
        <v>0</v>
      </c>
      <c r="I19" s="499">
        <f>SUM($G$8:G19)/A19</f>
        <v>0</v>
      </c>
      <c r="J19" s="443">
        <f t="shared" si="3"/>
        <v>0</v>
      </c>
      <c r="K19" s="459">
        <f t="shared" si="3"/>
        <v>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104</v>
      </c>
      <c r="D20" s="502">
        <f>E20-E20*N20</f>
        <v>0</v>
      </c>
      <c r="E20" s="499"/>
      <c r="F20" s="446">
        <f t="shared" si="2"/>
        <v>0</v>
      </c>
      <c r="G20" s="503">
        <f t="shared" si="2"/>
        <v>0</v>
      </c>
      <c r="H20" s="498">
        <f>SUM($F$9:F20)/A20</f>
        <v>0</v>
      </c>
      <c r="I20" s="499">
        <f>SUM($G$8:G20)/A20</f>
        <v>0</v>
      </c>
      <c r="J20" s="443">
        <f t="shared" si="3"/>
        <v>0</v>
      </c>
      <c r="K20" s="459">
        <f t="shared" si="3"/>
        <v>0</v>
      </c>
      <c r="L20" s="495" t="e">
        <f>J20/H20</f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ref="D21:D39" si="5">E21-E21*N21</f>
        <v>0</v>
      </c>
      <c r="E21" s="499"/>
      <c r="F21" s="446">
        <f t="shared" si="2"/>
        <v>0</v>
      </c>
      <c r="G21" s="503">
        <f t="shared" si="2"/>
        <v>0</v>
      </c>
      <c r="H21" s="498">
        <f>SUM($F$9:F21)/A21</f>
        <v>0</v>
      </c>
      <c r="I21" s="499">
        <f>SUM($G$8:G21)/A21</f>
        <v>0</v>
      </c>
      <c r="J21" s="443">
        <f t="shared" si="3"/>
        <v>0</v>
      </c>
      <c r="K21" s="459">
        <f t="shared" si="3"/>
        <v>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5"/>
        <v>0</v>
      </c>
      <c r="E22" s="499"/>
      <c r="F22" s="446">
        <f t="shared" si="2"/>
        <v>0</v>
      </c>
      <c r="G22" s="503">
        <f t="shared" si="2"/>
        <v>0</v>
      </c>
      <c r="H22" s="498">
        <f>SUM($F$9:F22)/A22</f>
        <v>0</v>
      </c>
      <c r="I22" s="499">
        <f>SUM($G$8:G22)/A22</f>
        <v>0</v>
      </c>
      <c r="J22" s="443">
        <f t="shared" si="3"/>
        <v>0</v>
      </c>
      <c r="K22" s="459">
        <f t="shared" si="3"/>
        <v>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346</v>
      </c>
      <c r="D23" s="502">
        <f t="shared" si="5"/>
        <v>0</v>
      </c>
      <c r="E23" s="499"/>
      <c r="F23" s="446">
        <f t="shared" si="2"/>
        <v>0</v>
      </c>
      <c r="G23" s="503">
        <f t="shared" si="2"/>
        <v>0</v>
      </c>
      <c r="H23" s="709">
        <f>SUM($F$9:F23)/A23</f>
        <v>0</v>
      </c>
      <c r="I23" s="499">
        <f>SUM($G$8:G23)/A23</f>
        <v>0</v>
      </c>
      <c r="J23" s="504">
        <f t="shared" si="3"/>
        <v>0</v>
      </c>
      <c r="K23" s="459">
        <f t="shared" si="3"/>
        <v>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502">
        <f t="shared" si="5"/>
        <v>0</v>
      </c>
      <c r="E24" s="499"/>
      <c r="F24" s="446">
        <f t="shared" si="2"/>
        <v>0</v>
      </c>
      <c r="G24" s="503">
        <f t="shared" si="2"/>
        <v>0</v>
      </c>
      <c r="H24" s="498">
        <f>SUM($F$9:F24)/A24</f>
        <v>0</v>
      </c>
      <c r="I24" s="499">
        <f>SUM($G$8:G24)/A24</f>
        <v>0</v>
      </c>
      <c r="J24" s="443">
        <f t="shared" si="3"/>
        <v>0</v>
      </c>
      <c r="K24" s="459">
        <f t="shared" si="3"/>
        <v>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502">
        <f t="shared" si="5"/>
        <v>0</v>
      </c>
      <c r="E25" s="499"/>
      <c r="F25" s="446">
        <f t="shared" si="2"/>
        <v>0</v>
      </c>
      <c r="G25" s="503">
        <f t="shared" si="2"/>
        <v>0</v>
      </c>
      <c r="H25" s="498">
        <f>SUM($F$9:F25)/A25</f>
        <v>0</v>
      </c>
      <c r="I25" s="499">
        <f>SUM($G$8:G25)/A25</f>
        <v>0</v>
      </c>
      <c r="J25" s="443">
        <f t="shared" si="3"/>
        <v>0</v>
      </c>
      <c r="K25" s="459">
        <f t="shared" si="3"/>
        <v>0</v>
      </c>
      <c r="L25" s="495" t="e">
        <f>J25/H25</f>
        <v>#DIV/0!</v>
      </c>
      <c r="M25" s="464" t="e">
        <f t="shared" si="1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502">
        <f t="shared" si="5"/>
        <v>0</v>
      </c>
      <c r="E26" s="499"/>
      <c r="F26" s="446">
        <f t="shared" si="2"/>
        <v>0</v>
      </c>
      <c r="G26" s="503">
        <f t="shared" si="2"/>
        <v>0</v>
      </c>
      <c r="H26" s="498">
        <f>SUM($F$9:F26)/A26</f>
        <v>0</v>
      </c>
      <c r="I26" s="499">
        <f>SUM($G$8:G26)/A26</f>
        <v>0</v>
      </c>
      <c r="J26" s="443">
        <f t="shared" ref="J26:K39" si="6">J25+D26-F26</f>
        <v>0</v>
      </c>
      <c r="K26" s="459">
        <f t="shared" si="6"/>
        <v>0</v>
      </c>
      <c r="L26" s="495" t="e">
        <f t="shared" ref="L26:M39" si="7">J26/H26</f>
        <v>#DIV/0!</v>
      </c>
      <c r="M26" s="464" t="e">
        <f t="shared" si="7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104</v>
      </c>
      <c r="D27" s="502">
        <f t="shared" si="5"/>
        <v>0</v>
      </c>
      <c r="E27" s="499"/>
      <c r="F27" s="446">
        <f t="shared" si="2"/>
        <v>0</v>
      </c>
      <c r="G27" s="503">
        <f t="shared" si="2"/>
        <v>0</v>
      </c>
      <c r="H27" s="498">
        <f>SUM($F$9:F27)/A27</f>
        <v>0</v>
      </c>
      <c r="I27" s="499">
        <f>SUM($G$8:G27)/A27</f>
        <v>0</v>
      </c>
      <c r="J27" s="443">
        <f t="shared" si="6"/>
        <v>0</v>
      </c>
      <c r="K27" s="459">
        <f t="shared" si="6"/>
        <v>0</v>
      </c>
      <c r="L27" s="495" t="e">
        <f t="shared" si="7"/>
        <v>#DIV/0!</v>
      </c>
      <c r="M27" s="464" t="e">
        <f t="shared" si="7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502">
        <f t="shared" si="5"/>
        <v>0</v>
      </c>
      <c r="E28" s="499"/>
      <c r="F28" s="446">
        <f t="shared" si="2"/>
        <v>0</v>
      </c>
      <c r="G28" s="503">
        <f t="shared" si="2"/>
        <v>0</v>
      </c>
      <c r="H28" s="709">
        <f>SUM($F$9:F28)/A28</f>
        <v>0</v>
      </c>
      <c r="I28" s="499">
        <f>SUM($G$8:G28)/A28</f>
        <v>0</v>
      </c>
      <c r="J28" s="504">
        <f t="shared" si="6"/>
        <v>0</v>
      </c>
      <c r="K28" s="459">
        <f t="shared" si="6"/>
        <v>0</v>
      </c>
      <c r="L28" s="505" t="e">
        <f t="shared" si="7"/>
        <v>#DIV/0!</v>
      </c>
      <c r="M28" s="464" t="e">
        <f t="shared" si="7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502">
        <f t="shared" si="5"/>
        <v>0</v>
      </c>
      <c r="E29" s="499"/>
      <c r="F29" s="446">
        <f t="shared" si="2"/>
        <v>0</v>
      </c>
      <c r="G29" s="503">
        <f t="shared" si="2"/>
        <v>0</v>
      </c>
      <c r="H29" s="498">
        <f>SUM($F$9:F29)/A29</f>
        <v>0</v>
      </c>
      <c r="I29" s="499">
        <f>SUM($G$8:G29)/A29</f>
        <v>0</v>
      </c>
      <c r="J29" s="443">
        <f t="shared" si="6"/>
        <v>0</v>
      </c>
      <c r="K29" s="459">
        <f t="shared" si="6"/>
        <v>0</v>
      </c>
      <c r="L29" s="495" t="e">
        <f t="shared" si="7"/>
        <v>#DIV/0!</v>
      </c>
      <c r="M29" s="464" t="e">
        <f t="shared" si="7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502">
        <f t="shared" si="5"/>
        <v>0</v>
      </c>
      <c r="E30" s="499"/>
      <c r="F30" s="446">
        <f t="shared" si="2"/>
        <v>0</v>
      </c>
      <c r="G30" s="503">
        <f t="shared" si="2"/>
        <v>0</v>
      </c>
      <c r="H30" s="498">
        <f>SUM($F$9:F30)/A30</f>
        <v>0</v>
      </c>
      <c r="I30" s="499">
        <f>SUM($G$8:G30)/A30</f>
        <v>0</v>
      </c>
      <c r="J30" s="443">
        <f t="shared" si="6"/>
        <v>0</v>
      </c>
      <c r="K30" s="459">
        <f t="shared" si="6"/>
        <v>0</v>
      </c>
      <c r="L30" s="495" t="e">
        <f t="shared" si="7"/>
        <v>#DIV/0!</v>
      </c>
      <c r="M30" s="464" t="e">
        <f t="shared" si="7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502"/>
      <c r="E31" s="499"/>
      <c r="F31" s="446">
        <f t="shared" si="2"/>
        <v>0</v>
      </c>
      <c r="G31" s="503">
        <f t="shared" si="2"/>
        <v>0</v>
      </c>
      <c r="H31" s="498">
        <f>SUM($F$9:F31)/A31</f>
        <v>0</v>
      </c>
      <c r="I31" s="499">
        <f>SUM($G$8:G31)/A31</f>
        <v>0</v>
      </c>
      <c r="J31" s="443">
        <f t="shared" si="6"/>
        <v>0</v>
      </c>
      <c r="K31" s="459">
        <f t="shared" si="6"/>
        <v>0</v>
      </c>
      <c r="L31" s="495" t="e">
        <f t="shared" si="7"/>
        <v>#DIV/0!</v>
      </c>
      <c r="M31" s="464" t="e">
        <f t="shared" si="7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346</v>
      </c>
      <c r="D32" s="502">
        <f t="shared" si="5"/>
        <v>0</v>
      </c>
      <c r="E32" s="499"/>
      <c r="F32" s="446">
        <f t="shared" si="2"/>
        <v>0</v>
      </c>
      <c r="G32" s="503">
        <f t="shared" si="2"/>
        <v>0</v>
      </c>
      <c r="H32" s="498">
        <f>SUM($F$9:F32)/A32</f>
        <v>0</v>
      </c>
      <c r="I32" s="499">
        <f>SUM($G$8:G32)/A32</f>
        <v>0</v>
      </c>
      <c r="J32" s="443">
        <f t="shared" si="6"/>
        <v>0</v>
      </c>
      <c r="K32" s="459">
        <f t="shared" si="6"/>
        <v>0</v>
      </c>
      <c r="L32" s="495" t="e">
        <f t="shared" si="7"/>
        <v>#DIV/0!</v>
      </c>
      <c r="M32" s="464" t="e">
        <f t="shared" si="7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104</v>
      </c>
      <c r="D33" s="502">
        <f t="shared" si="5"/>
        <v>0</v>
      </c>
      <c r="E33" s="499"/>
      <c r="F33" s="446">
        <f t="shared" si="2"/>
        <v>0</v>
      </c>
      <c r="G33" s="503">
        <f t="shared" si="2"/>
        <v>0</v>
      </c>
      <c r="H33" s="708">
        <f>SUM($F$9:F33)/A33</f>
        <v>0</v>
      </c>
      <c r="I33" s="499">
        <f>SUM($G$8:G33)/A33</f>
        <v>0</v>
      </c>
      <c r="J33" s="460">
        <f t="shared" si="6"/>
        <v>0</v>
      </c>
      <c r="K33" s="459">
        <f t="shared" si="6"/>
        <v>0</v>
      </c>
      <c r="L33" s="506" t="e">
        <f t="shared" si="7"/>
        <v>#DIV/0!</v>
      </c>
      <c r="M33" s="464" t="e">
        <f t="shared" si="7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5"/>
        <v>0</v>
      </c>
      <c r="E34" s="499"/>
      <c r="F34" s="446">
        <f t="shared" si="2"/>
        <v>0</v>
      </c>
      <c r="G34" s="503">
        <f t="shared" si="2"/>
        <v>0</v>
      </c>
      <c r="H34" s="498">
        <f>SUM($F$9:F34)/A34</f>
        <v>0</v>
      </c>
      <c r="I34" s="499">
        <f>SUM($G$8:G34)/A34</f>
        <v>0</v>
      </c>
      <c r="J34" s="443">
        <f t="shared" si="6"/>
        <v>0</v>
      </c>
      <c r="K34" s="459">
        <f t="shared" si="6"/>
        <v>0</v>
      </c>
      <c r="L34" s="495" t="e">
        <f t="shared" si="7"/>
        <v>#DIV/0!</v>
      </c>
      <c r="M34" s="464" t="e">
        <f t="shared" si="7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502">
        <f t="shared" si="5"/>
        <v>0</v>
      </c>
      <c r="E35" s="499"/>
      <c r="F35" s="446">
        <f t="shared" si="2"/>
        <v>0</v>
      </c>
      <c r="G35" s="503">
        <f t="shared" si="2"/>
        <v>0</v>
      </c>
      <c r="H35" s="498">
        <f>SUM($F$9:F35)/A35</f>
        <v>0</v>
      </c>
      <c r="I35" s="499">
        <f>SUM($G$8:G35)/A35</f>
        <v>0</v>
      </c>
      <c r="J35" s="443">
        <f t="shared" si="6"/>
        <v>0</v>
      </c>
      <c r="K35" s="459">
        <f t="shared" si="6"/>
        <v>0</v>
      </c>
      <c r="L35" s="495" t="e">
        <f t="shared" si="7"/>
        <v>#DIV/0!</v>
      </c>
      <c r="M35" s="464" t="e">
        <f t="shared" si="7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 t="shared" si="5"/>
        <v>0</v>
      </c>
      <c r="E36" s="499"/>
      <c r="F36" s="446">
        <f t="shared" si="2"/>
        <v>0</v>
      </c>
      <c r="G36" s="503">
        <f t="shared" si="2"/>
        <v>0</v>
      </c>
      <c r="H36" s="498">
        <f>SUM($F$9:F36)/A36</f>
        <v>0</v>
      </c>
      <c r="I36" s="499">
        <f>SUM($G$8:G36)/A36</f>
        <v>0</v>
      </c>
      <c r="J36" s="443">
        <f t="shared" si="6"/>
        <v>0</v>
      </c>
      <c r="K36" s="459">
        <f t="shared" si="6"/>
        <v>0</v>
      </c>
      <c r="L36" s="495" t="e">
        <f t="shared" si="7"/>
        <v>#DIV/0!</v>
      </c>
      <c r="M36" s="464" t="e">
        <f t="shared" si="7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104</v>
      </c>
      <c r="D37" s="502">
        <f t="shared" si="5"/>
        <v>0</v>
      </c>
      <c r="E37" s="499"/>
      <c r="F37" s="446">
        <f t="shared" si="2"/>
        <v>0</v>
      </c>
      <c r="G37" s="503">
        <f t="shared" si="2"/>
        <v>0</v>
      </c>
      <c r="H37" s="498">
        <f>SUM($F$9:F37)/A37</f>
        <v>0</v>
      </c>
      <c r="I37" s="499">
        <f>SUM($G$8:G37)/A37</f>
        <v>0</v>
      </c>
      <c r="J37" s="443">
        <f t="shared" si="6"/>
        <v>0</v>
      </c>
      <c r="K37" s="459">
        <f t="shared" si="6"/>
        <v>0</v>
      </c>
      <c r="L37" s="495" t="e">
        <f t="shared" si="7"/>
        <v>#DIV/0!</v>
      </c>
      <c r="M37" s="464" t="e">
        <f t="shared" si="7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502">
        <f t="shared" si="5"/>
        <v>0</v>
      </c>
      <c r="E38" s="499"/>
      <c r="F38" s="446">
        <f t="shared" si="2"/>
        <v>0</v>
      </c>
      <c r="G38" s="503">
        <f t="shared" si="2"/>
        <v>0</v>
      </c>
      <c r="H38" s="498">
        <f>SUM($F$9:F38)/A38</f>
        <v>0</v>
      </c>
      <c r="I38" s="499">
        <f>SUM($G$8:G38)/A38</f>
        <v>0</v>
      </c>
      <c r="J38" s="504">
        <f t="shared" si="6"/>
        <v>0</v>
      </c>
      <c r="K38" s="459">
        <f t="shared" si="6"/>
        <v>0</v>
      </c>
      <c r="L38" s="505" t="e">
        <f t="shared" si="7"/>
        <v>#DIV/0!</v>
      </c>
      <c r="M38" s="464" t="e">
        <f t="shared" si="7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502">
        <f t="shared" si="5"/>
        <v>0</v>
      </c>
      <c r="E39" s="499"/>
      <c r="F39" s="446">
        <f t="shared" si="2"/>
        <v>0</v>
      </c>
      <c r="G39" s="503">
        <f t="shared" si="2"/>
        <v>0</v>
      </c>
      <c r="H39" s="498">
        <f>SUM($F$9:F39)/A39</f>
        <v>0</v>
      </c>
      <c r="I39" s="499">
        <f>SUM($G$8:G39)/A39</f>
        <v>0</v>
      </c>
      <c r="J39" s="443">
        <f t="shared" si="6"/>
        <v>0</v>
      </c>
      <c r="K39" s="459">
        <f t="shared" si="6"/>
        <v>0</v>
      </c>
      <c r="L39" s="495" t="e">
        <f t="shared" si="7"/>
        <v>#DIV/0!</v>
      </c>
      <c r="M39" s="464" t="e">
        <f t="shared" si="7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9:M39">
    <cfRule type="cellIs" dxfId="12008" priority="361" operator="lessThan">
      <formula>15</formula>
    </cfRule>
    <cfRule type="cellIs" dxfId="12007" priority="362" operator="greaterThan">
      <formula>20</formula>
    </cfRule>
    <cfRule type="cellIs" dxfId="12006" priority="363" operator="between">
      <formula>15</formula>
      <formula>20</formula>
    </cfRule>
    <cfRule type="cellIs" dxfId="12005" priority="364" operator="between">
      <formula>15</formula>
      <formula>20</formula>
    </cfRule>
    <cfRule type="cellIs" dxfId="12004" priority="365" operator="lessThan">
      <formula>15</formula>
    </cfRule>
    <cfRule type="cellIs" dxfId="12003" priority="366" operator="greaterThan">
      <formula>20</formula>
    </cfRule>
    <cfRule type="cellIs" dxfId="12002" priority="367" operator="between">
      <formula>15</formula>
      <formula>21</formula>
    </cfRule>
    <cfRule type="cellIs" dxfId="12001" priority="368" operator="lessThan">
      <formula>15</formula>
    </cfRule>
    <cfRule type="cellIs" dxfId="12000" priority="36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2"/>
  <pageSetup paperSize="8" orientation="landscape" horizontalDpi="4294967292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6.5703125" style="143" customWidth="1"/>
    <col min="4" max="7" width="10.140625" style="142" customWidth="1"/>
    <col min="8" max="9" width="9.28515625" style="142" customWidth="1"/>
    <col min="10" max="10" width="13.42578125" style="142" customWidth="1"/>
    <col min="11" max="11" width="13.140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">
        <v>270</v>
      </c>
      <c r="D4" s="383"/>
      <c r="E4" s="383" t="s">
        <v>228</v>
      </c>
      <c r="F4" s="383" t="s">
        <v>230</v>
      </c>
      <c r="I4" s="383" t="s">
        <v>120</v>
      </c>
      <c r="J4" s="318" t="s">
        <v>270</v>
      </c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U5" s="621"/>
      <c r="V5" s="621"/>
      <c r="W5" s="621"/>
      <c r="X5" s="621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U6" s="621"/>
      <c r="V6" s="621"/>
      <c r="W6" s="621"/>
      <c r="X6" s="621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v>0</v>
      </c>
      <c r="K8" s="324"/>
      <c r="L8" s="462"/>
      <c r="M8" s="463"/>
      <c r="N8" s="366">
        <v>8.0000000000000002E-3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7155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104</v>
      </c>
      <c r="D9" s="502"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SUM($G$8:G9)/A9</f>
        <v>0</v>
      </c>
      <c r="J9" s="443">
        <f t="shared" ref="J9:K24" si="0">J8+D9-F9</f>
        <v>0</v>
      </c>
      <c r="K9" s="459">
        <f t="shared" si="0"/>
        <v>0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502">
        <f t="shared" ref="D10:D39" si="2">E10-E10*N10</f>
        <v>0</v>
      </c>
      <c r="E10" s="499"/>
      <c r="F10" s="446">
        <f t="shared" ref="F10:G39" si="3">O10+Q10</f>
        <v>0</v>
      </c>
      <c r="G10" s="503">
        <f t="shared" si="3"/>
        <v>0</v>
      </c>
      <c r="H10" s="498">
        <f>SUM($F$9:F10)/A10</f>
        <v>0</v>
      </c>
      <c r="I10" s="499">
        <f>SUM($G$8:G10)/A10</f>
        <v>0</v>
      </c>
      <c r="J10" s="443">
        <f t="shared" si="0"/>
        <v>0</v>
      </c>
      <c r="K10" s="459">
        <f t="shared" si="0"/>
        <v>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502">
        <f t="shared" si="2"/>
        <v>0</v>
      </c>
      <c r="E11" s="499"/>
      <c r="F11" s="446">
        <f t="shared" si="3"/>
        <v>0</v>
      </c>
      <c r="G11" s="503">
        <f t="shared" si="3"/>
        <v>0</v>
      </c>
      <c r="H11" s="498">
        <f>SUM($F$9:F11)/A11</f>
        <v>0</v>
      </c>
      <c r="I11" s="499">
        <f>SUM($G$8:G11)/A11</f>
        <v>0</v>
      </c>
      <c r="J11" s="443">
        <f t="shared" si="0"/>
        <v>0</v>
      </c>
      <c r="K11" s="459">
        <f t="shared" si="0"/>
        <v>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104</v>
      </c>
      <c r="D12" s="502">
        <f>E12-E12*N12</f>
        <v>0</v>
      </c>
      <c r="E12" s="499"/>
      <c r="F12" s="446">
        <f t="shared" si="3"/>
        <v>0</v>
      </c>
      <c r="G12" s="503">
        <f t="shared" si="3"/>
        <v>0</v>
      </c>
      <c r="H12" s="498">
        <f>SUM($F$9:F12)/A12</f>
        <v>0</v>
      </c>
      <c r="I12" s="499">
        <f>SUM($G$8:G12)/A12</f>
        <v>0</v>
      </c>
      <c r="J12" s="443">
        <f t="shared" si="0"/>
        <v>0</v>
      </c>
      <c r="K12" s="459">
        <f>K11+E18-G12</f>
        <v>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502">
        <f t="shared" si="2"/>
        <v>0</v>
      </c>
      <c r="E13" s="499"/>
      <c r="F13" s="446">
        <f t="shared" si="3"/>
        <v>0</v>
      </c>
      <c r="G13" s="503">
        <f t="shared" si="3"/>
        <v>0</v>
      </c>
      <c r="H13" s="709">
        <f>SUM($F$9:F13)/A13</f>
        <v>0</v>
      </c>
      <c r="I13" s="499">
        <f>SUM($G$8:G13)/A13</f>
        <v>0</v>
      </c>
      <c r="J13" s="504">
        <f t="shared" si="0"/>
        <v>0</v>
      </c>
      <c r="K13" s="459">
        <f t="shared" si="0"/>
        <v>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502">
        <f t="shared" si="2"/>
        <v>0</v>
      </c>
      <c r="E14" s="499"/>
      <c r="F14" s="446">
        <f t="shared" si="3"/>
        <v>0</v>
      </c>
      <c r="G14" s="503">
        <f t="shared" si="3"/>
        <v>0</v>
      </c>
      <c r="H14" s="498">
        <f>SUM($F$9:F14)/A14</f>
        <v>0</v>
      </c>
      <c r="I14" s="499">
        <f>SUM($G$8:G14)/A14</f>
        <v>0</v>
      </c>
      <c r="J14" s="443">
        <f t="shared" si="0"/>
        <v>0</v>
      </c>
      <c r="K14" s="459">
        <f t="shared" si="0"/>
        <v>0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502">
        <f t="shared" si="2"/>
        <v>0</v>
      </c>
      <c r="E15" s="499"/>
      <c r="F15" s="446">
        <f t="shared" si="3"/>
        <v>0</v>
      </c>
      <c r="G15" s="503">
        <f t="shared" si="3"/>
        <v>0</v>
      </c>
      <c r="H15" s="498">
        <f>SUM($F$9:F15)/A15</f>
        <v>0</v>
      </c>
      <c r="I15" s="499">
        <f>SUM($G$8:G15)/A15</f>
        <v>0</v>
      </c>
      <c r="J15" s="443">
        <f t="shared" si="0"/>
        <v>0</v>
      </c>
      <c r="K15" s="459">
        <f t="shared" si="0"/>
        <v>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502">
        <f t="shared" si="2"/>
        <v>0</v>
      </c>
      <c r="E16" s="499"/>
      <c r="F16" s="446">
        <f t="shared" si="3"/>
        <v>0</v>
      </c>
      <c r="G16" s="503">
        <f t="shared" si="3"/>
        <v>0</v>
      </c>
      <c r="H16" s="498">
        <f>SUM($F$9:F16)/A16</f>
        <v>0</v>
      </c>
      <c r="I16" s="499">
        <f>SUM($G$8:G16)/A16</f>
        <v>0</v>
      </c>
      <c r="J16" s="443">
        <f t="shared" si="0"/>
        <v>0</v>
      </c>
      <c r="K16" s="459">
        <f t="shared" si="0"/>
        <v>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502">
        <f t="shared" si="2"/>
        <v>0</v>
      </c>
      <c r="E17" s="499"/>
      <c r="F17" s="446">
        <f t="shared" si="3"/>
        <v>0</v>
      </c>
      <c r="G17" s="503">
        <f t="shared" si="3"/>
        <v>0</v>
      </c>
      <c r="H17" s="498">
        <f>SUM($F$9:F17)/A17</f>
        <v>0</v>
      </c>
      <c r="I17" s="499">
        <f>SUM($G$8:G17)/A17</f>
        <v>0</v>
      </c>
      <c r="J17" s="443">
        <f t="shared" si="0"/>
        <v>0</v>
      </c>
      <c r="K17" s="459">
        <f t="shared" si="0"/>
        <v>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104</v>
      </c>
      <c r="D18" s="502">
        <f t="shared" si="2"/>
        <v>0</v>
      </c>
      <c r="E18" s="499"/>
      <c r="F18" s="446">
        <f t="shared" si="3"/>
        <v>0</v>
      </c>
      <c r="G18" s="503">
        <f t="shared" si="3"/>
        <v>0</v>
      </c>
      <c r="H18" s="709">
        <f>SUM($F$9:F18)/A18</f>
        <v>0</v>
      </c>
      <c r="I18" s="499">
        <f>SUM($G$8:G18)/A18</f>
        <v>0</v>
      </c>
      <c r="J18" s="504">
        <f t="shared" si="0"/>
        <v>0</v>
      </c>
      <c r="K18" s="459">
        <f t="shared" si="0"/>
        <v>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2"/>
        <v>0</v>
      </c>
      <c r="E19" s="499"/>
      <c r="F19" s="446">
        <f t="shared" si="3"/>
        <v>0</v>
      </c>
      <c r="G19" s="503">
        <f t="shared" si="3"/>
        <v>0</v>
      </c>
      <c r="H19" s="498">
        <f>SUM($F$9:F19)/A19</f>
        <v>0</v>
      </c>
      <c r="I19" s="499">
        <f>SUM($G$8:G19)/A19</f>
        <v>0</v>
      </c>
      <c r="J19" s="443">
        <f t="shared" si="0"/>
        <v>0</v>
      </c>
      <c r="K19" s="459">
        <f t="shared" si="0"/>
        <v>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 t="shared" si="2"/>
        <v>0</v>
      </c>
      <c r="E20" s="499"/>
      <c r="F20" s="446">
        <f t="shared" si="3"/>
        <v>0</v>
      </c>
      <c r="G20" s="503">
        <f t="shared" si="3"/>
        <v>0</v>
      </c>
      <c r="H20" s="498">
        <f>SUM($F$9:F20)/A20</f>
        <v>0</v>
      </c>
      <c r="I20" s="499">
        <f>SUM($G$8:G20)/A20</f>
        <v>0</v>
      </c>
      <c r="J20" s="443">
        <f t="shared" si="0"/>
        <v>0</v>
      </c>
      <c r="K20" s="459">
        <f t="shared" si="0"/>
        <v>0</v>
      </c>
      <c r="L20" s="495" t="e">
        <f t="shared" si="1"/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502">
        <f t="shared" si="2"/>
        <v>0</v>
      </c>
      <c r="E21" s="499"/>
      <c r="F21" s="446">
        <f t="shared" si="3"/>
        <v>0</v>
      </c>
      <c r="G21" s="503">
        <f t="shared" si="3"/>
        <v>0</v>
      </c>
      <c r="H21" s="498">
        <f>SUM($F$9:F21)/A21</f>
        <v>0</v>
      </c>
      <c r="I21" s="499">
        <f>SUM($G$8:G21)/A21</f>
        <v>0</v>
      </c>
      <c r="J21" s="443">
        <f t="shared" si="0"/>
        <v>0</v>
      </c>
      <c r="K21" s="459">
        <f t="shared" si="0"/>
        <v>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104</v>
      </c>
      <c r="D22" s="502">
        <f t="shared" si="2"/>
        <v>0</v>
      </c>
      <c r="E22" s="499"/>
      <c r="F22" s="446">
        <f t="shared" si="3"/>
        <v>0</v>
      </c>
      <c r="G22" s="503">
        <f t="shared" si="3"/>
        <v>0</v>
      </c>
      <c r="H22" s="498">
        <f>SUM($F$9:F22)/A22</f>
        <v>0</v>
      </c>
      <c r="I22" s="499">
        <f>SUM($G$8:G22)/A22</f>
        <v>0</v>
      </c>
      <c r="J22" s="443">
        <f t="shared" si="0"/>
        <v>0</v>
      </c>
      <c r="K22" s="459">
        <f t="shared" si="0"/>
        <v>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104</v>
      </c>
      <c r="D23" s="502">
        <f t="shared" si="2"/>
        <v>0</v>
      </c>
      <c r="E23" s="499"/>
      <c r="F23" s="446">
        <f t="shared" si="3"/>
        <v>0</v>
      </c>
      <c r="G23" s="503">
        <f t="shared" si="3"/>
        <v>0</v>
      </c>
      <c r="H23" s="709">
        <f>SUM($F$9:F23)/A23</f>
        <v>0</v>
      </c>
      <c r="I23" s="499">
        <f>SUM($G$8:G23)/A23</f>
        <v>0</v>
      </c>
      <c r="J23" s="504">
        <f t="shared" si="0"/>
        <v>0</v>
      </c>
      <c r="K23" s="459">
        <f t="shared" si="0"/>
        <v>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502">
        <f t="shared" si="2"/>
        <v>0</v>
      </c>
      <c r="E24" s="499"/>
      <c r="F24" s="446">
        <f t="shared" si="3"/>
        <v>0</v>
      </c>
      <c r="G24" s="503">
        <f t="shared" si="3"/>
        <v>0</v>
      </c>
      <c r="H24" s="498">
        <f>SUM($F$9:F24)/A24</f>
        <v>0</v>
      </c>
      <c r="I24" s="499">
        <f>SUM($G$8:G24)/A24</f>
        <v>0</v>
      </c>
      <c r="J24" s="443">
        <f t="shared" si="0"/>
        <v>0</v>
      </c>
      <c r="K24" s="459">
        <f t="shared" si="0"/>
        <v>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502">
        <f t="shared" si="2"/>
        <v>0</v>
      </c>
      <c r="E25" s="499"/>
      <c r="F25" s="446">
        <f t="shared" si="3"/>
        <v>0</v>
      </c>
      <c r="G25" s="503">
        <f t="shared" si="3"/>
        <v>0</v>
      </c>
      <c r="H25" s="498">
        <f>SUM($F$9:F25)/A25</f>
        <v>0</v>
      </c>
      <c r="I25" s="499">
        <f>SUM($G$8:G25)/A25</f>
        <v>0</v>
      </c>
      <c r="J25" s="443">
        <f t="shared" ref="J25:K39" si="5">J24+D25-F25</f>
        <v>0</v>
      </c>
      <c r="K25" s="459">
        <f t="shared" si="5"/>
        <v>0</v>
      </c>
      <c r="L25" s="495" t="e">
        <f t="shared" ref="L25:M39" si="6">J25/H25</f>
        <v>#DIV/0!</v>
      </c>
      <c r="M25" s="464" t="e">
        <f t="shared" si="6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502">
        <f t="shared" si="2"/>
        <v>0</v>
      </c>
      <c r="E26" s="499"/>
      <c r="F26" s="446">
        <f t="shared" si="3"/>
        <v>0</v>
      </c>
      <c r="G26" s="503">
        <f t="shared" si="3"/>
        <v>0</v>
      </c>
      <c r="H26" s="498">
        <f>SUM($F$9:F26)/A26</f>
        <v>0</v>
      </c>
      <c r="I26" s="499">
        <f>SUM($G$8:G26)/A26</f>
        <v>0</v>
      </c>
      <c r="J26" s="443">
        <f t="shared" si="5"/>
        <v>0</v>
      </c>
      <c r="K26" s="459">
        <f t="shared" si="5"/>
        <v>0</v>
      </c>
      <c r="L26" s="495" t="e">
        <f t="shared" si="6"/>
        <v>#DIV/0!</v>
      </c>
      <c r="M26" s="464" t="e">
        <f t="shared" si="6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104</v>
      </c>
      <c r="D27" s="502">
        <f t="shared" si="2"/>
        <v>0</v>
      </c>
      <c r="E27" s="499"/>
      <c r="F27" s="446">
        <f t="shared" si="3"/>
        <v>0</v>
      </c>
      <c r="G27" s="503">
        <f t="shared" si="3"/>
        <v>0</v>
      </c>
      <c r="H27" s="498">
        <f>SUM($F$9:F27)/A27</f>
        <v>0</v>
      </c>
      <c r="I27" s="499">
        <f>SUM($G$8:G27)/A27</f>
        <v>0</v>
      </c>
      <c r="J27" s="443">
        <f t="shared" si="5"/>
        <v>0</v>
      </c>
      <c r="K27" s="459">
        <f t="shared" si="5"/>
        <v>0</v>
      </c>
      <c r="L27" s="495" t="e">
        <f t="shared" si="6"/>
        <v>#DIV/0!</v>
      </c>
      <c r="M27" s="464" t="e">
        <f t="shared" si="6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502">
        <f t="shared" si="2"/>
        <v>0</v>
      </c>
      <c r="E28" s="499"/>
      <c r="F28" s="446">
        <f t="shared" si="3"/>
        <v>0</v>
      </c>
      <c r="G28" s="503">
        <f t="shared" si="3"/>
        <v>0</v>
      </c>
      <c r="H28" s="709">
        <f>SUM($F$9:F28)/A28</f>
        <v>0</v>
      </c>
      <c r="I28" s="499">
        <f>SUM($G$8:G28)/A28</f>
        <v>0</v>
      </c>
      <c r="J28" s="504">
        <f t="shared" si="5"/>
        <v>0</v>
      </c>
      <c r="K28" s="459">
        <f t="shared" si="5"/>
        <v>0</v>
      </c>
      <c r="L28" s="505" t="e">
        <f t="shared" si="6"/>
        <v>#DIV/0!</v>
      </c>
      <c r="M28" s="464" t="e">
        <f t="shared" si="6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502">
        <f t="shared" si="2"/>
        <v>0</v>
      </c>
      <c r="E29" s="499"/>
      <c r="F29" s="446">
        <f t="shared" si="3"/>
        <v>0</v>
      </c>
      <c r="G29" s="503">
        <f t="shared" si="3"/>
        <v>0</v>
      </c>
      <c r="H29" s="498">
        <f>SUM($F$9:F29)/A29</f>
        <v>0</v>
      </c>
      <c r="I29" s="499">
        <f>SUM($G$8:G29)/A29</f>
        <v>0</v>
      </c>
      <c r="J29" s="443">
        <f t="shared" si="5"/>
        <v>0</v>
      </c>
      <c r="K29" s="459">
        <f t="shared" si="5"/>
        <v>0</v>
      </c>
      <c r="L29" s="495" t="e">
        <f t="shared" si="6"/>
        <v>#DIV/0!</v>
      </c>
      <c r="M29" s="464" t="e">
        <f t="shared" si="6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502">
        <f t="shared" si="2"/>
        <v>0</v>
      </c>
      <c r="E30" s="499"/>
      <c r="F30" s="446">
        <f t="shared" si="3"/>
        <v>0</v>
      </c>
      <c r="G30" s="503">
        <f t="shared" si="3"/>
        <v>0</v>
      </c>
      <c r="H30" s="498">
        <f>SUM($F$9:F30)/A30</f>
        <v>0</v>
      </c>
      <c r="I30" s="499">
        <f>SUM($G$8:G30)/A30</f>
        <v>0</v>
      </c>
      <c r="J30" s="443">
        <f t="shared" si="5"/>
        <v>0</v>
      </c>
      <c r="K30" s="459">
        <f t="shared" si="5"/>
        <v>0</v>
      </c>
      <c r="L30" s="495" t="e">
        <f t="shared" si="6"/>
        <v>#DIV/0!</v>
      </c>
      <c r="M30" s="464" t="e">
        <f t="shared" si="6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346</v>
      </c>
      <c r="D31" s="502">
        <f t="shared" si="2"/>
        <v>0</v>
      </c>
      <c r="E31" s="499"/>
      <c r="F31" s="446">
        <f t="shared" si="3"/>
        <v>0</v>
      </c>
      <c r="G31" s="503">
        <f t="shared" si="3"/>
        <v>0</v>
      </c>
      <c r="H31" s="498">
        <f>SUM($F$9:F31)/A31</f>
        <v>0</v>
      </c>
      <c r="I31" s="499">
        <f>SUM($G$8:G31)/A31</f>
        <v>0</v>
      </c>
      <c r="J31" s="443">
        <f t="shared" si="5"/>
        <v>0</v>
      </c>
      <c r="K31" s="459">
        <f t="shared" si="5"/>
        <v>0</v>
      </c>
      <c r="L31" s="495" t="e">
        <f t="shared" si="6"/>
        <v>#DIV/0!</v>
      </c>
      <c r="M31" s="464" t="e">
        <f t="shared" si="6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346</v>
      </c>
      <c r="D32" s="502">
        <f t="shared" si="2"/>
        <v>0</v>
      </c>
      <c r="E32" s="499"/>
      <c r="F32" s="446">
        <f t="shared" si="3"/>
        <v>0</v>
      </c>
      <c r="G32" s="503">
        <f t="shared" si="3"/>
        <v>0</v>
      </c>
      <c r="H32" s="498">
        <f>SUM($F$9:F32)/A32</f>
        <v>0</v>
      </c>
      <c r="I32" s="499">
        <f>SUM($G$8:G32)/A32</f>
        <v>0</v>
      </c>
      <c r="J32" s="443">
        <f t="shared" si="5"/>
        <v>0</v>
      </c>
      <c r="K32" s="459">
        <f t="shared" si="5"/>
        <v>0</v>
      </c>
      <c r="L32" s="495" t="e">
        <f t="shared" si="6"/>
        <v>#DIV/0!</v>
      </c>
      <c r="M32" s="464" t="e">
        <f t="shared" si="6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104</v>
      </c>
      <c r="D33" s="502">
        <f t="shared" si="2"/>
        <v>0</v>
      </c>
      <c r="E33" s="499"/>
      <c r="F33" s="446">
        <f t="shared" si="3"/>
        <v>0</v>
      </c>
      <c r="G33" s="503">
        <f t="shared" si="3"/>
        <v>0</v>
      </c>
      <c r="H33" s="708">
        <f>SUM($F$9:F33)/A33</f>
        <v>0</v>
      </c>
      <c r="I33" s="499">
        <f>SUM($G$8:G33)/A33</f>
        <v>0</v>
      </c>
      <c r="J33" s="460">
        <f t="shared" si="5"/>
        <v>0</v>
      </c>
      <c r="K33" s="459">
        <f t="shared" si="5"/>
        <v>0</v>
      </c>
      <c r="L33" s="506" t="e">
        <f t="shared" si="6"/>
        <v>#DIV/0!</v>
      </c>
      <c r="M33" s="464" t="e">
        <f t="shared" si="6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2"/>
        <v>0</v>
      </c>
      <c r="E34" s="499"/>
      <c r="F34" s="446">
        <f t="shared" si="3"/>
        <v>0</v>
      </c>
      <c r="G34" s="503">
        <f t="shared" si="3"/>
        <v>0</v>
      </c>
      <c r="H34" s="498">
        <f>SUM($F$9:F34)/A34</f>
        <v>0</v>
      </c>
      <c r="I34" s="499">
        <f>SUM($G$8:G34)/A34</f>
        <v>0</v>
      </c>
      <c r="J34" s="443">
        <f t="shared" si="5"/>
        <v>0</v>
      </c>
      <c r="K34" s="459">
        <f t="shared" si="5"/>
        <v>0</v>
      </c>
      <c r="L34" s="495" t="e">
        <f t="shared" si="6"/>
        <v>#DIV/0!</v>
      </c>
      <c r="M34" s="464" t="e">
        <f t="shared" si="6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502">
        <f t="shared" si="2"/>
        <v>0</v>
      </c>
      <c r="E35" s="499"/>
      <c r="F35" s="446">
        <f t="shared" si="3"/>
        <v>0</v>
      </c>
      <c r="G35" s="503">
        <f t="shared" si="3"/>
        <v>0</v>
      </c>
      <c r="H35" s="498">
        <f>SUM($F$9:F35)/A35</f>
        <v>0</v>
      </c>
      <c r="I35" s="499">
        <f>SUM($G$8:G35)/A35</f>
        <v>0</v>
      </c>
      <c r="J35" s="443">
        <f t="shared" si="5"/>
        <v>0</v>
      </c>
      <c r="K35" s="459">
        <f t="shared" si="5"/>
        <v>0</v>
      </c>
      <c r="L35" s="495" t="e">
        <f t="shared" si="6"/>
        <v>#DIV/0!</v>
      </c>
      <c r="M35" s="464" t="e">
        <f t="shared" si="6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 t="shared" si="2"/>
        <v>0</v>
      </c>
      <c r="E36" s="499"/>
      <c r="F36" s="446">
        <f t="shared" si="3"/>
        <v>0</v>
      </c>
      <c r="G36" s="503">
        <f t="shared" si="3"/>
        <v>0</v>
      </c>
      <c r="H36" s="498">
        <f>SUM($F$9:F36)/A36</f>
        <v>0</v>
      </c>
      <c r="I36" s="499">
        <f>SUM($G$8:G36)/A36</f>
        <v>0</v>
      </c>
      <c r="J36" s="443">
        <f t="shared" si="5"/>
        <v>0</v>
      </c>
      <c r="K36" s="459">
        <f t="shared" si="5"/>
        <v>0</v>
      </c>
      <c r="L36" s="495" t="e">
        <f t="shared" si="6"/>
        <v>#DIV/0!</v>
      </c>
      <c r="M36" s="464" t="e">
        <f t="shared" si="6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104</v>
      </c>
      <c r="D37" s="502">
        <f t="shared" si="2"/>
        <v>0</v>
      </c>
      <c r="E37" s="499"/>
      <c r="F37" s="446">
        <f t="shared" si="3"/>
        <v>0</v>
      </c>
      <c r="G37" s="503">
        <f t="shared" si="3"/>
        <v>0</v>
      </c>
      <c r="H37" s="498">
        <f>SUM($F$9:F37)/A37</f>
        <v>0</v>
      </c>
      <c r="I37" s="499">
        <f>SUM($G$8:G37)/A37</f>
        <v>0</v>
      </c>
      <c r="J37" s="443">
        <f t="shared" si="5"/>
        <v>0</v>
      </c>
      <c r="K37" s="459">
        <f t="shared" si="5"/>
        <v>0</v>
      </c>
      <c r="L37" s="495" t="e">
        <f t="shared" si="6"/>
        <v>#DIV/0!</v>
      </c>
      <c r="M37" s="464" t="e">
        <f t="shared" si="6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502">
        <f t="shared" si="2"/>
        <v>0</v>
      </c>
      <c r="E38" s="499"/>
      <c r="F38" s="446">
        <f t="shared" si="3"/>
        <v>0</v>
      </c>
      <c r="G38" s="503">
        <f t="shared" si="3"/>
        <v>0</v>
      </c>
      <c r="H38" s="498">
        <f>SUM($F$9:F38)/A38</f>
        <v>0</v>
      </c>
      <c r="I38" s="499">
        <f>SUM($G$8:G38)/A38</f>
        <v>0</v>
      </c>
      <c r="J38" s="504">
        <f t="shared" si="5"/>
        <v>0</v>
      </c>
      <c r="K38" s="459">
        <f t="shared" si="5"/>
        <v>0</v>
      </c>
      <c r="L38" s="505" t="e">
        <f t="shared" si="6"/>
        <v>#DIV/0!</v>
      </c>
      <c r="M38" s="464" t="e">
        <f t="shared" si="6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502">
        <f t="shared" si="2"/>
        <v>0</v>
      </c>
      <c r="E39" s="499"/>
      <c r="F39" s="446">
        <f t="shared" si="3"/>
        <v>0</v>
      </c>
      <c r="G39" s="503">
        <f t="shared" si="3"/>
        <v>0</v>
      </c>
      <c r="H39" s="498">
        <f>SUM($F$9:F39)/A39</f>
        <v>0</v>
      </c>
      <c r="I39" s="499">
        <f>SUM($G$8:G39)/A39</f>
        <v>0</v>
      </c>
      <c r="J39" s="443">
        <f t="shared" si="5"/>
        <v>0</v>
      </c>
      <c r="K39" s="459">
        <f t="shared" si="5"/>
        <v>0</v>
      </c>
      <c r="L39" s="495" t="e">
        <f t="shared" si="6"/>
        <v>#DIV/0!</v>
      </c>
      <c r="M39" s="464" t="e">
        <f t="shared" si="6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667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41">
    <cfRule type="cellIs" dxfId="11999" priority="559" operator="lessThan">
      <formula>15</formula>
    </cfRule>
    <cfRule type="cellIs" dxfId="11998" priority="560" operator="greaterThan">
      <formula>20</formula>
    </cfRule>
    <cfRule type="cellIs" dxfId="11997" priority="561" operator="between">
      <formula>15</formula>
      <formula>20</formula>
    </cfRule>
    <cfRule type="cellIs" dxfId="11996" priority="562" operator="between">
      <formula>15</formula>
      <formula>20</formula>
    </cfRule>
    <cfRule type="cellIs" dxfId="11995" priority="563" operator="lessThan">
      <formula>15</formula>
    </cfRule>
    <cfRule type="cellIs" dxfId="11994" priority="564" operator="greaterThan">
      <formula>20</formula>
    </cfRule>
    <cfRule type="cellIs" dxfId="11993" priority="565" operator="between">
      <formula>15</formula>
      <formula>21</formula>
    </cfRule>
    <cfRule type="cellIs" dxfId="11992" priority="566" operator="lessThan">
      <formula>15</formula>
    </cfRule>
    <cfRule type="cellIs" dxfId="11991" priority="567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">
        <v>271</v>
      </c>
      <c r="D4" s="383"/>
      <c r="E4" s="383" t="s">
        <v>228</v>
      </c>
      <c r="F4" s="383" t="s">
        <v>230</v>
      </c>
      <c r="I4" s="383" t="s">
        <v>114</v>
      </c>
      <c r="J4" s="440" t="s">
        <v>377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/>
      <c r="G8" s="388"/>
      <c r="H8" s="387"/>
      <c r="I8" s="388"/>
      <c r="J8" s="624">
        <f>K8</f>
        <v>0</v>
      </c>
      <c r="K8" s="624">
        <v>0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3001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/>
      <c r="E9" s="499">
        <f>D9</f>
        <v>0</v>
      </c>
      <c r="F9" s="446">
        <f>O9+Q9</f>
        <v>0</v>
      </c>
      <c r="G9" s="503">
        <f>P9+R9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0</v>
      </c>
      <c r="K9" s="459">
        <f t="shared" si="0"/>
        <v>0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/>
      <c r="E10" s="499">
        <f t="shared" ref="E10:E39" si="2">D10</f>
        <v>0</v>
      </c>
      <c r="F10" s="446">
        <f t="shared" ref="F10:G39" si="3">O10+Q10</f>
        <v>0</v>
      </c>
      <c r="G10" s="503">
        <f t="shared" si="3"/>
        <v>0</v>
      </c>
      <c r="H10" s="498">
        <f>SUM($F$8:F10)/A10</f>
        <v>0</v>
      </c>
      <c r="I10" s="499">
        <f>SUM($G$8:G10)/A10</f>
        <v>0</v>
      </c>
      <c r="J10" s="443">
        <f t="shared" si="0"/>
        <v>0</v>
      </c>
      <c r="K10" s="459">
        <f t="shared" si="0"/>
        <v>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/>
      <c r="E11" s="499">
        <f t="shared" si="2"/>
        <v>0</v>
      </c>
      <c r="F11" s="446">
        <f t="shared" si="3"/>
        <v>0</v>
      </c>
      <c r="G11" s="503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0</v>
      </c>
      <c r="K11" s="459">
        <f t="shared" si="0"/>
        <v>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/>
      <c r="E12" s="499">
        <f t="shared" si="2"/>
        <v>0</v>
      </c>
      <c r="F12" s="446">
        <f t="shared" si="3"/>
        <v>0</v>
      </c>
      <c r="G12" s="503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0</v>
      </c>
      <c r="K12" s="459">
        <f t="shared" si="0"/>
        <v>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/>
      <c r="E13" s="499">
        <f t="shared" si="2"/>
        <v>0</v>
      </c>
      <c r="F13" s="446">
        <f t="shared" si="3"/>
        <v>0</v>
      </c>
      <c r="G13" s="503">
        <f t="shared" si="3"/>
        <v>0</v>
      </c>
      <c r="H13" s="504">
        <f>SUM($F$8:F13)/A13</f>
        <v>0</v>
      </c>
      <c r="I13" s="499">
        <f>SUM($G$8:G13)/A13</f>
        <v>0</v>
      </c>
      <c r="J13" s="504">
        <f t="shared" si="0"/>
        <v>0</v>
      </c>
      <c r="K13" s="459">
        <f t="shared" si="0"/>
        <v>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/>
      <c r="E14" s="499">
        <f t="shared" si="2"/>
        <v>0</v>
      </c>
      <c r="F14" s="446">
        <f t="shared" si="3"/>
        <v>0</v>
      </c>
      <c r="G14" s="503">
        <f t="shared" si="3"/>
        <v>0</v>
      </c>
      <c r="H14" s="498">
        <f>SUM($F$8:F14)/A14</f>
        <v>0</v>
      </c>
      <c r="I14" s="499">
        <f>SUM($G$8:G14)/A14</f>
        <v>0</v>
      </c>
      <c r="J14" s="443">
        <f>J13+D14-F14</f>
        <v>0</v>
      </c>
      <c r="K14" s="459">
        <f>K13+E14-G14</f>
        <v>0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/>
      <c r="E15" s="499">
        <f t="shared" si="2"/>
        <v>0</v>
      </c>
      <c r="F15" s="446">
        <f t="shared" si="3"/>
        <v>0</v>
      </c>
      <c r="G15" s="503">
        <f t="shared" si="3"/>
        <v>0</v>
      </c>
      <c r="H15" s="498">
        <f>SUM($F$8:F15)/A15</f>
        <v>0</v>
      </c>
      <c r="I15" s="499">
        <f>SUM($G$8:G15)/A15</f>
        <v>0</v>
      </c>
      <c r="J15" s="443">
        <f>J14+D15-F15</f>
        <v>0</v>
      </c>
      <c r="K15" s="459">
        <f>K14+E15-G15</f>
        <v>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/>
      <c r="E16" s="499">
        <f t="shared" si="2"/>
        <v>0</v>
      </c>
      <c r="F16" s="446">
        <f t="shared" si="3"/>
        <v>0</v>
      </c>
      <c r="G16" s="503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0</v>
      </c>
      <c r="K16" s="459">
        <f t="shared" si="0"/>
        <v>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/>
      <c r="E17" s="499">
        <f t="shared" si="2"/>
        <v>0</v>
      </c>
      <c r="F17" s="446">
        <f t="shared" si="3"/>
        <v>0</v>
      </c>
      <c r="G17" s="503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0</v>
      </c>
      <c r="K17" s="459">
        <f t="shared" si="0"/>
        <v>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/>
      <c r="E18" s="499">
        <f t="shared" si="2"/>
        <v>0</v>
      </c>
      <c r="F18" s="446">
        <f t="shared" si="3"/>
        <v>0</v>
      </c>
      <c r="G18" s="503">
        <f t="shared" si="3"/>
        <v>0</v>
      </c>
      <c r="H18" s="504">
        <f>SUM($F$8:F18)/A18</f>
        <v>0</v>
      </c>
      <c r="I18" s="499">
        <f>SUM($G$8:G18)/A18</f>
        <v>0</v>
      </c>
      <c r="J18" s="504">
        <f t="shared" si="0"/>
        <v>0</v>
      </c>
      <c r="K18" s="459">
        <f t="shared" si="0"/>
        <v>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/>
      <c r="E19" s="499">
        <f t="shared" si="2"/>
        <v>0</v>
      </c>
      <c r="F19" s="446">
        <f t="shared" si="3"/>
        <v>0</v>
      </c>
      <c r="G19" s="503">
        <f t="shared" si="3"/>
        <v>0</v>
      </c>
      <c r="H19" s="498">
        <f>SUM($F$8:F19)/A19</f>
        <v>0</v>
      </c>
      <c r="I19" s="499">
        <f>SUM($G$8:G19)/A19</f>
        <v>0</v>
      </c>
      <c r="J19" s="443">
        <f t="shared" si="0"/>
        <v>0</v>
      </c>
      <c r="K19" s="459">
        <f t="shared" si="0"/>
        <v>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/>
      <c r="E20" s="499">
        <f t="shared" si="2"/>
        <v>0</v>
      </c>
      <c r="F20" s="446">
        <f t="shared" si="3"/>
        <v>0</v>
      </c>
      <c r="G20" s="503">
        <f t="shared" si="3"/>
        <v>0</v>
      </c>
      <c r="H20" s="498">
        <f>SUM($F$8:F20)/A20</f>
        <v>0</v>
      </c>
      <c r="I20" s="499">
        <f>SUM($G$8:G20)/A20</f>
        <v>0</v>
      </c>
      <c r="J20" s="443">
        <f t="shared" si="0"/>
        <v>0</v>
      </c>
      <c r="K20" s="459">
        <f t="shared" si="0"/>
        <v>0</v>
      </c>
      <c r="L20" s="495" t="e">
        <f t="shared" si="1"/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/>
      <c r="E21" s="499">
        <f t="shared" si="2"/>
        <v>0</v>
      </c>
      <c r="F21" s="446">
        <f t="shared" si="3"/>
        <v>0</v>
      </c>
      <c r="G21" s="503">
        <f t="shared" si="3"/>
        <v>0</v>
      </c>
      <c r="H21" s="498">
        <f>SUM($F$8:F21)/A21</f>
        <v>0</v>
      </c>
      <c r="I21" s="499">
        <f>SUM($G$8:G21)/A21</f>
        <v>0</v>
      </c>
      <c r="J21" s="443">
        <f t="shared" si="0"/>
        <v>0</v>
      </c>
      <c r="K21" s="459">
        <f>K20+E21-G21</f>
        <v>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/>
      <c r="E22" s="499">
        <f t="shared" si="2"/>
        <v>0</v>
      </c>
      <c r="F22" s="446">
        <f t="shared" si="3"/>
        <v>0</v>
      </c>
      <c r="G22" s="503">
        <f t="shared" si="3"/>
        <v>0</v>
      </c>
      <c r="H22" s="498">
        <f>SUM($F$8:F22)/A22</f>
        <v>0</v>
      </c>
      <c r="I22" s="499">
        <f>SUM($G$8:G22)/A22</f>
        <v>0</v>
      </c>
      <c r="J22" s="443">
        <f t="shared" si="0"/>
        <v>0</v>
      </c>
      <c r="K22" s="459">
        <f>K21+E22-G22</f>
        <v>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/>
      <c r="E23" s="499">
        <f t="shared" si="2"/>
        <v>0</v>
      </c>
      <c r="F23" s="446">
        <f t="shared" si="3"/>
        <v>0</v>
      </c>
      <c r="G23" s="503">
        <f t="shared" si="3"/>
        <v>0</v>
      </c>
      <c r="H23" s="504">
        <f>SUM($F$8:F23)/A23</f>
        <v>0</v>
      </c>
      <c r="I23" s="499">
        <f>SUM($G$8:G23)/A23</f>
        <v>0</v>
      </c>
      <c r="J23" s="504">
        <f t="shared" si="0"/>
        <v>0</v>
      </c>
      <c r="K23" s="459">
        <f t="shared" si="0"/>
        <v>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/>
      <c r="E24" s="499">
        <f t="shared" si="2"/>
        <v>0</v>
      </c>
      <c r="F24" s="446">
        <f t="shared" si="3"/>
        <v>0</v>
      </c>
      <c r="G24" s="503">
        <f t="shared" si="3"/>
        <v>0</v>
      </c>
      <c r="H24" s="498">
        <f>SUM($F$8:F24)/A24</f>
        <v>0</v>
      </c>
      <c r="I24" s="499">
        <f>SUM($G$8:G24)/A24</f>
        <v>0</v>
      </c>
      <c r="J24" s="443">
        <f t="shared" si="0"/>
        <v>0</v>
      </c>
      <c r="K24" s="459">
        <f>K23+E24-G24</f>
        <v>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>
        <f t="shared" si="2"/>
        <v>0</v>
      </c>
      <c r="F25" s="446">
        <f t="shared" si="3"/>
        <v>0</v>
      </c>
      <c r="G25" s="503">
        <f t="shared" si="3"/>
        <v>0</v>
      </c>
      <c r="H25" s="498">
        <f>SUM($F$8:F25)/A25</f>
        <v>0</v>
      </c>
      <c r="I25" s="499">
        <f>SUM($G$8:G25)/A25</f>
        <v>0</v>
      </c>
      <c r="J25" s="443">
        <f t="shared" ref="J25:K39" si="5">J24+D25-F25</f>
        <v>0</v>
      </c>
      <c r="K25" s="459">
        <f>K24+E25-G25</f>
        <v>0</v>
      </c>
      <c r="L25" s="495" t="e">
        <f t="shared" ref="L25:M39" si="6">J25/H25</f>
        <v>#DIV/0!</v>
      </c>
      <c r="M25" s="464" t="e">
        <f t="shared" si="6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/>
      <c r="E26" s="499">
        <f t="shared" si="2"/>
        <v>0</v>
      </c>
      <c r="F26" s="446">
        <f t="shared" si="3"/>
        <v>0</v>
      </c>
      <c r="G26" s="503">
        <f t="shared" si="3"/>
        <v>0</v>
      </c>
      <c r="H26" s="498">
        <f>SUM($F$8:F26)/A26</f>
        <v>0</v>
      </c>
      <c r="I26" s="499">
        <f>SUM($G$8:G26)/A26</f>
        <v>0</v>
      </c>
      <c r="J26" s="443">
        <f t="shared" si="5"/>
        <v>0</v>
      </c>
      <c r="K26" s="459">
        <f>K25+E26-G26</f>
        <v>0</v>
      </c>
      <c r="L26" s="495" t="e">
        <f t="shared" si="6"/>
        <v>#DIV/0!</v>
      </c>
      <c r="M26" s="464" t="e">
        <f t="shared" si="6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/>
      <c r="E27" s="499">
        <f t="shared" si="2"/>
        <v>0</v>
      </c>
      <c r="F27" s="446">
        <f t="shared" si="3"/>
        <v>0</v>
      </c>
      <c r="G27" s="503">
        <f t="shared" si="3"/>
        <v>0</v>
      </c>
      <c r="H27" s="498">
        <f>SUM($F$8:F27)/A27</f>
        <v>0</v>
      </c>
      <c r="I27" s="499">
        <f>SUM($G$8:G27)/A27</f>
        <v>0</v>
      </c>
      <c r="J27" s="443">
        <f t="shared" si="5"/>
        <v>0</v>
      </c>
      <c r="K27" s="459">
        <f>K26+E27-G27</f>
        <v>0</v>
      </c>
      <c r="L27" s="495" t="e">
        <f t="shared" si="6"/>
        <v>#DIV/0!</v>
      </c>
      <c r="M27" s="464" t="e">
        <f t="shared" si="6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/>
      <c r="E28" s="499">
        <f t="shared" si="2"/>
        <v>0</v>
      </c>
      <c r="F28" s="446">
        <f t="shared" si="3"/>
        <v>0</v>
      </c>
      <c r="G28" s="503">
        <f t="shared" si="3"/>
        <v>0</v>
      </c>
      <c r="H28" s="504">
        <f>SUM($F$8:F28)/A28</f>
        <v>0</v>
      </c>
      <c r="I28" s="499">
        <f>SUM($G$8:G28)/A28</f>
        <v>0</v>
      </c>
      <c r="J28" s="504">
        <f t="shared" si="5"/>
        <v>0</v>
      </c>
      <c r="K28" s="459">
        <f t="shared" si="5"/>
        <v>0</v>
      </c>
      <c r="L28" s="505" t="e">
        <f t="shared" si="6"/>
        <v>#DIV/0!</v>
      </c>
      <c r="M28" s="464" t="e">
        <f t="shared" si="6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/>
      <c r="E29" s="499">
        <f t="shared" si="2"/>
        <v>0</v>
      </c>
      <c r="F29" s="446">
        <f t="shared" si="3"/>
        <v>0</v>
      </c>
      <c r="G29" s="503">
        <f t="shared" si="3"/>
        <v>0</v>
      </c>
      <c r="H29" s="498">
        <f>SUM($F$8:F29)/A29</f>
        <v>0</v>
      </c>
      <c r="I29" s="499">
        <f>SUM($G$8:G29)/A29</f>
        <v>0</v>
      </c>
      <c r="J29" s="443">
        <f t="shared" si="5"/>
        <v>0</v>
      </c>
      <c r="K29" s="459">
        <f t="shared" si="5"/>
        <v>0</v>
      </c>
      <c r="L29" s="495" t="e">
        <f t="shared" si="6"/>
        <v>#DIV/0!</v>
      </c>
      <c r="M29" s="464" t="e">
        <f t="shared" si="6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/>
      <c r="E30" s="499">
        <f t="shared" si="2"/>
        <v>0</v>
      </c>
      <c r="F30" s="446">
        <f t="shared" si="3"/>
        <v>0</v>
      </c>
      <c r="G30" s="503">
        <f t="shared" si="3"/>
        <v>0</v>
      </c>
      <c r="H30" s="498">
        <f>SUM($F$8:F30)/A30</f>
        <v>0</v>
      </c>
      <c r="I30" s="499">
        <f>SUM($G$8:G30)/A30</f>
        <v>0</v>
      </c>
      <c r="J30" s="443">
        <f t="shared" si="5"/>
        <v>0</v>
      </c>
      <c r="K30" s="459">
        <f t="shared" si="5"/>
        <v>0</v>
      </c>
      <c r="L30" s="495" t="e">
        <f t="shared" si="6"/>
        <v>#DIV/0!</v>
      </c>
      <c r="M30" s="464" t="e">
        <f t="shared" si="6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/>
      <c r="E31" s="499">
        <f t="shared" si="2"/>
        <v>0</v>
      </c>
      <c r="F31" s="446">
        <f t="shared" si="3"/>
        <v>0</v>
      </c>
      <c r="G31" s="503">
        <f t="shared" si="3"/>
        <v>0</v>
      </c>
      <c r="H31" s="498">
        <f>SUM($F$8:F31)/A31</f>
        <v>0</v>
      </c>
      <c r="I31" s="499">
        <f>SUM($G$8:G31)/A31</f>
        <v>0</v>
      </c>
      <c r="J31" s="443">
        <f t="shared" si="5"/>
        <v>0</v>
      </c>
      <c r="K31" s="459">
        <f t="shared" si="5"/>
        <v>0</v>
      </c>
      <c r="L31" s="495" t="e">
        <f t="shared" si="6"/>
        <v>#DIV/0!</v>
      </c>
      <c r="M31" s="464" t="e">
        <f t="shared" si="6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/>
      <c r="E32" s="499">
        <f t="shared" si="2"/>
        <v>0</v>
      </c>
      <c r="F32" s="446">
        <f t="shared" si="3"/>
        <v>0</v>
      </c>
      <c r="G32" s="503">
        <f t="shared" si="3"/>
        <v>0</v>
      </c>
      <c r="H32" s="498">
        <f>SUM($F$8:F32)/A32</f>
        <v>0</v>
      </c>
      <c r="I32" s="499">
        <f>SUM($G$8:G32)/A32</f>
        <v>0</v>
      </c>
      <c r="J32" s="443">
        <f t="shared" si="5"/>
        <v>0</v>
      </c>
      <c r="K32" s="459">
        <f t="shared" si="5"/>
        <v>0</v>
      </c>
      <c r="L32" s="495" t="e">
        <f t="shared" si="6"/>
        <v>#DIV/0!</v>
      </c>
      <c r="M32" s="464" t="e">
        <f t="shared" si="6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/>
      <c r="E33" s="499">
        <f t="shared" si="2"/>
        <v>0</v>
      </c>
      <c r="F33" s="446">
        <f t="shared" si="3"/>
        <v>0</v>
      </c>
      <c r="G33" s="503">
        <f t="shared" si="3"/>
        <v>0</v>
      </c>
      <c r="H33" s="460">
        <f>SUM($F$8:F33)/A33</f>
        <v>0</v>
      </c>
      <c r="I33" s="499">
        <f>SUM($G$8:G33)/A33</f>
        <v>0</v>
      </c>
      <c r="J33" s="460">
        <f t="shared" si="5"/>
        <v>0</v>
      </c>
      <c r="K33" s="459">
        <f t="shared" si="5"/>
        <v>0</v>
      </c>
      <c r="L33" s="506" t="e">
        <f t="shared" si="6"/>
        <v>#DIV/0!</v>
      </c>
      <c r="M33" s="464" t="e">
        <f t="shared" si="6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/>
      <c r="E34" s="499">
        <f t="shared" si="2"/>
        <v>0</v>
      </c>
      <c r="F34" s="446">
        <f t="shared" si="3"/>
        <v>0</v>
      </c>
      <c r="G34" s="503">
        <f t="shared" si="3"/>
        <v>0</v>
      </c>
      <c r="H34" s="498">
        <f>SUM($F$8:F34)/A34</f>
        <v>0</v>
      </c>
      <c r="I34" s="499">
        <f>SUM($G$8:G34)/A34</f>
        <v>0</v>
      </c>
      <c r="J34" s="443">
        <f t="shared" si="5"/>
        <v>0</v>
      </c>
      <c r="K34" s="459">
        <f t="shared" si="5"/>
        <v>0</v>
      </c>
      <c r="L34" s="495" t="e">
        <f t="shared" si="6"/>
        <v>#DIV/0!</v>
      </c>
      <c r="M34" s="464" t="e">
        <f t="shared" si="6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/>
      <c r="E35" s="499">
        <f t="shared" si="2"/>
        <v>0</v>
      </c>
      <c r="F35" s="446">
        <f t="shared" si="3"/>
        <v>0</v>
      </c>
      <c r="G35" s="503">
        <f t="shared" si="3"/>
        <v>0</v>
      </c>
      <c r="H35" s="498">
        <f>SUM($F$8:F35)/A35</f>
        <v>0</v>
      </c>
      <c r="I35" s="499">
        <f>SUM($G$8:G35)/A35</f>
        <v>0</v>
      </c>
      <c r="J35" s="443">
        <f t="shared" si="5"/>
        <v>0</v>
      </c>
      <c r="K35" s="459">
        <f t="shared" si="5"/>
        <v>0</v>
      </c>
      <c r="L35" s="495" t="e">
        <f t="shared" si="6"/>
        <v>#DIV/0!</v>
      </c>
      <c r="M35" s="464" t="e">
        <f t="shared" si="6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/>
      <c r="E36" s="499">
        <f t="shared" si="2"/>
        <v>0</v>
      </c>
      <c r="F36" s="446">
        <f t="shared" si="3"/>
        <v>0</v>
      </c>
      <c r="G36" s="503">
        <f t="shared" si="3"/>
        <v>0</v>
      </c>
      <c r="H36" s="498">
        <f>SUM($F$8:F36)/A36</f>
        <v>0</v>
      </c>
      <c r="I36" s="499">
        <f>SUM($G$8:G36)/A36</f>
        <v>0</v>
      </c>
      <c r="J36" s="443">
        <f t="shared" si="5"/>
        <v>0</v>
      </c>
      <c r="K36" s="459">
        <f t="shared" si="5"/>
        <v>0</v>
      </c>
      <c r="L36" s="495" t="e">
        <f t="shared" si="6"/>
        <v>#DIV/0!</v>
      </c>
      <c r="M36" s="464" t="e">
        <f t="shared" si="6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/>
      <c r="E37" s="499">
        <f t="shared" si="2"/>
        <v>0</v>
      </c>
      <c r="F37" s="446">
        <f t="shared" si="3"/>
        <v>0</v>
      </c>
      <c r="G37" s="503">
        <f t="shared" si="3"/>
        <v>0</v>
      </c>
      <c r="H37" s="498">
        <f>SUM($F$8:F37)/A37</f>
        <v>0</v>
      </c>
      <c r="I37" s="499">
        <f>SUM($G$8:G37)/A37</f>
        <v>0</v>
      </c>
      <c r="J37" s="443">
        <f t="shared" si="5"/>
        <v>0</v>
      </c>
      <c r="K37" s="459">
        <f t="shared" si="5"/>
        <v>0</v>
      </c>
      <c r="L37" s="495" t="e">
        <f t="shared" si="6"/>
        <v>#DIV/0!</v>
      </c>
      <c r="M37" s="464" t="e">
        <f t="shared" si="6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/>
      <c r="E38" s="499">
        <f t="shared" si="2"/>
        <v>0</v>
      </c>
      <c r="F38" s="446">
        <f t="shared" si="3"/>
        <v>0</v>
      </c>
      <c r="G38" s="503">
        <f t="shared" si="3"/>
        <v>0</v>
      </c>
      <c r="H38" s="504">
        <f>SUM($F$8:F38)/A38</f>
        <v>0</v>
      </c>
      <c r="I38" s="499">
        <f>SUM($G$8:G38)/A38</f>
        <v>0</v>
      </c>
      <c r="J38" s="504">
        <f t="shared" si="5"/>
        <v>0</v>
      </c>
      <c r="K38" s="459">
        <f t="shared" si="5"/>
        <v>0</v>
      </c>
      <c r="L38" s="505" t="e">
        <f t="shared" si="6"/>
        <v>#DIV/0!</v>
      </c>
      <c r="M38" s="464" t="e">
        <f t="shared" si="6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/>
      <c r="E39" s="499">
        <f t="shared" si="2"/>
        <v>0</v>
      </c>
      <c r="F39" s="446">
        <f t="shared" si="3"/>
        <v>0</v>
      </c>
      <c r="G39" s="503">
        <f t="shared" si="3"/>
        <v>0</v>
      </c>
      <c r="H39" s="498">
        <f>SUM($F$8:F39)/A39</f>
        <v>0</v>
      </c>
      <c r="I39" s="499">
        <f>SUM($G$8:G39)/A39</f>
        <v>0</v>
      </c>
      <c r="J39" s="443">
        <f t="shared" si="5"/>
        <v>0</v>
      </c>
      <c r="K39" s="459">
        <f t="shared" si="5"/>
        <v>0</v>
      </c>
      <c r="L39" s="495" t="e">
        <f t="shared" si="6"/>
        <v>#DIV/0!</v>
      </c>
      <c r="M39" s="464" t="e">
        <f t="shared" si="6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1990" priority="415" operator="lessThan">
      <formula>15</formula>
    </cfRule>
    <cfRule type="cellIs" dxfId="11989" priority="416" operator="greaterThan">
      <formula>20</formula>
    </cfRule>
    <cfRule type="cellIs" dxfId="11988" priority="417" operator="between">
      <formula>15</formula>
      <formula>20</formula>
    </cfRule>
    <cfRule type="cellIs" dxfId="11987" priority="418" operator="between">
      <formula>15</formula>
      <formula>20</formula>
    </cfRule>
    <cfRule type="cellIs" dxfId="11986" priority="419" operator="lessThan">
      <formula>15</formula>
    </cfRule>
    <cfRule type="cellIs" dxfId="11985" priority="420" operator="greaterThan">
      <formula>20</formula>
    </cfRule>
    <cfRule type="cellIs" dxfId="11984" priority="421" operator="between">
      <formula>15</formula>
      <formula>21</formula>
    </cfRule>
    <cfRule type="cellIs" dxfId="11983" priority="422" operator="lessThan">
      <formula>15</formula>
    </cfRule>
    <cfRule type="cellIs" dxfId="11982" priority="423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2"/>
  <pageSetup paperSize="8" orientation="landscape" horizontalDpi="4294967292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5703125" style="143" customWidth="1"/>
    <col min="4" max="7" width="10.140625" style="142" customWidth="1"/>
    <col min="8" max="9" width="9.28515625" style="142" customWidth="1"/>
    <col min="10" max="11" width="11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">
        <v>272</v>
      </c>
      <c r="D4" s="383"/>
      <c r="E4" s="383" t="s">
        <v>228</v>
      </c>
      <c r="F4" s="383" t="s">
        <v>230</v>
      </c>
      <c r="G4" s="383"/>
      <c r="I4" s="383" t="s">
        <v>120</v>
      </c>
      <c r="J4" s="318" t="s">
        <v>272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4306</v>
      </c>
      <c r="E8" s="388">
        <f>K8</f>
        <v>4305.8</v>
      </c>
      <c r="F8" s="389"/>
      <c r="G8" s="388"/>
      <c r="H8" s="387"/>
      <c r="I8" s="388"/>
      <c r="J8" s="624">
        <v>4306</v>
      </c>
      <c r="K8" s="624">
        <v>4305.8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3001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/>
      <c r="E9" s="499">
        <f>D9</f>
        <v>0</v>
      </c>
      <c r="F9" s="446">
        <f>O9+Q9</f>
        <v>0</v>
      </c>
      <c r="G9" s="503">
        <f>P9+R9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4306</v>
      </c>
      <c r="K9" s="459">
        <f>K8+E9-G9</f>
        <v>4305.8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1.4348550483172275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/>
      <c r="E10" s="499">
        <f t="shared" ref="E10:E39" si="2">D10</f>
        <v>0</v>
      </c>
      <c r="F10" s="446">
        <f t="shared" ref="F10:G39" si="3">O10+Q10</f>
        <v>0</v>
      </c>
      <c r="G10" s="503">
        <f t="shared" si="3"/>
        <v>0</v>
      </c>
      <c r="H10" s="498">
        <f>SUM($F$8:F10)/A10</f>
        <v>0</v>
      </c>
      <c r="I10" s="499">
        <f>SUM($G$8:G10)/A10</f>
        <v>0</v>
      </c>
      <c r="J10" s="443">
        <f t="shared" si="0"/>
        <v>4306</v>
      </c>
      <c r="K10" s="459">
        <f t="shared" si="0"/>
        <v>4305.8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1.4348550483172275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/>
      <c r="E11" s="499">
        <f t="shared" si="2"/>
        <v>0</v>
      </c>
      <c r="F11" s="446">
        <f t="shared" si="3"/>
        <v>0</v>
      </c>
      <c r="G11" s="503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4306</v>
      </c>
      <c r="K11" s="459">
        <f t="shared" si="0"/>
        <v>4305.8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1.4348550483172275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/>
      <c r="E12" s="499">
        <f t="shared" si="2"/>
        <v>0</v>
      </c>
      <c r="F12" s="446">
        <f t="shared" si="3"/>
        <v>0</v>
      </c>
      <c r="G12" s="503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4306</v>
      </c>
      <c r="K12" s="459">
        <f t="shared" si="0"/>
        <v>4305.8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1.4348550483172275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/>
      <c r="E13" s="499">
        <f t="shared" si="2"/>
        <v>0</v>
      </c>
      <c r="F13" s="446">
        <f t="shared" si="3"/>
        <v>0</v>
      </c>
      <c r="G13" s="503">
        <f t="shared" si="3"/>
        <v>0</v>
      </c>
      <c r="H13" s="504">
        <f>SUM($F$8:F13)/A13</f>
        <v>0</v>
      </c>
      <c r="I13" s="499">
        <f>SUM($G$8:G13)/A13</f>
        <v>0</v>
      </c>
      <c r="J13" s="504">
        <f t="shared" si="0"/>
        <v>4306</v>
      </c>
      <c r="K13" s="459">
        <f t="shared" si="0"/>
        <v>4305.8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1.4348550483172275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/>
      <c r="E14" s="499">
        <f t="shared" si="2"/>
        <v>0</v>
      </c>
      <c r="F14" s="446">
        <f t="shared" si="3"/>
        <v>0</v>
      </c>
      <c r="G14" s="503">
        <f t="shared" si="3"/>
        <v>0</v>
      </c>
      <c r="H14" s="498">
        <f>SUM($F$8:F14)/A14</f>
        <v>0</v>
      </c>
      <c r="I14" s="499">
        <f>SUM($G$8:G14)/A14</f>
        <v>0</v>
      </c>
      <c r="J14" s="443">
        <f t="shared" si="0"/>
        <v>4306</v>
      </c>
      <c r="K14" s="459">
        <f t="shared" si="0"/>
        <v>4305.8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1.4348550483172275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/>
      <c r="E15" s="499">
        <f t="shared" si="2"/>
        <v>0</v>
      </c>
      <c r="F15" s="446">
        <f t="shared" si="3"/>
        <v>0</v>
      </c>
      <c r="G15" s="503">
        <f t="shared" si="3"/>
        <v>0</v>
      </c>
      <c r="H15" s="498">
        <f>SUM($F$8:F15)/A15</f>
        <v>0</v>
      </c>
      <c r="I15" s="499">
        <f>SUM($G$8:G15)/A15</f>
        <v>0</v>
      </c>
      <c r="J15" s="443">
        <f t="shared" si="0"/>
        <v>4306</v>
      </c>
      <c r="K15" s="459">
        <f t="shared" si="0"/>
        <v>4305.8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1.4348550483172275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/>
      <c r="E16" s="499">
        <f t="shared" si="2"/>
        <v>0</v>
      </c>
      <c r="F16" s="446">
        <f t="shared" si="3"/>
        <v>0</v>
      </c>
      <c r="G16" s="503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4306</v>
      </c>
      <c r="K16" s="459">
        <f t="shared" si="0"/>
        <v>4305.8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1.4348550483172275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/>
      <c r="E17" s="499">
        <f t="shared" si="2"/>
        <v>0</v>
      </c>
      <c r="F17" s="446">
        <f t="shared" si="3"/>
        <v>0</v>
      </c>
      <c r="G17" s="503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4306</v>
      </c>
      <c r="K17" s="459">
        <f t="shared" si="0"/>
        <v>4305.8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1.4348550483172275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/>
      <c r="E18" s="499">
        <f t="shared" si="2"/>
        <v>0</v>
      </c>
      <c r="F18" s="446">
        <f t="shared" si="3"/>
        <v>0</v>
      </c>
      <c r="G18" s="503">
        <f t="shared" si="3"/>
        <v>0</v>
      </c>
      <c r="H18" s="504">
        <f>SUM($F$8:F18)/A18</f>
        <v>0</v>
      </c>
      <c r="I18" s="499">
        <f>SUM($G$8:G18)/A18</f>
        <v>0</v>
      </c>
      <c r="J18" s="504">
        <f t="shared" si="0"/>
        <v>4306</v>
      </c>
      <c r="K18" s="459">
        <f t="shared" si="0"/>
        <v>4305.8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1.4348550483172275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/>
      <c r="E19" s="499">
        <f t="shared" si="2"/>
        <v>0</v>
      </c>
      <c r="F19" s="446">
        <f t="shared" si="3"/>
        <v>0</v>
      </c>
      <c r="G19" s="503">
        <f t="shared" si="3"/>
        <v>0</v>
      </c>
      <c r="H19" s="498">
        <f>SUM($F$8:F19)/A19</f>
        <v>0</v>
      </c>
      <c r="I19" s="499">
        <f>SUM($G$8:G19)/A19</f>
        <v>0</v>
      </c>
      <c r="J19" s="443">
        <f t="shared" si="0"/>
        <v>4306</v>
      </c>
      <c r="K19" s="459">
        <f t="shared" si="0"/>
        <v>4305.8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1.4348550483172275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/>
      <c r="E20" s="499">
        <f t="shared" si="2"/>
        <v>0</v>
      </c>
      <c r="F20" s="446">
        <f t="shared" si="3"/>
        <v>0</v>
      </c>
      <c r="G20" s="503">
        <f t="shared" si="3"/>
        <v>0</v>
      </c>
      <c r="H20" s="498">
        <f>SUM($F$8:F20)/A20</f>
        <v>0</v>
      </c>
      <c r="I20" s="499">
        <f>SUM($G$8:G20)/A20</f>
        <v>0</v>
      </c>
      <c r="J20" s="443">
        <f t="shared" si="0"/>
        <v>4306</v>
      </c>
      <c r="K20" s="459">
        <f t="shared" si="0"/>
        <v>4305.8</v>
      </c>
      <c r="L20" s="495" t="e">
        <f t="shared" si="1"/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1.4348550483172275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/>
      <c r="E21" s="499">
        <f t="shared" si="2"/>
        <v>0</v>
      </c>
      <c r="F21" s="446">
        <f t="shared" si="3"/>
        <v>0</v>
      </c>
      <c r="G21" s="503">
        <f t="shared" si="3"/>
        <v>0</v>
      </c>
      <c r="H21" s="498">
        <f>SUM($F$8:F21)/A21</f>
        <v>0</v>
      </c>
      <c r="I21" s="499">
        <f>SUM($G$8:G21)/A21</f>
        <v>0</v>
      </c>
      <c r="J21" s="443">
        <f t="shared" si="0"/>
        <v>4306</v>
      </c>
      <c r="K21" s="459">
        <f>K20+E21-G21</f>
        <v>4305.8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1.4348550483172275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/>
      <c r="E22" s="499">
        <f t="shared" si="2"/>
        <v>0</v>
      </c>
      <c r="F22" s="446">
        <f t="shared" si="3"/>
        <v>0</v>
      </c>
      <c r="G22" s="503">
        <f t="shared" si="3"/>
        <v>0</v>
      </c>
      <c r="H22" s="498">
        <f>SUM($F$8:F22)/A22</f>
        <v>0</v>
      </c>
      <c r="I22" s="499">
        <f>SUM($G$8:G22)/A22</f>
        <v>0</v>
      </c>
      <c r="J22" s="443">
        <f t="shared" si="0"/>
        <v>4306</v>
      </c>
      <c r="K22" s="459">
        <f>K21+E22-G22</f>
        <v>4305.8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1.4348550483172275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/>
      <c r="E23" s="499">
        <f t="shared" si="2"/>
        <v>0</v>
      </c>
      <c r="F23" s="446">
        <f t="shared" si="3"/>
        <v>0</v>
      </c>
      <c r="G23" s="503">
        <f t="shared" si="3"/>
        <v>0</v>
      </c>
      <c r="H23" s="504">
        <f>SUM($F$8:F23)/A23</f>
        <v>0</v>
      </c>
      <c r="I23" s="499">
        <f>SUM($G$8:G23)/A23</f>
        <v>0</v>
      </c>
      <c r="J23" s="504">
        <f t="shared" si="0"/>
        <v>4306</v>
      </c>
      <c r="K23" s="459">
        <f t="shared" si="0"/>
        <v>4305.8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1.4348550483172275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/>
      <c r="E24" s="499">
        <f t="shared" si="2"/>
        <v>0</v>
      </c>
      <c r="F24" s="446">
        <f t="shared" si="3"/>
        <v>0</v>
      </c>
      <c r="G24" s="503">
        <f t="shared" si="3"/>
        <v>0</v>
      </c>
      <c r="H24" s="498">
        <f>SUM($F$8:F24)/A24</f>
        <v>0</v>
      </c>
      <c r="I24" s="499">
        <f>SUM($G$8:G24)/A24</f>
        <v>0</v>
      </c>
      <c r="J24" s="443">
        <f t="shared" si="0"/>
        <v>4306</v>
      </c>
      <c r="K24" s="459">
        <f>K23+E24-G24</f>
        <v>4305.8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1.4348550483172275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>
        <f t="shared" si="2"/>
        <v>0</v>
      </c>
      <c r="F25" s="446">
        <f t="shared" si="3"/>
        <v>0</v>
      </c>
      <c r="G25" s="503">
        <f t="shared" si="3"/>
        <v>0</v>
      </c>
      <c r="H25" s="498">
        <f>SUM($F$8:F25)/A25</f>
        <v>0</v>
      </c>
      <c r="I25" s="499">
        <f>SUM($G$8:G25)/A25</f>
        <v>0</v>
      </c>
      <c r="J25" s="443">
        <f t="shared" ref="J25:K39" si="5">J24+D25-F25</f>
        <v>4306</v>
      </c>
      <c r="K25" s="459">
        <f>K24+E25-G25</f>
        <v>4305.8</v>
      </c>
      <c r="L25" s="495" t="e">
        <f t="shared" ref="L25:M39" si="6">J25/H25</f>
        <v>#DIV/0!</v>
      </c>
      <c r="M25" s="464" t="e">
        <f t="shared" si="6"/>
        <v>#DIV/0!</v>
      </c>
      <c r="N25" s="366"/>
      <c r="O25" s="446"/>
      <c r="P25" s="446"/>
      <c r="Q25" s="446"/>
      <c r="R25" s="446"/>
      <c r="S25" s="647">
        <f t="shared" si="4"/>
        <v>1.4348550483172275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/>
      <c r="E26" s="499">
        <f t="shared" si="2"/>
        <v>0</v>
      </c>
      <c r="F26" s="446">
        <f t="shared" si="3"/>
        <v>0</v>
      </c>
      <c r="G26" s="503">
        <f t="shared" si="3"/>
        <v>0</v>
      </c>
      <c r="H26" s="498">
        <f>SUM($F$8:F26)/A26</f>
        <v>0</v>
      </c>
      <c r="I26" s="499">
        <f>SUM($G$8:G26)/A26</f>
        <v>0</v>
      </c>
      <c r="J26" s="443">
        <f t="shared" si="5"/>
        <v>4306</v>
      </c>
      <c r="K26" s="459">
        <f>K25+E26-G26</f>
        <v>4305.8</v>
      </c>
      <c r="L26" s="495" t="e">
        <f t="shared" si="6"/>
        <v>#DIV/0!</v>
      </c>
      <c r="M26" s="464" t="e">
        <f t="shared" si="6"/>
        <v>#DIV/0!</v>
      </c>
      <c r="N26" s="366"/>
      <c r="O26" s="446"/>
      <c r="P26" s="446"/>
      <c r="Q26" s="446"/>
      <c r="R26" s="446"/>
      <c r="S26" s="647">
        <f t="shared" si="4"/>
        <v>1.4348550483172275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/>
      <c r="E27" s="499">
        <f t="shared" si="2"/>
        <v>0</v>
      </c>
      <c r="F27" s="446">
        <f t="shared" si="3"/>
        <v>0</v>
      </c>
      <c r="G27" s="503">
        <f t="shared" si="3"/>
        <v>0</v>
      </c>
      <c r="H27" s="498">
        <f>SUM($F$8:F27)/A27</f>
        <v>0</v>
      </c>
      <c r="I27" s="499">
        <f>SUM($G$8:G27)/A27</f>
        <v>0</v>
      </c>
      <c r="J27" s="443">
        <f t="shared" si="5"/>
        <v>4306</v>
      </c>
      <c r="K27" s="459">
        <f>K26+E27-G27</f>
        <v>4305.8</v>
      </c>
      <c r="L27" s="495" t="e">
        <f t="shared" si="6"/>
        <v>#DIV/0!</v>
      </c>
      <c r="M27" s="464" t="e">
        <f t="shared" si="6"/>
        <v>#DIV/0!</v>
      </c>
      <c r="N27" s="366"/>
      <c r="O27" s="446"/>
      <c r="P27" s="446"/>
      <c r="Q27" s="446"/>
      <c r="R27" s="446"/>
      <c r="S27" s="647">
        <f t="shared" si="4"/>
        <v>1.4348550483172275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/>
      <c r="E28" s="499">
        <f t="shared" si="2"/>
        <v>0</v>
      </c>
      <c r="F28" s="446">
        <f t="shared" si="3"/>
        <v>0</v>
      </c>
      <c r="G28" s="503">
        <f t="shared" si="3"/>
        <v>0</v>
      </c>
      <c r="H28" s="504">
        <f>SUM($F$8:F28)/A28</f>
        <v>0</v>
      </c>
      <c r="I28" s="499">
        <f>SUM($G$8:G28)/A28</f>
        <v>0</v>
      </c>
      <c r="J28" s="504">
        <f t="shared" si="5"/>
        <v>4306</v>
      </c>
      <c r="K28" s="459">
        <f t="shared" si="5"/>
        <v>4305.8</v>
      </c>
      <c r="L28" s="505" t="e">
        <f t="shared" si="6"/>
        <v>#DIV/0!</v>
      </c>
      <c r="M28" s="464" t="e">
        <f t="shared" si="6"/>
        <v>#DIV/0!</v>
      </c>
      <c r="N28" s="366"/>
      <c r="O28" s="446"/>
      <c r="P28" s="446"/>
      <c r="Q28" s="446"/>
      <c r="R28" s="446"/>
      <c r="S28" s="647">
        <f t="shared" si="4"/>
        <v>1.4348550483172275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/>
      <c r="E29" s="499">
        <f t="shared" si="2"/>
        <v>0</v>
      </c>
      <c r="F29" s="446">
        <f t="shared" si="3"/>
        <v>0</v>
      </c>
      <c r="G29" s="503">
        <f t="shared" si="3"/>
        <v>0</v>
      </c>
      <c r="H29" s="498">
        <f>SUM($F$8:F29)/A29</f>
        <v>0</v>
      </c>
      <c r="I29" s="499">
        <f>SUM($G$8:G29)/A29</f>
        <v>0</v>
      </c>
      <c r="J29" s="443">
        <f t="shared" si="5"/>
        <v>4306</v>
      </c>
      <c r="K29" s="459">
        <f t="shared" si="5"/>
        <v>4305.8</v>
      </c>
      <c r="L29" s="495" t="e">
        <f t="shared" si="6"/>
        <v>#DIV/0!</v>
      </c>
      <c r="M29" s="464" t="e">
        <f t="shared" si="6"/>
        <v>#DIV/0!</v>
      </c>
      <c r="N29" s="366"/>
      <c r="O29" s="446"/>
      <c r="P29" s="446"/>
      <c r="Q29" s="446"/>
      <c r="R29" s="446"/>
      <c r="S29" s="647">
        <f t="shared" si="4"/>
        <v>1.4348550483172275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/>
      <c r="E30" s="499">
        <f t="shared" si="2"/>
        <v>0</v>
      </c>
      <c r="F30" s="446">
        <f t="shared" si="3"/>
        <v>0</v>
      </c>
      <c r="G30" s="503">
        <f t="shared" si="3"/>
        <v>0</v>
      </c>
      <c r="H30" s="498">
        <f>SUM($F$8:F30)/A30</f>
        <v>0</v>
      </c>
      <c r="I30" s="499">
        <f>SUM($G$8:G30)/A30</f>
        <v>0</v>
      </c>
      <c r="J30" s="443">
        <f t="shared" si="5"/>
        <v>4306</v>
      </c>
      <c r="K30" s="459">
        <f t="shared" si="5"/>
        <v>4305.8</v>
      </c>
      <c r="L30" s="495" t="e">
        <f t="shared" si="6"/>
        <v>#DIV/0!</v>
      </c>
      <c r="M30" s="464" t="e">
        <f t="shared" si="6"/>
        <v>#DIV/0!</v>
      </c>
      <c r="N30" s="366"/>
      <c r="O30" s="446"/>
      <c r="P30" s="446"/>
      <c r="Q30" s="446"/>
      <c r="R30" s="446"/>
      <c r="S30" s="647">
        <f t="shared" si="4"/>
        <v>1.4348550483172275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/>
      <c r="E31" s="499">
        <f t="shared" si="2"/>
        <v>0</v>
      </c>
      <c r="F31" s="446">
        <f t="shared" si="3"/>
        <v>0</v>
      </c>
      <c r="G31" s="503">
        <f t="shared" si="3"/>
        <v>0</v>
      </c>
      <c r="H31" s="498">
        <f>SUM($F$8:F31)/A31</f>
        <v>0</v>
      </c>
      <c r="I31" s="499">
        <f>SUM($G$8:G31)/A31</f>
        <v>0</v>
      </c>
      <c r="J31" s="443">
        <f t="shared" si="5"/>
        <v>4306</v>
      </c>
      <c r="K31" s="459">
        <f t="shared" si="5"/>
        <v>4305.8</v>
      </c>
      <c r="L31" s="495" t="e">
        <f t="shared" si="6"/>
        <v>#DIV/0!</v>
      </c>
      <c r="M31" s="464" t="e">
        <f t="shared" si="6"/>
        <v>#DIV/0!</v>
      </c>
      <c r="N31" s="366"/>
      <c r="O31" s="446"/>
      <c r="P31" s="446"/>
      <c r="Q31" s="446"/>
      <c r="R31" s="446"/>
      <c r="S31" s="647">
        <f t="shared" si="4"/>
        <v>1.4348550483172275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/>
      <c r="E32" s="499">
        <f t="shared" si="2"/>
        <v>0</v>
      </c>
      <c r="F32" s="446">
        <f t="shared" si="3"/>
        <v>0</v>
      </c>
      <c r="G32" s="503">
        <f t="shared" si="3"/>
        <v>0</v>
      </c>
      <c r="H32" s="498">
        <f>SUM($F$8:F32)/A32</f>
        <v>0</v>
      </c>
      <c r="I32" s="499">
        <f>SUM($G$8:G32)/A32</f>
        <v>0</v>
      </c>
      <c r="J32" s="443">
        <f t="shared" si="5"/>
        <v>4306</v>
      </c>
      <c r="K32" s="459">
        <f t="shared" si="5"/>
        <v>4305.8</v>
      </c>
      <c r="L32" s="495" t="e">
        <f t="shared" si="6"/>
        <v>#DIV/0!</v>
      </c>
      <c r="M32" s="464" t="e">
        <f t="shared" si="6"/>
        <v>#DIV/0!</v>
      </c>
      <c r="N32" s="366"/>
      <c r="O32" s="446"/>
      <c r="P32" s="446"/>
      <c r="Q32" s="446"/>
      <c r="R32" s="446"/>
      <c r="S32" s="647">
        <f t="shared" si="4"/>
        <v>1.4348550483172275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/>
      <c r="E33" s="499">
        <f t="shared" si="2"/>
        <v>0</v>
      </c>
      <c r="F33" s="446">
        <f t="shared" si="3"/>
        <v>0</v>
      </c>
      <c r="G33" s="503">
        <f t="shared" si="3"/>
        <v>0</v>
      </c>
      <c r="H33" s="460">
        <f>SUM($F$8:F33)/A33</f>
        <v>0</v>
      </c>
      <c r="I33" s="499">
        <f>SUM($G$8:G33)/A33</f>
        <v>0</v>
      </c>
      <c r="J33" s="460">
        <f t="shared" si="5"/>
        <v>4306</v>
      </c>
      <c r="K33" s="459">
        <f t="shared" si="5"/>
        <v>4305.8</v>
      </c>
      <c r="L33" s="506" t="e">
        <f t="shared" si="6"/>
        <v>#DIV/0!</v>
      </c>
      <c r="M33" s="464" t="e">
        <f t="shared" si="6"/>
        <v>#DIV/0!</v>
      </c>
      <c r="N33" s="366"/>
      <c r="O33" s="446"/>
      <c r="P33" s="446"/>
      <c r="Q33" s="446"/>
      <c r="R33" s="446"/>
      <c r="S33" s="647">
        <f t="shared" si="4"/>
        <v>1.4348550483172275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/>
      <c r="E34" s="499">
        <f t="shared" si="2"/>
        <v>0</v>
      </c>
      <c r="F34" s="446">
        <f t="shared" si="3"/>
        <v>0</v>
      </c>
      <c r="G34" s="503">
        <f t="shared" si="3"/>
        <v>0</v>
      </c>
      <c r="H34" s="498">
        <f>SUM($F$8:F34)/A34</f>
        <v>0</v>
      </c>
      <c r="I34" s="499">
        <f>SUM($G$8:G34)/A34</f>
        <v>0</v>
      </c>
      <c r="J34" s="443">
        <f t="shared" si="5"/>
        <v>4306</v>
      </c>
      <c r="K34" s="459">
        <f t="shared" si="5"/>
        <v>4305.8</v>
      </c>
      <c r="L34" s="495" t="e">
        <f t="shared" si="6"/>
        <v>#DIV/0!</v>
      </c>
      <c r="M34" s="464" t="e">
        <f t="shared" si="6"/>
        <v>#DIV/0!</v>
      </c>
      <c r="N34" s="366"/>
      <c r="O34" s="446"/>
      <c r="P34" s="446"/>
      <c r="Q34" s="446"/>
      <c r="R34" s="446"/>
      <c r="S34" s="647">
        <f t="shared" si="4"/>
        <v>1.4348550483172275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/>
      <c r="E35" s="499">
        <f t="shared" si="2"/>
        <v>0</v>
      </c>
      <c r="F35" s="446">
        <f t="shared" si="3"/>
        <v>0</v>
      </c>
      <c r="G35" s="503">
        <f t="shared" si="3"/>
        <v>0</v>
      </c>
      <c r="H35" s="498">
        <f>SUM($F$8:F35)/A35</f>
        <v>0</v>
      </c>
      <c r="I35" s="499">
        <f>SUM($G$8:G35)/A35</f>
        <v>0</v>
      </c>
      <c r="J35" s="443">
        <f t="shared" si="5"/>
        <v>4306</v>
      </c>
      <c r="K35" s="459">
        <f t="shared" si="5"/>
        <v>4305.8</v>
      </c>
      <c r="L35" s="495" t="e">
        <f t="shared" si="6"/>
        <v>#DIV/0!</v>
      </c>
      <c r="M35" s="464" t="e">
        <f t="shared" si="6"/>
        <v>#DIV/0!</v>
      </c>
      <c r="N35" s="366"/>
      <c r="O35" s="446"/>
      <c r="P35" s="446"/>
      <c r="Q35" s="446"/>
      <c r="R35" s="446"/>
      <c r="S35" s="647">
        <f t="shared" si="4"/>
        <v>1.4348550483172275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/>
      <c r="E36" s="499">
        <f t="shared" si="2"/>
        <v>0</v>
      </c>
      <c r="F36" s="446">
        <f t="shared" si="3"/>
        <v>0</v>
      </c>
      <c r="G36" s="503">
        <f t="shared" si="3"/>
        <v>0</v>
      </c>
      <c r="H36" s="498">
        <f>SUM($F$8:F36)/A36</f>
        <v>0</v>
      </c>
      <c r="I36" s="499">
        <f>SUM($G$8:G36)/A36</f>
        <v>0</v>
      </c>
      <c r="J36" s="443">
        <f t="shared" si="5"/>
        <v>4306</v>
      </c>
      <c r="K36" s="459">
        <f t="shared" si="5"/>
        <v>4305.8</v>
      </c>
      <c r="L36" s="495" t="e">
        <f t="shared" si="6"/>
        <v>#DIV/0!</v>
      </c>
      <c r="M36" s="464" t="e">
        <f t="shared" si="6"/>
        <v>#DIV/0!</v>
      </c>
      <c r="N36" s="366"/>
      <c r="O36" s="446"/>
      <c r="P36" s="446"/>
      <c r="Q36" s="446"/>
      <c r="R36" s="446"/>
      <c r="S36" s="647">
        <f t="shared" si="4"/>
        <v>1.4348550483172275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/>
      <c r="E37" s="499">
        <f t="shared" si="2"/>
        <v>0</v>
      </c>
      <c r="F37" s="446">
        <f t="shared" si="3"/>
        <v>0</v>
      </c>
      <c r="G37" s="503">
        <f t="shared" si="3"/>
        <v>0</v>
      </c>
      <c r="H37" s="498">
        <f>SUM($F$8:F37)/A37</f>
        <v>0</v>
      </c>
      <c r="I37" s="499">
        <f>SUM($G$8:G37)/A37</f>
        <v>0</v>
      </c>
      <c r="J37" s="443">
        <f t="shared" si="5"/>
        <v>4306</v>
      </c>
      <c r="K37" s="459">
        <f t="shared" si="5"/>
        <v>4305.8</v>
      </c>
      <c r="L37" s="495" t="e">
        <f t="shared" si="6"/>
        <v>#DIV/0!</v>
      </c>
      <c r="M37" s="464" t="e">
        <f t="shared" si="6"/>
        <v>#DIV/0!</v>
      </c>
      <c r="N37" s="366"/>
      <c r="O37" s="446"/>
      <c r="P37" s="446"/>
      <c r="Q37" s="446"/>
      <c r="R37" s="446"/>
      <c r="S37" s="647">
        <f t="shared" si="4"/>
        <v>1.4348550483172275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/>
      <c r="E38" s="499">
        <f t="shared" si="2"/>
        <v>0</v>
      </c>
      <c r="F38" s="446">
        <f t="shared" si="3"/>
        <v>0</v>
      </c>
      <c r="G38" s="503">
        <f t="shared" si="3"/>
        <v>0</v>
      </c>
      <c r="H38" s="504">
        <f>SUM($F$8:F38)/A38</f>
        <v>0</v>
      </c>
      <c r="I38" s="499">
        <f>SUM($G$8:G38)/A38</f>
        <v>0</v>
      </c>
      <c r="J38" s="504">
        <f t="shared" si="5"/>
        <v>4306</v>
      </c>
      <c r="K38" s="459">
        <f t="shared" si="5"/>
        <v>4305.8</v>
      </c>
      <c r="L38" s="505" t="e">
        <f t="shared" si="6"/>
        <v>#DIV/0!</v>
      </c>
      <c r="M38" s="464" t="e">
        <f t="shared" si="6"/>
        <v>#DIV/0!</v>
      </c>
      <c r="N38" s="366"/>
      <c r="O38" s="446"/>
      <c r="P38" s="446"/>
      <c r="Q38" s="446"/>
      <c r="R38" s="446"/>
      <c r="S38" s="647">
        <f t="shared" si="4"/>
        <v>1.4348550483172275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/>
      <c r="E39" s="499">
        <f t="shared" si="2"/>
        <v>0</v>
      </c>
      <c r="F39" s="446">
        <f t="shared" si="3"/>
        <v>0</v>
      </c>
      <c r="G39" s="503">
        <f t="shared" si="3"/>
        <v>0</v>
      </c>
      <c r="H39" s="498">
        <f>SUM($F$8:F39)/A39</f>
        <v>0</v>
      </c>
      <c r="I39" s="499">
        <f>SUM($G$8:G39)/A39</f>
        <v>0</v>
      </c>
      <c r="J39" s="443">
        <f t="shared" si="5"/>
        <v>4306</v>
      </c>
      <c r="K39" s="459">
        <f t="shared" si="5"/>
        <v>4305.8</v>
      </c>
      <c r="L39" s="495" t="e">
        <f t="shared" si="6"/>
        <v>#DIV/0!</v>
      </c>
      <c r="M39" s="464" t="e">
        <f t="shared" si="6"/>
        <v>#DIV/0!</v>
      </c>
      <c r="N39" s="366"/>
      <c r="O39" s="446"/>
      <c r="P39" s="446"/>
      <c r="Q39" s="446"/>
      <c r="R39" s="446"/>
      <c r="S39" s="647">
        <f t="shared" si="4"/>
        <v>1.4348550483172275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4306</v>
      </c>
      <c r="K40" s="461">
        <f>K39</f>
        <v>4305.8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4306</v>
      </c>
      <c r="E41" s="388">
        <f>E8+E40</f>
        <v>4305.8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4306</v>
      </c>
      <c r="K41" s="389">
        <f>E41-G41</f>
        <v>4305.8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1981" priority="424" operator="lessThan">
      <formula>15</formula>
    </cfRule>
    <cfRule type="cellIs" dxfId="11980" priority="425" operator="greaterThan">
      <formula>20</formula>
    </cfRule>
    <cfRule type="cellIs" dxfId="11979" priority="426" operator="between">
      <formula>15</formula>
      <formula>20</formula>
    </cfRule>
    <cfRule type="cellIs" dxfId="11978" priority="427" operator="between">
      <formula>15</formula>
      <formula>20</formula>
    </cfRule>
    <cfRule type="cellIs" dxfId="11977" priority="428" operator="lessThan">
      <formula>15</formula>
    </cfRule>
    <cfRule type="cellIs" dxfId="11976" priority="429" operator="greaterThan">
      <formula>20</formula>
    </cfRule>
    <cfRule type="cellIs" dxfId="11975" priority="430" operator="between">
      <formula>15</formula>
      <formula>21</formula>
    </cfRule>
    <cfRule type="cellIs" dxfId="11974" priority="431" operator="lessThan">
      <formula>15</formula>
    </cfRule>
    <cfRule type="cellIs" dxfId="11973" priority="432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A49"/>
  <sheetViews>
    <sheetView workbookViewId="0">
      <pane ySplit="8" topLeftCell="A15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5703125" style="143" customWidth="1"/>
    <col min="4" max="7" width="10.140625" style="142" customWidth="1"/>
    <col min="8" max="9" width="9.28515625" style="142" customWidth="1"/>
    <col min="10" max="11" width="11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11.5703125" style="143" customWidth="1"/>
    <col min="21" max="16384" width="9.28515625" style="143"/>
  </cols>
  <sheetData>
    <row r="1" spans="1:27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</row>
    <row r="2" spans="1:27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</row>
    <row r="3" spans="1:27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7" s="924" customFormat="1" ht="18.75" customHeight="1">
      <c r="A4" s="1600" t="s">
        <v>33</v>
      </c>
      <c r="B4" s="1600"/>
      <c r="C4" s="316" t="str">
        <f>J4</f>
        <v>FRIT 356</v>
      </c>
      <c r="D4" s="383"/>
      <c r="E4" s="383" t="s">
        <v>228</v>
      </c>
      <c r="F4" s="383" t="s">
        <v>230</v>
      </c>
      <c r="G4" s="383"/>
      <c r="I4" s="383" t="s">
        <v>120</v>
      </c>
      <c r="J4" s="318" t="s">
        <v>751</v>
      </c>
      <c r="K4" s="319"/>
      <c r="L4" s="319"/>
      <c r="M4" s="319"/>
      <c r="O4" s="1422"/>
      <c r="P4" s="1422"/>
      <c r="Q4" s="1422"/>
      <c r="R4" s="1422"/>
      <c r="S4" s="143"/>
    </row>
    <row r="5" spans="1:27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7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7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7" s="305" customFormat="1" ht="12" customHeight="1">
      <c r="A8" s="1597" t="s">
        <v>3</v>
      </c>
      <c r="B8" s="1598"/>
      <c r="C8" s="1599"/>
      <c r="D8" s="387">
        <f>J8</f>
        <v>3682.5</v>
      </c>
      <c r="E8" s="388">
        <f>K8</f>
        <v>3750</v>
      </c>
      <c r="F8" s="389"/>
      <c r="G8" s="388"/>
      <c r="H8" s="387"/>
      <c r="I8" s="388"/>
      <c r="J8" s="624">
        <f>K8-K8*N8</f>
        <v>3682.5</v>
      </c>
      <c r="K8" s="624">
        <v>3750</v>
      </c>
      <c r="L8" s="462"/>
      <c r="M8" s="463"/>
      <c r="N8" s="366">
        <v>1.7999999999999999E-2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4050</v>
      </c>
    </row>
    <row r="9" spans="1:27" s="367" customFormat="1" ht="12" customHeight="1">
      <c r="A9" s="364">
        <v>1</v>
      </c>
      <c r="B9" s="365">
        <f>'FRIT HGE91-FHG'!B9</f>
        <v>46235</v>
      </c>
      <c r="C9" s="331" t="s">
        <v>285</v>
      </c>
      <c r="D9" s="921">
        <f>E9-E9*N9</f>
        <v>0</v>
      </c>
      <c r="E9" s="922"/>
      <c r="F9" s="446">
        <f>O9+Q9</f>
        <v>0</v>
      </c>
      <c r="G9" s="503">
        <f>P9+R9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3682.5</v>
      </c>
      <c r="K9" s="459">
        <f>K8+E9-G9</f>
        <v>3750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0.90925925925925921</v>
      </c>
      <c r="T9" s="305"/>
      <c r="U9" s="305"/>
    </row>
    <row r="10" spans="1:27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ref="D10:D19" si="2">E10-E10*N10</f>
        <v>0</v>
      </c>
      <c r="E10" s="922"/>
      <c r="F10" s="446">
        <f t="shared" ref="F10:G39" si="3">O10+Q10</f>
        <v>0</v>
      </c>
      <c r="G10" s="503">
        <f t="shared" si="3"/>
        <v>0</v>
      </c>
      <c r="H10" s="498">
        <f>SUM($F$8:F10)/A10</f>
        <v>0</v>
      </c>
      <c r="I10" s="499">
        <f>SUM($G$8:G10)/A10</f>
        <v>0</v>
      </c>
      <c r="J10" s="443">
        <f t="shared" si="0"/>
        <v>3682.5</v>
      </c>
      <c r="K10" s="459">
        <f t="shared" si="0"/>
        <v>3750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0.90925925925925921</v>
      </c>
      <c r="T10" s="305"/>
      <c r="U10" s="305"/>
    </row>
    <row r="11" spans="1:27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2"/>
        <v>0</v>
      </c>
      <c r="E11" s="922"/>
      <c r="F11" s="446">
        <f t="shared" si="3"/>
        <v>0</v>
      </c>
      <c r="G11" s="503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3682.5</v>
      </c>
      <c r="K11" s="459">
        <f t="shared" si="0"/>
        <v>3750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0.90925925925925921</v>
      </c>
      <c r="T11" s="305"/>
      <c r="U11" s="305"/>
    </row>
    <row r="12" spans="1:27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2"/>
        <v>0</v>
      </c>
      <c r="E12" s="922"/>
      <c r="F12" s="446">
        <f t="shared" si="3"/>
        <v>0</v>
      </c>
      <c r="G12" s="503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3682.5</v>
      </c>
      <c r="K12" s="459">
        <f t="shared" si="0"/>
        <v>3750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0.90925925925925921</v>
      </c>
      <c r="T12" s="305"/>
      <c r="U12" s="305"/>
    </row>
    <row r="13" spans="1:27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2"/>
        <v>0</v>
      </c>
      <c r="E13" s="922"/>
      <c r="F13" s="446">
        <f t="shared" si="3"/>
        <v>0</v>
      </c>
      <c r="G13" s="503">
        <f t="shared" si="3"/>
        <v>0</v>
      </c>
      <c r="H13" s="504">
        <f>SUM($F$8:F13)/A13</f>
        <v>0</v>
      </c>
      <c r="I13" s="499">
        <f>SUM($G$8:G13)/A13</f>
        <v>0</v>
      </c>
      <c r="J13" s="504">
        <f t="shared" si="0"/>
        <v>3682.5</v>
      </c>
      <c r="K13" s="459">
        <f t="shared" si="0"/>
        <v>3750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0.90925925925925921</v>
      </c>
      <c r="T13" s="305"/>
      <c r="U13" s="305"/>
    </row>
    <row r="14" spans="1:27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2"/>
        <v>0</v>
      </c>
      <c r="E14" s="922"/>
      <c r="F14" s="446">
        <f t="shared" si="3"/>
        <v>0</v>
      </c>
      <c r="G14" s="503">
        <f t="shared" si="3"/>
        <v>0</v>
      </c>
      <c r="H14" s="498">
        <f>SUM($F$8:F14)/A14</f>
        <v>0</v>
      </c>
      <c r="I14" s="499">
        <f>SUM($G$8:G14)/A14</f>
        <v>0</v>
      </c>
      <c r="J14" s="443">
        <f t="shared" si="0"/>
        <v>3682.5</v>
      </c>
      <c r="K14" s="459">
        <f t="shared" si="0"/>
        <v>3750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0.90925925925925921</v>
      </c>
      <c r="T14" s="305"/>
      <c r="U14" s="305"/>
    </row>
    <row r="15" spans="1:27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2"/>
        <v>0</v>
      </c>
      <c r="E15" s="922"/>
      <c r="F15" s="446">
        <f t="shared" si="3"/>
        <v>0</v>
      </c>
      <c r="G15" s="503">
        <f t="shared" si="3"/>
        <v>0</v>
      </c>
      <c r="H15" s="498">
        <f>SUM($F$8:F15)/A15</f>
        <v>0</v>
      </c>
      <c r="I15" s="499">
        <f>SUM($G$8:G15)/A15</f>
        <v>0</v>
      </c>
      <c r="J15" s="443">
        <f t="shared" si="0"/>
        <v>3682.5</v>
      </c>
      <c r="K15" s="459">
        <f t="shared" si="0"/>
        <v>3750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0.90925925925925921</v>
      </c>
      <c r="T15" s="305"/>
      <c r="U15" s="305"/>
    </row>
    <row r="16" spans="1:27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2"/>
        <v>0</v>
      </c>
      <c r="E16" s="922"/>
      <c r="F16" s="446">
        <f t="shared" si="3"/>
        <v>0</v>
      </c>
      <c r="G16" s="503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3682.5</v>
      </c>
      <c r="K16" s="459">
        <f t="shared" si="0"/>
        <v>3750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0.90925925925925921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2"/>
        <v>0</v>
      </c>
      <c r="E17" s="922"/>
      <c r="F17" s="446">
        <f t="shared" si="3"/>
        <v>0</v>
      </c>
      <c r="G17" s="503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3682.5</v>
      </c>
      <c r="K17" s="459">
        <f t="shared" si="0"/>
        <v>3750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0.90925925925925921</v>
      </c>
      <c r="T17" s="305"/>
      <c r="U17" s="305"/>
    </row>
    <row r="18" spans="1:21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2"/>
        <v>0</v>
      </c>
      <c r="E18" s="922"/>
      <c r="F18" s="446">
        <f t="shared" si="3"/>
        <v>0</v>
      </c>
      <c r="G18" s="503">
        <f t="shared" si="3"/>
        <v>0</v>
      </c>
      <c r="H18" s="504">
        <f>SUM($F$8:F18)/A18</f>
        <v>0</v>
      </c>
      <c r="I18" s="499">
        <f>SUM($G$8:G18)/A18</f>
        <v>0</v>
      </c>
      <c r="J18" s="504">
        <f t="shared" si="0"/>
        <v>3682.5</v>
      </c>
      <c r="K18" s="459">
        <f t="shared" si="0"/>
        <v>3750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0.90925925925925921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2"/>
        <v>0</v>
      </c>
      <c r="E19" s="922"/>
      <c r="F19" s="446">
        <f t="shared" si="3"/>
        <v>0</v>
      </c>
      <c r="G19" s="503">
        <f t="shared" si="3"/>
        <v>0</v>
      </c>
      <c r="H19" s="498">
        <f>SUM($F$8:F19)/A19</f>
        <v>0</v>
      </c>
      <c r="I19" s="499">
        <f>SUM($G$8:G19)/A19</f>
        <v>0</v>
      </c>
      <c r="J19" s="443">
        <f t="shared" si="0"/>
        <v>3682.5</v>
      </c>
      <c r="K19" s="459">
        <f t="shared" si="0"/>
        <v>3750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0.90925925925925921</v>
      </c>
      <c r="T19" s="305"/>
      <c r="U19" s="305"/>
    </row>
    <row r="20" spans="1:21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>E20-E20*N20</f>
        <v>0</v>
      </c>
      <c r="E20" s="922"/>
      <c r="F20" s="446">
        <f t="shared" si="3"/>
        <v>0</v>
      </c>
      <c r="G20" s="503">
        <f t="shared" si="3"/>
        <v>0</v>
      </c>
      <c r="H20" s="498">
        <f>SUM($F$8:F20)/A20</f>
        <v>0</v>
      </c>
      <c r="I20" s="499">
        <f>SUM($G$8:G20)/A20</f>
        <v>0</v>
      </c>
      <c r="J20" s="443">
        <f t="shared" si="0"/>
        <v>3682.5</v>
      </c>
      <c r="K20" s="459">
        <f t="shared" si="0"/>
        <v>3750</v>
      </c>
      <c r="L20" s="495" t="e">
        <f t="shared" si="1"/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0.90925925925925921</v>
      </c>
      <c r="T20" s="305"/>
      <c r="U20" s="305"/>
    </row>
    <row r="21" spans="1:21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ref="D21:D39" si="5">E21-E21*N21</f>
        <v>0</v>
      </c>
      <c r="E21" s="922"/>
      <c r="F21" s="446">
        <f t="shared" si="3"/>
        <v>0</v>
      </c>
      <c r="G21" s="503">
        <f t="shared" si="3"/>
        <v>0</v>
      </c>
      <c r="H21" s="498">
        <f>SUM($F$8:F21)/A21</f>
        <v>0</v>
      </c>
      <c r="I21" s="499">
        <f>SUM($G$8:G21)/A21</f>
        <v>0</v>
      </c>
      <c r="J21" s="443">
        <f t="shared" si="0"/>
        <v>3682.5</v>
      </c>
      <c r="K21" s="459">
        <f>K20+E21-G21</f>
        <v>3750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0.90925925925925921</v>
      </c>
    </row>
    <row r="22" spans="1:21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5"/>
        <v>0</v>
      </c>
      <c r="E22" s="922"/>
      <c r="F22" s="446">
        <f t="shared" si="3"/>
        <v>0</v>
      </c>
      <c r="G22" s="503">
        <f t="shared" si="3"/>
        <v>0</v>
      </c>
      <c r="H22" s="498">
        <f>SUM($F$8:F22)/A22</f>
        <v>0</v>
      </c>
      <c r="I22" s="499">
        <f>SUM($G$8:G22)/A22</f>
        <v>0</v>
      </c>
      <c r="J22" s="443">
        <f t="shared" si="0"/>
        <v>3682.5</v>
      </c>
      <c r="K22" s="459">
        <f>K21+E22-G22</f>
        <v>3750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0.90925925925925921</v>
      </c>
    </row>
    <row r="23" spans="1:21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5"/>
        <v>0</v>
      </c>
      <c r="E23" s="922"/>
      <c r="F23" s="446">
        <f t="shared" si="3"/>
        <v>0</v>
      </c>
      <c r="G23" s="503">
        <f t="shared" si="3"/>
        <v>0</v>
      </c>
      <c r="H23" s="504">
        <f>SUM($F$8:F23)/A23</f>
        <v>0</v>
      </c>
      <c r="I23" s="499">
        <f>SUM($G$8:G23)/A23</f>
        <v>0</v>
      </c>
      <c r="J23" s="504">
        <f t="shared" si="0"/>
        <v>3682.5</v>
      </c>
      <c r="K23" s="459">
        <f t="shared" si="0"/>
        <v>3750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0.90925925925925921</v>
      </c>
    </row>
    <row r="24" spans="1:21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5"/>
        <v>0</v>
      </c>
      <c r="E24" s="922"/>
      <c r="F24" s="446">
        <f t="shared" si="3"/>
        <v>0</v>
      </c>
      <c r="G24" s="503">
        <f t="shared" si="3"/>
        <v>0</v>
      </c>
      <c r="H24" s="498">
        <f>SUM($F$8:F24)/A24</f>
        <v>0</v>
      </c>
      <c r="I24" s="499">
        <f>SUM($G$8:G24)/A24</f>
        <v>0</v>
      </c>
      <c r="J24" s="443">
        <f t="shared" si="0"/>
        <v>3682.5</v>
      </c>
      <c r="K24" s="459">
        <f>K23+E24-G24</f>
        <v>3750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0.90925925925925921</v>
      </c>
    </row>
    <row r="25" spans="1:21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>
        <f t="shared" si="5"/>
        <v>0</v>
      </c>
      <c r="E25" s="922"/>
      <c r="F25" s="446">
        <f t="shared" si="3"/>
        <v>0</v>
      </c>
      <c r="G25" s="503">
        <f t="shared" si="3"/>
        <v>0</v>
      </c>
      <c r="H25" s="498">
        <f>SUM($F$8:F25)/A25</f>
        <v>0</v>
      </c>
      <c r="I25" s="499">
        <f>SUM($G$8:G25)/A25</f>
        <v>0</v>
      </c>
      <c r="J25" s="443">
        <f t="shared" ref="J25:K39" si="6">J24+D25-F25</f>
        <v>3682.5</v>
      </c>
      <c r="K25" s="459">
        <f>K24+E25-G25</f>
        <v>3750</v>
      </c>
      <c r="L25" s="495" t="e">
        <f t="shared" ref="L25:M39" si="7">J25/H25</f>
        <v>#DIV/0!</v>
      </c>
      <c r="M25" s="464" t="e">
        <f t="shared" si="7"/>
        <v>#DIV/0!</v>
      </c>
      <c r="N25" s="366"/>
      <c r="O25" s="446"/>
      <c r="P25" s="446"/>
      <c r="Q25" s="446"/>
      <c r="R25" s="446"/>
      <c r="S25" s="647">
        <f t="shared" si="4"/>
        <v>0.90925925925925921</v>
      </c>
    </row>
    <row r="26" spans="1:21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5"/>
        <v>0</v>
      </c>
      <c r="E26" s="922"/>
      <c r="F26" s="446">
        <f t="shared" si="3"/>
        <v>0</v>
      </c>
      <c r="G26" s="503">
        <f t="shared" si="3"/>
        <v>0</v>
      </c>
      <c r="H26" s="498">
        <f>SUM($F$8:F26)/A26</f>
        <v>0</v>
      </c>
      <c r="I26" s="499">
        <f>SUM($G$8:G26)/A26</f>
        <v>0</v>
      </c>
      <c r="J26" s="443">
        <f t="shared" si="6"/>
        <v>3682.5</v>
      </c>
      <c r="K26" s="459">
        <f>K25+E26-G26</f>
        <v>3750</v>
      </c>
      <c r="L26" s="495" t="e">
        <f t="shared" si="7"/>
        <v>#DIV/0!</v>
      </c>
      <c r="M26" s="464" t="e">
        <f t="shared" si="7"/>
        <v>#DIV/0!</v>
      </c>
      <c r="N26" s="366"/>
      <c r="O26" s="446"/>
      <c r="P26" s="446"/>
      <c r="Q26" s="446"/>
      <c r="R26" s="446"/>
      <c r="S26" s="647">
        <f t="shared" si="4"/>
        <v>0.90925925925925921</v>
      </c>
    </row>
    <row r="27" spans="1:21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5"/>
        <v>0</v>
      </c>
      <c r="E27" s="922"/>
      <c r="F27" s="446">
        <f t="shared" si="3"/>
        <v>0</v>
      </c>
      <c r="G27" s="503">
        <f t="shared" si="3"/>
        <v>0</v>
      </c>
      <c r="H27" s="498">
        <f>SUM($F$8:F27)/A27</f>
        <v>0</v>
      </c>
      <c r="I27" s="499">
        <f>SUM($G$8:G27)/A27</f>
        <v>0</v>
      </c>
      <c r="J27" s="443">
        <f t="shared" si="6"/>
        <v>3682.5</v>
      </c>
      <c r="K27" s="459">
        <f>K26+E27-G27</f>
        <v>3750</v>
      </c>
      <c r="L27" s="495" t="e">
        <f t="shared" si="7"/>
        <v>#DIV/0!</v>
      </c>
      <c r="M27" s="464" t="e">
        <f t="shared" si="7"/>
        <v>#DIV/0!</v>
      </c>
      <c r="N27" s="366"/>
      <c r="O27" s="446"/>
      <c r="P27" s="446"/>
      <c r="Q27" s="446"/>
      <c r="R27" s="446"/>
      <c r="S27" s="647">
        <f t="shared" si="4"/>
        <v>0.90925925925925921</v>
      </c>
    </row>
    <row r="28" spans="1:21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5"/>
        <v>0</v>
      </c>
      <c r="E28" s="922"/>
      <c r="F28" s="446">
        <f t="shared" si="3"/>
        <v>0</v>
      </c>
      <c r="G28" s="503">
        <f t="shared" si="3"/>
        <v>0</v>
      </c>
      <c r="H28" s="504">
        <f>SUM($F$8:F28)/A28</f>
        <v>0</v>
      </c>
      <c r="I28" s="499">
        <f>SUM($G$8:G28)/A28</f>
        <v>0</v>
      </c>
      <c r="J28" s="504">
        <f t="shared" si="6"/>
        <v>3682.5</v>
      </c>
      <c r="K28" s="459">
        <f t="shared" si="6"/>
        <v>3750</v>
      </c>
      <c r="L28" s="505" t="e">
        <f t="shared" si="7"/>
        <v>#DIV/0!</v>
      </c>
      <c r="M28" s="464" t="e">
        <f t="shared" si="7"/>
        <v>#DIV/0!</v>
      </c>
      <c r="N28" s="366"/>
      <c r="O28" s="446"/>
      <c r="P28" s="446"/>
      <c r="Q28" s="446"/>
      <c r="R28" s="446"/>
      <c r="S28" s="647">
        <f t="shared" si="4"/>
        <v>0.90925925925925921</v>
      </c>
    </row>
    <row r="29" spans="1:21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5"/>
        <v>0</v>
      </c>
      <c r="E29" s="922"/>
      <c r="F29" s="446">
        <f t="shared" si="3"/>
        <v>0</v>
      </c>
      <c r="G29" s="503">
        <f t="shared" si="3"/>
        <v>0</v>
      </c>
      <c r="H29" s="498">
        <f>SUM($F$8:F29)/A29</f>
        <v>0</v>
      </c>
      <c r="I29" s="499">
        <f>SUM($G$8:G29)/A29</f>
        <v>0</v>
      </c>
      <c r="J29" s="443">
        <f t="shared" si="6"/>
        <v>3682.5</v>
      </c>
      <c r="K29" s="459">
        <f t="shared" si="6"/>
        <v>3750</v>
      </c>
      <c r="L29" s="495" t="e">
        <f t="shared" si="7"/>
        <v>#DIV/0!</v>
      </c>
      <c r="M29" s="464" t="e">
        <f t="shared" si="7"/>
        <v>#DIV/0!</v>
      </c>
      <c r="N29" s="366"/>
      <c r="O29" s="446"/>
      <c r="P29" s="446"/>
      <c r="Q29" s="446"/>
      <c r="R29" s="446"/>
      <c r="S29" s="647">
        <f t="shared" si="4"/>
        <v>0.90925925925925921</v>
      </c>
    </row>
    <row r="30" spans="1:21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5"/>
        <v>0</v>
      </c>
      <c r="E30" s="922"/>
      <c r="F30" s="446">
        <f t="shared" si="3"/>
        <v>0</v>
      </c>
      <c r="G30" s="503">
        <f t="shared" si="3"/>
        <v>0</v>
      </c>
      <c r="H30" s="498">
        <f>SUM($F$8:F30)/A30</f>
        <v>0</v>
      </c>
      <c r="I30" s="499">
        <f>SUM($G$8:G30)/A30</f>
        <v>0</v>
      </c>
      <c r="J30" s="443">
        <f t="shared" si="6"/>
        <v>3682.5</v>
      </c>
      <c r="K30" s="459">
        <f t="shared" si="6"/>
        <v>3750</v>
      </c>
      <c r="L30" s="495" t="e">
        <f t="shared" si="7"/>
        <v>#DIV/0!</v>
      </c>
      <c r="M30" s="464" t="e">
        <f t="shared" si="7"/>
        <v>#DIV/0!</v>
      </c>
      <c r="N30" s="366"/>
      <c r="O30" s="446"/>
      <c r="P30" s="446"/>
      <c r="Q30" s="446"/>
      <c r="R30" s="446"/>
      <c r="S30" s="647">
        <f t="shared" si="4"/>
        <v>0.90925925925925921</v>
      </c>
    </row>
    <row r="31" spans="1:21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5"/>
        <v>0</v>
      </c>
      <c r="E31" s="922"/>
      <c r="F31" s="446">
        <f t="shared" si="3"/>
        <v>0</v>
      </c>
      <c r="G31" s="503">
        <f t="shared" si="3"/>
        <v>0</v>
      </c>
      <c r="H31" s="498">
        <f>SUM($F$8:F31)/A31</f>
        <v>0</v>
      </c>
      <c r="I31" s="499">
        <f>SUM($G$8:G31)/A31</f>
        <v>0</v>
      </c>
      <c r="J31" s="443">
        <f t="shared" si="6"/>
        <v>3682.5</v>
      </c>
      <c r="K31" s="459">
        <f t="shared" si="6"/>
        <v>3750</v>
      </c>
      <c r="L31" s="495" t="e">
        <f t="shared" si="7"/>
        <v>#DIV/0!</v>
      </c>
      <c r="M31" s="464" t="e">
        <f t="shared" si="7"/>
        <v>#DIV/0!</v>
      </c>
      <c r="N31" s="366"/>
      <c r="O31" s="446"/>
      <c r="P31" s="446"/>
      <c r="Q31" s="446"/>
      <c r="R31" s="446"/>
      <c r="S31" s="647">
        <f t="shared" si="4"/>
        <v>0.90925925925925921</v>
      </c>
    </row>
    <row r="32" spans="1:21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5"/>
        <v>0</v>
      </c>
      <c r="E32" s="922"/>
      <c r="F32" s="446">
        <f t="shared" si="3"/>
        <v>0</v>
      </c>
      <c r="G32" s="503">
        <f t="shared" si="3"/>
        <v>0</v>
      </c>
      <c r="H32" s="498">
        <f>SUM($F$8:F32)/A32</f>
        <v>0</v>
      </c>
      <c r="I32" s="499">
        <f>SUM($G$8:G32)/A32</f>
        <v>0</v>
      </c>
      <c r="J32" s="443">
        <f t="shared" si="6"/>
        <v>3682.5</v>
      </c>
      <c r="K32" s="459">
        <f t="shared" si="6"/>
        <v>3750</v>
      </c>
      <c r="L32" s="495" t="e">
        <f t="shared" si="7"/>
        <v>#DIV/0!</v>
      </c>
      <c r="M32" s="464" t="e">
        <f t="shared" si="7"/>
        <v>#DIV/0!</v>
      </c>
      <c r="N32" s="366"/>
      <c r="O32" s="446"/>
      <c r="P32" s="446"/>
      <c r="Q32" s="446"/>
      <c r="R32" s="446"/>
      <c r="S32" s="647">
        <f t="shared" si="4"/>
        <v>0.90925925925925921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>
        <f t="shared" si="5"/>
        <v>0</v>
      </c>
      <c r="E33" s="922"/>
      <c r="F33" s="446">
        <f t="shared" si="3"/>
        <v>0</v>
      </c>
      <c r="G33" s="503">
        <f t="shared" si="3"/>
        <v>0</v>
      </c>
      <c r="H33" s="460">
        <f>SUM($F$8:F33)/A33</f>
        <v>0</v>
      </c>
      <c r="I33" s="499">
        <f>SUM($G$8:G33)/A33</f>
        <v>0</v>
      </c>
      <c r="J33" s="460">
        <f t="shared" si="6"/>
        <v>3682.5</v>
      </c>
      <c r="K33" s="459">
        <f t="shared" si="6"/>
        <v>3750</v>
      </c>
      <c r="L33" s="506" t="e">
        <f t="shared" si="7"/>
        <v>#DIV/0!</v>
      </c>
      <c r="M33" s="464" t="e">
        <f t="shared" si="7"/>
        <v>#DIV/0!</v>
      </c>
      <c r="N33" s="366"/>
      <c r="O33" s="446"/>
      <c r="P33" s="446"/>
      <c r="Q33" s="446"/>
      <c r="R33" s="446"/>
      <c r="S33" s="647">
        <f t="shared" si="4"/>
        <v>0.90925925925925921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5"/>
        <v>0</v>
      </c>
      <c r="E34" s="922"/>
      <c r="F34" s="446">
        <f t="shared" si="3"/>
        <v>0</v>
      </c>
      <c r="G34" s="503">
        <f t="shared" si="3"/>
        <v>0</v>
      </c>
      <c r="H34" s="498">
        <f>SUM($F$8:F34)/A34</f>
        <v>0</v>
      </c>
      <c r="I34" s="499">
        <f>SUM($G$8:G34)/A34</f>
        <v>0</v>
      </c>
      <c r="J34" s="443">
        <f t="shared" si="6"/>
        <v>3682.5</v>
      </c>
      <c r="K34" s="459">
        <f t="shared" si="6"/>
        <v>3750</v>
      </c>
      <c r="L34" s="495" t="e">
        <f t="shared" si="7"/>
        <v>#DIV/0!</v>
      </c>
      <c r="M34" s="464" t="e">
        <f t="shared" si="7"/>
        <v>#DIV/0!</v>
      </c>
      <c r="N34" s="366"/>
      <c r="O34" s="446"/>
      <c r="P34" s="446"/>
      <c r="Q34" s="446"/>
      <c r="R34" s="446"/>
      <c r="S34" s="647">
        <f t="shared" si="4"/>
        <v>0.90925925925925921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5"/>
        <v>0</v>
      </c>
      <c r="E35" s="922"/>
      <c r="F35" s="446">
        <f t="shared" si="3"/>
        <v>0</v>
      </c>
      <c r="G35" s="503">
        <f t="shared" si="3"/>
        <v>0</v>
      </c>
      <c r="H35" s="498">
        <f>SUM($F$8:F35)/A35</f>
        <v>0</v>
      </c>
      <c r="I35" s="499">
        <f>SUM($G$8:G35)/A35</f>
        <v>0</v>
      </c>
      <c r="J35" s="443">
        <f t="shared" si="6"/>
        <v>3682.5</v>
      </c>
      <c r="K35" s="459">
        <f t="shared" si="6"/>
        <v>3750</v>
      </c>
      <c r="L35" s="495" t="e">
        <f t="shared" si="7"/>
        <v>#DIV/0!</v>
      </c>
      <c r="M35" s="464" t="e">
        <f t="shared" si="7"/>
        <v>#DIV/0!</v>
      </c>
      <c r="N35" s="366"/>
      <c r="O35" s="446"/>
      <c r="P35" s="446"/>
      <c r="Q35" s="446"/>
      <c r="R35" s="446"/>
      <c r="S35" s="647">
        <f t="shared" si="4"/>
        <v>0.90925925925925921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>
        <f>E36-E36*N36</f>
        <v>0</v>
      </c>
      <c r="E36" s="922"/>
      <c r="F36" s="446">
        <f t="shared" si="3"/>
        <v>0</v>
      </c>
      <c r="G36" s="503">
        <f t="shared" si="3"/>
        <v>0</v>
      </c>
      <c r="H36" s="498">
        <f>SUM($F$8:F36)/A36</f>
        <v>0</v>
      </c>
      <c r="I36" s="499">
        <f>SUM($G$8:G36)/A36</f>
        <v>0</v>
      </c>
      <c r="J36" s="443">
        <f t="shared" si="6"/>
        <v>3682.5</v>
      </c>
      <c r="K36" s="459">
        <f t="shared" si="6"/>
        <v>3750</v>
      </c>
      <c r="L36" s="495" t="e">
        <f t="shared" si="7"/>
        <v>#DIV/0!</v>
      </c>
      <c r="M36" s="464" t="e">
        <f t="shared" si="7"/>
        <v>#DIV/0!</v>
      </c>
      <c r="N36" s="366"/>
      <c r="O36" s="446"/>
      <c r="P36" s="446"/>
      <c r="Q36" s="446"/>
      <c r="R36" s="446"/>
      <c r="S36" s="647">
        <f t="shared" si="4"/>
        <v>0.90925925925925921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5"/>
        <v>0</v>
      </c>
      <c r="E37" s="922"/>
      <c r="F37" s="446">
        <f t="shared" si="3"/>
        <v>0</v>
      </c>
      <c r="G37" s="503">
        <f t="shared" si="3"/>
        <v>0</v>
      </c>
      <c r="H37" s="498">
        <f>SUM($F$8:F37)/A37</f>
        <v>0</v>
      </c>
      <c r="I37" s="499">
        <f>SUM($G$8:G37)/A37</f>
        <v>0</v>
      </c>
      <c r="J37" s="443">
        <f t="shared" si="6"/>
        <v>3682.5</v>
      </c>
      <c r="K37" s="459">
        <f t="shared" si="6"/>
        <v>3750</v>
      </c>
      <c r="L37" s="495" t="e">
        <f t="shared" si="7"/>
        <v>#DIV/0!</v>
      </c>
      <c r="M37" s="464" t="e">
        <f t="shared" si="7"/>
        <v>#DIV/0!</v>
      </c>
      <c r="N37" s="366"/>
      <c r="O37" s="446"/>
      <c r="P37" s="446"/>
      <c r="Q37" s="446"/>
      <c r="R37" s="446"/>
      <c r="S37" s="647">
        <f t="shared" si="4"/>
        <v>0.90925925925925921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5"/>
        <v>0</v>
      </c>
      <c r="E38" s="922"/>
      <c r="F38" s="446">
        <f t="shared" si="3"/>
        <v>0</v>
      </c>
      <c r="G38" s="503">
        <f t="shared" si="3"/>
        <v>0</v>
      </c>
      <c r="H38" s="504">
        <f>SUM($F$8:F38)/A38</f>
        <v>0</v>
      </c>
      <c r="I38" s="499">
        <f>SUM($G$8:G38)/A38</f>
        <v>0</v>
      </c>
      <c r="J38" s="504">
        <f t="shared" si="6"/>
        <v>3682.5</v>
      </c>
      <c r="K38" s="459">
        <f t="shared" si="6"/>
        <v>3750</v>
      </c>
      <c r="L38" s="505" t="e">
        <f t="shared" si="7"/>
        <v>#DIV/0!</v>
      </c>
      <c r="M38" s="464" t="e">
        <f t="shared" si="7"/>
        <v>#DIV/0!</v>
      </c>
      <c r="N38" s="366"/>
      <c r="O38" s="446"/>
      <c r="P38" s="446"/>
      <c r="Q38" s="446"/>
      <c r="R38" s="446"/>
      <c r="S38" s="647">
        <f t="shared" si="4"/>
        <v>0.90925925925925921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5"/>
        <v>0</v>
      </c>
      <c r="E39" s="922"/>
      <c r="F39" s="446">
        <f t="shared" si="3"/>
        <v>0</v>
      </c>
      <c r="G39" s="503">
        <f t="shared" si="3"/>
        <v>0</v>
      </c>
      <c r="H39" s="498">
        <f>SUM($F$8:F39)/A39</f>
        <v>0</v>
      </c>
      <c r="I39" s="499">
        <f>SUM($G$8:G39)/A39</f>
        <v>0</v>
      </c>
      <c r="J39" s="443">
        <f t="shared" si="6"/>
        <v>3682.5</v>
      </c>
      <c r="K39" s="459">
        <f t="shared" si="6"/>
        <v>3750</v>
      </c>
      <c r="L39" s="495" t="e">
        <f t="shared" si="7"/>
        <v>#DIV/0!</v>
      </c>
      <c r="M39" s="464" t="e">
        <f t="shared" si="7"/>
        <v>#DIV/0!</v>
      </c>
      <c r="N39" s="366"/>
      <c r="O39" s="446"/>
      <c r="P39" s="446"/>
      <c r="Q39" s="446"/>
      <c r="R39" s="446"/>
      <c r="S39" s="647">
        <f t="shared" si="4"/>
        <v>0.90925925925925921</v>
      </c>
    </row>
    <row r="40" spans="1:19" s="374" customFormat="1" ht="12" customHeight="1">
      <c r="A40" s="925" t="s">
        <v>29</v>
      </c>
      <c r="B40" s="926"/>
      <c r="C40" s="927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3682.5</v>
      </c>
      <c r="K40" s="461">
        <f>K39</f>
        <v>3750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925" t="s">
        <v>15</v>
      </c>
      <c r="B41" s="926"/>
      <c r="C41" s="927"/>
      <c r="D41" s="388">
        <f>D8+D40</f>
        <v>3682.5</v>
      </c>
      <c r="E41" s="388">
        <f>E8+E40</f>
        <v>3750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3682.5</v>
      </c>
      <c r="K41" s="389">
        <f>E41-G41</f>
        <v>3750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972" priority="1" operator="lessThan">
      <formula>15</formula>
    </cfRule>
    <cfRule type="cellIs" dxfId="11971" priority="2" operator="greaterThan">
      <formula>20</formula>
    </cfRule>
    <cfRule type="cellIs" dxfId="11970" priority="3" operator="between">
      <formula>15</formula>
      <formula>20</formula>
    </cfRule>
    <cfRule type="cellIs" dxfId="11969" priority="4" operator="between">
      <formula>15</formula>
      <formula>20</formula>
    </cfRule>
    <cfRule type="cellIs" dxfId="11968" priority="5" operator="lessThan">
      <formula>15</formula>
    </cfRule>
    <cfRule type="cellIs" dxfId="11967" priority="6" operator="greaterThan">
      <formula>20</formula>
    </cfRule>
    <cfRule type="cellIs" dxfId="11966" priority="7" operator="between">
      <formula>15</formula>
      <formula>21</formula>
    </cfRule>
    <cfRule type="cellIs" dxfId="11965" priority="8" operator="lessThan">
      <formula>15</formula>
    </cfRule>
    <cfRule type="cellIs" dxfId="11964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A49"/>
  <sheetViews>
    <sheetView workbookViewId="0">
      <pane ySplit="8" topLeftCell="A12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5703125" style="143" customWidth="1"/>
    <col min="4" max="7" width="10.140625" style="142" customWidth="1"/>
    <col min="8" max="9" width="9.28515625" style="142" customWidth="1"/>
    <col min="10" max="11" width="11.28515625" style="142" customWidth="1"/>
    <col min="12" max="13" width="12" style="143" customWidth="1"/>
    <col min="14" max="14" width="6.42578125" style="143" customWidth="1"/>
    <col min="15" max="18" width="12.140625" style="143" customWidth="1"/>
    <col min="19" max="19" width="11.5703125" style="143" bestFit="1" customWidth="1"/>
    <col min="20" max="20" width="11.140625" style="143" customWidth="1"/>
    <col min="21" max="16384" width="9.28515625" style="143"/>
  </cols>
  <sheetData>
    <row r="1" spans="1:27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</row>
    <row r="2" spans="1:27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</row>
    <row r="3" spans="1:27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7" s="1292" customFormat="1" ht="18.75" customHeight="1">
      <c r="A4" s="1600" t="s">
        <v>33</v>
      </c>
      <c r="B4" s="1600"/>
      <c r="C4" s="316" t="str">
        <f>J4</f>
        <v>FRIT 356 L</v>
      </c>
      <c r="D4" s="383"/>
      <c r="E4" s="383" t="s">
        <v>228</v>
      </c>
      <c r="F4" s="383" t="s">
        <v>230</v>
      </c>
      <c r="G4" s="383"/>
      <c r="I4" s="383" t="s">
        <v>120</v>
      </c>
      <c r="J4" s="318" t="s">
        <v>1112</v>
      </c>
      <c r="K4" s="319"/>
      <c r="L4" s="319"/>
      <c r="M4" s="319"/>
      <c r="O4" s="1422"/>
      <c r="P4" s="1422"/>
      <c r="Q4" s="1422"/>
      <c r="R4" s="1422"/>
      <c r="S4" s="143"/>
    </row>
    <row r="5" spans="1:27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7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7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7" s="305" customFormat="1" ht="12" customHeight="1">
      <c r="A8" s="1597" t="s">
        <v>3</v>
      </c>
      <c r="B8" s="1598"/>
      <c r="C8" s="1599"/>
      <c r="D8" s="387">
        <f>J8</f>
        <v>59258.43</v>
      </c>
      <c r="E8" s="388">
        <f>K8</f>
        <v>59857</v>
      </c>
      <c r="F8" s="389"/>
      <c r="G8" s="388"/>
      <c r="H8" s="387"/>
      <c r="I8" s="388"/>
      <c r="J8" s="624">
        <f>K8-K8*N8</f>
        <v>59258.43</v>
      </c>
      <c r="K8" s="624">
        <v>59857</v>
      </c>
      <c r="L8" s="462"/>
      <c r="M8" s="463"/>
      <c r="N8" s="366">
        <v>0.01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3780</v>
      </c>
    </row>
    <row r="9" spans="1:27" s="367" customFormat="1" ht="12" customHeight="1">
      <c r="A9" s="364">
        <v>1</v>
      </c>
      <c r="B9" s="365">
        <f>'FRIT HGE91-FHG'!B9</f>
        <v>46235</v>
      </c>
      <c r="C9" s="331" t="s">
        <v>285</v>
      </c>
      <c r="D9" s="921">
        <f>E9-E9*N9</f>
        <v>0</v>
      </c>
      <c r="E9" s="922"/>
      <c r="F9" s="446">
        <f>O9+Q9</f>
        <v>0</v>
      </c>
      <c r="G9" s="503">
        <f>P9+R9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59258.43</v>
      </c>
      <c r="K9" s="459">
        <f>K8+E9-G9</f>
        <v>59857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15.676833333333333</v>
      </c>
      <c r="T9" s="305"/>
      <c r="U9" s="305"/>
    </row>
    <row r="10" spans="1:27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ref="D10:D19" si="2">E10-E10*N10</f>
        <v>0</v>
      </c>
      <c r="E10" s="922"/>
      <c r="F10" s="446">
        <f t="shared" ref="F10:G39" si="3">O10+Q10</f>
        <v>0</v>
      </c>
      <c r="G10" s="503">
        <f t="shared" si="3"/>
        <v>0</v>
      </c>
      <c r="H10" s="498">
        <f>SUM($F$8:F10)/A10</f>
        <v>0</v>
      </c>
      <c r="I10" s="499">
        <f>SUM($G$8:G10)/A10</f>
        <v>0</v>
      </c>
      <c r="J10" s="443">
        <f t="shared" si="0"/>
        <v>59258.43</v>
      </c>
      <c r="K10" s="459">
        <f t="shared" si="0"/>
        <v>59857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15.676833333333333</v>
      </c>
      <c r="T10" s="305"/>
      <c r="U10" s="305"/>
    </row>
    <row r="11" spans="1:27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2"/>
        <v>0</v>
      </c>
      <c r="E11" s="922"/>
      <c r="F11" s="446">
        <f t="shared" si="3"/>
        <v>0</v>
      </c>
      <c r="G11" s="503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59258.43</v>
      </c>
      <c r="K11" s="459">
        <f t="shared" si="0"/>
        <v>59857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15.676833333333333</v>
      </c>
      <c r="T11" s="305"/>
      <c r="U11" s="305"/>
    </row>
    <row r="12" spans="1:27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2"/>
        <v>0</v>
      </c>
      <c r="E12" s="922"/>
      <c r="F12" s="446">
        <f t="shared" si="3"/>
        <v>0</v>
      </c>
      <c r="G12" s="503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59258.43</v>
      </c>
      <c r="K12" s="459">
        <f t="shared" si="0"/>
        <v>59857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15.676833333333333</v>
      </c>
      <c r="T12" s="305"/>
      <c r="U12" s="305"/>
    </row>
    <row r="13" spans="1:27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2"/>
        <v>0</v>
      </c>
      <c r="E13" s="922"/>
      <c r="F13" s="446">
        <f t="shared" si="3"/>
        <v>0</v>
      </c>
      <c r="G13" s="503">
        <f t="shared" si="3"/>
        <v>0</v>
      </c>
      <c r="H13" s="504">
        <f>SUM($F$8:F13)/A13</f>
        <v>0</v>
      </c>
      <c r="I13" s="499">
        <f>SUM($G$8:G13)/A13</f>
        <v>0</v>
      </c>
      <c r="J13" s="504">
        <f t="shared" si="0"/>
        <v>59258.43</v>
      </c>
      <c r="K13" s="459">
        <f t="shared" si="0"/>
        <v>59857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15.676833333333333</v>
      </c>
      <c r="T13" s="305"/>
      <c r="U13" s="305"/>
    </row>
    <row r="14" spans="1:27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2"/>
        <v>0</v>
      </c>
      <c r="E14" s="922"/>
      <c r="F14" s="446">
        <f t="shared" si="3"/>
        <v>0</v>
      </c>
      <c r="G14" s="503">
        <f t="shared" si="3"/>
        <v>0</v>
      </c>
      <c r="H14" s="498">
        <f>SUM($F$8:F14)/A14</f>
        <v>0</v>
      </c>
      <c r="I14" s="499">
        <f>SUM($G$8:G14)/A14</f>
        <v>0</v>
      </c>
      <c r="J14" s="443">
        <f t="shared" si="0"/>
        <v>59258.43</v>
      </c>
      <c r="K14" s="459">
        <f t="shared" si="0"/>
        <v>59857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15.676833333333333</v>
      </c>
      <c r="T14" s="305"/>
      <c r="U14" s="305"/>
    </row>
    <row r="15" spans="1:27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2"/>
        <v>0</v>
      </c>
      <c r="E15" s="922"/>
      <c r="F15" s="446">
        <f t="shared" si="3"/>
        <v>0</v>
      </c>
      <c r="G15" s="503">
        <f t="shared" si="3"/>
        <v>0</v>
      </c>
      <c r="H15" s="498">
        <f>SUM($F$8:F15)/A15</f>
        <v>0</v>
      </c>
      <c r="I15" s="499">
        <f>SUM($G$8:G15)/A15</f>
        <v>0</v>
      </c>
      <c r="J15" s="443">
        <f t="shared" si="0"/>
        <v>59258.43</v>
      </c>
      <c r="K15" s="459">
        <f t="shared" si="0"/>
        <v>59857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15.676833333333333</v>
      </c>
      <c r="T15" s="305"/>
      <c r="U15" s="305"/>
    </row>
    <row r="16" spans="1:27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2"/>
        <v>0</v>
      </c>
      <c r="E16" s="922"/>
      <c r="F16" s="446">
        <f t="shared" si="3"/>
        <v>0</v>
      </c>
      <c r="G16" s="503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59258.43</v>
      </c>
      <c r="K16" s="459">
        <f t="shared" si="0"/>
        <v>59857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15.676833333333333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2"/>
        <v>0</v>
      </c>
      <c r="E17" s="922"/>
      <c r="F17" s="446">
        <f t="shared" si="3"/>
        <v>0</v>
      </c>
      <c r="G17" s="503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59258.43</v>
      </c>
      <c r="K17" s="459">
        <f t="shared" si="0"/>
        <v>59857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15.676833333333333</v>
      </c>
      <c r="T17" s="305"/>
      <c r="U17" s="305"/>
    </row>
    <row r="18" spans="1:21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2"/>
        <v>0</v>
      </c>
      <c r="E18" s="922"/>
      <c r="F18" s="446">
        <f t="shared" si="3"/>
        <v>0</v>
      </c>
      <c r="G18" s="503">
        <f t="shared" si="3"/>
        <v>0</v>
      </c>
      <c r="H18" s="504">
        <f>SUM($F$8:F18)/A18</f>
        <v>0</v>
      </c>
      <c r="I18" s="499">
        <f>SUM($G$8:G18)/A18</f>
        <v>0</v>
      </c>
      <c r="J18" s="504">
        <f t="shared" si="0"/>
        <v>59258.43</v>
      </c>
      <c r="K18" s="459">
        <f t="shared" si="0"/>
        <v>59857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15.676833333333333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2"/>
        <v>0</v>
      </c>
      <c r="E19" s="922"/>
      <c r="F19" s="446">
        <f t="shared" si="3"/>
        <v>1890</v>
      </c>
      <c r="G19" s="503">
        <f t="shared" si="3"/>
        <v>1899</v>
      </c>
      <c r="H19" s="498">
        <f>SUM($F$8:F19)/A19</f>
        <v>171.81818181818181</v>
      </c>
      <c r="I19" s="499">
        <f>SUM($G$8:G19)/A19</f>
        <v>172.63636363636363</v>
      </c>
      <c r="J19" s="443">
        <f t="shared" si="0"/>
        <v>57368.43</v>
      </c>
      <c r="K19" s="459">
        <f t="shared" si="0"/>
        <v>57958</v>
      </c>
      <c r="L19" s="495">
        <f t="shared" si="1"/>
        <v>333.89033333333333</v>
      </c>
      <c r="M19" s="464">
        <f t="shared" si="1"/>
        <v>335.72301211163773</v>
      </c>
      <c r="N19" s="366"/>
      <c r="O19" s="446"/>
      <c r="P19" s="446"/>
      <c r="Q19" s="446">
        <v>1890</v>
      </c>
      <c r="R19" s="446">
        <v>1899</v>
      </c>
      <c r="S19" s="647">
        <f t="shared" si="4"/>
        <v>15.176833333333333</v>
      </c>
      <c r="T19" s="305"/>
      <c r="U19" s="305"/>
    </row>
    <row r="20" spans="1:21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>E20-E20*N20</f>
        <v>0</v>
      </c>
      <c r="E20" s="922"/>
      <c r="F20" s="446">
        <f t="shared" si="3"/>
        <v>1890</v>
      </c>
      <c r="G20" s="503">
        <f t="shared" si="3"/>
        <v>1896</v>
      </c>
      <c r="H20" s="498">
        <f>SUM($F$8:F20)/A20</f>
        <v>315</v>
      </c>
      <c r="I20" s="499">
        <f>SUM($G$8:G20)/A20</f>
        <v>316.25</v>
      </c>
      <c r="J20" s="443">
        <f t="shared" si="0"/>
        <v>55478.43</v>
      </c>
      <c r="K20" s="459">
        <f t="shared" si="0"/>
        <v>56062</v>
      </c>
      <c r="L20" s="495">
        <f t="shared" si="1"/>
        <v>176.12200000000001</v>
      </c>
      <c r="M20" s="464">
        <f t="shared" si="1"/>
        <v>177.2711462450593</v>
      </c>
      <c r="N20" s="366"/>
      <c r="O20" s="446"/>
      <c r="P20" s="446"/>
      <c r="Q20" s="446">
        <v>1890</v>
      </c>
      <c r="R20" s="446">
        <v>1896</v>
      </c>
      <c r="S20" s="647">
        <f t="shared" si="4"/>
        <v>14.676833333333333</v>
      </c>
      <c r="T20" s="305"/>
      <c r="U20" s="305"/>
    </row>
    <row r="21" spans="1:21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ref="D21:D39" si="5">E21-E21*N21</f>
        <v>0</v>
      </c>
      <c r="E21" s="922"/>
      <c r="F21" s="446">
        <f t="shared" si="3"/>
        <v>1890</v>
      </c>
      <c r="G21" s="503">
        <f t="shared" si="3"/>
        <v>1896</v>
      </c>
      <c r="H21" s="498">
        <f>SUM($F$8:F21)/A21</f>
        <v>436.15384615384613</v>
      </c>
      <c r="I21" s="499">
        <f>SUM($G$8:G21)/A21</f>
        <v>437.76923076923077</v>
      </c>
      <c r="J21" s="443">
        <f t="shared" si="0"/>
        <v>53588.43</v>
      </c>
      <c r="K21" s="459">
        <f>K20+E21-G21</f>
        <v>54166</v>
      </c>
      <c r="L21" s="495">
        <f t="shared" si="1"/>
        <v>122.86588888888889</v>
      </c>
      <c r="M21" s="464">
        <f t="shared" si="1"/>
        <v>123.73185731857319</v>
      </c>
      <c r="N21" s="366"/>
      <c r="O21" s="446"/>
      <c r="P21" s="446"/>
      <c r="Q21" s="446">
        <v>1890</v>
      </c>
      <c r="R21" s="446">
        <v>1896</v>
      </c>
      <c r="S21" s="647">
        <f t="shared" si="4"/>
        <v>14.176833333333333</v>
      </c>
      <c r="T21" s="305"/>
      <c r="U21" s="305"/>
    </row>
    <row r="22" spans="1:21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5"/>
        <v>0</v>
      </c>
      <c r="E22" s="922"/>
      <c r="F22" s="446">
        <f t="shared" si="3"/>
        <v>3780</v>
      </c>
      <c r="G22" s="503">
        <f t="shared" si="3"/>
        <v>3796</v>
      </c>
      <c r="H22" s="498">
        <f>SUM($F$8:F22)/A22</f>
        <v>675</v>
      </c>
      <c r="I22" s="499">
        <f>SUM($G$8:G22)/A22</f>
        <v>677.64285714285711</v>
      </c>
      <c r="J22" s="443">
        <f t="shared" si="0"/>
        <v>49808.43</v>
      </c>
      <c r="K22" s="459">
        <f>K21+E22-G22</f>
        <v>50370</v>
      </c>
      <c r="L22" s="495">
        <f t="shared" si="1"/>
        <v>73.790266666666668</v>
      </c>
      <c r="M22" s="464">
        <f t="shared" si="1"/>
        <v>74.331190049541476</v>
      </c>
      <c r="N22" s="366"/>
      <c r="O22" s="446"/>
      <c r="P22" s="446"/>
      <c r="Q22" s="446">
        <v>3780</v>
      </c>
      <c r="R22" s="446">
        <v>3796</v>
      </c>
      <c r="S22" s="647">
        <f t="shared" si="4"/>
        <v>13.176833333333333</v>
      </c>
      <c r="T22" s="305"/>
      <c r="U22" s="305"/>
    </row>
    <row r="23" spans="1:21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5"/>
        <v>0</v>
      </c>
      <c r="E23" s="922"/>
      <c r="F23" s="446">
        <f t="shared" si="3"/>
        <v>3780</v>
      </c>
      <c r="G23" s="503">
        <f t="shared" si="3"/>
        <v>3788</v>
      </c>
      <c r="H23" s="504">
        <f>SUM($F$8:F23)/A23</f>
        <v>882</v>
      </c>
      <c r="I23" s="499">
        <f>SUM($G$8:G23)/A23</f>
        <v>885</v>
      </c>
      <c r="J23" s="504">
        <f t="shared" si="0"/>
        <v>46028.43</v>
      </c>
      <c r="K23" s="459">
        <f t="shared" si="0"/>
        <v>46582</v>
      </c>
      <c r="L23" s="505">
        <f t="shared" si="1"/>
        <v>52.186428571428571</v>
      </c>
      <c r="M23" s="464">
        <f t="shared" si="1"/>
        <v>52.635028248587574</v>
      </c>
      <c r="N23" s="366"/>
      <c r="O23" s="446"/>
      <c r="P23" s="446"/>
      <c r="Q23" s="446">
        <v>3780</v>
      </c>
      <c r="R23" s="446">
        <v>3788</v>
      </c>
      <c r="S23" s="647">
        <f t="shared" si="4"/>
        <v>12.176833333333333</v>
      </c>
      <c r="T23" s="305"/>
      <c r="U23" s="305"/>
    </row>
    <row r="24" spans="1:21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5"/>
        <v>0</v>
      </c>
      <c r="E24" s="922"/>
      <c r="F24" s="446">
        <f t="shared" si="3"/>
        <v>3780</v>
      </c>
      <c r="G24" s="503">
        <f t="shared" si="3"/>
        <v>3788</v>
      </c>
      <c r="H24" s="498">
        <f>SUM($F$8:F24)/A24</f>
        <v>1063.125</v>
      </c>
      <c r="I24" s="499">
        <f>SUM($G$8:G24)/A24</f>
        <v>1066.4375</v>
      </c>
      <c r="J24" s="443">
        <f t="shared" si="0"/>
        <v>42248.43</v>
      </c>
      <c r="K24" s="459">
        <f>K23+E24-G24</f>
        <v>42794</v>
      </c>
      <c r="L24" s="495">
        <f t="shared" si="1"/>
        <v>39.739851851851853</v>
      </c>
      <c r="M24" s="464">
        <f t="shared" si="1"/>
        <v>40.127996249194162</v>
      </c>
      <c r="N24" s="366"/>
      <c r="O24" s="446"/>
      <c r="P24" s="446"/>
      <c r="Q24" s="446">
        <v>3780</v>
      </c>
      <c r="R24" s="446">
        <v>3788</v>
      </c>
      <c r="S24" s="647">
        <f t="shared" si="4"/>
        <v>11.176833333333333</v>
      </c>
    </row>
    <row r="25" spans="1:21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>
        <f t="shared" si="5"/>
        <v>0</v>
      </c>
      <c r="E25" s="922"/>
      <c r="F25" s="446">
        <f t="shared" si="3"/>
        <v>1890</v>
      </c>
      <c r="G25" s="503">
        <f t="shared" si="3"/>
        <v>1894</v>
      </c>
      <c r="H25" s="498">
        <f>SUM($F$8:F25)/A25</f>
        <v>1111.7647058823529</v>
      </c>
      <c r="I25" s="499">
        <f>SUM($G$8:G25)/A25</f>
        <v>1115.1176470588234</v>
      </c>
      <c r="J25" s="443">
        <f t="shared" ref="J25:K39" si="6">J24+D25-F25</f>
        <v>40358.43</v>
      </c>
      <c r="K25" s="459">
        <f>K24+E25-G25</f>
        <v>40900</v>
      </c>
      <c r="L25" s="495">
        <f t="shared" ref="L25:M39" si="7">J25/H25</f>
        <v>36.301233333333336</v>
      </c>
      <c r="M25" s="464">
        <f t="shared" si="7"/>
        <v>36.677744368834738</v>
      </c>
      <c r="N25" s="366"/>
      <c r="O25" s="446"/>
      <c r="P25" s="446"/>
      <c r="Q25" s="446">
        <v>1890</v>
      </c>
      <c r="R25" s="446">
        <v>1894</v>
      </c>
      <c r="S25" s="647">
        <f t="shared" si="4"/>
        <v>10.676833333333333</v>
      </c>
    </row>
    <row r="26" spans="1:21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5"/>
        <v>0</v>
      </c>
      <c r="E26" s="922"/>
      <c r="F26" s="446">
        <f t="shared" si="3"/>
        <v>0</v>
      </c>
      <c r="G26" s="503">
        <f t="shared" si="3"/>
        <v>0</v>
      </c>
      <c r="H26" s="498">
        <f>SUM($F$8:F26)/A26</f>
        <v>1050</v>
      </c>
      <c r="I26" s="499">
        <f>SUM($G$8:G26)/A26</f>
        <v>1053.1666666666667</v>
      </c>
      <c r="J26" s="443">
        <f t="shared" si="6"/>
        <v>40358.43</v>
      </c>
      <c r="K26" s="459">
        <f>K25+E26-G26</f>
        <v>40900</v>
      </c>
      <c r="L26" s="495">
        <f t="shared" si="7"/>
        <v>38.436599999999999</v>
      </c>
      <c r="M26" s="464">
        <f t="shared" si="7"/>
        <v>38.835258743472068</v>
      </c>
      <c r="N26" s="366"/>
      <c r="O26" s="446"/>
      <c r="P26" s="446"/>
      <c r="Q26" s="446"/>
      <c r="R26" s="446"/>
      <c r="S26" s="647">
        <f t="shared" si="4"/>
        <v>10.676833333333333</v>
      </c>
    </row>
    <row r="27" spans="1:21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5"/>
        <v>0</v>
      </c>
      <c r="E27" s="922"/>
      <c r="F27" s="446">
        <f t="shared" si="3"/>
        <v>0</v>
      </c>
      <c r="G27" s="503">
        <f t="shared" si="3"/>
        <v>0</v>
      </c>
      <c r="H27" s="498">
        <f>SUM($F$8:F27)/A27</f>
        <v>994.73684210526312</v>
      </c>
      <c r="I27" s="499">
        <f>SUM($G$8:G27)/A27</f>
        <v>997.73684210526312</v>
      </c>
      <c r="J27" s="443">
        <f t="shared" si="6"/>
        <v>40358.43</v>
      </c>
      <c r="K27" s="459">
        <f>K26+E27-G27</f>
        <v>40900</v>
      </c>
      <c r="L27" s="495">
        <f t="shared" si="7"/>
        <v>40.571966666666668</v>
      </c>
      <c r="M27" s="464">
        <f t="shared" si="7"/>
        <v>40.992773118109405</v>
      </c>
      <c r="N27" s="366"/>
      <c r="O27" s="446"/>
      <c r="P27" s="446"/>
      <c r="Q27" s="446"/>
      <c r="R27" s="446"/>
      <c r="S27" s="647">
        <f t="shared" si="4"/>
        <v>10.676833333333333</v>
      </c>
    </row>
    <row r="28" spans="1:21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5"/>
        <v>0</v>
      </c>
      <c r="E28" s="922"/>
      <c r="F28" s="446">
        <f t="shared" si="3"/>
        <v>0</v>
      </c>
      <c r="G28" s="503">
        <f t="shared" si="3"/>
        <v>0</v>
      </c>
      <c r="H28" s="504">
        <f>SUM($F$8:F28)/A28</f>
        <v>945</v>
      </c>
      <c r="I28" s="499">
        <f>SUM($G$8:G28)/A28</f>
        <v>947.85</v>
      </c>
      <c r="J28" s="504">
        <f t="shared" si="6"/>
        <v>40358.43</v>
      </c>
      <c r="K28" s="459">
        <f t="shared" si="6"/>
        <v>40900</v>
      </c>
      <c r="L28" s="505">
        <f t="shared" si="7"/>
        <v>42.707333333333331</v>
      </c>
      <c r="M28" s="464">
        <f t="shared" si="7"/>
        <v>43.150287492746742</v>
      </c>
      <c r="N28" s="366"/>
      <c r="O28" s="446"/>
      <c r="P28" s="446"/>
      <c r="Q28" s="446"/>
      <c r="R28" s="446"/>
      <c r="S28" s="647">
        <f t="shared" si="4"/>
        <v>10.676833333333333</v>
      </c>
    </row>
    <row r="29" spans="1:21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5"/>
        <v>0</v>
      </c>
      <c r="E29" s="922"/>
      <c r="F29" s="446">
        <f t="shared" si="3"/>
        <v>0</v>
      </c>
      <c r="G29" s="503">
        <f t="shared" si="3"/>
        <v>0</v>
      </c>
      <c r="H29" s="498">
        <f>SUM($F$8:F29)/A29</f>
        <v>900</v>
      </c>
      <c r="I29" s="499">
        <f>SUM($G$8:G29)/A29</f>
        <v>902.71428571428567</v>
      </c>
      <c r="J29" s="443">
        <f t="shared" si="6"/>
        <v>40358.43</v>
      </c>
      <c r="K29" s="459">
        <f t="shared" si="6"/>
        <v>40900</v>
      </c>
      <c r="L29" s="495">
        <f t="shared" si="7"/>
        <v>44.842700000000001</v>
      </c>
      <c r="M29" s="464">
        <f t="shared" si="7"/>
        <v>45.307801867384079</v>
      </c>
      <c r="N29" s="366"/>
      <c r="O29" s="446"/>
      <c r="P29" s="446"/>
      <c r="Q29" s="446"/>
      <c r="R29" s="446"/>
      <c r="S29" s="647">
        <f t="shared" si="4"/>
        <v>10.676833333333333</v>
      </c>
    </row>
    <row r="30" spans="1:21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5"/>
        <v>0</v>
      </c>
      <c r="E30" s="922"/>
      <c r="F30" s="446">
        <f t="shared" si="3"/>
        <v>0</v>
      </c>
      <c r="G30" s="503">
        <f t="shared" si="3"/>
        <v>0</v>
      </c>
      <c r="H30" s="498">
        <f>SUM($F$8:F30)/A30</f>
        <v>859.09090909090912</v>
      </c>
      <c r="I30" s="499">
        <f>SUM($G$8:G30)/A30</f>
        <v>861.68181818181813</v>
      </c>
      <c r="J30" s="443">
        <f t="shared" si="6"/>
        <v>40358.43</v>
      </c>
      <c r="K30" s="459">
        <f t="shared" si="6"/>
        <v>40900</v>
      </c>
      <c r="L30" s="495">
        <f t="shared" si="7"/>
        <v>46.978066666666663</v>
      </c>
      <c r="M30" s="464">
        <f t="shared" si="7"/>
        <v>47.465316242021423</v>
      </c>
      <c r="N30" s="366"/>
      <c r="O30" s="446"/>
      <c r="P30" s="446"/>
      <c r="Q30" s="446"/>
      <c r="R30" s="446"/>
      <c r="S30" s="647">
        <f t="shared" si="4"/>
        <v>10.676833333333333</v>
      </c>
    </row>
    <row r="31" spans="1:21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5"/>
        <v>0</v>
      </c>
      <c r="E31" s="922"/>
      <c r="F31" s="446">
        <f t="shared" si="3"/>
        <v>0</v>
      </c>
      <c r="G31" s="503">
        <f t="shared" si="3"/>
        <v>0</v>
      </c>
      <c r="H31" s="498">
        <f>SUM($F$8:F31)/A31</f>
        <v>821.73913043478262</v>
      </c>
      <c r="I31" s="499">
        <f>SUM($G$8:G31)/A31</f>
        <v>824.21739130434787</v>
      </c>
      <c r="J31" s="443">
        <f t="shared" si="6"/>
        <v>40358.43</v>
      </c>
      <c r="K31" s="459">
        <f t="shared" si="6"/>
        <v>40900</v>
      </c>
      <c r="L31" s="495">
        <f t="shared" si="7"/>
        <v>49.113433333333333</v>
      </c>
      <c r="M31" s="464">
        <f t="shared" si="7"/>
        <v>49.622830616658753</v>
      </c>
      <c r="N31" s="366"/>
      <c r="O31" s="446"/>
      <c r="P31" s="446"/>
      <c r="Q31" s="446"/>
      <c r="R31" s="446"/>
      <c r="S31" s="647">
        <f t="shared" si="4"/>
        <v>10.676833333333333</v>
      </c>
    </row>
    <row r="32" spans="1:21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5"/>
        <v>0</v>
      </c>
      <c r="E32" s="922"/>
      <c r="F32" s="446">
        <f t="shared" si="3"/>
        <v>0</v>
      </c>
      <c r="G32" s="503">
        <f t="shared" si="3"/>
        <v>0</v>
      </c>
      <c r="H32" s="498">
        <f>SUM($F$8:F32)/A32</f>
        <v>787.5</v>
      </c>
      <c r="I32" s="499">
        <f>SUM($G$8:G32)/A32</f>
        <v>789.875</v>
      </c>
      <c r="J32" s="443">
        <f t="shared" si="6"/>
        <v>40358.43</v>
      </c>
      <c r="K32" s="459">
        <f t="shared" si="6"/>
        <v>40900</v>
      </c>
      <c r="L32" s="495">
        <f t="shared" si="7"/>
        <v>51.248800000000003</v>
      </c>
      <c r="M32" s="464">
        <f t="shared" si="7"/>
        <v>51.78034499129609</v>
      </c>
      <c r="N32" s="366"/>
      <c r="O32" s="446"/>
      <c r="P32" s="446"/>
      <c r="Q32" s="446"/>
      <c r="R32" s="446"/>
      <c r="S32" s="647">
        <f t="shared" si="4"/>
        <v>10.676833333333333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>
        <f t="shared" si="5"/>
        <v>0</v>
      </c>
      <c r="E33" s="922"/>
      <c r="F33" s="446">
        <f t="shared" si="3"/>
        <v>0</v>
      </c>
      <c r="G33" s="503">
        <f t="shared" si="3"/>
        <v>0</v>
      </c>
      <c r="H33" s="460">
        <f>SUM($F$8:F33)/A33</f>
        <v>756</v>
      </c>
      <c r="I33" s="499">
        <f>SUM($G$8:G33)/A33</f>
        <v>758.28</v>
      </c>
      <c r="J33" s="460">
        <f t="shared" si="6"/>
        <v>40358.43</v>
      </c>
      <c r="K33" s="459">
        <f t="shared" si="6"/>
        <v>40900</v>
      </c>
      <c r="L33" s="506">
        <f t="shared" si="7"/>
        <v>53.384166666666665</v>
      </c>
      <c r="M33" s="464">
        <f t="shared" si="7"/>
        <v>53.937859365933427</v>
      </c>
      <c r="N33" s="366"/>
      <c r="O33" s="446"/>
      <c r="P33" s="446"/>
      <c r="Q33" s="446"/>
      <c r="R33" s="446"/>
      <c r="S33" s="647">
        <f t="shared" si="4"/>
        <v>10.676833333333333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5"/>
        <v>0</v>
      </c>
      <c r="E34" s="922"/>
      <c r="F34" s="446">
        <f t="shared" si="3"/>
        <v>0</v>
      </c>
      <c r="G34" s="503">
        <f t="shared" si="3"/>
        <v>0</v>
      </c>
      <c r="H34" s="498">
        <f>SUM($F$8:F34)/A34</f>
        <v>726.92307692307691</v>
      </c>
      <c r="I34" s="499">
        <f>SUM($G$8:G34)/A34</f>
        <v>729.11538461538464</v>
      </c>
      <c r="J34" s="443">
        <f t="shared" si="6"/>
        <v>40358.43</v>
      </c>
      <c r="K34" s="459">
        <f t="shared" si="6"/>
        <v>40900</v>
      </c>
      <c r="L34" s="495">
        <f t="shared" si="7"/>
        <v>55.519533333333335</v>
      </c>
      <c r="M34" s="464">
        <f t="shared" si="7"/>
        <v>56.095373740570764</v>
      </c>
      <c r="N34" s="366"/>
      <c r="O34" s="446"/>
      <c r="P34" s="446"/>
      <c r="Q34" s="446"/>
      <c r="R34" s="446"/>
      <c r="S34" s="647">
        <f t="shared" si="4"/>
        <v>10.676833333333333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5"/>
        <v>0</v>
      </c>
      <c r="E35" s="922"/>
      <c r="F35" s="446">
        <f t="shared" si="3"/>
        <v>0</v>
      </c>
      <c r="G35" s="503">
        <f t="shared" si="3"/>
        <v>0</v>
      </c>
      <c r="H35" s="498">
        <f>SUM($F$8:F35)/A35</f>
        <v>700</v>
      </c>
      <c r="I35" s="499">
        <f>SUM($G$8:G35)/A35</f>
        <v>702.11111111111109</v>
      </c>
      <c r="J35" s="443">
        <f t="shared" si="6"/>
        <v>40358.43</v>
      </c>
      <c r="K35" s="459">
        <f t="shared" si="6"/>
        <v>40900</v>
      </c>
      <c r="L35" s="495">
        <f t="shared" si="7"/>
        <v>57.654899999999998</v>
      </c>
      <c r="M35" s="464">
        <f t="shared" si="7"/>
        <v>58.252888115208101</v>
      </c>
      <c r="N35" s="366"/>
      <c r="O35" s="446"/>
      <c r="P35" s="446"/>
      <c r="Q35" s="446"/>
      <c r="R35" s="446"/>
      <c r="S35" s="647">
        <f t="shared" si="4"/>
        <v>10.676833333333333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>
        <f>E36-E36*N36</f>
        <v>0</v>
      </c>
      <c r="E36" s="922"/>
      <c r="F36" s="446">
        <f t="shared" si="3"/>
        <v>0</v>
      </c>
      <c r="G36" s="503">
        <f t="shared" si="3"/>
        <v>0</v>
      </c>
      <c r="H36" s="498">
        <f>SUM($F$8:F36)/A36</f>
        <v>675</v>
      </c>
      <c r="I36" s="499">
        <f>SUM($G$8:G36)/A36</f>
        <v>677.03571428571433</v>
      </c>
      <c r="J36" s="443">
        <f t="shared" si="6"/>
        <v>40358.43</v>
      </c>
      <c r="K36" s="459">
        <f t="shared" si="6"/>
        <v>40900</v>
      </c>
      <c r="L36" s="495">
        <f t="shared" si="7"/>
        <v>59.790266666666668</v>
      </c>
      <c r="M36" s="464">
        <f t="shared" si="7"/>
        <v>60.410402489845438</v>
      </c>
      <c r="N36" s="366"/>
      <c r="O36" s="446"/>
      <c r="P36" s="446"/>
      <c r="Q36" s="446"/>
      <c r="R36" s="446"/>
      <c r="S36" s="647">
        <f t="shared" si="4"/>
        <v>10.676833333333333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5"/>
        <v>0</v>
      </c>
      <c r="E37" s="922"/>
      <c r="F37" s="446">
        <f t="shared" si="3"/>
        <v>0</v>
      </c>
      <c r="G37" s="503">
        <f t="shared" si="3"/>
        <v>0</v>
      </c>
      <c r="H37" s="498">
        <f>SUM($F$8:F37)/A37</f>
        <v>651.72413793103453</v>
      </c>
      <c r="I37" s="499">
        <f>SUM($G$8:G37)/A37</f>
        <v>653.68965517241384</v>
      </c>
      <c r="J37" s="443">
        <f t="shared" si="6"/>
        <v>40358.43</v>
      </c>
      <c r="K37" s="459">
        <f t="shared" si="6"/>
        <v>40900</v>
      </c>
      <c r="L37" s="495">
        <f t="shared" si="7"/>
        <v>61.92563333333333</v>
      </c>
      <c r="M37" s="464">
        <f t="shared" si="7"/>
        <v>62.567916864482775</v>
      </c>
      <c r="N37" s="366"/>
      <c r="O37" s="446"/>
      <c r="P37" s="446"/>
      <c r="Q37" s="446"/>
      <c r="R37" s="446"/>
      <c r="S37" s="647">
        <f t="shared" si="4"/>
        <v>10.676833333333333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5"/>
        <v>0</v>
      </c>
      <c r="E38" s="922"/>
      <c r="F38" s="446">
        <f t="shared" si="3"/>
        <v>0</v>
      </c>
      <c r="G38" s="503">
        <f t="shared" si="3"/>
        <v>0</v>
      </c>
      <c r="H38" s="504">
        <f>SUM($F$8:F38)/A38</f>
        <v>630</v>
      </c>
      <c r="I38" s="499">
        <f>SUM($G$8:G38)/A38</f>
        <v>631.9</v>
      </c>
      <c r="J38" s="504">
        <f t="shared" si="6"/>
        <v>40358.43</v>
      </c>
      <c r="K38" s="459">
        <f t="shared" si="6"/>
        <v>40900</v>
      </c>
      <c r="L38" s="505">
        <f t="shared" si="7"/>
        <v>64.061000000000007</v>
      </c>
      <c r="M38" s="464">
        <f t="shared" si="7"/>
        <v>64.725431239120113</v>
      </c>
      <c r="N38" s="366"/>
      <c r="O38" s="446"/>
      <c r="P38" s="446"/>
      <c r="Q38" s="446"/>
      <c r="R38" s="446"/>
      <c r="S38" s="647">
        <f t="shared" si="4"/>
        <v>10.676833333333333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5"/>
        <v>0</v>
      </c>
      <c r="E39" s="922"/>
      <c r="F39" s="446">
        <f t="shared" si="3"/>
        <v>0</v>
      </c>
      <c r="G39" s="503">
        <f t="shared" si="3"/>
        <v>0</v>
      </c>
      <c r="H39" s="498">
        <f>SUM($F$8:F39)/A39</f>
        <v>609.67741935483866</v>
      </c>
      <c r="I39" s="499">
        <f>SUM($G$8:G39)/A39</f>
        <v>611.51612903225805</v>
      </c>
      <c r="J39" s="443">
        <f t="shared" si="6"/>
        <v>40358.43</v>
      </c>
      <c r="K39" s="459">
        <f t="shared" si="6"/>
        <v>40900</v>
      </c>
      <c r="L39" s="495">
        <f t="shared" si="7"/>
        <v>66.196366666666677</v>
      </c>
      <c r="M39" s="464">
        <f t="shared" si="7"/>
        <v>66.882945613757457</v>
      </c>
      <c r="N39" s="366"/>
      <c r="O39" s="446"/>
      <c r="P39" s="446"/>
      <c r="Q39" s="446"/>
      <c r="R39" s="446"/>
      <c r="S39" s="647">
        <f t="shared" si="4"/>
        <v>10.676833333333333</v>
      </c>
    </row>
    <row r="40" spans="1:19" s="374" customFormat="1" ht="12" customHeight="1">
      <c r="A40" s="1293" t="s">
        <v>29</v>
      </c>
      <c r="B40" s="1294"/>
      <c r="C40" s="1295"/>
      <c r="D40" s="388">
        <f>SUM(D9:D39)</f>
        <v>0</v>
      </c>
      <c r="E40" s="388">
        <f>SUM(E9:E39)</f>
        <v>0</v>
      </c>
      <c r="F40" s="389">
        <f>SUM(F9:F39)</f>
        <v>18900</v>
      </c>
      <c r="G40" s="496">
        <f>SUM(G9:G39)</f>
        <v>18957</v>
      </c>
      <c r="H40" s="389"/>
      <c r="I40" s="496"/>
      <c r="J40" s="389">
        <f>J39</f>
        <v>40358.43</v>
      </c>
      <c r="K40" s="461">
        <f>K39</f>
        <v>40900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18900</v>
      </c>
      <c r="R40" s="496">
        <f>SUM(R9:R39)</f>
        <v>18957</v>
      </c>
    </row>
    <row r="41" spans="1:19" s="374" customFormat="1" ht="12" customHeight="1">
      <c r="A41" s="1293" t="s">
        <v>15</v>
      </c>
      <c r="B41" s="1294"/>
      <c r="C41" s="1295"/>
      <c r="D41" s="388">
        <f>D8+D40</f>
        <v>59258.43</v>
      </c>
      <c r="E41" s="388">
        <f>E8+E40</f>
        <v>59857</v>
      </c>
      <c r="F41" s="389">
        <f>F8+F40</f>
        <v>18900</v>
      </c>
      <c r="G41" s="496">
        <f>G8+G40</f>
        <v>18957</v>
      </c>
      <c r="H41" s="389"/>
      <c r="I41" s="496"/>
      <c r="J41" s="389">
        <f>D41-F41</f>
        <v>40358.43</v>
      </c>
      <c r="K41" s="389">
        <f>E41-G41</f>
        <v>40900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963" priority="1" operator="lessThan">
      <formula>15</formula>
    </cfRule>
    <cfRule type="cellIs" dxfId="11962" priority="2" operator="greaterThan">
      <formula>20</formula>
    </cfRule>
    <cfRule type="cellIs" dxfId="11961" priority="3" operator="between">
      <formula>15</formula>
      <formula>20</formula>
    </cfRule>
    <cfRule type="cellIs" dxfId="11960" priority="4" operator="between">
      <formula>15</formula>
      <formula>20</formula>
    </cfRule>
    <cfRule type="cellIs" dxfId="11959" priority="5" operator="lessThan">
      <formula>15</formula>
    </cfRule>
    <cfRule type="cellIs" dxfId="11958" priority="6" operator="greaterThan">
      <formula>20</formula>
    </cfRule>
    <cfRule type="cellIs" dxfId="11957" priority="7" operator="between">
      <formula>15</formula>
      <formula>21</formula>
    </cfRule>
    <cfRule type="cellIs" dxfId="11956" priority="8" operator="lessThan">
      <formula>15</formula>
    </cfRule>
    <cfRule type="cellIs" dxfId="11955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5703125" style="143" customWidth="1"/>
    <col min="4" max="7" width="10.140625" style="142" customWidth="1"/>
    <col min="8" max="9" width="9.28515625" style="142" customWidth="1"/>
    <col min="10" max="11" width="11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908" customFormat="1" ht="18.75" customHeight="1">
      <c r="A4" s="1600" t="s">
        <v>33</v>
      </c>
      <c r="B4" s="1600"/>
      <c r="C4" s="316" t="str">
        <f>J4</f>
        <v>FRIT 320</v>
      </c>
      <c r="D4" s="383"/>
      <c r="E4" s="383" t="s">
        <v>228</v>
      </c>
      <c r="F4" s="383" t="s">
        <v>230</v>
      </c>
      <c r="G4" s="383"/>
      <c r="I4" s="383" t="s">
        <v>120</v>
      </c>
      <c r="J4" s="318" t="s">
        <v>737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/>
      <c r="G8" s="388"/>
      <c r="H8" s="387"/>
      <c r="I8" s="388"/>
      <c r="J8" s="624">
        <f>K8-K8*N8</f>
        <v>0</v>
      </c>
      <c r="K8" s="624">
        <v>0</v>
      </c>
      <c r="L8" s="462"/>
      <c r="M8" s="463"/>
      <c r="N8" s="366">
        <v>0.01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3060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>E9-E9*N9</f>
        <v>0</v>
      </c>
      <c r="E9" s="499"/>
      <c r="F9" s="446">
        <f>O9+Q9</f>
        <v>0</v>
      </c>
      <c r="G9" s="503">
        <f>P9+R9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0</v>
      </c>
      <c r="K9" s="459">
        <f>K8+E9-G9</f>
        <v>0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ref="D10:D19" si="2">E10-E10*N10</f>
        <v>0</v>
      </c>
      <c r="E10" s="499"/>
      <c r="F10" s="446">
        <f t="shared" ref="F10:G39" si="3">O10+Q10</f>
        <v>0</v>
      </c>
      <c r="G10" s="503">
        <f t="shared" si="3"/>
        <v>0</v>
      </c>
      <c r="H10" s="498">
        <f>SUM($F$8:F10)/A10</f>
        <v>0</v>
      </c>
      <c r="I10" s="499">
        <f>SUM($G$8:G10)/A10</f>
        <v>0</v>
      </c>
      <c r="J10" s="443">
        <f t="shared" si="0"/>
        <v>0</v>
      </c>
      <c r="K10" s="459">
        <f t="shared" si="0"/>
        <v>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2"/>
        <v>0</v>
      </c>
      <c r="E11" s="499"/>
      <c r="F11" s="446">
        <f t="shared" si="3"/>
        <v>0</v>
      </c>
      <c r="G11" s="503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0</v>
      </c>
      <c r="K11" s="459">
        <f t="shared" si="0"/>
        <v>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2"/>
        <v>0</v>
      </c>
      <c r="E12" s="499"/>
      <c r="F12" s="446">
        <f t="shared" si="3"/>
        <v>0</v>
      </c>
      <c r="G12" s="503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0</v>
      </c>
      <c r="K12" s="459">
        <f t="shared" si="0"/>
        <v>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2"/>
        <v>0</v>
      </c>
      <c r="E13" s="499"/>
      <c r="F13" s="446">
        <f t="shared" si="3"/>
        <v>0</v>
      </c>
      <c r="G13" s="503">
        <f t="shared" si="3"/>
        <v>0</v>
      </c>
      <c r="H13" s="504">
        <f>SUM($F$8:F13)/A13</f>
        <v>0</v>
      </c>
      <c r="I13" s="499">
        <f>SUM($G$8:G13)/A13</f>
        <v>0</v>
      </c>
      <c r="J13" s="504">
        <f t="shared" si="0"/>
        <v>0</v>
      </c>
      <c r="K13" s="459">
        <f t="shared" si="0"/>
        <v>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2"/>
        <v>0</v>
      </c>
      <c r="E14" s="499"/>
      <c r="F14" s="446">
        <f t="shared" si="3"/>
        <v>0</v>
      </c>
      <c r="G14" s="503">
        <f t="shared" si="3"/>
        <v>0</v>
      </c>
      <c r="H14" s="498">
        <f>SUM($F$8:F14)/A14</f>
        <v>0</v>
      </c>
      <c r="I14" s="499">
        <f>SUM($G$8:G14)/A14</f>
        <v>0</v>
      </c>
      <c r="J14" s="443">
        <f t="shared" si="0"/>
        <v>0</v>
      </c>
      <c r="K14" s="459">
        <f t="shared" si="0"/>
        <v>0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2"/>
        <v>0</v>
      </c>
      <c r="E15" s="499"/>
      <c r="F15" s="446">
        <f t="shared" si="3"/>
        <v>0</v>
      </c>
      <c r="G15" s="503">
        <f t="shared" si="3"/>
        <v>0</v>
      </c>
      <c r="H15" s="498">
        <f>SUM($F$8:F15)/A15</f>
        <v>0</v>
      </c>
      <c r="I15" s="499">
        <f>SUM($G$8:G15)/A15</f>
        <v>0</v>
      </c>
      <c r="J15" s="443">
        <f t="shared" si="0"/>
        <v>0</v>
      </c>
      <c r="K15" s="459">
        <f t="shared" si="0"/>
        <v>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2"/>
        <v>0</v>
      </c>
      <c r="E16" s="499"/>
      <c r="F16" s="446">
        <f t="shared" si="3"/>
        <v>0</v>
      </c>
      <c r="G16" s="503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0</v>
      </c>
      <c r="K16" s="459">
        <f t="shared" si="0"/>
        <v>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2"/>
        <v>0</v>
      </c>
      <c r="E17" s="499"/>
      <c r="F17" s="446">
        <f t="shared" si="3"/>
        <v>0</v>
      </c>
      <c r="G17" s="503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0</v>
      </c>
      <c r="K17" s="459">
        <f t="shared" si="0"/>
        <v>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2"/>
        <v>0</v>
      </c>
      <c r="E18" s="499"/>
      <c r="F18" s="446">
        <f t="shared" si="3"/>
        <v>0</v>
      </c>
      <c r="G18" s="503">
        <f t="shared" si="3"/>
        <v>0</v>
      </c>
      <c r="H18" s="504">
        <f>SUM($F$8:F18)/A18</f>
        <v>0</v>
      </c>
      <c r="I18" s="499">
        <f>SUM($G$8:G18)/A18</f>
        <v>0</v>
      </c>
      <c r="J18" s="504">
        <f t="shared" si="0"/>
        <v>0</v>
      </c>
      <c r="K18" s="459">
        <f t="shared" si="0"/>
        <v>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2"/>
        <v>0</v>
      </c>
      <c r="E19" s="499"/>
      <c r="F19" s="446">
        <f t="shared" si="3"/>
        <v>0</v>
      </c>
      <c r="G19" s="503">
        <f t="shared" si="3"/>
        <v>0</v>
      </c>
      <c r="H19" s="498">
        <f>SUM($F$8:F19)/A19</f>
        <v>0</v>
      </c>
      <c r="I19" s="499">
        <f>SUM($G$8:G19)/A19</f>
        <v>0</v>
      </c>
      <c r="J19" s="443">
        <f t="shared" si="0"/>
        <v>0</v>
      </c>
      <c r="K19" s="459">
        <f t="shared" si="0"/>
        <v>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>E20-E20*N20</f>
        <v>0</v>
      </c>
      <c r="E20" s="499"/>
      <c r="F20" s="446">
        <f t="shared" si="3"/>
        <v>0</v>
      </c>
      <c r="G20" s="503">
        <f t="shared" si="3"/>
        <v>0</v>
      </c>
      <c r="H20" s="498">
        <f>SUM($F$8:F20)/A20</f>
        <v>0</v>
      </c>
      <c r="I20" s="499">
        <f>SUM($G$8:G20)/A20</f>
        <v>0</v>
      </c>
      <c r="J20" s="443">
        <f t="shared" si="0"/>
        <v>0</v>
      </c>
      <c r="K20" s="459">
        <f t="shared" si="0"/>
        <v>0</v>
      </c>
      <c r="L20" s="495" t="e">
        <f t="shared" si="1"/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ref="D21:D39" si="5">E21-E21*N21</f>
        <v>0</v>
      </c>
      <c r="E21" s="499"/>
      <c r="F21" s="446">
        <f t="shared" si="3"/>
        <v>0</v>
      </c>
      <c r="G21" s="503">
        <f t="shared" si="3"/>
        <v>0</v>
      </c>
      <c r="H21" s="498">
        <f>SUM($F$8:F21)/A21</f>
        <v>0</v>
      </c>
      <c r="I21" s="499">
        <f>SUM($G$8:G21)/A21</f>
        <v>0</v>
      </c>
      <c r="J21" s="443">
        <f t="shared" si="0"/>
        <v>0</v>
      </c>
      <c r="K21" s="459">
        <f>K20+E21-G21</f>
        <v>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5"/>
        <v>0</v>
      </c>
      <c r="E22" s="499"/>
      <c r="F22" s="446">
        <f t="shared" si="3"/>
        <v>0</v>
      </c>
      <c r="G22" s="503">
        <f t="shared" si="3"/>
        <v>0</v>
      </c>
      <c r="H22" s="498">
        <f>SUM($F$8:F22)/A22</f>
        <v>0</v>
      </c>
      <c r="I22" s="499">
        <f>SUM($G$8:G22)/A22</f>
        <v>0</v>
      </c>
      <c r="J22" s="443">
        <f t="shared" si="0"/>
        <v>0</v>
      </c>
      <c r="K22" s="459">
        <f>K21+E22-G22</f>
        <v>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5"/>
        <v>0</v>
      </c>
      <c r="E23" s="499"/>
      <c r="F23" s="446">
        <f t="shared" si="3"/>
        <v>0</v>
      </c>
      <c r="G23" s="503">
        <f t="shared" si="3"/>
        <v>0</v>
      </c>
      <c r="H23" s="504">
        <f>SUM($F$8:F23)/A23</f>
        <v>0</v>
      </c>
      <c r="I23" s="499">
        <f>SUM($G$8:G23)/A23</f>
        <v>0</v>
      </c>
      <c r="J23" s="504">
        <f t="shared" si="0"/>
        <v>0</v>
      </c>
      <c r="K23" s="459">
        <f t="shared" si="0"/>
        <v>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5"/>
        <v>0</v>
      </c>
      <c r="E24" s="499"/>
      <c r="F24" s="446">
        <f t="shared" si="3"/>
        <v>0</v>
      </c>
      <c r="G24" s="503">
        <f t="shared" si="3"/>
        <v>0</v>
      </c>
      <c r="H24" s="498">
        <f>SUM($F$8:F24)/A24</f>
        <v>0</v>
      </c>
      <c r="I24" s="499">
        <f>SUM($G$8:G24)/A24</f>
        <v>0</v>
      </c>
      <c r="J24" s="443">
        <f t="shared" si="0"/>
        <v>0</v>
      </c>
      <c r="K24" s="459">
        <f>K23+E24-G24</f>
        <v>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>
        <f t="shared" si="5"/>
        <v>0</v>
      </c>
      <c r="E25" s="499"/>
      <c r="F25" s="446">
        <f t="shared" si="3"/>
        <v>0</v>
      </c>
      <c r="G25" s="503">
        <f t="shared" si="3"/>
        <v>0</v>
      </c>
      <c r="H25" s="498">
        <f>SUM($F$8:F25)/A25</f>
        <v>0</v>
      </c>
      <c r="I25" s="499">
        <f>SUM($G$8:G25)/A25</f>
        <v>0</v>
      </c>
      <c r="J25" s="443">
        <f t="shared" ref="J25:K39" si="6">J24+D25-F25</f>
        <v>0</v>
      </c>
      <c r="K25" s="459">
        <f>K24+E25-G25</f>
        <v>0</v>
      </c>
      <c r="L25" s="495" t="e">
        <f t="shared" ref="L25:M39" si="7">J25/H25</f>
        <v>#DIV/0!</v>
      </c>
      <c r="M25" s="464" t="e">
        <f t="shared" si="7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5"/>
        <v>0</v>
      </c>
      <c r="E26" s="499"/>
      <c r="F26" s="446">
        <f t="shared" si="3"/>
        <v>0</v>
      </c>
      <c r="G26" s="503">
        <f t="shared" si="3"/>
        <v>0</v>
      </c>
      <c r="H26" s="498">
        <f>SUM($F$8:F26)/A26</f>
        <v>0</v>
      </c>
      <c r="I26" s="499">
        <f>SUM($G$8:G26)/A26</f>
        <v>0</v>
      </c>
      <c r="J26" s="443">
        <f t="shared" si="6"/>
        <v>0</v>
      </c>
      <c r="K26" s="459">
        <f>K25+E26-G26</f>
        <v>0</v>
      </c>
      <c r="L26" s="495" t="e">
        <f t="shared" si="7"/>
        <v>#DIV/0!</v>
      </c>
      <c r="M26" s="464" t="e">
        <f t="shared" si="7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5"/>
        <v>0</v>
      </c>
      <c r="E27" s="499"/>
      <c r="F27" s="446">
        <f t="shared" si="3"/>
        <v>0</v>
      </c>
      <c r="G27" s="503">
        <f t="shared" si="3"/>
        <v>0</v>
      </c>
      <c r="H27" s="498">
        <f>SUM($F$8:F27)/A27</f>
        <v>0</v>
      </c>
      <c r="I27" s="499">
        <f>SUM($G$8:G27)/A27</f>
        <v>0</v>
      </c>
      <c r="J27" s="443">
        <f t="shared" si="6"/>
        <v>0</v>
      </c>
      <c r="K27" s="459">
        <f>K26+E27-G27</f>
        <v>0</v>
      </c>
      <c r="L27" s="495" t="e">
        <f t="shared" si="7"/>
        <v>#DIV/0!</v>
      </c>
      <c r="M27" s="464" t="e">
        <f t="shared" si="7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5"/>
        <v>0</v>
      </c>
      <c r="E28" s="499"/>
      <c r="F28" s="446">
        <f t="shared" si="3"/>
        <v>0</v>
      </c>
      <c r="G28" s="503">
        <f t="shared" si="3"/>
        <v>0</v>
      </c>
      <c r="H28" s="504">
        <f>SUM($F$8:F28)/A28</f>
        <v>0</v>
      </c>
      <c r="I28" s="499">
        <f>SUM($G$8:G28)/A28</f>
        <v>0</v>
      </c>
      <c r="J28" s="504">
        <f t="shared" si="6"/>
        <v>0</v>
      </c>
      <c r="K28" s="459">
        <f t="shared" si="6"/>
        <v>0</v>
      </c>
      <c r="L28" s="505" t="e">
        <f t="shared" si="7"/>
        <v>#DIV/0!</v>
      </c>
      <c r="M28" s="464" t="e">
        <f t="shared" si="7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5"/>
        <v>0</v>
      </c>
      <c r="E29" s="499"/>
      <c r="F29" s="446">
        <f t="shared" si="3"/>
        <v>0</v>
      </c>
      <c r="G29" s="503">
        <f t="shared" si="3"/>
        <v>0</v>
      </c>
      <c r="H29" s="498">
        <f>SUM($F$8:F29)/A29</f>
        <v>0</v>
      </c>
      <c r="I29" s="499">
        <f>SUM($G$8:G29)/A29</f>
        <v>0</v>
      </c>
      <c r="J29" s="443">
        <f t="shared" si="6"/>
        <v>0</v>
      </c>
      <c r="K29" s="459">
        <f t="shared" si="6"/>
        <v>0</v>
      </c>
      <c r="L29" s="495" t="e">
        <f t="shared" si="7"/>
        <v>#DIV/0!</v>
      </c>
      <c r="M29" s="464" t="e">
        <f t="shared" si="7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5"/>
        <v>0</v>
      </c>
      <c r="E30" s="499"/>
      <c r="F30" s="446">
        <f t="shared" si="3"/>
        <v>0</v>
      </c>
      <c r="G30" s="503">
        <f t="shared" si="3"/>
        <v>0</v>
      </c>
      <c r="H30" s="498">
        <f>SUM($F$8:F30)/A30</f>
        <v>0</v>
      </c>
      <c r="I30" s="499">
        <f>SUM($G$8:G30)/A30</f>
        <v>0</v>
      </c>
      <c r="J30" s="443">
        <f t="shared" si="6"/>
        <v>0</v>
      </c>
      <c r="K30" s="459">
        <f t="shared" si="6"/>
        <v>0</v>
      </c>
      <c r="L30" s="495" t="e">
        <f t="shared" si="7"/>
        <v>#DIV/0!</v>
      </c>
      <c r="M30" s="464" t="e">
        <f t="shared" si="7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5"/>
        <v>0</v>
      </c>
      <c r="E31" s="499"/>
      <c r="F31" s="446">
        <f t="shared" si="3"/>
        <v>0</v>
      </c>
      <c r="G31" s="503">
        <f t="shared" si="3"/>
        <v>0</v>
      </c>
      <c r="H31" s="498">
        <f>SUM($F$8:F31)/A31</f>
        <v>0</v>
      </c>
      <c r="I31" s="499">
        <f>SUM($G$8:G31)/A31</f>
        <v>0</v>
      </c>
      <c r="J31" s="443">
        <f t="shared" si="6"/>
        <v>0</v>
      </c>
      <c r="K31" s="459">
        <f t="shared" si="6"/>
        <v>0</v>
      </c>
      <c r="L31" s="495" t="e">
        <f t="shared" si="7"/>
        <v>#DIV/0!</v>
      </c>
      <c r="M31" s="464" t="e">
        <f t="shared" si="7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5"/>
        <v>0</v>
      </c>
      <c r="E32" s="499"/>
      <c r="F32" s="446">
        <f t="shared" si="3"/>
        <v>0</v>
      </c>
      <c r="G32" s="503">
        <f t="shared" si="3"/>
        <v>0</v>
      </c>
      <c r="H32" s="498">
        <f>SUM($F$8:F32)/A32</f>
        <v>0</v>
      </c>
      <c r="I32" s="499">
        <f>SUM($G$8:G32)/A32</f>
        <v>0</v>
      </c>
      <c r="J32" s="443">
        <f t="shared" si="6"/>
        <v>0</v>
      </c>
      <c r="K32" s="459">
        <f t="shared" si="6"/>
        <v>0</v>
      </c>
      <c r="L32" s="495" t="e">
        <f t="shared" si="7"/>
        <v>#DIV/0!</v>
      </c>
      <c r="M32" s="464" t="e">
        <f t="shared" si="7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>
        <f t="shared" si="5"/>
        <v>0</v>
      </c>
      <c r="E33" s="499"/>
      <c r="F33" s="446">
        <f t="shared" si="3"/>
        <v>0</v>
      </c>
      <c r="G33" s="503">
        <f t="shared" si="3"/>
        <v>0</v>
      </c>
      <c r="H33" s="460">
        <f>SUM($F$8:F33)/A33</f>
        <v>0</v>
      </c>
      <c r="I33" s="499">
        <f>SUM($G$8:G33)/A33</f>
        <v>0</v>
      </c>
      <c r="J33" s="460">
        <f t="shared" si="6"/>
        <v>0</v>
      </c>
      <c r="K33" s="459">
        <f t="shared" si="6"/>
        <v>0</v>
      </c>
      <c r="L33" s="506" t="e">
        <f t="shared" si="7"/>
        <v>#DIV/0!</v>
      </c>
      <c r="M33" s="464" t="e">
        <f t="shared" si="7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5"/>
        <v>0</v>
      </c>
      <c r="E34" s="499"/>
      <c r="F34" s="446">
        <f t="shared" si="3"/>
        <v>0</v>
      </c>
      <c r="G34" s="503">
        <f t="shared" si="3"/>
        <v>0</v>
      </c>
      <c r="H34" s="498">
        <f>SUM($F$8:F34)/A34</f>
        <v>0</v>
      </c>
      <c r="I34" s="499">
        <f>SUM($G$8:G34)/A34</f>
        <v>0</v>
      </c>
      <c r="J34" s="443">
        <f t="shared" si="6"/>
        <v>0</v>
      </c>
      <c r="K34" s="459">
        <f t="shared" si="6"/>
        <v>0</v>
      </c>
      <c r="L34" s="495" t="e">
        <f t="shared" si="7"/>
        <v>#DIV/0!</v>
      </c>
      <c r="M34" s="464" t="e">
        <f t="shared" si="7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5"/>
        <v>0</v>
      </c>
      <c r="E35" s="499"/>
      <c r="F35" s="446">
        <f t="shared" si="3"/>
        <v>0</v>
      </c>
      <c r="G35" s="503">
        <f t="shared" si="3"/>
        <v>0</v>
      </c>
      <c r="H35" s="498">
        <f>SUM($F$8:F35)/A35</f>
        <v>0</v>
      </c>
      <c r="I35" s="499">
        <f>SUM($G$8:G35)/A35</f>
        <v>0</v>
      </c>
      <c r="J35" s="443">
        <f t="shared" si="6"/>
        <v>0</v>
      </c>
      <c r="K35" s="459">
        <f t="shared" si="6"/>
        <v>0</v>
      </c>
      <c r="L35" s="495" t="e">
        <f t="shared" si="7"/>
        <v>#DIV/0!</v>
      </c>
      <c r="M35" s="464" t="e">
        <f t="shared" si="7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>
        <f>E36-E36*N36</f>
        <v>0</v>
      </c>
      <c r="E36" s="499"/>
      <c r="F36" s="446">
        <f t="shared" si="3"/>
        <v>0</v>
      </c>
      <c r="G36" s="503">
        <f t="shared" si="3"/>
        <v>0</v>
      </c>
      <c r="H36" s="498">
        <f>SUM($F$8:F36)/A36</f>
        <v>0</v>
      </c>
      <c r="I36" s="499">
        <f>SUM($G$8:G36)/A36</f>
        <v>0</v>
      </c>
      <c r="J36" s="443">
        <f t="shared" si="6"/>
        <v>0</v>
      </c>
      <c r="K36" s="459">
        <f t="shared" si="6"/>
        <v>0</v>
      </c>
      <c r="L36" s="495" t="e">
        <f t="shared" si="7"/>
        <v>#DIV/0!</v>
      </c>
      <c r="M36" s="464" t="e">
        <f t="shared" si="7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5"/>
        <v>0</v>
      </c>
      <c r="E37" s="499"/>
      <c r="F37" s="446">
        <f t="shared" si="3"/>
        <v>0</v>
      </c>
      <c r="G37" s="503">
        <f t="shared" si="3"/>
        <v>0</v>
      </c>
      <c r="H37" s="498">
        <f>SUM($F$8:F37)/A37</f>
        <v>0</v>
      </c>
      <c r="I37" s="499">
        <f>SUM($G$8:G37)/A37</f>
        <v>0</v>
      </c>
      <c r="J37" s="443">
        <f t="shared" si="6"/>
        <v>0</v>
      </c>
      <c r="K37" s="459">
        <f t="shared" si="6"/>
        <v>0</v>
      </c>
      <c r="L37" s="495" t="e">
        <f t="shared" si="7"/>
        <v>#DIV/0!</v>
      </c>
      <c r="M37" s="464" t="e">
        <f t="shared" si="7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5"/>
        <v>0</v>
      </c>
      <c r="E38" s="499"/>
      <c r="F38" s="446">
        <f t="shared" si="3"/>
        <v>0</v>
      </c>
      <c r="G38" s="503">
        <f t="shared" si="3"/>
        <v>0</v>
      </c>
      <c r="H38" s="504">
        <f>SUM($F$8:F38)/A38</f>
        <v>0</v>
      </c>
      <c r="I38" s="499">
        <f>SUM($G$8:G38)/A38</f>
        <v>0</v>
      </c>
      <c r="J38" s="504">
        <f t="shared" si="6"/>
        <v>0</v>
      </c>
      <c r="K38" s="459">
        <f t="shared" si="6"/>
        <v>0</v>
      </c>
      <c r="L38" s="505" t="e">
        <f t="shared" si="7"/>
        <v>#DIV/0!</v>
      </c>
      <c r="M38" s="464" t="e">
        <f t="shared" si="7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5"/>
        <v>0</v>
      </c>
      <c r="E39" s="499"/>
      <c r="F39" s="446">
        <f t="shared" si="3"/>
        <v>0</v>
      </c>
      <c r="G39" s="503">
        <f t="shared" si="3"/>
        <v>0</v>
      </c>
      <c r="H39" s="498">
        <f>SUM($F$8:F39)/A39</f>
        <v>0</v>
      </c>
      <c r="I39" s="499">
        <f>SUM($G$8:G39)/A39</f>
        <v>0</v>
      </c>
      <c r="J39" s="443">
        <f t="shared" si="6"/>
        <v>0</v>
      </c>
      <c r="K39" s="459">
        <f t="shared" si="6"/>
        <v>0</v>
      </c>
      <c r="L39" s="495" t="e">
        <f t="shared" si="7"/>
        <v>#DIV/0!</v>
      </c>
      <c r="M39" s="464" t="e">
        <f t="shared" si="7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909" t="s">
        <v>29</v>
      </c>
      <c r="B40" s="910"/>
      <c r="C40" s="911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909" t="s">
        <v>15</v>
      </c>
      <c r="B41" s="910"/>
      <c r="C41" s="911"/>
      <c r="D41" s="388">
        <f>D8+D40</f>
        <v>0</v>
      </c>
      <c r="E41" s="388">
        <f>E8+E40</f>
        <v>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954" priority="1" operator="lessThan">
      <formula>15</formula>
    </cfRule>
    <cfRule type="cellIs" dxfId="11953" priority="2" operator="greaterThan">
      <formula>20</formula>
    </cfRule>
    <cfRule type="cellIs" dxfId="11952" priority="3" operator="between">
      <formula>15</formula>
      <formula>20</formula>
    </cfRule>
    <cfRule type="cellIs" dxfId="11951" priority="4" operator="between">
      <formula>15</formula>
      <formula>20</formula>
    </cfRule>
    <cfRule type="cellIs" dxfId="11950" priority="5" operator="lessThan">
      <formula>15</formula>
    </cfRule>
    <cfRule type="cellIs" dxfId="11949" priority="6" operator="greaterThan">
      <formula>20</formula>
    </cfRule>
    <cfRule type="cellIs" dxfId="11948" priority="7" operator="between">
      <formula>15</formula>
      <formula>21</formula>
    </cfRule>
    <cfRule type="cellIs" dxfId="11947" priority="8" operator="lessThan">
      <formula>15</formula>
    </cfRule>
    <cfRule type="cellIs" dxfId="11946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5703125" style="143" customWidth="1"/>
    <col min="4" max="7" width="10.140625" style="142" customWidth="1"/>
    <col min="8" max="9" width="9.28515625" style="142" customWidth="1"/>
    <col min="10" max="11" width="11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917" customFormat="1" ht="18.75" customHeight="1">
      <c r="A4" s="1600" t="s">
        <v>33</v>
      </c>
      <c r="B4" s="1600"/>
      <c r="C4" s="316" t="str">
        <f>J4</f>
        <v>FRIT 515</v>
      </c>
      <c r="D4" s="383"/>
      <c r="E4" s="383" t="s">
        <v>228</v>
      </c>
      <c r="F4" s="383" t="s">
        <v>230</v>
      </c>
      <c r="G4" s="383"/>
      <c r="I4" s="383" t="s">
        <v>120</v>
      </c>
      <c r="J4" s="318" t="s">
        <v>747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50</v>
      </c>
      <c r="E8" s="388">
        <f>K8</f>
        <v>50</v>
      </c>
      <c r="F8" s="389"/>
      <c r="G8" s="388"/>
      <c r="H8" s="387"/>
      <c r="I8" s="388"/>
      <c r="J8" s="624">
        <f>K8-K8*N8</f>
        <v>50</v>
      </c>
      <c r="K8" s="624">
        <v>50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3060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>E9-E9*N9</f>
        <v>0</v>
      </c>
      <c r="E9" s="499"/>
      <c r="F9" s="446">
        <f>O9+Q9</f>
        <v>0</v>
      </c>
      <c r="G9" s="503">
        <f>P9+R9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50</v>
      </c>
      <c r="K9" s="459">
        <f>K8+E9-G9</f>
        <v>50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1.6339869281045753E-2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ref="D10:D19" si="2">E10-E10*N10</f>
        <v>0</v>
      </c>
      <c r="E10" s="499"/>
      <c r="F10" s="446">
        <f t="shared" ref="F10:G39" si="3">O10+Q10</f>
        <v>0</v>
      </c>
      <c r="G10" s="503">
        <f t="shared" si="3"/>
        <v>0</v>
      </c>
      <c r="H10" s="498">
        <f>SUM($F$8:F10)/A10</f>
        <v>0</v>
      </c>
      <c r="I10" s="499">
        <f>SUM($G$8:G10)/A10</f>
        <v>0</v>
      </c>
      <c r="J10" s="443">
        <f t="shared" si="0"/>
        <v>50</v>
      </c>
      <c r="K10" s="459">
        <f t="shared" si="0"/>
        <v>50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1.6339869281045753E-2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2"/>
        <v>0</v>
      </c>
      <c r="E11" s="499"/>
      <c r="F11" s="446">
        <f t="shared" si="3"/>
        <v>0</v>
      </c>
      <c r="G11" s="503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50</v>
      </c>
      <c r="K11" s="459">
        <f t="shared" si="0"/>
        <v>50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1.6339869281045753E-2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2"/>
        <v>0</v>
      </c>
      <c r="E12" s="499"/>
      <c r="F12" s="446">
        <f t="shared" si="3"/>
        <v>0</v>
      </c>
      <c r="G12" s="503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50</v>
      </c>
      <c r="K12" s="459">
        <f t="shared" si="0"/>
        <v>50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1.6339869281045753E-2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2"/>
        <v>0</v>
      </c>
      <c r="E13" s="499"/>
      <c r="F13" s="446">
        <f t="shared" si="3"/>
        <v>0</v>
      </c>
      <c r="G13" s="503">
        <f t="shared" si="3"/>
        <v>0</v>
      </c>
      <c r="H13" s="504">
        <f>SUM($F$8:F13)/A13</f>
        <v>0</v>
      </c>
      <c r="I13" s="499">
        <f>SUM($G$8:G13)/A13</f>
        <v>0</v>
      </c>
      <c r="J13" s="504">
        <f t="shared" si="0"/>
        <v>50</v>
      </c>
      <c r="K13" s="459">
        <f t="shared" si="0"/>
        <v>50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1.6339869281045753E-2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2"/>
        <v>0</v>
      </c>
      <c r="E14" s="499"/>
      <c r="F14" s="446">
        <f t="shared" si="3"/>
        <v>0</v>
      </c>
      <c r="G14" s="503">
        <f t="shared" si="3"/>
        <v>0</v>
      </c>
      <c r="H14" s="498">
        <f>SUM($F$8:F14)/A14</f>
        <v>0</v>
      </c>
      <c r="I14" s="499">
        <f>SUM($G$8:G14)/A14</f>
        <v>0</v>
      </c>
      <c r="J14" s="443">
        <f t="shared" si="0"/>
        <v>50</v>
      </c>
      <c r="K14" s="459">
        <f t="shared" si="0"/>
        <v>50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1.6339869281045753E-2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2"/>
        <v>0</v>
      </c>
      <c r="E15" s="499"/>
      <c r="F15" s="446">
        <f t="shared" si="3"/>
        <v>0</v>
      </c>
      <c r="G15" s="503">
        <f t="shared" si="3"/>
        <v>0</v>
      </c>
      <c r="H15" s="498">
        <f>SUM($F$8:F15)/A15</f>
        <v>0</v>
      </c>
      <c r="I15" s="499">
        <f>SUM($G$8:G15)/A15</f>
        <v>0</v>
      </c>
      <c r="J15" s="443">
        <f t="shared" si="0"/>
        <v>50</v>
      </c>
      <c r="K15" s="459">
        <f t="shared" si="0"/>
        <v>50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1.6339869281045753E-2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2"/>
        <v>0</v>
      </c>
      <c r="E16" s="499"/>
      <c r="F16" s="446">
        <f t="shared" si="3"/>
        <v>0</v>
      </c>
      <c r="G16" s="503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50</v>
      </c>
      <c r="K16" s="459">
        <f t="shared" si="0"/>
        <v>50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1.6339869281045753E-2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2"/>
        <v>0</v>
      </c>
      <c r="E17" s="499"/>
      <c r="F17" s="446">
        <f t="shared" si="3"/>
        <v>0</v>
      </c>
      <c r="G17" s="503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50</v>
      </c>
      <c r="K17" s="459">
        <f t="shared" si="0"/>
        <v>50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1.6339869281045753E-2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2"/>
        <v>0</v>
      </c>
      <c r="E18" s="499"/>
      <c r="F18" s="446">
        <f t="shared" si="3"/>
        <v>0</v>
      </c>
      <c r="G18" s="503">
        <f t="shared" si="3"/>
        <v>0</v>
      </c>
      <c r="H18" s="504">
        <f>SUM($F$8:F18)/A18</f>
        <v>0</v>
      </c>
      <c r="I18" s="499">
        <f>SUM($G$8:G18)/A18</f>
        <v>0</v>
      </c>
      <c r="J18" s="504">
        <f t="shared" si="0"/>
        <v>50</v>
      </c>
      <c r="K18" s="459">
        <f t="shared" si="0"/>
        <v>50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1.6339869281045753E-2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2"/>
        <v>0</v>
      </c>
      <c r="E19" s="499"/>
      <c r="F19" s="446">
        <f t="shared" si="3"/>
        <v>0</v>
      </c>
      <c r="G19" s="503">
        <f t="shared" si="3"/>
        <v>0</v>
      </c>
      <c r="H19" s="498">
        <f>SUM($F$8:F19)/A19</f>
        <v>0</v>
      </c>
      <c r="I19" s="499">
        <f>SUM($G$8:G19)/A19</f>
        <v>0</v>
      </c>
      <c r="J19" s="443">
        <f t="shared" si="0"/>
        <v>50</v>
      </c>
      <c r="K19" s="459">
        <f t="shared" si="0"/>
        <v>50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1.6339869281045753E-2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>E20-E20*N20</f>
        <v>0</v>
      </c>
      <c r="E20" s="499"/>
      <c r="F20" s="446">
        <f t="shared" si="3"/>
        <v>0</v>
      </c>
      <c r="G20" s="503">
        <f t="shared" si="3"/>
        <v>0</v>
      </c>
      <c r="H20" s="498">
        <f>SUM($F$8:F20)/A20</f>
        <v>0</v>
      </c>
      <c r="I20" s="499">
        <f>SUM($G$8:G20)/A20</f>
        <v>0</v>
      </c>
      <c r="J20" s="443">
        <f t="shared" si="0"/>
        <v>50</v>
      </c>
      <c r="K20" s="459">
        <f t="shared" si="0"/>
        <v>50</v>
      </c>
      <c r="L20" s="495" t="e">
        <f t="shared" si="1"/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1.6339869281045753E-2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ref="D21:D39" si="5">E21-E21*N21</f>
        <v>0</v>
      </c>
      <c r="E21" s="499"/>
      <c r="F21" s="446">
        <f t="shared" si="3"/>
        <v>0</v>
      </c>
      <c r="G21" s="503">
        <f t="shared" si="3"/>
        <v>0</v>
      </c>
      <c r="H21" s="498">
        <f>SUM($F$8:F21)/A21</f>
        <v>0</v>
      </c>
      <c r="I21" s="499">
        <f>SUM($G$8:G21)/A21</f>
        <v>0</v>
      </c>
      <c r="J21" s="443">
        <f t="shared" si="0"/>
        <v>50</v>
      </c>
      <c r="K21" s="459">
        <f>K20+E21-G21</f>
        <v>50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1.6339869281045753E-2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5"/>
        <v>0</v>
      </c>
      <c r="E22" s="499"/>
      <c r="F22" s="446">
        <f t="shared" si="3"/>
        <v>0</v>
      </c>
      <c r="G22" s="503">
        <f t="shared" si="3"/>
        <v>0</v>
      </c>
      <c r="H22" s="498">
        <f>SUM($F$8:F22)/A22</f>
        <v>0</v>
      </c>
      <c r="I22" s="499">
        <f>SUM($G$8:G22)/A22</f>
        <v>0</v>
      </c>
      <c r="J22" s="443">
        <f t="shared" si="0"/>
        <v>50</v>
      </c>
      <c r="K22" s="459">
        <f>K21+E22-G22</f>
        <v>50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1.6339869281045753E-2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5"/>
        <v>0</v>
      </c>
      <c r="E23" s="499"/>
      <c r="F23" s="446">
        <f t="shared" si="3"/>
        <v>0</v>
      </c>
      <c r="G23" s="503">
        <f t="shared" si="3"/>
        <v>0</v>
      </c>
      <c r="H23" s="504">
        <f>SUM($F$8:F23)/A23</f>
        <v>0</v>
      </c>
      <c r="I23" s="499">
        <f>SUM($G$8:G23)/A23</f>
        <v>0</v>
      </c>
      <c r="J23" s="504">
        <f t="shared" si="0"/>
        <v>50</v>
      </c>
      <c r="K23" s="459">
        <f t="shared" si="0"/>
        <v>50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1.6339869281045753E-2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5"/>
        <v>0</v>
      </c>
      <c r="E24" s="499"/>
      <c r="F24" s="446">
        <f t="shared" si="3"/>
        <v>0</v>
      </c>
      <c r="G24" s="503">
        <f t="shared" si="3"/>
        <v>0</v>
      </c>
      <c r="H24" s="498">
        <f>SUM($F$8:F24)/A24</f>
        <v>0</v>
      </c>
      <c r="I24" s="499">
        <f>SUM($G$8:G24)/A24</f>
        <v>0</v>
      </c>
      <c r="J24" s="443">
        <f t="shared" si="0"/>
        <v>50</v>
      </c>
      <c r="K24" s="459">
        <f>K23+E24-G24</f>
        <v>50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1.6339869281045753E-2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>
        <f t="shared" si="5"/>
        <v>0</v>
      </c>
      <c r="E25" s="499"/>
      <c r="F25" s="446">
        <f t="shared" si="3"/>
        <v>0</v>
      </c>
      <c r="G25" s="503">
        <f t="shared" si="3"/>
        <v>0</v>
      </c>
      <c r="H25" s="498">
        <f>SUM($F$8:F25)/A25</f>
        <v>0</v>
      </c>
      <c r="I25" s="499">
        <f>SUM($G$8:G25)/A25</f>
        <v>0</v>
      </c>
      <c r="J25" s="443">
        <f t="shared" ref="J25:K39" si="6">J24+D25-F25</f>
        <v>50</v>
      </c>
      <c r="K25" s="459">
        <f>K24+E25-G25</f>
        <v>50</v>
      </c>
      <c r="L25" s="495" t="e">
        <f t="shared" ref="L25:M39" si="7">J25/H25</f>
        <v>#DIV/0!</v>
      </c>
      <c r="M25" s="464" t="e">
        <f t="shared" si="7"/>
        <v>#DIV/0!</v>
      </c>
      <c r="N25" s="366"/>
      <c r="O25" s="446"/>
      <c r="P25" s="446"/>
      <c r="Q25" s="446"/>
      <c r="R25" s="446"/>
      <c r="S25" s="647">
        <f t="shared" si="4"/>
        <v>1.6339869281045753E-2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5"/>
        <v>0</v>
      </c>
      <c r="E26" s="499"/>
      <c r="F26" s="446">
        <f t="shared" si="3"/>
        <v>0</v>
      </c>
      <c r="G26" s="503">
        <f t="shared" si="3"/>
        <v>0</v>
      </c>
      <c r="H26" s="498">
        <f>SUM($F$8:F26)/A26</f>
        <v>0</v>
      </c>
      <c r="I26" s="499">
        <f>SUM($G$8:G26)/A26</f>
        <v>0</v>
      </c>
      <c r="J26" s="443">
        <f t="shared" si="6"/>
        <v>50</v>
      </c>
      <c r="K26" s="459">
        <f>K25+E26-G26</f>
        <v>50</v>
      </c>
      <c r="L26" s="495" t="e">
        <f t="shared" si="7"/>
        <v>#DIV/0!</v>
      </c>
      <c r="M26" s="464" t="e">
        <f t="shared" si="7"/>
        <v>#DIV/0!</v>
      </c>
      <c r="N26" s="366"/>
      <c r="O26" s="446"/>
      <c r="P26" s="446"/>
      <c r="Q26" s="446"/>
      <c r="R26" s="446"/>
      <c r="S26" s="647">
        <f t="shared" si="4"/>
        <v>1.6339869281045753E-2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5"/>
        <v>0</v>
      </c>
      <c r="E27" s="499"/>
      <c r="F27" s="446">
        <f t="shared" si="3"/>
        <v>0</v>
      </c>
      <c r="G27" s="503">
        <f t="shared" si="3"/>
        <v>0</v>
      </c>
      <c r="H27" s="498">
        <f>SUM($F$8:F27)/A27</f>
        <v>0</v>
      </c>
      <c r="I27" s="499">
        <f>SUM($G$8:G27)/A27</f>
        <v>0</v>
      </c>
      <c r="J27" s="443">
        <f t="shared" si="6"/>
        <v>50</v>
      </c>
      <c r="K27" s="459">
        <f>K26+E27-G27</f>
        <v>50</v>
      </c>
      <c r="L27" s="495" t="e">
        <f t="shared" si="7"/>
        <v>#DIV/0!</v>
      </c>
      <c r="M27" s="464" t="e">
        <f t="shared" si="7"/>
        <v>#DIV/0!</v>
      </c>
      <c r="N27" s="366"/>
      <c r="O27" s="446"/>
      <c r="P27" s="446"/>
      <c r="Q27" s="446"/>
      <c r="R27" s="446"/>
      <c r="S27" s="647">
        <f t="shared" si="4"/>
        <v>1.6339869281045753E-2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5"/>
        <v>0</v>
      </c>
      <c r="E28" s="499"/>
      <c r="F28" s="446">
        <f t="shared" si="3"/>
        <v>0</v>
      </c>
      <c r="G28" s="503">
        <f t="shared" si="3"/>
        <v>0</v>
      </c>
      <c r="H28" s="504">
        <f>SUM($F$8:F28)/A28</f>
        <v>0</v>
      </c>
      <c r="I28" s="499">
        <f>SUM($G$8:G28)/A28</f>
        <v>0</v>
      </c>
      <c r="J28" s="504">
        <f t="shared" si="6"/>
        <v>50</v>
      </c>
      <c r="K28" s="459">
        <f t="shared" si="6"/>
        <v>50</v>
      </c>
      <c r="L28" s="505" t="e">
        <f t="shared" si="7"/>
        <v>#DIV/0!</v>
      </c>
      <c r="M28" s="464" t="e">
        <f t="shared" si="7"/>
        <v>#DIV/0!</v>
      </c>
      <c r="N28" s="366"/>
      <c r="O28" s="446"/>
      <c r="P28" s="446"/>
      <c r="Q28" s="446"/>
      <c r="R28" s="446"/>
      <c r="S28" s="647">
        <f t="shared" si="4"/>
        <v>1.6339869281045753E-2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5"/>
        <v>0</v>
      </c>
      <c r="E29" s="499"/>
      <c r="F29" s="446">
        <f t="shared" si="3"/>
        <v>0</v>
      </c>
      <c r="G29" s="503">
        <f t="shared" si="3"/>
        <v>0</v>
      </c>
      <c r="H29" s="498">
        <f>SUM($F$8:F29)/A29</f>
        <v>0</v>
      </c>
      <c r="I29" s="499">
        <f>SUM($G$8:G29)/A29</f>
        <v>0</v>
      </c>
      <c r="J29" s="443">
        <f t="shared" si="6"/>
        <v>50</v>
      </c>
      <c r="K29" s="459">
        <f t="shared" si="6"/>
        <v>50</v>
      </c>
      <c r="L29" s="495" t="e">
        <f t="shared" si="7"/>
        <v>#DIV/0!</v>
      </c>
      <c r="M29" s="464" t="e">
        <f t="shared" si="7"/>
        <v>#DIV/0!</v>
      </c>
      <c r="N29" s="366"/>
      <c r="O29" s="446"/>
      <c r="P29" s="446"/>
      <c r="Q29" s="446"/>
      <c r="R29" s="446"/>
      <c r="S29" s="647">
        <f t="shared" si="4"/>
        <v>1.6339869281045753E-2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5"/>
        <v>0</v>
      </c>
      <c r="E30" s="499"/>
      <c r="F30" s="446">
        <f t="shared" si="3"/>
        <v>0</v>
      </c>
      <c r="G30" s="503">
        <f t="shared" si="3"/>
        <v>0</v>
      </c>
      <c r="H30" s="498">
        <f>SUM($F$8:F30)/A30</f>
        <v>0</v>
      </c>
      <c r="I30" s="499">
        <f>SUM($G$8:G30)/A30</f>
        <v>0</v>
      </c>
      <c r="J30" s="443">
        <f t="shared" si="6"/>
        <v>50</v>
      </c>
      <c r="K30" s="459">
        <f t="shared" si="6"/>
        <v>50</v>
      </c>
      <c r="L30" s="495" t="e">
        <f t="shared" si="7"/>
        <v>#DIV/0!</v>
      </c>
      <c r="M30" s="464" t="e">
        <f t="shared" si="7"/>
        <v>#DIV/0!</v>
      </c>
      <c r="N30" s="366"/>
      <c r="O30" s="446"/>
      <c r="P30" s="446"/>
      <c r="Q30" s="446"/>
      <c r="R30" s="446"/>
      <c r="S30" s="647">
        <f t="shared" si="4"/>
        <v>1.6339869281045753E-2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5"/>
        <v>0</v>
      </c>
      <c r="E31" s="499"/>
      <c r="F31" s="446">
        <f t="shared" si="3"/>
        <v>0</v>
      </c>
      <c r="G31" s="503">
        <f t="shared" si="3"/>
        <v>0</v>
      </c>
      <c r="H31" s="498">
        <f>SUM($F$8:F31)/A31</f>
        <v>0</v>
      </c>
      <c r="I31" s="499">
        <f>SUM($G$8:G31)/A31</f>
        <v>0</v>
      </c>
      <c r="J31" s="443">
        <f t="shared" si="6"/>
        <v>50</v>
      </c>
      <c r="K31" s="459">
        <f t="shared" si="6"/>
        <v>50</v>
      </c>
      <c r="L31" s="495" t="e">
        <f t="shared" si="7"/>
        <v>#DIV/0!</v>
      </c>
      <c r="M31" s="464" t="e">
        <f t="shared" si="7"/>
        <v>#DIV/0!</v>
      </c>
      <c r="N31" s="366"/>
      <c r="O31" s="446"/>
      <c r="P31" s="446"/>
      <c r="Q31" s="446"/>
      <c r="R31" s="446"/>
      <c r="S31" s="647">
        <f t="shared" si="4"/>
        <v>1.6339869281045753E-2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5"/>
        <v>0</v>
      </c>
      <c r="E32" s="499"/>
      <c r="F32" s="446">
        <f t="shared" si="3"/>
        <v>0</v>
      </c>
      <c r="G32" s="503">
        <f t="shared" si="3"/>
        <v>0</v>
      </c>
      <c r="H32" s="498">
        <f>SUM($F$8:F32)/A32</f>
        <v>0</v>
      </c>
      <c r="I32" s="499">
        <f>SUM($G$8:G32)/A32</f>
        <v>0</v>
      </c>
      <c r="J32" s="443">
        <f t="shared" si="6"/>
        <v>50</v>
      </c>
      <c r="K32" s="459">
        <f t="shared" si="6"/>
        <v>50</v>
      </c>
      <c r="L32" s="495" t="e">
        <f t="shared" si="7"/>
        <v>#DIV/0!</v>
      </c>
      <c r="M32" s="464" t="e">
        <f t="shared" si="7"/>
        <v>#DIV/0!</v>
      </c>
      <c r="N32" s="366"/>
      <c r="O32" s="446"/>
      <c r="P32" s="446"/>
      <c r="Q32" s="446"/>
      <c r="R32" s="446"/>
      <c r="S32" s="647">
        <f t="shared" si="4"/>
        <v>1.6339869281045753E-2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>
        <f t="shared" si="5"/>
        <v>0</v>
      </c>
      <c r="E33" s="499"/>
      <c r="F33" s="446">
        <f t="shared" si="3"/>
        <v>0</v>
      </c>
      <c r="G33" s="503">
        <f t="shared" si="3"/>
        <v>0</v>
      </c>
      <c r="H33" s="460">
        <f>SUM($F$8:F33)/A33</f>
        <v>0</v>
      </c>
      <c r="I33" s="499">
        <f>SUM($G$8:G33)/A33</f>
        <v>0</v>
      </c>
      <c r="J33" s="460">
        <f t="shared" si="6"/>
        <v>50</v>
      </c>
      <c r="K33" s="459">
        <f t="shared" si="6"/>
        <v>50</v>
      </c>
      <c r="L33" s="506" t="e">
        <f t="shared" si="7"/>
        <v>#DIV/0!</v>
      </c>
      <c r="M33" s="464" t="e">
        <f t="shared" si="7"/>
        <v>#DIV/0!</v>
      </c>
      <c r="N33" s="366"/>
      <c r="O33" s="446"/>
      <c r="P33" s="446"/>
      <c r="Q33" s="446"/>
      <c r="R33" s="446"/>
      <c r="S33" s="647">
        <f t="shared" si="4"/>
        <v>1.6339869281045753E-2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5"/>
        <v>0</v>
      </c>
      <c r="E34" s="499"/>
      <c r="F34" s="446">
        <f t="shared" si="3"/>
        <v>0</v>
      </c>
      <c r="G34" s="503">
        <f t="shared" si="3"/>
        <v>0</v>
      </c>
      <c r="H34" s="498">
        <f>SUM($F$8:F34)/A34</f>
        <v>0</v>
      </c>
      <c r="I34" s="499">
        <f>SUM($G$8:G34)/A34</f>
        <v>0</v>
      </c>
      <c r="J34" s="443">
        <f t="shared" si="6"/>
        <v>50</v>
      </c>
      <c r="K34" s="459">
        <f t="shared" si="6"/>
        <v>50</v>
      </c>
      <c r="L34" s="495" t="e">
        <f t="shared" si="7"/>
        <v>#DIV/0!</v>
      </c>
      <c r="M34" s="464" t="e">
        <f t="shared" si="7"/>
        <v>#DIV/0!</v>
      </c>
      <c r="N34" s="366"/>
      <c r="O34" s="446"/>
      <c r="P34" s="446"/>
      <c r="Q34" s="446"/>
      <c r="R34" s="446"/>
      <c r="S34" s="647">
        <f t="shared" si="4"/>
        <v>1.6339869281045753E-2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5"/>
        <v>0</v>
      </c>
      <c r="E35" s="499"/>
      <c r="F35" s="446">
        <f t="shared" si="3"/>
        <v>0</v>
      </c>
      <c r="G35" s="503">
        <f t="shared" si="3"/>
        <v>0</v>
      </c>
      <c r="H35" s="498">
        <f>SUM($F$8:F35)/A35</f>
        <v>0</v>
      </c>
      <c r="I35" s="499">
        <f>SUM($G$8:G35)/A35</f>
        <v>0</v>
      </c>
      <c r="J35" s="443">
        <f t="shared" si="6"/>
        <v>50</v>
      </c>
      <c r="K35" s="459">
        <f t="shared" si="6"/>
        <v>50</v>
      </c>
      <c r="L35" s="495" t="e">
        <f t="shared" si="7"/>
        <v>#DIV/0!</v>
      </c>
      <c r="M35" s="464" t="e">
        <f t="shared" si="7"/>
        <v>#DIV/0!</v>
      </c>
      <c r="N35" s="366"/>
      <c r="O35" s="446"/>
      <c r="P35" s="446"/>
      <c r="Q35" s="446"/>
      <c r="R35" s="446"/>
      <c r="S35" s="647">
        <f t="shared" si="4"/>
        <v>1.6339869281045753E-2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>
        <f>E36-E36*N36</f>
        <v>0</v>
      </c>
      <c r="E36" s="499"/>
      <c r="F36" s="446">
        <f t="shared" si="3"/>
        <v>0</v>
      </c>
      <c r="G36" s="503">
        <f t="shared" si="3"/>
        <v>0</v>
      </c>
      <c r="H36" s="498">
        <f>SUM($F$8:F36)/A36</f>
        <v>0</v>
      </c>
      <c r="I36" s="499">
        <f>SUM($G$8:G36)/A36</f>
        <v>0</v>
      </c>
      <c r="J36" s="443">
        <f t="shared" si="6"/>
        <v>50</v>
      </c>
      <c r="K36" s="459">
        <f t="shared" si="6"/>
        <v>50</v>
      </c>
      <c r="L36" s="495" t="e">
        <f t="shared" si="7"/>
        <v>#DIV/0!</v>
      </c>
      <c r="M36" s="464" t="e">
        <f t="shared" si="7"/>
        <v>#DIV/0!</v>
      </c>
      <c r="N36" s="366"/>
      <c r="O36" s="446"/>
      <c r="P36" s="446"/>
      <c r="Q36" s="446"/>
      <c r="R36" s="446"/>
      <c r="S36" s="647">
        <f t="shared" si="4"/>
        <v>1.6339869281045753E-2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5"/>
        <v>0</v>
      </c>
      <c r="E37" s="499"/>
      <c r="F37" s="446">
        <f t="shared" si="3"/>
        <v>0</v>
      </c>
      <c r="G37" s="503">
        <f t="shared" si="3"/>
        <v>0</v>
      </c>
      <c r="H37" s="498">
        <f>SUM($F$8:F37)/A37</f>
        <v>0</v>
      </c>
      <c r="I37" s="499">
        <f>SUM($G$8:G37)/A37</f>
        <v>0</v>
      </c>
      <c r="J37" s="443">
        <f t="shared" si="6"/>
        <v>50</v>
      </c>
      <c r="K37" s="459">
        <f t="shared" si="6"/>
        <v>50</v>
      </c>
      <c r="L37" s="495" t="e">
        <f t="shared" si="7"/>
        <v>#DIV/0!</v>
      </c>
      <c r="M37" s="464" t="e">
        <f t="shared" si="7"/>
        <v>#DIV/0!</v>
      </c>
      <c r="N37" s="366"/>
      <c r="O37" s="446"/>
      <c r="P37" s="446"/>
      <c r="Q37" s="446"/>
      <c r="R37" s="446"/>
      <c r="S37" s="647">
        <f t="shared" si="4"/>
        <v>1.6339869281045753E-2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5"/>
        <v>0</v>
      </c>
      <c r="E38" s="499"/>
      <c r="F38" s="446">
        <f t="shared" si="3"/>
        <v>0</v>
      </c>
      <c r="G38" s="503">
        <f t="shared" si="3"/>
        <v>0</v>
      </c>
      <c r="H38" s="504">
        <f>SUM($F$8:F38)/A38</f>
        <v>0</v>
      </c>
      <c r="I38" s="499">
        <f>SUM($G$8:G38)/A38</f>
        <v>0</v>
      </c>
      <c r="J38" s="504">
        <f t="shared" si="6"/>
        <v>50</v>
      </c>
      <c r="K38" s="459">
        <f t="shared" si="6"/>
        <v>50</v>
      </c>
      <c r="L38" s="505" t="e">
        <f t="shared" si="7"/>
        <v>#DIV/0!</v>
      </c>
      <c r="M38" s="464" t="e">
        <f t="shared" si="7"/>
        <v>#DIV/0!</v>
      </c>
      <c r="N38" s="366"/>
      <c r="O38" s="446"/>
      <c r="P38" s="446"/>
      <c r="Q38" s="446"/>
      <c r="R38" s="446"/>
      <c r="S38" s="647">
        <f t="shared" si="4"/>
        <v>1.6339869281045753E-2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5"/>
        <v>0</v>
      </c>
      <c r="E39" s="499"/>
      <c r="F39" s="446">
        <f t="shared" si="3"/>
        <v>0</v>
      </c>
      <c r="G39" s="503">
        <f t="shared" si="3"/>
        <v>0</v>
      </c>
      <c r="H39" s="498">
        <f>SUM($F$8:F39)/A39</f>
        <v>0</v>
      </c>
      <c r="I39" s="499">
        <f>SUM($G$8:G39)/A39</f>
        <v>0</v>
      </c>
      <c r="J39" s="443">
        <f t="shared" si="6"/>
        <v>50</v>
      </c>
      <c r="K39" s="459">
        <f t="shared" si="6"/>
        <v>50</v>
      </c>
      <c r="L39" s="495" t="e">
        <f t="shared" si="7"/>
        <v>#DIV/0!</v>
      </c>
      <c r="M39" s="464" t="e">
        <f t="shared" si="7"/>
        <v>#DIV/0!</v>
      </c>
      <c r="N39" s="366"/>
      <c r="O39" s="446"/>
      <c r="P39" s="446"/>
      <c r="Q39" s="446"/>
      <c r="R39" s="446"/>
      <c r="S39" s="647">
        <f t="shared" si="4"/>
        <v>1.6339869281045753E-2</v>
      </c>
    </row>
    <row r="40" spans="1:19" s="374" customFormat="1" ht="12" customHeight="1">
      <c r="A40" s="918" t="s">
        <v>29</v>
      </c>
      <c r="B40" s="919"/>
      <c r="C40" s="920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50</v>
      </c>
      <c r="K40" s="461">
        <f>K39</f>
        <v>50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918" t="s">
        <v>15</v>
      </c>
      <c r="B41" s="919"/>
      <c r="C41" s="920"/>
      <c r="D41" s="388">
        <f>D8+D40</f>
        <v>50</v>
      </c>
      <c r="E41" s="388">
        <f>E8+E40</f>
        <v>50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50</v>
      </c>
      <c r="K41" s="389">
        <f>E41-G41</f>
        <v>50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945" priority="1" operator="lessThan">
      <formula>15</formula>
    </cfRule>
    <cfRule type="cellIs" dxfId="11944" priority="2" operator="greaterThan">
      <formula>20</formula>
    </cfRule>
    <cfRule type="cellIs" dxfId="11943" priority="3" operator="between">
      <formula>15</formula>
      <formula>20</formula>
    </cfRule>
    <cfRule type="cellIs" dxfId="11942" priority="4" operator="between">
      <formula>15</formula>
      <formula>20</formula>
    </cfRule>
    <cfRule type="cellIs" dxfId="11941" priority="5" operator="lessThan">
      <formula>15</formula>
    </cfRule>
    <cfRule type="cellIs" dxfId="11940" priority="6" operator="greaterThan">
      <formula>20</formula>
    </cfRule>
    <cfRule type="cellIs" dxfId="11939" priority="7" operator="between">
      <formula>15</formula>
      <formula>21</formula>
    </cfRule>
    <cfRule type="cellIs" dxfId="11938" priority="8" operator="lessThan">
      <formula>15</formula>
    </cfRule>
    <cfRule type="cellIs" dxfId="11937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5703125" style="143" customWidth="1"/>
    <col min="4" max="7" width="10.140625" style="142" customWidth="1"/>
    <col min="8" max="9" width="9.28515625" style="142" customWidth="1"/>
    <col min="10" max="11" width="11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917" customFormat="1" ht="18.75" customHeight="1">
      <c r="A4" s="1600" t="s">
        <v>33</v>
      </c>
      <c r="B4" s="1600"/>
      <c r="C4" s="316" t="str">
        <f>J4</f>
        <v>FRIT 089</v>
      </c>
      <c r="D4" s="383"/>
      <c r="E4" s="383" t="s">
        <v>228</v>
      </c>
      <c r="F4" s="383" t="s">
        <v>230</v>
      </c>
      <c r="G4" s="383"/>
      <c r="I4" s="383" t="s">
        <v>120</v>
      </c>
      <c r="J4" s="318" t="s">
        <v>748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50</v>
      </c>
      <c r="E8" s="388">
        <f>K8</f>
        <v>50</v>
      </c>
      <c r="F8" s="389"/>
      <c r="G8" s="388"/>
      <c r="H8" s="387"/>
      <c r="I8" s="388"/>
      <c r="J8" s="624">
        <f>K8-K8*N8</f>
        <v>50</v>
      </c>
      <c r="K8" s="624">
        <v>50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3060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>E9-E9*N9</f>
        <v>0</v>
      </c>
      <c r="E9" s="499"/>
      <c r="F9" s="446">
        <f>O9+Q9</f>
        <v>0</v>
      </c>
      <c r="G9" s="503">
        <f>P9+R9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50</v>
      </c>
      <c r="K9" s="459">
        <f>K8+E9-G9</f>
        <v>50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1.6339869281045753E-2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ref="D10:D19" si="2">E10-E10*N10</f>
        <v>0</v>
      </c>
      <c r="E10" s="499"/>
      <c r="F10" s="446">
        <f t="shared" ref="F10:G39" si="3">O10+Q10</f>
        <v>0</v>
      </c>
      <c r="G10" s="503">
        <f t="shared" si="3"/>
        <v>0</v>
      </c>
      <c r="H10" s="498">
        <f>SUM($F$8:F10)/A10</f>
        <v>0</v>
      </c>
      <c r="I10" s="499">
        <f>SUM($G$8:G10)/A10</f>
        <v>0</v>
      </c>
      <c r="J10" s="443">
        <f t="shared" si="0"/>
        <v>50</v>
      </c>
      <c r="K10" s="459">
        <f t="shared" si="0"/>
        <v>50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1.6339869281045753E-2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2"/>
        <v>0</v>
      </c>
      <c r="E11" s="499"/>
      <c r="F11" s="446">
        <f t="shared" si="3"/>
        <v>0</v>
      </c>
      <c r="G11" s="503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50</v>
      </c>
      <c r="K11" s="459">
        <f t="shared" si="0"/>
        <v>50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1.6339869281045753E-2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2"/>
        <v>0</v>
      </c>
      <c r="E12" s="499"/>
      <c r="F12" s="446">
        <f t="shared" si="3"/>
        <v>0</v>
      </c>
      <c r="G12" s="503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50</v>
      </c>
      <c r="K12" s="459">
        <f t="shared" si="0"/>
        <v>50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1.6339869281045753E-2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2"/>
        <v>0</v>
      </c>
      <c r="E13" s="499"/>
      <c r="F13" s="446">
        <f t="shared" si="3"/>
        <v>0</v>
      </c>
      <c r="G13" s="503">
        <f t="shared" si="3"/>
        <v>0</v>
      </c>
      <c r="H13" s="504">
        <f>SUM($F$8:F13)/A13</f>
        <v>0</v>
      </c>
      <c r="I13" s="499">
        <f>SUM($G$8:G13)/A13</f>
        <v>0</v>
      </c>
      <c r="J13" s="504">
        <f t="shared" si="0"/>
        <v>50</v>
      </c>
      <c r="K13" s="459">
        <f t="shared" si="0"/>
        <v>50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1.6339869281045753E-2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2"/>
        <v>0</v>
      </c>
      <c r="E14" s="499"/>
      <c r="F14" s="446">
        <f t="shared" si="3"/>
        <v>0</v>
      </c>
      <c r="G14" s="503">
        <f t="shared" si="3"/>
        <v>0</v>
      </c>
      <c r="H14" s="498">
        <f>SUM($F$8:F14)/A14</f>
        <v>0</v>
      </c>
      <c r="I14" s="499">
        <f>SUM($G$8:G14)/A14</f>
        <v>0</v>
      </c>
      <c r="J14" s="443">
        <f t="shared" si="0"/>
        <v>50</v>
      </c>
      <c r="K14" s="459">
        <f t="shared" si="0"/>
        <v>50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1.6339869281045753E-2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2"/>
        <v>0</v>
      </c>
      <c r="E15" s="499"/>
      <c r="F15" s="446">
        <f t="shared" si="3"/>
        <v>0</v>
      </c>
      <c r="G15" s="503">
        <f t="shared" si="3"/>
        <v>0</v>
      </c>
      <c r="H15" s="498">
        <f>SUM($F$8:F15)/A15</f>
        <v>0</v>
      </c>
      <c r="I15" s="499">
        <f>SUM($G$8:G15)/A15</f>
        <v>0</v>
      </c>
      <c r="J15" s="443">
        <f t="shared" si="0"/>
        <v>50</v>
      </c>
      <c r="K15" s="459">
        <f t="shared" si="0"/>
        <v>50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1.6339869281045753E-2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2"/>
        <v>0</v>
      </c>
      <c r="E16" s="499"/>
      <c r="F16" s="446">
        <f t="shared" si="3"/>
        <v>0</v>
      </c>
      <c r="G16" s="503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50</v>
      </c>
      <c r="K16" s="459">
        <f t="shared" si="0"/>
        <v>50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1.6339869281045753E-2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2"/>
        <v>0</v>
      </c>
      <c r="E17" s="499"/>
      <c r="F17" s="446">
        <f t="shared" si="3"/>
        <v>0</v>
      </c>
      <c r="G17" s="503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50</v>
      </c>
      <c r="K17" s="459">
        <f t="shared" si="0"/>
        <v>50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1.6339869281045753E-2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2"/>
        <v>0</v>
      </c>
      <c r="E18" s="499"/>
      <c r="F18" s="446">
        <f t="shared" si="3"/>
        <v>0</v>
      </c>
      <c r="G18" s="503">
        <f t="shared" si="3"/>
        <v>0</v>
      </c>
      <c r="H18" s="504">
        <f>SUM($F$8:F18)/A18</f>
        <v>0</v>
      </c>
      <c r="I18" s="499">
        <f>SUM($G$8:G18)/A18</f>
        <v>0</v>
      </c>
      <c r="J18" s="504">
        <f t="shared" si="0"/>
        <v>50</v>
      </c>
      <c r="K18" s="459">
        <f t="shared" si="0"/>
        <v>50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1.6339869281045753E-2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2"/>
        <v>0</v>
      </c>
      <c r="E19" s="499"/>
      <c r="F19" s="446">
        <f t="shared" si="3"/>
        <v>0</v>
      </c>
      <c r="G19" s="503">
        <f t="shared" si="3"/>
        <v>0</v>
      </c>
      <c r="H19" s="498">
        <f>SUM($F$8:F19)/A19</f>
        <v>0</v>
      </c>
      <c r="I19" s="499">
        <f>SUM($G$8:G19)/A19</f>
        <v>0</v>
      </c>
      <c r="J19" s="443">
        <f t="shared" si="0"/>
        <v>50</v>
      </c>
      <c r="K19" s="459">
        <f t="shared" si="0"/>
        <v>50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1.6339869281045753E-2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>E20-E20*N20</f>
        <v>0</v>
      </c>
      <c r="E20" s="499"/>
      <c r="F20" s="446">
        <f t="shared" si="3"/>
        <v>0</v>
      </c>
      <c r="G20" s="503">
        <f t="shared" si="3"/>
        <v>0</v>
      </c>
      <c r="H20" s="498">
        <f>SUM($F$8:F20)/A20</f>
        <v>0</v>
      </c>
      <c r="I20" s="499">
        <f>SUM($G$8:G20)/A20</f>
        <v>0</v>
      </c>
      <c r="J20" s="443">
        <f t="shared" si="0"/>
        <v>50</v>
      </c>
      <c r="K20" s="459">
        <f t="shared" si="0"/>
        <v>50</v>
      </c>
      <c r="L20" s="495" t="e">
        <f t="shared" si="1"/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1.6339869281045753E-2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ref="D21:D39" si="5">E21-E21*N21</f>
        <v>0</v>
      </c>
      <c r="E21" s="499"/>
      <c r="F21" s="446">
        <f t="shared" si="3"/>
        <v>0</v>
      </c>
      <c r="G21" s="503">
        <f t="shared" si="3"/>
        <v>0</v>
      </c>
      <c r="H21" s="498">
        <f>SUM($F$8:F21)/A21</f>
        <v>0</v>
      </c>
      <c r="I21" s="499">
        <f>SUM($G$8:G21)/A21</f>
        <v>0</v>
      </c>
      <c r="J21" s="443">
        <f t="shared" si="0"/>
        <v>50</v>
      </c>
      <c r="K21" s="459">
        <f>K20+E21-G21</f>
        <v>50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1.6339869281045753E-2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5"/>
        <v>0</v>
      </c>
      <c r="E22" s="499"/>
      <c r="F22" s="446">
        <f t="shared" si="3"/>
        <v>0</v>
      </c>
      <c r="G22" s="503">
        <f t="shared" si="3"/>
        <v>0</v>
      </c>
      <c r="H22" s="498">
        <f>SUM($F$8:F22)/A22</f>
        <v>0</v>
      </c>
      <c r="I22" s="499">
        <f>SUM($G$8:G22)/A22</f>
        <v>0</v>
      </c>
      <c r="J22" s="443">
        <f t="shared" si="0"/>
        <v>50</v>
      </c>
      <c r="K22" s="459">
        <f>K21+E22-G22</f>
        <v>50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1.6339869281045753E-2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5"/>
        <v>0</v>
      </c>
      <c r="E23" s="499"/>
      <c r="F23" s="446">
        <f t="shared" si="3"/>
        <v>0</v>
      </c>
      <c r="G23" s="503">
        <f t="shared" si="3"/>
        <v>0</v>
      </c>
      <c r="H23" s="504">
        <f>SUM($F$8:F23)/A23</f>
        <v>0</v>
      </c>
      <c r="I23" s="499">
        <f>SUM($G$8:G23)/A23</f>
        <v>0</v>
      </c>
      <c r="J23" s="504">
        <f t="shared" si="0"/>
        <v>50</v>
      </c>
      <c r="K23" s="459">
        <f t="shared" si="0"/>
        <v>50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1.6339869281045753E-2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5"/>
        <v>0</v>
      </c>
      <c r="E24" s="499"/>
      <c r="F24" s="446">
        <f t="shared" si="3"/>
        <v>0</v>
      </c>
      <c r="G24" s="503">
        <f t="shared" si="3"/>
        <v>0</v>
      </c>
      <c r="H24" s="498">
        <f>SUM($F$8:F24)/A24</f>
        <v>0</v>
      </c>
      <c r="I24" s="499">
        <f>SUM($G$8:G24)/A24</f>
        <v>0</v>
      </c>
      <c r="J24" s="443">
        <f t="shared" si="0"/>
        <v>50</v>
      </c>
      <c r="K24" s="459">
        <f>K23+E24-G24</f>
        <v>50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1.6339869281045753E-2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>
        <f t="shared" si="5"/>
        <v>0</v>
      </c>
      <c r="E25" s="499"/>
      <c r="F25" s="446">
        <f t="shared" si="3"/>
        <v>0</v>
      </c>
      <c r="G25" s="503">
        <f t="shared" si="3"/>
        <v>0</v>
      </c>
      <c r="H25" s="498">
        <f>SUM($F$8:F25)/A25</f>
        <v>0</v>
      </c>
      <c r="I25" s="499">
        <f>SUM($G$8:G25)/A25</f>
        <v>0</v>
      </c>
      <c r="J25" s="443">
        <f t="shared" ref="J25:K39" si="6">J24+D25-F25</f>
        <v>50</v>
      </c>
      <c r="K25" s="459">
        <f>K24+E25-G25</f>
        <v>50</v>
      </c>
      <c r="L25" s="495" t="e">
        <f t="shared" ref="L25:M39" si="7">J25/H25</f>
        <v>#DIV/0!</v>
      </c>
      <c r="M25" s="464" t="e">
        <f t="shared" si="7"/>
        <v>#DIV/0!</v>
      </c>
      <c r="N25" s="366"/>
      <c r="O25" s="446"/>
      <c r="P25" s="446"/>
      <c r="Q25" s="446"/>
      <c r="R25" s="446"/>
      <c r="S25" s="647">
        <f t="shared" si="4"/>
        <v>1.6339869281045753E-2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5"/>
        <v>0</v>
      </c>
      <c r="E26" s="499"/>
      <c r="F26" s="446">
        <f t="shared" si="3"/>
        <v>0</v>
      </c>
      <c r="G26" s="503">
        <f t="shared" si="3"/>
        <v>0</v>
      </c>
      <c r="H26" s="498">
        <f>SUM($F$8:F26)/A26</f>
        <v>0</v>
      </c>
      <c r="I26" s="499">
        <f>SUM($G$8:G26)/A26</f>
        <v>0</v>
      </c>
      <c r="J26" s="443">
        <f t="shared" si="6"/>
        <v>50</v>
      </c>
      <c r="K26" s="459">
        <f>K25+E26-G26</f>
        <v>50</v>
      </c>
      <c r="L26" s="495" t="e">
        <f t="shared" si="7"/>
        <v>#DIV/0!</v>
      </c>
      <c r="M26" s="464" t="e">
        <f t="shared" si="7"/>
        <v>#DIV/0!</v>
      </c>
      <c r="N26" s="366"/>
      <c r="O26" s="446"/>
      <c r="P26" s="446"/>
      <c r="Q26" s="446"/>
      <c r="R26" s="446"/>
      <c r="S26" s="647">
        <f t="shared" si="4"/>
        <v>1.6339869281045753E-2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5"/>
        <v>0</v>
      </c>
      <c r="E27" s="499"/>
      <c r="F27" s="446">
        <f t="shared" si="3"/>
        <v>0</v>
      </c>
      <c r="G27" s="503">
        <f t="shared" si="3"/>
        <v>0</v>
      </c>
      <c r="H27" s="498">
        <f>SUM($F$8:F27)/A27</f>
        <v>0</v>
      </c>
      <c r="I27" s="499">
        <f>SUM($G$8:G27)/A27</f>
        <v>0</v>
      </c>
      <c r="J27" s="443">
        <f t="shared" si="6"/>
        <v>50</v>
      </c>
      <c r="K27" s="459">
        <f>K26+E27-G27</f>
        <v>50</v>
      </c>
      <c r="L27" s="495" t="e">
        <f t="shared" si="7"/>
        <v>#DIV/0!</v>
      </c>
      <c r="M27" s="464" t="e">
        <f t="shared" si="7"/>
        <v>#DIV/0!</v>
      </c>
      <c r="N27" s="366"/>
      <c r="O27" s="446"/>
      <c r="P27" s="446"/>
      <c r="Q27" s="446"/>
      <c r="R27" s="446"/>
      <c r="S27" s="647">
        <f t="shared" si="4"/>
        <v>1.6339869281045753E-2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5"/>
        <v>0</v>
      </c>
      <c r="E28" s="499"/>
      <c r="F28" s="446">
        <f t="shared" si="3"/>
        <v>0</v>
      </c>
      <c r="G28" s="503">
        <f t="shared" si="3"/>
        <v>0</v>
      </c>
      <c r="H28" s="504">
        <f>SUM($F$8:F28)/A28</f>
        <v>0</v>
      </c>
      <c r="I28" s="499">
        <f>SUM($G$8:G28)/A28</f>
        <v>0</v>
      </c>
      <c r="J28" s="504">
        <f t="shared" si="6"/>
        <v>50</v>
      </c>
      <c r="K28" s="459">
        <f t="shared" si="6"/>
        <v>50</v>
      </c>
      <c r="L28" s="505" t="e">
        <f t="shared" si="7"/>
        <v>#DIV/0!</v>
      </c>
      <c r="M28" s="464" t="e">
        <f t="shared" si="7"/>
        <v>#DIV/0!</v>
      </c>
      <c r="N28" s="366"/>
      <c r="O28" s="446"/>
      <c r="P28" s="446"/>
      <c r="Q28" s="446"/>
      <c r="R28" s="446"/>
      <c r="S28" s="647">
        <f t="shared" si="4"/>
        <v>1.6339869281045753E-2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5"/>
        <v>0</v>
      </c>
      <c r="E29" s="499"/>
      <c r="F29" s="446">
        <f t="shared" si="3"/>
        <v>0</v>
      </c>
      <c r="G29" s="503">
        <f t="shared" si="3"/>
        <v>0</v>
      </c>
      <c r="H29" s="498">
        <f>SUM($F$8:F29)/A29</f>
        <v>0</v>
      </c>
      <c r="I29" s="499">
        <f>SUM($G$8:G29)/A29</f>
        <v>0</v>
      </c>
      <c r="J29" s="443">
        <f t="shared" si="6"/>
        <v>50</v>
      </c>
      <c r="K29" s="459">
        <f t="shared" si="6"/>
        <v>50</v>
      </c>
      <c r="L29" s="495" t="e">
        <f t="shared" si="7"/>
        <v>#DIV/0!</v>
      </c>
      <c r="M29" s="464" t="e">
        <f t="shared" si="7"/>
        <v>#DIV/0!</v>
      </c>
      <c r="N29" s="366"/>
      <c r="O29" s="446"/>
      <c r="P29" s="446"/>
      <c r="Q29" s="446"/>
      <c r="R29" s="446"/>
      <c r="S29" s="647">
        <f t="shared" si="4"/>
        <v>1.6339869281045753E-2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5"/>
        <v>0</v>
      </c>
      <c r="E30" s="499"/>
      <c r="F30" s="446">
        <f t="shared" si="3"/>
        <v>0</v>
      </c>
      <c r="G30" s="503">
        <f t="shared" si="3"/>
        <v>0</v>
      </c>
      <c r="H30" s="498">
        <f>SUM($F$8:F30)/A30</f>
        <v>0</v>
      </c>
      <c r="I30" s="499">
        <f>SUM($G$8:G30)/A30</f>
        <v>0</v>
      </c>
      <c r="J30" s="443">
        <f t="shared" si="6"/>
        <v>50</v>
      </c>
      <c r="K30" s="459">
        <f t="shared" si="6"/>
        <v>50</v>
      </c>
      <c r="L30" s="495" t="e">
        <f t="shared" si="7"/>
        <v>#DIV/0!</v>
      </c>
      <c r="M30" s="464" t="e">
        <f t="shared" si="7"/>
        <v>#DIV/0!</v>
      </c>
      <c r="N30" s="366"/>
      <c r="O30" s="446"/>
      <c r="P30" s="446"/>
      <c r="Q30" s="446"/>
      <c r="R30" s="446"/>
      <c r="S30" s="647">
        <f t="shared" si="4"/>
        <v>1.6339869281045753E-2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5"/>
        <v>0</v>
      </c>
      <c r="E31" s="499"/>
      <c r="F31" s="446">
        <f t="shared" si="3"/>
        <v>0</v>
      </c>
      <c r="G31" s="503">
        <f t="shared" si="3"/>
        <v>0</v>
      </c>
      <c r="H31" s="498">
        <f>SUM($F$8:F31)/A31</f>
        <v>0</v>
      </c>
      <c r="I31" s="499">
        <f>SUM($G$8:G31)/A31</f>
        <v>0</v>
      </c>
      <c r="J31" s="443">
        <f t="shared" si="6"/>
        <v>50</v>
      </c>
      <c r="K31" s="459">
        <f t="shared" si="6"/>
        <v>50</v>
      </c>
      <c r="L31" s="495" t="e">
        <f t="shared" si="7"/>
        <v>#DIV/0!</v>
      </c>
      <c r="M31" s="464" t="e">
        <f t="shared" si="7"/>
        <v>#DIV/0!</v>
      </c>
      <c r="N31" s="366"/>
      <c r="O31" s="446"/>
      <c r="P31" s="446"/>
      <c r="Q31" s="446"/>
      <c r="R31" s="446"/>
      <c r="S31" s="647">
        <f t="shared" si="4"/>
        <v>1.6339869281045753E-2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5"/>
        <v>0</v>
      </c>
      <c r="E32" s="499"/>
      <c r="F32" s="446">
        <f t="shared" si="3"/>
        <v>0</v>
      </c>
      <c r="G32" s="503">
        <f t="shared" si="3"/>
        <v>0</v>
      </c>
      <c r="H32" s="498">
        <f>SUM($F$8:F32)/A32</f>
        <v>0</v>
      </c>
      <c r="I32" s="499">
        <f>SUM($G$8:G32)/A32</f>
        <v>0</v>
      </c>
      <c r="J32" s="443">
        <f t="shared" si="6"/>
        <v>50</v>
      </c>
      <c r="K32" s="459">
        <f t="shared" si="6"/>
        <v>50</v>
      </c>
      <c r="L32" s="495" t="e">
        <f t="shared" si="7"/>
        <v>#DIV/0!</v>
      </c>
      <c r="M32" s="464" t="e">
        <f t="shared" si="7"/>
        <v>#DIV/0!</v>
      </c>
      <c r="N32" s="366"/>
      <c r="O32" s="446"/>
      <c r="P32" s="446"/>
      <c r="Q32" s="446"/>
      <c r="R32" s="446"/>
      <c r="S32" s="647">
        <f t="shared" si="4"/>
        <v>1.6339869281045753E-2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>
        <f t="shared" si="5"/>
        <v>0</v>
      </c>
      <c r="E33" s="499"/>
      <c r="F33" s="446">
        <f t="shared" si="3"/>
        <v>0</v>
      </c>
      <c r="G33" s="503">
        <f t="shared" si="3"/>
        <v>0</v>
      </c>
      <c r="H33" s="460">
        <f>SUM($F$8:F33)/A33</f>
        <v>0</v>
      </c>
      <c r="I33" s="499">
        <f>SUM($G$8:G33)/A33</f>
        <v>0</v>
      </c>
      <c r="J33" s="460">
        <f t="shared" si="6"/>
        <v>50</v>
      </c>
      <c r="K33" s="459">
        <f t="shared" si="6"/>
        <v>50</v>
      </c>
      <c r="L33" s="506" t="e">
        <f t="shared" si="7"/>
        <v>#DIV/0!</v>
      </c>
      <c r="M33" s="464" t="e">
        <f t="shared" si="7"/>
        <v>#DIV/0!</v>
      </c>
      <c r="N33" s="366"/>
      <c r="O33" s="446"/>
      <c r="P33" s="446"/>
      <c r="Q33" s="446"/>
      <c r="R33" s="446"/>
      <c r="S33" s="647">
        <f t="shared" si="4"/>
        <v>1.6339869281045753E-2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5"/>
        <v>0</v>
      </c>
      <c r="E34" s="499"/>
      <c r="F34" s="446">
        <f t="shared" si="3"/>
        <v>0</v>
      </c>
      <c r="G34" s="503">
        <f t="shared" si="3"/>
        <v>0</v>
      </c>
      <c r="H34" s="498">
        <f>SUM($F$8:F34)/A34</f>
        <v>0</v>
      </c>
      <c r="I34" s="499">
        <f>SUM($G$8:G34)/A34</f>
        <v>0</v>
      </c>
      <c r="J34" s="443">
        <f t="shared" si="6"/>
        <v>50</v>
      </c>
      <c r="K34" s="459">
        <f t="shared" si="6"/>
        <v>50</v>
      </c>
      <c r="L34" s="495" t="e">
        <f t="shared" si="7"/>
        <v>#DIV/0!</v>
      </c>
      <c r="M34" s="464" t="e">
        <f t="shared" si="7"/>
        <v>#DIV/0!</v>
      </c>
      <c r="N34" s="366"/>
      <c r="O34" s="446"/>
      <c r="P34" s="446"/>
      <c r="Q34" s="446"/>
      <c r="R34" s="446"/>
      <c r="S34" s="647">
        <f t="shared" si="4"/>
        <v>1.6339869281045753E-2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5"/>
        <v>0</v>
      </c>
      <c r="E35" s="499"/>
      <c r="F35" s="446">
        <f t="shared" si="3"/>
        <v>0</v>
      </c>
      <c r="G35" s="503">
        <f t="shared" si="3"/>
        <v>0</v>
      </c>
      <c r="H35" s="498">
        <f>SUM($F$8:F35)/A35</f>
        <v>0</v>
      </c>
      <c r="I35" s="499">
        <f>SUM($G$8:G35)/A35</f>
        <v>0</v>
      </c>
      <c r="J35" s="443">
        <f t="shared" si="6"/>
        <v>50</v>
      </c>
      <c r="K35" s="459">
        <f t="shared" si="6"/>
        <v>50</v>
      </c>
      <c r="L35" s="495" t="e">
        <f t="shared" si="7"/>
        <v>#DIV/0!</v>
      </c>
      <c r="M35" s="464" t="e">
        <f t="shared" si="7"/>
        <v>#DIV/0!</v>
      </c>
      <c r="N35" s="366"/>
      <c r="O35" s="446"/>
      <c r="P35" s="446"/>
      <c r="Q35" s="446"/>
      <c r="R35" s="446"/>
      <c r="S35" s="647">
        <f t="shared" si="4"/>
        <v>1.6339869281045753E-2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>
        <f>E36-E36*N36</f>
        <v>0</v>
      </c>
      <c r="E36" s="499"/>
      <c r="F36" s="446">
        <f t="shared" si="3"/>
        <v>0</v>
      </c>
      <c r="G36" s="503">
        <f t="shared" si="3"/>
        <v>0</v>
      </c>
      <c r="H36" s="498">
        <f>SUM($F$8:F36)/A36</f>
        <v>0</v>
      </c>
      <c r="I36" s="499">
        <f>SUM($G$8:G36)/A36</f>
        <v>0</v>
      </c>
      <c r="J36" s="443">
        <f t="shared" si="6"/>
        <v>50</v>
      </c>
      <c r="K36" s="459">
        <f t="shared" si="6"/>
        <v>50</v>
      </c>
      <c r="L36" s="495" t="e">
        <f t="shared" si="7"/>
        <v>#DIV/0!</v>
      </c>
      <c r="M36" s="464" t="e">
        <f t="shared" si="7"/>
        <v>#DIV/0!</v>
      </c>
      <c r="N36" s="366"/>
      <c r="O36" s="446"/>
      <c r="P36" s="446"/>
      <c r="Q36" s="446"/>
      <c r="R36" s="446"/>
      <c r="S36" s="647">
        <f t="shared" si="4"/>
        <v>1.6339869281045753E-2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5"/>
        <v>0</v>
      </c>
      <c r="E37" s="499"/>
      <c r="F37" s="446">
        <f t="shared" si="3"/>
        <v>0</v>
      </c>
      <c r="G37" s="503">
        <f t="shared" si="3"/>
        <v>0</v>
      </c>
      <c r="H37" s="498">
        <f>SUM($F$8:F37)/A37</f>
        <v>0</v>
      </c>
      <c r="I37" s="499">
        <f>SUM($G$8:G37)/A37</f>
        <v>0</v>
      </c>
      <c r="J37" s="443">
        <f t="shared" si="6"/>
        <v>50</v>
      </c>
      <c r="K37" s="459">
        <f t="shared" si="6"/>
        <v>50</v>
      </c>
      <c r="L37" s="495" t="e">
        <f t="shared" si="7"/>
        <v>#DIV/0!</v>
      </c>
      <c r="M37" s="464" t="e">
        <f t="shared" si="7"/>
        <v>#DIV/0!</v>
      </c>
      <c r="N37" s="366"/>
      <c r="O37" s="446"/>
      <c r="P37" s="446"/>
      <c r="Q37" s="446"/>
      <c r="R37" s="446"/>
      <c r="S37" s="647">
        <f t="shared" si="4"/>
        <v>1.6339869281045753E-2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5"/>
        <v>0</v>
      </c>
      <c r="E38" s="499"/>
      <c r="F38" s="446">
        <f t="shared" si="3"/>
        <v>0</v>
      </c>
      <c r="G38" s="503">
        <f t="shared" si="3"/>
        <v>0</v>
      </c>
      <c r="H38" s="504">
        <f>SUM($F$8:F38)/A38</f>
        <v>0</v>
      </c>
      <c r="I38" s="499">
        <f>SUM($G$8:G38)/A38</f>
        <v>0</v>
      </c>
      <c r="J38" s="504">
        <f t="shared" si="6"/>
        <v>50</v>
      </c>
      <c r="K38" s="459">
        <f t="shared" si="6"/>
        <v>50</v>
      </c>
      <c r="L38" s="505" t="e">
        <f t="shared" si="7"/>
        <v>#DIV/0!</v>
      </c>
      <c r="M38" s="464" t="e">
        <f t="shared" si="7"/>
        <v>#DIV/0!</v>
      </c>
      <c r="N38" s="366"/>
      <c r="O38" s="446"/>
      <c r="P38" s="446"/>
      <c r="Q38" s="446"/>
      <c r="R38" s="446"/>
      <c r="S38" s="647">
        <f t="shared" si="4"/>
        <v>1.6339869281045753E-2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5"/>
        <v>0</v>
      </c>
      <c r="E39" s="499"/>
      <c r="F39" s="446">
        <f t="shared" si="3"/>
        <v>0</v>
      </c>
      <c r="G39" s="503">
        <f t="shared" si="3"/>
        <v>0</v>
      </c>
      <c r="H39" s="498">
        <f>SUM($F$8:F39)/A39</f>
        <v>0</v>
      </c>
      <c r="I39" s="499">
        <f>SUM($G$8:G39)/A39</f>
        <v>0</v>
      </c>
      <c r="J39" s="443">
        <f t="shared" si="6"/>
        <v>50</v>
      </c>
      <c r="K39" s="459">
        <f t="shared" si="6"/>
        <v>50</v>
      </c>
      <c r="L39" s="495" t="e">
        <f t="shared" si="7"/>
        <v>#DIV/0!</v>
      </c>
      <c r="M39" s="464" t="e">
        <f t="shared" si="7"/>
        <v>#DIV/0!</v>
      </c>
      <c r="N39" s="366"/>
      <c r="O39" s="446"/>
      <c r="P39" s="446"/>
      <c r="Q39" s="446"/>
      <c r="R39" s="446"/>
      <c r="S39" s="647">
        <f t="shared" si="4"/>
        <v>1.6339869281045753E-2</v>
      </c>
    </row>
    <row r="40" spans="1:19" s="374" customFormat="1" ht="12" customHeight="1">
      <c r="A40" s="918" t="s">
        <v>29</v>
      </c>
      <c r="B40" s="919"/>
      <c r="C40" s="920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50</v>
      </c>
      <c r="K40" s="461">
        <f>K39</f>
        <v>50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918" t="s">
        <v>15</v>
      </c>
      <c r="B41" s="919"/>
      <c r="C41" s="920"/>
      <c r="D41" s="388">
        <f>D8+D40</f>
        <v>50</v>
      </c>
      <c r="E41" s="388">
        <f>E8+E40</f>
        <v>50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50</v>
      </c>
      <c r="K41" s="389">
        <f>E41-G41</f>
        <v>50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936" priority="1" operator="lessThan">
      <formula>15</formula>
    </cfRule>
    <cfRule type="cellIs" dxfId="11935" priority="2" operator="greaterThan">
      <formula>20</formula>
    </cfRule>
    <cfRule type="cellIs" dxfId="11934" priority="3" operator="between">
      <formula>15</formula>
      <formula>20</formula>
    </cfRule>
    <cfRule type="cellIs" dxfId="11933" priority="4" operator="between">
      <formula>15</formula>
      <formula>20</formula>
    </cfRule>
    <cfRule type="cellIs" dxfId="11932" priority="5" operator="lessThan">
      <formula>15</formula>
    </cfRule>
    <cfRule type="cellIs" dxfId="11931" priority="6" operator="greaterThan">
      <formula>20</formula>
    </cfRule>
    <cfRule type="cellIs" dxfId="11930" priority="7" operator="between">
      <formula>15</formula>
      <formula>21</formula>
    </cfRule>
    <cfRule type="cellIs" dxfId="11929" priority="8" operator="lessThan">
      <formula>15</formula>
    </cfRule>
    <cfRule type="cellIs" dxfId="11928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AC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4" width="6.42578125" style="143" customWidth="1"/>
    <col min="15" max="18" width="10.710937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tr">
        <f>J4</f>
        <v>DEF-305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366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621"/>
      <c r="U6" s="621"/>
      <c r="V6" s="621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/>
      <c r="K8" s="635">
        <v>0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 t="shared" ref="D9:D39" si="0">E9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si="0"/>
        <v>0</v>
      </c>
      <c r="E10" s="499"/>
      <c r="F10" s="446">
        <f t="shared" ref="F10:G39" si="1">O10+Q10</f>
        <v>0</v>
      </c>
      <c r="G10" s="503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ref="J10:K25" si="2">J9+D10-F10</f>
        <v>0</v>
      </c>
      <c r="K10" s="459">
        <f>K9+E10-G10</f>
        <v>0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0"/>
        <v>0</v>
      </c>
      <c r="E11" s="499"/>
      <c r="F11" s="446">
        <f t="shared" si="1"/>
        <v>0</v>
      </c>
      <c r="G11" s="503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2"/>
        <v>0</v>
      </c>
      <c r="K11" s="459">
        <f t="shared" si="2"/>
        <v>0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334</v>
      </c>
      <c r="D12" s="502">
        <f t="shared" si="0"/>
        <v>0</v>
      </c>
      <c r="E12" s="499"/>
      <c r="F12" s="446">
        <f t="shared" si="1"/>
        <v>0</v>
      </c>
      <c r="G12" s="503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si="2"/>
        <v>0</v>
      </c>
      <c r="K12" s="459">
        <f t="shared" si="2"/>
        <v>0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0"/>
        <v>0</v>
      </c>
      <c r="E13" s="499"/>
      <c r="F13" s="446">
        <f t="shared" si="1"/>
        <v>0</v>
      </c>
      <c r="G13" s="503">
        <f t="shared" si="1"/>
        <v>0</v>
      </c>
      <c r="H13" s="504">
        <f>SUM($F$9:F13)/A13</f>
        <v>0</v>
      </c>
      <c r="I13" s="499">
        <f>SUM($G$9:G13)/A13</f>
        <v>0</v>
      </c>
      <c r="J13" s="504">
        <f t="shared" si="2"/>
        <v>0</v>
      </c>
      <c r="K13" s="459">
        <f t="shared" si="2"/>
        <v>0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0"/>
        <v>0</v>
      </c>
      <c r="E14" s="499"/>
      <c r="F14" s="446">
        <f t="shared" si="1"/>
        <v>0</v>
      </c>
      <c r="G14" s="503">
        <f t="shared" si="1"/>
        <v>0</v>
      </c>
      <c r="H14" s="498">
        <f>SUM($F$9:F14)/A14</f>
        <v>0</v>
      </c>
      <c r="I14" s="499">
        <f>SUM($G$9:G14)/A14</f>
        <v>0</v>
      </c>
      <c r="J14" s="443">
        <f t="shared" si="2"/>
        <v>0</v>
      </c>
      <c r="K14" s="459">
        <f t="shared" si="2"/>
        <v>0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0"/>
        <v>0</v>
      </c>
      <c r="E15" s="499"/>
      <c r="F15" s="446">
        <f t="shared" si="1"/>
        <v>0</v>
      </c>
      <c r="G15" s="503">
        <f t="shared" si="1"/>
        <v>0</v>
      </c>
      <c r="H15" s="498">
        <f>SUM($F$9:F15)/A15</f>
        <v>0</v>
      </c>
      <c r="I15" s="499">
        <f>SUM($G$9:G15)/A15</f>
        <v>0</v>
      </c>
      <c r="J15" s="443">
        <f t="shared" si="2"/>
        <v>0</v>
      </c>
      <c r="K15" s="459">
        <f t="shared" si="2"/>
        <v>0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0"/>
        <v>0</v>
      </c>
      <c r="E16" s="499"/>
      <c r="F16" s="446">
        <f t="shared" si="1"/>
        <v>0</v>
      </c>
      <c r="G16" s="503">
        <f t="shared" si="1"/>
        <v>0</v>
      </c>
      <c r="H16" s="498">
        <f>SUM($F$9:F16)/A16</f>
        <v>0</v>
      </c>
      <c r="I16" s="499">
        <f>SUM($G$9:G16)/A16</f>
        <v>0</v>
      </c>
      <c r="J16" s="443">
        <f t="shared" si="2"/>
        <v>0</v>
      </c>
      <c r="K16" s="459">
        <f t="shared" si="2"/>
        <v>0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0"/>
        <v>0</v>
      </c>
      <c r="E17" s="499"/>
      <c r="F17" s="446">
        <f t="shared" si="1"/>
        <v>0</v>
      </c>
      <c r="G17" s="503">
        <f t="shared" si="1"/>
        <v>0</v>
      </c>
      <c r="H17" s="498">
        <f>SUM($F$9:F17)/A17</f>
        <v>0</v>
      </c>
      <c r="I17" s="499">
        <f>SUM($G$9:G17)/A17</f>
        <v>0</v>
      </c>
      <c r="J17" s="443">
        <f t="shared" si="2"/>
        <v>0</v>
      </c>
      <c r="K17" s="459">
        <f t="shared" si="2"/>
        <v>0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348</v>
      </c>
      <c r="D18" s="502">
        <f t="shared" si="0"/>
        <v>0</v>
      </c>
      <c r="E18" s="499"/>
      <c r="F18" s="446">
        <f t="shared" si="1"/>
        <v>0</v>
      </c>
      <c r="G18" s="503">
        <f t="shared" si="1"/>
        <v>0</v>
      </c>
      <c r="H18" s="504">
        <f>SUM($F$9:F18)/A18</f>
        <v>0</v>
      </c>
      <c r="I18" s="499">
        <f>SUM($G$9:G18)/A18</f>
        <v>0</v>
      </c>
      <c r="J18" s="504">
        <f t="shared" si="2"/>
        <v>0</v>
      </c>
      <c r="K18" s="459">
        <f t="shared" si="2"/>
        <v>0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0"/>
        <v>0</v>
      </c>
      <c r="E19" s="499"/>
      <c r="F19" s="446">
        <f t="shared" si="1"/>
        <v>0</v>
      </c>
      <c r="G19" s="503">
        <f t="shared" si="1"/>
        <v>0</v>
      </c>
      <c r="H19" s="498">
        <f>SUM($F$9:F19)/A19</f>
        <v>0</v>
      </c>
      <c r="I19" s="499">
        <f>SUM($G$9:G19)/A19</f>
        <v>0</v>
      </c>
      <c r="J19" s="443">
        <f t="shared" si="2"/>
        <v>0</v>
      </c>
      <c r="K19" s="459">
        <f t="shared" si="2"/>
        <v>0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/>
      <c r="E20" s="499"/>
      <c r="F20" s="446">
        <f t="shared" si="1"/>
        <v>0</v>
      </c>
      <c r="G20" s="503">
        <f t="shared" si="1"/>
        <v>0</v>
      </c>
      <c r="H20" s="498">
        <f>SUM($F$9:F20)/A20</f>
        <v>0</v>
      </c>
      <c r="I20" s="499">
        <f>SUM($G$9:G20)/A20</f>
        <v>0</v>
      </c>
      <c r="J20" s="443">
        <f t="shared" si="2"/>
        <v>0</v>
      </c>
      <c r="K20" s="459">
        <f t="shared" si="2"/>
        <v>0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si="0"/>
        <v>0</v>
      </c>
      <c r="E21" s="499"/>
      <c r="F21" s="446">
        <f t="shared" si="1"/>
        <v>0</v>
      </c>
      <c r="G21" s="503">
        <f t="shared" si="1"/>
        <v>0</v>
      </c>
      <c r="H21" s="498">
        <f>SUM($F$9:F21)/A21</f>
        <v>0</v>
      </c>
      <c r="I21" s="499">
        <f>SUM($G$9:G21)/A21</f>
        <v>0</v>
      </c>
      <c r="J21" s="443">
        <f t="shared" si="2"/>
        <v>0</v>
      </c>
      <c r="K21" s="459">
        <f t="shared" si="2"/>
        <v>0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0"/>
        <v>0</v>
      </c>
      <c r="E22" s="499"/>
      <c r="F22" s="446">
        <f t="shared" si="1"/>
        <v>0</v>
      </c>
      <c r="G22" s="503">
        <f t="shared" si="1"/>
        <v>0</v>
      </c>
      <c r="H22" s="498">
        <f>SUM($F$9:F22)/A22</f>
        <v>0</v>
      </c>
      <c r="I22" s="499">
        <f>SUM($G$9:G22)/A22</f>
        <v>0</v>
      </c>
      <c r="J22" s="443">
        <f t="shared" si="2"/>
        <v>0</v>
      </c>
      <c r="K22" s="459">
        <f t="shared" si="2"/>
        <v>0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0"/>
        <v>1000</v>
      </c>
      <c r="E23" s="499">
        <v>1000</v>
      </c>
      <c r="F23" s="446">
        <f t="shared" si="1"/>
        <v>0</v>
      </c>
      <c r="G23" s="503">
        <f t="shared" si="1"/>
        <v>0</v>
      </c>
      <c r="H23" s="504">
        <f>SUM($F$9:F23)/A23</f>
        <v>0</v>
      </c>
      <c r="I23" s="499">
        <f>SUM($G$9:G23)/A23</f>
        <v>0</v>
      </c>
      <c r="J23" s="504">
        <f t="shared" si="2"/>
        <v>1000</v>
      </c>
      <c r="K23" s="459">
        <f t="shared" si="2"/>
        <v>1000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200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/>
      <c r="E24" s="499"/>
      <c r="F24" s="446">
        <f t="shared" si="1"/>
        <v>0</v>
      </c>
      <c r="G24" s="503">
        <f t="shared" si="1"/>
        <v>0</v>
      </c>
      <c r="H24" s="498">
        <f>SUM($F$9:F24)/A24</f>
        <v>0</v>
      </c>
      <c r="I24" s="499">
        <f>SUM($G$9:G24)/A24</f>
        <v>0</v>
      </c>
      <c r="J24" s="443">
        <f t="shared" si="2"/>
        <v>1000</v>
      </c>
      <c r="K24" s="459">
        <f t="shared" si="2"/>
        <v>1000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200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>
        <f t="shared" si="0"/>
        <v>0</v>
      </c>
      <c r="E25" s="499"/>
      <c r="F25" s="446">
        <f t="shared" si="1"/>
        <v>0</v>
      </c>
      <c r="G25" s="503">
        <f t="shared" si="1"/>
        <v>0</v>
      </c>
      <c r="H25" s="498">
        <f>SUM($F$9:F25)/A25</f>
        <v>0</v>
      </c>
      <c r="I25" s="499">
        <f>SUM($G$9:G25)/A25</f>
        <v>0</v>
      </c>
      <c r="J25" s="443">
        <f t="shared" si="2"/>
        <v>1000</v>
      </c>
      <c r="K25" s="459">
        <f t="shared" si="2"/>
        <v>1000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200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0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0</v>
      </c>
      <c r="I26" s="499">
        <f>SUM($G$9:G26)/A26</f>
        <v>0</v>
      </c>
      <c r="J26" s="443">
        <f t="shared" ref="J26:K39" si="5">J25+D26-F26</f>
        <v>1000</v>
      </c>
      <c r="K26" s="459">
        <f t="shared" si="5"/>
        <v>1000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200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0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0</v>
      </c>
      <c r="I27" s="499">
        <f>SUM($G$9:G27)/A27</f>
        <v>0</v>
      </c>
      <c r="J27" s="443">
        <f t="shared" si="5"/>
        <v>1000</v>
      </c>
      <c r="K27" s="459">
        <f t="shared" si="5"/>
        <v>1000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200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0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0</v>
      </c>
      <c r="I28" s="499">
        <f>SUM($G$9:G28)/A28</f>
        <v>0</v>
      </c>
      <c r="J28" s="504">
        <f t="shared" si="5"/>
        <v>1000</v>
      </c>
      <c r="K28" s="459">
        <f t="shared" si="5"/>
        <v>1000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200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0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0</v>
      </c>
      <c r="I29" s="499">
        <f>SUM($G$9:G29)/A29</f>
        <v>0</v>
      </c>
      <c r="J29" s="443">
        <f t="shared" si="5"/>
        <v>1000</v>
      </c>
      <c r="K29" s="459">
        <f t="shared" si="5"/>
        <v>1000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200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0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0</v>
      </c>
      <c r="I30" s="499">
        <f>SUM($G$9:G30)/A30</f>
        <v>0</v>
      </c>
      <c r="J30" s="443">
        <f t="shared" si="5"/>
        <v>1000</v>
      </c>
      <c r="K30" s="459">
        <f t="shared" si="5"/>
        <v>1000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200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0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0</v>
      </c>
      <c r="I31" s="499">
        <f>SUM($G$9:G31)/A31</f>
        <v>0</v>
      </c>
      <c r="J31" s="443">
        <f t="shared" si="5"/>
        <v>1000</v>
      </c>
      <c r="K31" s="459">
        <f t="shared" si="5"/>
        <v>1000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200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0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0</v>
      </c>
      <c r="I32" s="499">
        <f>SUM($G$9:G32)/A32</f>
        <v>0</v>
      </c>
      <c r="J32" s="443">
        <f t="shared" si="5"/>
        <v>1000</v>
      </c>
      <c r="K32" s="459">
        <f t="shared" si="5"/>
        <v>1000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200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104</v>
      </c>
      <c r="D33" s="502">
        <f t="shared" si="0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0</v>
      </c>
      <c r="I33" s="499">
        <f>SUM($G$9:G33)/A33</f>
        <v>0</v>
      </c>
      <c r="J33" s="460">
        <f t="shared" si="5"/>
        <v>1000</v>
      </c>
      <c r="K33" s="459">
        <f t="shared" si="5"/>
        <v>1000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200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0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0</v>
      </c>
      <c r="I34" s="499">
        <f>SUM($G$9:G34)/A34</f>
        <v>0</v>
      </c>
      <c r="J34" s="443">
        <f t="shared" si="5"/>
        <v>1000</v>
      </c>
      <c r="K34" s="459">
        <f t="shared" si="5"/>
        <v>1000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200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0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0</v>
      </c>
      <c r="I35" s="499">
        <f>SUM($G$9:G35)/A35</f>
        <v>0</v>
      </c>
      <c r="J35" s="443">
        <f t="shared" si="5"/>
        <v>1000</v>
      </c>
      <c r="K35" s="459">
        <f t="shared" si="5"/>
        <v>1000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200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 t="shared" si="0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0</v>
      </c>
      <c r="I36" s="499">
        <f>SUM($G$9:G36)/A36</f>
        <v>0</v>
      </c>
      <c r="J36" s="443">
        <f t="shared" si="5"/>
        <v>1000</v>
      </c>
      <c r="K36" s="459">
        <f t="shared" si="5"/>
        <v>1000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200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0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0</v>
      </c>
      <c r="I37" s="499">
        <f>SUM($G$9:G37)/A37</f>
        <v>0</v>
      </c>
      <c r="J37" s="443">
        <f t="shared" si="5"/>
        <v>1000</v>
      </c>
      <c r="K37" s="459">
        <f t="shared" si="5"/>
        <v>1000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200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0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0</v>
      </c>
      <c r="I38" s="499">
        <f>SUM($G$9:G38)/A38</f>
        <v>0</v>
      </c>
      <c r="J38" s="504">
        <f t="shared" si="5"/>
        <v>1000</v>
      </c>
      <c r="K38" s="459">
        <f t="shared" si="5"/>
        <v>1000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200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0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0</v>
      </c>
      <c r="I39" s="499">
        <f>SUM($G$9:G39)/A39</f>
        <v>0</v>
      </c>
      <c r="J39" s="443">
        <f t="shared" si="5"/>
        <v>1000</v>
      </c>
      <c r="K39" s="459">
        <f t="shared" si="5"/>
        <v>1000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200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1000</v>
      </c>
      <c r="E40" s="388">
        <f>SUM(E9:E39)</f>
        <v>1000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1000</v>
      </c>
      <c r="K40" s="461">
        <f>K39</f>
        <v>1000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1000</v>
      </c>
      <c r="E41" s="388">
        <f>E8+E40</f>
        <v>1000</v>
      </c>
      <c r="F41" s="389">
        <f>F40</f>
        <v>0</v>
      </c>
      <c r="G41" s="496">
        <f>G40</f>
        <v>0</v>
      </c>
      <c r="H41" s="389"/>
      <c r="I41" s="496"/>
      <c r="J41" s="389">
        <f>D41-F41</f>
        <v>1000</v>
      </c>
      <c r="K41" s="389">
        <f>E41-G41</f>
        <v>1000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3:N3"/>
    <mergeCell ref="A4:B4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1927" priority="496" operator="lessThan">
      <formula>15</formula>
    </cfRule>
    <cfRule type="cellIs" dxfId="11926" priority="497" operator="greaterThan">
      <formula>20</formula>
    </cfRule>
    <cfRule type="cellIs" dxfId="11925" priority="498" operator="between">
      <formula>15</formula>
      <formula>20</formula>
    </cfRule>
    <cfRule type="cellIs" dxfId="11924" priority="499" operator="between">
      <formula>15</formula>
      <formula>20</formula>
    </cfRule>
    <cfRule type="cellIs" dxfId="11923" priority="500" operator="lessThan">
      <formula>15</formula>
    </cfRule>
    <cfRule type="cellIs" dxfId="11922" priority="501" operator="greaterThan">
      <formula>20</formula>
    </cfRule>
    <cfRule type="cellIs" dxfId="11921" priority="502" operator="between">
      <formula>15</formula>
      <formula>21</formula>
    </cfRule>
    <cfRule type="cellIs" dxfId="11920" priority="503" operator="lessThan">
      <formula>15</formula>
    </cfRule>
    <cfRule type="cellIs" dxfId="11919" priority="504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" footer="0.2"/>
  <pageSetup paperSize="9" orientation="landscape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1.140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591" customFormat="1" ht="18.75" customHeight="1">
      <c r="A4" s="1600" t="s">
        <v>33</v>
      </c>
      <c r="B4" s="1600"/>
      <c r="C4" s="316" t="str">
        <f>J4</f>
        <v>CMC T26 (VISCOLOSE 2000)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462</v>
      </c>
      <c r="K4" s="319"/>
      <c r="L4" s="319"/>
      <c r="M4" s="319"/>
      <c r="O4" s="1422"/>
      <c r="P4" s="1422"/>
      <c r="Q4" s="1422"/>
      <c r="R4" s="1422"/>
      <c r="S4" s="143"/>
      <c r="U4" s="143"/>
      <c r="V4" s="143"/>
      <c r="W4" s="143"/>
      <c r="X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U5" s="143"/>
      <c r="V5" s="143"/>
      <c r="W5" s="143"/>
      <c r="X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U6" s="143"/>
      <c r="V6" s="143"/>
      <c r="W6" s="143"/>
      <c r="X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U7" s="143"/>
      <c r="V7" s="143"/>
      <c r="W7" s="143"/>
      <c r="X7" s="143"/>
    </row>
    <row r="8" spans="1:29" s="305" customFormat="1" ht="12" customHeight="1">
      <c r="A8" s="1597" t="s">
        <v>3</v>
      </c>
      <c r="B8" s="1598"/>
      <c r="C8" s="1599"/>
      <c r="D8" s="606">
        <f>J8</f>
        <v>0</v>
      </c>
      <c r="E8" s="607">
        <f>K8</f>
        <v>0</v>
      </c>
      <c r="F8" s="608">
        <f>F40</f>
        <v>0</v>
      </c>
      <c r="G8" s="607">
        <f>G40</f>
        <v>0</v>
      </c>
      <c r="H8" s="606"/>
      <c r="I8" s="607"/>
      <c r="J8" s="637">
        <f>K8</f>
        <v>0</v>
      </c>
      <c r="K8" s="638">
        <v>0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30</v>
      </c>
    </row>
    <row r="9" spans="1:29" s="367" customFormat="1" ht="15" customHeight="1">
      <c r="A9" s="364">
        <v>1</v>
      </c>
      <c r="B9" s="365">
        <f>'FRIT HGE91-FHG'!B9</f>
        <v>46235</v>
      </c>
      <c r="C9" s="331" t="s">
        <v>285</v>
      </c>
      <c r="D9" s="502">
        <f t="shared" ref="D9:D39" si="0">E9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609">
        <f>J8+D9-F9</f>
        <v>0</v>
      </c>
      <c r="K9" s="610">
        <f>K8+E9-G9</f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5" customHeight="1">
      <c r="A10" s="364">
        <v>2</v>
      </c>
      <c r="B10" s="365">
        <f>'FRIT HGE91-FHG'!B10</f>
        <v>46236</v>
      </c>
      <c r="C10" s="331" t="s">
        <v>285</v>
      </c>
      <c r="D10" s="502">
        <f t="shared" si="0"/>
        <v>0</v>
      </c>
      <c r="E10" s="499"/>
      <c r="F10" s="446">
        <f t="shared" ref="F10:G39" si="1">O10+Q10</f>
        <v>0</v>
      </c>
      <c r="G10" s="503">
        <f t="shared" si="1"/>
        <v>0</v>
      </c>
      <c r="H10" s="498">
        <f>SUM($F$9:F10)/A10</f>
        <v>0</v>
      </c>
      <c r="I10" s="499">
        <f>SUM($G$9:G10)/A10</f>
        <v>0</v>
      </c>
      <c r="J10" s="609">
        <f t="shared" ref="J10:K25" si="2">J9+D10-F10</f>
        <v>0</v>
      </c>
      <c r="K10" s="610">
        <f t="shared" si="2"/>
        <v>0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5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0"/>
        <v>0</v>
      </c>
      <c r="E11" s="499"/>
      <c r="F11" s="446">
        <f t="shared" si="1"/>
        <v>0</v>
      </c>
      <c r="G11" s="503">
        <f t="shared" si="1"/>
        <v>0</v>
      </c>
      <c r="H11" s="498">
        <f>SUM($F$9:F11)/A11</f>
        <v>0</v>
      </c>
      <c r="I11" s="499">
        <f>SUM($G$9:G11)/A11</f>
        <v>0</v>
      </c>
      <c r="J11" s="609">
        <f t="shared" si="2"/>
        <v>0</v>
      </c>
      <c r="K11" s="610">
        <f t="shared" si="2"/>
        <v>0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5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0"/>
        <v>0</v>
      </c>
      <c r="E12" s="499"/>
      <c r="F12" s="446">
        <f t="shared" si="1"/>
        <v>0</v>
      </c>
      <c r="G12" s="503">
        <f t="shared" si="1"/>
        <v>0</v>
      </c>
      <c r="H12" s="498">
        <f>SUM($F$9:F12)/A12</f>
        <v>0</v>
      </c>
      <c r="I12" s="499">
        <f>SUM($G$9:G12)/A12</f>
        <v>0</v>
      </c>
      <c r="J12" s="609">
        <f t="shared" si="2"/>
        <v>0</v>
      </c>
      <c r="K12" s="610">
        <f t="shared" si="2"/>
        <v>0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5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0"/>
        <v>0</v>
      </c>
      <c r="E13" s="499"/>
      <c r="F13" s="446">
        <f t="shared" si="1"/>
        <v>0</v>
      </c>
      <c r="G13" s="503">
        <f t="shared" si="1"/>
        <v>0</v>
      </c>
      <c r="H13" s="504">
        <f>SUM($F$9:F13)/A13</f>
        <v>0</v>
      </c>
      <c r="I13" s="499">
        <f>SUM($G$9:G13)/A13</f>
        <v>0</v>
      </c>
      <c r="J13" s="611">
        <f t="shared" si="2"/>
        <v>0</v>
      </c>
      <c r="K13" s="610">
        <f t="shared" si="2"/>
        <v>0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5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0"/>
        <v>0</v>
      </c>
      <c r="E14" s="499"/>
      <c r="F14" s="446">
        <f t="shared" si="1"/>
        <v>0</v>
      </c>
      <c r="G14" s="503">
        <f t="shared" si="1"/>
        <v>0</v>
      </c>
      <c r="H14" s="498">
        <f>SUM($F$9:F14)/A14</f>
        <v>0</v>
      </c>
      <c r="I14" s="499">
        <f>SUM($G$9:G14)/A14</f>
        <v>0</v>
      </c>
      <c r="J14" s="609">
        <f t="shared" si="2"/>
        <v>0</v>
      </c>
      <c r="K14" s="610">
        <f t="shared" si="2"/>
        <v>0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5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0"/>
        <v>0</v>
      </c>
      <c r="E15" s="499"/>
      <c r="F15" s="446">
        <f t="shared" si="1"/>
        <v>0</v>
      </c>
      <c r="G15" s="503">
        <f t="shared" si="1"/>
        <v>0</v>
      </c>
      <c r="H15" s="498">
        <f>SUM($F$9:F15)/A15</f>
        <v>0</v>
      </c>
      <c r="I15" s="499">
        <f>SUM($G$9:G15)/A15</f>
        <v>0</v>
      </c>
      <c r="J15" s="609">
        <f t="shared" si="2"/>
        <v>0</v>
      </c>
      <c r="K15" s="610">
        <f t="shared" si="2"/>
        <v>0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5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0"/>
        <v>0</v>
      </c>
      <c r="E16" s="499"/>
      <c r="F16" s="446">
        <f t="shared" si="1"/>
        <v>0</v>
      </c>
      <c r="G16" s="503">
        <f t="shared" si="1"/>
        <v>0</v>
      </c>
      <c r="H16" s="498">
        <f>SUM($F$9:F16)/A16</f>
        <v>0</v>
      </c>
      <c r="I16" s="499">
        <f>SUM($G$9:G16)/A16</f>
        <v>0</v>
      </c>
      <c r="J16" s="609">
        <f t="shared" si="2"/>
        <v>0</v>
      </c>
      <c r="K16" s="610">
        <f t="shared" si="2"/>
        <v>0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>
      <c r="A17" s="364">
        <v>9</v>
      </c>
      <c r="B17" s="365">
        <f>'FRIT HGE91-FHG'!B17</f>
        <v>46243</v>
      </c>
      <c r="C17" s="331" t="s">
        <v>285</v>
      </c>
      <c r="D17" s="502">
        <f t="shared" si="0"/>
        <v>0</v>
      </c>
      <c r="E17" s="499"/>
      <c r="F17" s="446">
        <f t="shared" si="1"/>
        <v>0</v>
      </c>
      <c r="G17" s="503">
        <f t="shared" si="1"/>
        <v>0</v>
      </c>
      <c r="H17" s="498">
        <f>SUM($F$9:F17)/A17</f>
        <v>0</v>
      </c>
      <c r="I17" s="499">
        <f>SUM($G$9:G17)/A17</f>
        <v>0</v>
      </c>
      <c r="J17" s="609">
        <f t="shared" si="2"/>
        <v>0</v>
      </c>
      <c r="K17" s="610">
        <f t="shared" si="2"/>
        <v>0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>
      <c r="A18" s="504">
        <v>10</v>
      </c>
      <c r="B18" s="365">
        <f>'FRIT HGE91-FHG'!B18</f>
        <v>46244</v>
      </c>
      <c r="C18" s="331" t="s">
        <v>285</v>
      </c>
      <c r="D18" s="502">
        <f t="shared" si="0"/>
        <v>0</v>
      </c>
      <c r="E18" s="499"/>
      <c r="F18" s="446">
        <f t="shared" si="1"/>
        <v>0</v>
      </c>
      <c r="G18" s="503">
        <f t="shared" si="1"/>
        <v>0</v>
      </c>
      <c r="H18" s="504">
        <f>SUM($F$9:F18)/A18</f>
        <v>0</v>
      </c>
      <c r="I18" s="499">
        <f>SUM($G$9:G18)/A18</f>
        <v>0</v>
      </c>
      <c r="J18" s="611">
        <f t="shared" si="2"/>
        <v>0</v>
      </c>
      <c r="K18" s="610">
        <f t="shared" si="2"/>
        <v>0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>
      <c r="A19" s="364">
        <v>11</v>
      </c>
      <c r="B19" s="365">
        <f>'FRIT HGE91-FHG'!B19</f>
        <v>46245</v>
      </c>
      <c r="C19" s="331" t="s">
        <v>285</v>
      </c>
      <c r="D19" s="502">
        <f t="shared" si="0"/>
        <v>0</v>
      </c>
      <c r="E19" s="499"/>
      <c r="F19" s="446">
        <f t="shared" si="1"/>
        <v>0</v>
      </c>
      <c r="G19" s="503">
        <f t="shared" si="1"/>
        <v>0</v>
      </c>
      <c r="H19" s="498">
        <f>SUM($F$9:F19)/A19</f>
        <v>0</v>
      </c>
      <c r="I19" s="499">
        <f>SUM($G$9:G19)/A19</f>
        <v>0</v>
      </c>
      <c r="J19" s="609">
        <f t="shared" si="2"/>
        <v>0</v>
      </c>
      <c r="K19" s="610">
        <f t="shared" si="2"/>
        <v>0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>
      <c r="A20" s="364">
        <v>12</v>
      </c>
      <c r="B20" s="365">
        <f>'FRIT HGE91-FHG'!B20</f>
        <v>46246</v>
      </c>
      <c r="C20" s="331" t="s">
        <v>285</v>
      </c>
      <c r="D20" s="502">
        <f t="shared" si="0"/>
        <v>0</v>
      </c>
      <c r="E20" s="499"/>
      <c r="F20" s="446">
        <f t="shared" si="1"/>
        <v>0</v>
      </c>
      <c r="G20" s="503">
        <f t="shared" si="1"/>
        <v>0</v>
      </c>
      <c r="H20" s="498">
        <f>SUM($F$9:F20)/A20</f>
        <v>0</v>
      </c>
      <c r="I20" s="499">
        <f>SUM($G$9:G20)/A20</f>
        <v>0</v>
      </c>
      <c r="J20" s="609">
        <f t="shared" si="2"/>
        <v>0</v>
      </c>
      <c r="K20" s="610">
        <f t="shared" si="2"/>
        <v>0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>
      <c r="A21" s="364">
        <v>13</v>
      </c>
      <c r="B21" s="365">
        <f>'FRIT HGE91-FHG'!B21</f>
        <v>46247</v>
      </c>
      <c r="C21" s="331" t="s">
        <v>285</v>
      </c>
      <c r="D21" s="502">
        <f t="shared" si="0"/>
        <v>0</v>
      </c>
      <c r="E21" s="499"/>
      <c r="F21" s="446">
        <f t="shared" si="1"/>
        <v>0</v>
      </c>
      <c r="G21" s="503">
        <f t="shared" si="1"/>
        <v>0</v>
      </c>
      <c r="H21" s="498">
        <f>SUM($F$9:F21)/A21</f>
        <v>0</v>
      </c>
      <c r="I21" s="499">
        <f>SUM($G$9:G21)/A21</f>
        <v>0</v>
      </c>
      <c r="J21" s="609">
        <f t="shared" si="2"/>
        <v>0</v>
      </c>
      <c r="K21" s="610">
        <f t="shared" si="2"/>
        <v>0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>
      <c r="A22" s="364">
        <v>14</v>
      </c>
      <c r="B22" s="365">
        <f>'FRIT HGE91-FHG'!B22</f>
        <v>46248</v>
      </c>
      <c r="C22" s="331" t="s">
        <v>285</v>
      </c>
      <c r="D22" s="502">
        <f t="shared" si="0"/>
        <v>0</v>
      </c>
      <c r="E22" s="499"/>
      <c r="F22" s="446">
        <f t="shared" si="1"/>
        <v>0</v>
      </c>
      <c r="G22" s="503">
        <f t="shared" si="1"/>
        <v>0</v>
      </c>
      <c r="H22" s="498">
        <f>SUM($F$9:F22)/A22</f>
        <v>0</v>
      </c>
      <c r="I22" s="499">
        <f>SUM($G$9:G22)/A22</f>
        <v>0</v>
      </c>
      <c r="J22" s="609">
        <f t="shared" si="2"/>
        <v>0</v>
      </c>
      <c r="K22" s="610">
        <f t="shared" si="2"/>
        <v>0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>
      <c r="A23" s="504">
        <v>15</v>
      </c>
      <c r="B23" s="365">
        <f>'FRIT HGE91-FHG'!B23</f>
        <v>46249</v>
      </c>
      <c r="C23" s="331" t="s">
        <v>285</v>
      </c>
      <c r="D23" s="502">
        <f t="shared" si="0"/>
        <v>0</v>
      </c>
      <c r="E23" s="499"/>
      <c r="F23" s="446">
        <f t="shared" si="1"/>
        <v>0</v>
      </c>
      <c r="G23" s="503">
        <f t="shared" si="1"/>
        <v>0</v>
      </c>
      <c r="H23" s="504">
        <f>SUM($F$9:F23)/A23</f>
        <v>0</v>
      </c>
      <c r="I23" s="499">
        <f>SUM($G$9:G23)/A23</f>
        <v>0</v>
      </c>
      <c r="J23" s="611">
        <f t="shared" si="2"/>
        <v>0</v>
      </c>
      <c r="K23" s="610">
        <f t="shared" si="2"/>
        <v>0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>
      <c r="A24" s="364">
        <v>16</v>
      </c>
      <c r="B24" s="365">
        <f>'FRIT HGE91-FHG'!B24</f>
        <v>46250</v>
      </c>
      <c r="C24" s="331" t="s">
        <v>285</v>
      </c>
      <c r="D24" s="502">
        <f t="shared" si="0"/>
        <v>0</v>
      </c>
      <c r="E24" s="499"/>
      <c r="F24" s="446">
        <f t="shared" si="1"/>
        <v>0</v>
      </c>
      <c r="G24" s="503">
        <f t="shared" si="1"/>
        <v>0</v>
      </c>
      <c r="H24" s="498">
        <f>SUM($F$9:F24)/A24</f>
        <v>0</v>
      </c>
      <c r="I24" s="499">
        <f>SUM($G$9:G24)/A24</f>
        <v>0</v>
      </c>
      <c r="J24" s="609">
        <f t="shared" si="2"/>
        <v>0</v>
      </c>
      <c r="K24" s="610">
        <f t="shared" si="2"/>
        <v>0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>
      <c r="A25" s="364">
        <v>17</v>
      </c>
      <c r="B25" s="365">
        <f>'FRIT HGE91-FHG'!B25</f>
        <v>46251</v>
      </c>
      <c r="C25" s="331" t="s">
        <v>285</v>
      </c>
      <c r="D25" s="502">
        <f t="shared" si="0"/>
        <v>0</v>
      </c>
      <c r="E25" s="499"/>
      <c r="F25" s="446">
        <f t="shared" si="1"/>
        <v>0</v>
      </c>
      <c r="G25" s="503">
        <f t="shared" si="1"/>
        <v>0</v>
      </c>
      <c r="H25" s="498">
        <f>SUM($F$9:F25)/A25</f>
        <v>0</v>
      </c>
      <c r="I25" s="499">
        <f>SUM($G$9:G25)/A25</f>
        <v>0</v>
      </c>
      <c r="J25" s="609">
        <f t="shared" si="2"/>
        <v>0</v>
      </c>
      <c r="K25" s="610">
        <f t="shared" si="2"/>
        <v>0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>
      <c r="A26" s="364">
        <v>18</v>
      </c>
      <c r="B26" s="365">
        <f>'FRIT HGE91-FHG'!B26</f>
        <v>46252</v>
      </c>
      <c r="C26" s="331" t="s">
        <v>285</v>
      </c>
      <c r="D26" s="502">
        <f t="shared" si="0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0</v>
      </c>
      <c r="I26" s="499">
        <f>SUM($G$9:G26)/A26</f>
        <v>0</v>
      </c>
      <c r="J26" s="609">
        <f t="shared" ref="J26:K39" si="5">J25+D26-F26</f>
        <v>0</v>
      </c>
      <c r="K26" s="610">
        <f t="shared" si="5"/>
        <v>0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>
      <c r="A27" s="364">
        <v>19</v>
      </c>
      <c r="B27" s="365">
        <f>'FRIT HGE91-FHG'!B27</f>
        <v>46253</v>
      </c>
      <c r="C27" s="331" t="s">
        <v>285</v>
      </c>
      <c r="D27" s="502">
        <f t="shared" si="0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0</v>
      </c>
      <c r="I27" s="499">
        <f>SUM($G$9:G27)/A27</f>
        <v>0</v>
      </c>
      <c r="J27" s="609">
        <f t="shared" si="5"/>
        <v>0</v>
      </c>
      <c r="K27" s="610">
        <f t="shared" si="5"/>
        <v>0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>
      <c r="A28" s="504">
        <v>20</v>
      </c>
      <c r="B28" s="365">
        <f>'FRIT HGE91-FHG'!B28</f>
        <v>46254</v>
      </c>
      <c r="C28" s="331" t="s">
        <v>285</v>
      </c>
      <c r="D28" s="502">
        <f t="shared" si="0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0</v>
      </c>
      <c r="I28" s="499">
        <f>SUM($G$9:G28)/A28</f>
        <v>0</v>
      </c>
      <c r="J28" s="611">
        <f t="shared" si="5"/>
        <v>0</v>
      </c>
      <c r="K28" s="610">
        <f t="shared" si="5"/>
        <v>0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>
      <c r="A29" s="364">
        <v>21</v>
      </c>
      <c r="B29" s="365">
        <f>'FRIT HGE91-FHG'!B29</f>
        <v>46255</v>
      </c>
      <c r="C29" s="331" t="s">
        <v>285</v>
      </c>
      <c r="D29" s="502">
        <f t="shared" si="0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0</v>
      </c>
      <c r="I29" s="499">
        <f>SUM($G$9:G29)/A29</f>
        <v>0</v>
      </c>
      <c r="J29" s="609">
        <f t="shared" si="5"/>
        <v>0</v>
      </c>
      <c r="K29" s="610">
        <f t="shared" si="5"/>
        <v>0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>
      <c r="A30" s="364">
        <v>22</v>
      </c>
      <c r="B30" s="365">
        <f>'FRIT HGE91-FHG'!B30</f>
        <v>46256</v>
      </c>
      <c r="C30" s="331" t="s">
        <v>285</v>
      </c>
      <c r="D30" s="502">
        <f t="shared" si="0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0</v>
      </c>
      <c r="I30" s="499">
        <f>SUM($G$9:G30)/A30</f>
        <v>0</v>
      </c>
      <c r="J30" s="609">
        <f t="shared" si="5"/>
        <v>0</v>
      </c>
      <c r="K30" s="610">
        <f t="shared" si="5"/>
        <v>0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>
      <c r="A31" s="364">
        <v>23</v>
      </c>
      <c r="B31" s="365">
        <f>'FRIT HGE91-FHG'!B31</f>
        <v>46257</v>
      </c>
      <c r="C31" s="331" t="s">
        <v>285</v>
      </c>
      <c r="D31" s="502">
        <f t="shared" si="0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0</v>
      </c>
      <c r="I31" s="499">
        <f>SUM($G$9:G31)/A31</f>
        <v>0</v>
      </c>
      <c r="J31" s="609">
        <f t="shared" si="5"/>
        <v>0</v>
      </c>
      <c r="K31" s="610">
        <f t="shared" si="5"/>
        <v>0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>
      <c r="A32" s="364">
        <v>24</v>
      </c>
      <c r="B32" s="365">
        <f>'FRIT HGE91-FHG'!B32</f>
        <v>46258</v>
      </c>
      <c r="C32" s="331" t="s">
        <v>285</v>
      </c>
      <c r="D32" s="502">
        <f t="shared" si="0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0</v>
      </c>
      <c r="I32" s="499">
        <f>SUM($G$9:G32)/A32</f>
        <v>0</v>
      </c>
      <c r="J32" s="609">
        <f t="shared" si="5"/>
        <v>0</v>
      </c>
      <c r="K32" s="610">
        <f t="shared" si="5"/>
        <v>0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>
      <c r="A33" s="460">
        <v>25</v>
      </c>
      <c r="B33" s="365">
        <f>'FRIT HGE91-FHG'!B33</f>
        <v>46259</v>
      </c>
      <c r="C33" s="331" t="s">
        <v>285</v>
      </c>
      <c r="D33" s="502">
        <f t="shared" si="0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0</v>
      </c>
      <c r="I33" s="499">
        <f>SUM($G$9:G33)/A33</f>
        <v>0</v>
      </c>
      <c r="J33" s="612">
        <f t="shared" si="5"/>
        <v>0</v>
      </c>
      <c r="K33" s="610">
        <f t="shared" si="5"/>
        <v>0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>
      <c r="A34" s="364">
        <v>26</v>
      </c>
      <c r="B34" s="365">
        <f>'FRIT HGE91-FHG'!B34</f>
        <v>46260</v>
      </c>
      <c r="C34" s="331" t="s">
        <v>285</v>
      </c>
      <c r="D34" s="502">
        <f t="shared" si="0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0</v>
      </c>
      <c r="I34" s="499">
        <f>SUM($G$9:G34)/A34</f>
        <v>0</v>
      </c>
      <c r="J34" s="609">
        <f t="shared" si="5"/>
        <v>0</v>
      </c>
      <c r="K34" s="610">
        <f t="shared" si="5"/>
        <v>0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>
      <c r="A35" s="364">
        <v>27</v>
      </c>
      <c r="B35" s="365">
        <f>'FRIT HGE91-FHG'!B35</f>
        <v>46261</v>
      </c>
      <c r="C35" s="331" t="s">
        <v>285</v>
      </c>
      <c r="D35" s="502">
        <f t="shared" si="0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0</v>
      </c>
      <c r="I35" s="499">
        <f>SUM($G$9:G35)/A35</f>
        <v>0</v>
      </c>
      <c r="J35" s="609">
        <f t="shared" si="5"/>
        <v>0</v>
      </c>
      <c r="K35" s="610">
        <f t="shared" si="5"/>
        <v>0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>
      <c r="A36" s="364">
        <v>28</v>
      </c>
      <c r="B36" s="365">
        <f>'FRIT HGE91-FHG'!B36</f>
        <v>46262</v>
      </c>
      <c r="C36" s="331" t="s">
        <v>285</v>
      </c>
      <c r="D36" s="502">
        <f t="shared" si="0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0</v>
      </c>
      <c r="I36" s="499">
        <f>SUM($G$9:G36)/A36</f>
        <v>0</v>
      </c>
      <c r="J36" s="609">
        <f t="shared" si="5"/>
        <v>0</v>
      </c>
      <c r="K36" s="610">
        <f t="shared" si="5"/>
        <v>0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>
      <c r="A37" s="364">
        <v>29</v>
      </c>
      <c r="B37" s="365">
        <f>'FRIT HGE91-FHG'!B37</f>
        <v>46263</v>
      </c>
      <c r="C37" s="331" t="s">
        <v>285</v>
      </c>
      <c r="D37" s="502">
        <f t="shared" si="0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0</v>
      </c>
      <c r="I37" s="499">
        <f>SUM($G$9:G37)/A37</f>
        <v>0</v>
      </c>
      <c r="J37" s="609">
        <f t="shared" si="5"/>
        <v>0</v>
      </c>
      <c r="K37" s="610">
        <f t="shared" si="5"/>
        <v>0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>
      <c r="A38" s="504">
        <v>30</v>
      </c>
      <c r="B38" s="365">
        <f>'FRIT HGE91-FHG'!B38</f>
        <v>46264</v>
      </c>
      <c r="C38" s="331" t="s">
        <v>285</v>
      </c>
      <c r="D38" s="502">
        <f t="shared" si="0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0</v>
      </c>
      <c r="I38" s="499">
        <f>SUM($G$9:G38)/A38</f>
        <v>0</v>
      </c>
      <c r="J38" s="611">
        <f t="shared" si="5"/>
        <v>0</v>
      </c>
      <c r="K38" s="610">
        <f t="shared" si="5"/>
        <v>0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>
      <c r="A39" s="364">
        <v>31</v>
      </c>
      <c r="B39" s="365">
        <f>'FRIT HGE91-FHG'!B39</f>
        <v>46265</v>
      </c>
      <c r="C39" s="331" t="s">
        <v>285</v>
      </c>
      <c r="D39" s="502">
        <f t="shared" si="0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0</v>
      </c>
      <c r="I39" s="499">
        <f>SUM($G$9:G39)/A39</f>
        <v>0</v>
      </c>
      <c r="J39" s="609">
        <f t="shared" si="5"/>
        <v>0</v>
      </c>
      <c r="K39" s="610">
        <f t="shared" si="5"/>
        <v>0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.75">
      <c r="A40" s="592" t="s">
        <v>29</v>
      </c>
      <c r="B40" s="593"/>
      <c r="C40" s="594"/>
      <c r="D40" s="388">
        <f>SUM(D9:D39)</f>
        <v>0</v>
      </c>
      <c r="E40" s="388">
        <f>SUM(E9:E39)</f>
        <v>0</v>
      </c>
      <c r="F40" s="641">
        <f>SUM(F9:F39)</f>
        <v>0</v>
      </c>
      <c r="G40" s="928">
        <f>SUM(G9:G39)</f>
        <v>0</v>
      </c>
      <c r="H40" s="389"/>
      <c r="I40" s="496"/>
      <c r="J40" s="389">
        <f>J39</f>
        <v>0</v>
      </c>
      <c r="K40" s="642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.75">
      <c r="A41" s="592" t="s">
        <v>15</v>
      </c>
      <c r="B41" s="593"/>
      <c r="C41" s="594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641">
        <f>D41-F41</f>
        <v>0</v>
      </c>
      <c r="K41" s="641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918" priority="343" operator="lessThan">
      <formula>15</formula>
    </cfRule>
    <cfRule type="cellIs" dxfId="11917" priority="344" operator="greaterThan">
      <formula>20</formula>
    </cfRule>
    <cfRule type="cellIs" dxfId="11916" priority="345" operator="between">
      <formula>15</formula>
      <formula>20</formula>
    </cfRule>
    <cfRule type="cellIs" dxfId="11915" priority="346" operator="between">
      <formula>15</formula>
      <formula>20</formula>
    </cfRule>
    <cfRule type="cellIs" dxfId="11914" priority="347" operator="lessThan">
      <formula>15</formula>
    </cfRule>
    <cfRule type="cellIs" dxfId="11913" priority="348" operator="greaterThan">
      <formula>20</formula>
    </cfRule>
    <cfRule type="cellIs" dxfId="11912" priority="349" operator="between">
      <formula>15</formula>
      <formula>21</formula>
    </cfRule>
    <cfRule type="cellIs" dxfId="11911" priority="350" operator="lessThan">
      <formula>15</formula>
    </cfRule>
    <cfRule type="cellIs" dxfId="11910" priority="351" operator="greaterThan">
      <formula>21</formula>
    </cfRule>
  </conditionalFormatting>
  <hyperlinks>
    <hyperlink ref="M5" location="'TỔNG HỢP THÁNG'!A1" display="'TỔNG HỢP THÁNG'!A1"/>
  </hyperlinks>
  <pageMargins left="0.7" right="0.7" top="0.75" bottom="0.75" header="0.3" footer="0.3"/>
  <pageSetup paperSize="9" orientation="portrait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AC49"/>
  <sheetViews>
    <sheetView workbookViewId="0">
      <pane ySplit="8" topLeftCell="A12" activePane="bottomLeft" state="frozen"/>
      <selection pane="bottomLeft" activeCell="O26" sqref="O26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1.140625" style="142" customWidth="1"/>
    <col min="12" max="13" width="12" style="143" customWidth="1"/>
    <col min="14" max="14" width="6.42578125" style="143" customWidth="1"/>
    <col min="15" max="18" width="10.5703125" style="143" customWidth="1"/>
    <col min="19" max="19" width="11.5703125" style="143" bestFit="1" customWidth="1"/>
    <col min="20" max="20" width="9.42578125" style="143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211" customFormat="1" ht="18.75" customHeight="1">
      <c r="A4" s="1600" t="s">
        <v>33</v>
      </c>
      <c r="B4" s="1600"/>
      <c r="C4" s="316" t="str">
        <f>J4</f>
        <v>CMC USK 60 THT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1009</v>
      </c>
      <c r="K4" s="319"/>
      <c r="L4" s="319"/>
      <c r="M4" s="319"/>
      <c r="O4" s="1422"/>
      <c r="P4" s="1422"/>
      <c r="Q4" s="1422"/>
      <c r="R4" s="1422"/>
      <c r="S4" s="143"/>
      <c r="U4" s="143"/>
      <c r="V4" s="143"/>
      <c r="W4" s="143"/>
      <c r="X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U5" s="143"/>
      <c r="V5" s="143"/>
      <c r="W5" s="143"/>
      <c r="X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U6" s="143"/>
      <c r="V6" s="143"/>
      <c r="W6" s="143"/>
      <c r="X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U7" s="143"/>
      <c r="V7" s="143"/>
      <c r="W7" s="143"/>
      <c r="X7" s="143"/>
    </row>
    <row r="8" spans="1:29" s="305" customFormat="1" ht="12" customHeight="1">
      <c r="A8" s="1597" t="s">
        <v>3</v>
      </c>
      <c r="B8" s="1598"/>
      <c r="C8" s="1599"/>
      <c r="D8" s="606">
        <f>J8</f>
        <v>954.4</v>
      </c>
      <c r="E8" s="607">
        <f>K8</f>
        <v>954.4</v>
      </c>
      <c r="F8" s="608">
        <f>F40</f>
        <v>354.29999999999995</v>
      </c>
      <c r="G8" s="607">
        <f>G40</f>
        <v>354.29999999999995</v>
      </c>
      <c r="H8" s="606"/>
      <c r="I8" s="607"/>
      <c r="J8" s="637">
        <f>K8</f>
        <v>954.4</v>
      </c>
      <c r="K8" s="638">
        <v>954.4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30</v>
      </c>
    </row>
    <row r="9" spans="1:29" s="367" customFormat="1" ht="15" customHeight="1">
      <c r="A9" s="364">
        <v>1</v>
      </c>
      <c r="B9" s="365">
        <f>'FRIT HGE91-FHG'!B9</f>
        <v>46235</v>
      </c>
      <c r="C9" s="331" t="s">
        <v>285</v>
      </c>
      <c r="D9" s="502">
        <f t="shared" ref="D9:D39" si="0">E9</f>
        <v>0</v>
      </c>
      <c r="E9" s="499"/>
      <c r="F9" s="586">
        <f>O9+Q9</f>
        <v>20.6</v>
      </c>
      <c r="G9" s="1424">
        <f>P9+R9</f>
        <v>20.6</v>
      </c>
      <c r="H9" s="498">
        <f>SUM($F$9:F9)/A9</f>
        <v>20.6</v>
      </c>
      <c r="I9" s="499">
        <f>SUM($G$9:G9)/A9</f>
        <v>20.6</v>
      </c>
      <c r="J9" s="609">
        <f>J8+D9-F9</f>
        <v>933.8</v>
      </c>
      <c r="K9" s="610">
        <f>K8+E9-G9</f>
        <v>933.8</v>
      </c>
      <c r="L9" s="495">
        <f>J9/H9</f>
        <v>45.330097087378633</v>
      </c>
      <c r="M9" s="464">
        <f>K9/I9</f>
        <v>45.330097087378633</v>
      </c>
      <c r="N9" s="366"/>
      <c r="O9" s="586">
        <f>7.5+3.2</f>
        <v>10.7</v>
      </c>
      <c r="P9" s="586">
        <f>O9</f>
        <v>10.7</v>
      </c>
      <c r="Q9" s="586">
        <f>4.5+5.4</f>
        <v>9.9</v>
      </c>
      <c r="R9" s="586">
        <f>Q9</f>
        <v>9.9</v>
      </c>
      <c r="S9" s="647">
        <f>J9/$S$8</f>
        <v>31.126666666666665</v>
      </c>
    </row>
    <row r="10" spans="1:29" s="367" customFormat="1" ht="15" customHeight="1">
      <c r="A10" s="364">
        <v>2</v>
      </c>
      <c r="B10" s="365">
        <f>'FRIT HGE91-FHG'!B10</f>
        <v>46236</v>
      </c>
      <c r="C10" s="331" t="s">
        <v>285</v>
      </c>
      <c r="D10" s="502">
        <f t="shared" si="0"/>
        <v>0</v>
      </c>
      <c r="E10" s="499"/>
      <c r="F10" s="586">
        <f t="shared" ref="F10:G39" si="1">O10+Q10</f>
        <v>13.899999999999999</v>
      </c>
      <c r="G10" s="1424">
        <f t="shared" si="1"/>
        <v>13.899999999999999</v>
      </c>
      <c r="H10" s="498">
        <f>SUM($F$9:F10)/A10</f>
        <v>17.25</v>
      </c>
      <c r="I10" s="499">
        <f>SUM($G$9:G10)/A10</f>
        <v>17.25</v>
      </c>
      <c r="J10" s="609">
        <f t="shared" ref="J10:K25" si="2">J9+D10-F10</f>
        <v>919.9</v>
      </c>
      <c r="K10" s="610">
        <f t="shared" si="2"/>
        <v>919.9</v>
      </c>
      <c r="L10" s="495">
        <f t="shared" ref="L10:M39" si="3">J10/H10</f>
        <v>53.327536231884054</v>
      </c>
      <c r="M10" s="464">
        <f t="shared" si="3"/>
        <v>53.327536231884054</v>
      </c>
      <c r="N10" s="366"/>
      <c r="O10" s="586">
        <f>7.5+3.2</f>
        <v>10.7</v>
      </c>
      <c r="P10" s="586">
        <f t="shared" ref="P10:P39" si="4">O10</f>
        <v>10.7</v>
      </c>
      <c r="Q10" s="586">
        <v>3.2</v>
      </c>
      <c r="R10" s="586">
        <f t="shared" ref="R10:R39" si="5">Q10</f>
        <v>3.2</v>
      </c>
      <c r="S10" s="647">
        <f t="shared" ref="S10:S39" si="6">J10/$S$8</f>
        <v>30.663333333333334</v>
      </c>
    </row>
    <row r="11" spans="1:29" s="367" customFormat="1" ht="15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0"/>
        <v>0</v>
      </c>
      <c r="E11" s="499"/>
      <c r="F11" s="586">
        <f t="shared" si="1"/>
        <v>16.3</v>
      </c>
      <c r="G11" s="1424">
        <f t="shared" si="1"/>
        <v>16.3</v>
      </c>
      <c r="H11" s="498">
        <f>SUM($F$9:F11)/A11</f>
        <v>16.933333333333334</v>
      </c>
      <c r="I11" s="499">
        <f>SUM($G$9:G11)/A11</f>
        <v>16.933333333333334</v>
      </c>
      <c r="J11" s="609">
        <f t="shared" si="2"/>
        <v>903.6</v>
      </c>
      <c r="K11" s="610">
        <f t="shared" si="2"/>
        <v>903.6</v>
      </c>
      <c r="L11" s="495">
        <f t="shared" si="3"/>
        <v>53.362204724409452</v>
      </c>
      <c r="M11" s="464">
        <f t="shared" si="3"/>
        <v>53.362204724409452</v>
      </c>
      <c r="N11" s="366"/>
      <c r="O11" s="586">
        <f>6.4+4.5</f>
        <v>10.9</v>
      </c>
      <c r="P11" s="586">
        <f t="shared" si="4"/>
        <v>10.9</v>
      </c>
      <c r="Q11" s="586">
        <v>5.4</v>
      </c>
      <c r="R11" s="586">
        <f t="shared" si="5"/>
        <v>5.4</v>
      </c>
      <c r="S11" s="647">
        <f t="shared" si="6"/>
        <v>30.12</v>
      </c>
    </row>
    <row r="12" spans="1:29" s="367" customFormat="1" ht="15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0"/>
        <v>0</v>
      </c>
      <c r="E12" s="499"/>
      <c r="F12" s="586">
        <f t="shared" si="1"/>
        <v>19.3</v>
      </c>
      <c r="G12" s="1424">
        <f t="shared" si="1"/>
        <v>19.3</v>
      </c>
      <c r="H12" s="498">
        <f>SUM($F$9:F12)/A12</f>
        <v>17.524999999999999</v>
      </c>
      <c r="I12" s="499">
        <f>SUM($G$9:G12)/A12</f>
        <v>17.524999999999999</v>
      </c>
      <c r="J12" s="609">
        <f t="shared" si="2"/>
        <v>884.30000000000007</v>
      </c>
      <c r="K12" s="610">
        <f t="shared" si="2"/>
        <v>884.30000000000007</v>
      </c>
      <c r="L12" s="495">
        <f t="shared" si="3"/>
        <v>50.459343794579183</v>
      </c>
      <c r="M12" s="464">
        <f t="shared" si="3"/>
        <v>50.459343794579183</v>
      </c>
      <c r="N12" s="366"/>
      <c r="O12" s="586">
        <f>3.2+7.5</f>
        <v>10.7</v>
      </c>
      <c r="P12" s="586">
        <f t="shared" si="4"/>
        <v>10.7</v>
      </c>
      <c r="Q12" s="586">
        <f>5.4+3.2</f>
        <v>8.6000000000000014</v>
      </c>
      <c r="R12" s="586">
        <f t="shared" si="5"/>
        <v>8.6000000000000014</v>
      </c>
      <c r="S12" s="647">
        <f t="shared" si="6"/>
        <v>29.47666666666667</v>
      </c>
    </row>
    <row r="13" spans="1:29" s="367" customFormat="1" ht="15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0"/>
        <v>0</v>
      </c>
      <c r="E13" s="499"/>
      <c r="F13" s="586">
        <f t="shared" si="1"/>
        <v>19.5</v>
      </c>
      <c r="G13" s="1424">
        <f t="shared" si="1"/>
        <v>19.5</v>
      </c>
      <c r="H13" s="504">
        <f>SUM($F$9:F13)/A13</f>
        <v>17.919999999999998</v>
      </c>
      <c r="I13" s="499">
        <f>SUM($G$9:G13)/A13</f>
        <v>17.919999999999998</v>
      </c>
      <c r="J13" s="611">
        <f t="shared" si="2"/>
        <v>864.80000000000007</v>
      </c>
      <c r="K13" s="610">
        <f t="shared" si="2"/>
        <v>864.80000000000007</v>
      </c>
      <c r="L13" s="505">
        <f t="shared" si="3"/>
        <v>48.258928571428584</v>
      </c>
      <c r="M13" s="464">
        <f t="shared" si="3"/>
        <v>48.258928571428584</v>
      </c>
      <c r="N13" s="366"/>
      <c r="O13" s="586">
        <f>6.4+4.5</f>
        <v>10.9</v>
      </c>
      <c r="P13" s="586">
        <f t="shared" si="4"/>
        <v>10.9</v>
      </c>
      <c r="Q13" s="586">
        <f>3.2+5.4</f>
        <v>8.6000000000000014</v>
      </c>
      <c r="R13" s="586">
        <f t="shared" si="5"/>
        <v>8.6000000000000014</v>
      </c>
      <c r="S13" s="647">
        <f t="shared" si="6"/>
        <v>28.826666666666668</v>
      </c>
    </row>
    <row r="14" spans="1:29" s="367" customFormat="1" ht="15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0"/>
        <v>0</v>
      </c>
      <c r="E14" s="499"/>
      <c r="F14" s="586">
        <f t="shared" si="1"/>
        <v>19.3</v>
      </c>
      <c r="G14" s="1424">
        <f t="shared" si="1"/>
        <v>19.3</v>
      </c>
      <c r="H14" s="498">
        <f>SUM($F$9:F14)/A14</f>
        <v>18.149999999999999</v>
      </c>
      <c r="I14" s="499">
        <f>SUM($G$9:G14)/A14</f>
        <v>18.149999999999999</v>
      </c>
      <c r="J14" s="609">
        <f t="shared" si="2"/>
        <v>845.50000000000011</v>
      </c>
      <c r="K14" s="610">
        <f t="shared" si="2"/>
        <v>845.50000000000011</v>
      </c>
      <c r="L14" s="495">
        <f t="shared" si="3"/>
        <v>46.584022038567504</v>
      </c>
      <c r="M14" s="464">
        <f t="shared" si="3"/>
        <v>46.584022038567504</v>
      </c>
      <c r="N14" s="366"/>
      <c r="O14" s="586">
        <f>7.5+3.2</f>
        <v>10.7</v>
      </c>
      <c r="P14" s="586">
        <f t="shared" si="4"/>
        <v>10.7</v>
      </c>
      <c r="Q14" s="586">
        <f>5.4+3.2</f>
        <v>8.6000000000000014</v>
      </c>
      <c r="R14" s="586">
        <f t="shared" si="5"/>
        <v>8.6000000000000014</v>
      </c>
      <c r="S14" s="647">
        <f t="shared" si="6"/>
        <v>28.183333333333337</v>
      </c>
    </row>
    <row r="15" spans="1:29" s="367" customFormat="1" ht="15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0"/>
        <v>0</v>
      </c>
      <c r="E15" s="499"/>
      <c r="F15" s="586">
        <f t="shared" si="1"/>
        <v>19.3</v>
      </c>
      <c r="G15" s="1424">
        <f t="shared" si="1"/>
        <v>19.3</v>
      </c>
      <c r="H15" s="498">
        <f>SUM($F$9:F15)/A15</f>
        <v>18.314285714285713</v>
      </c>
      <c r="I15" s="499">
        <f>SUM($G$9:G15)/A15</f>
        <v>18.314285714285713</v>
      </c>
      <c r="J15" s="609">
        <f t="shared" si="2"/>
        <v>826.20000000000016</v>
      </c>
      <c r="K15" s="610">
        <f t="shared" si="2"/>
        <v>826.20000000000016</v>
      </c>
      <c r="L15" s="495">
        <f t="shared" si="3"/>
        <v>45.112324492979731</v>
      </c>
      <c r="M15" s="464">
        <f t="shared" si="3"/>
        <v>45.112324492979731</v>
      </c>
      <c r="N15" s="366"/>
      <c r="O15" s="586">
        <f>3.2+7.5</f>
        <v>10.7</v>
      </c>
      <c r="P15" s="586">
        <f t="shared" si="4"/>
        <v>10.7</v>
      </c>
      <c r="Q15" s="586">
        <f>3.2+5.4</f>
        <v>8.6000000000000014</v>
      </c>
      <c r="R15" s="586">
        <f t="shared" si="5"/>
        <v>8.6000000000000014</v>
      </c>
      <c r="S15" s="647">
        <f t="shared" si="6"/>
        <v>27.540000000000006</v>
      </c>
    </row>
    <row r="16" spans="1:29" s="367" customFormat="1" ht="15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0"/>
        <v>0</v>
      </c>
      <c r="E16" s="499"/>
      <c r="F16" s="586">
        <f t="shared" si="1"/>
        <v>25.700000000000003</v>
      </c>
      <c r="G16" s="1424">
        <f t="shared" si="1"/>
        <v>25.700000000000003</v>
      </c>
      <c r="H16" s="498">
        <f>SUM($F$9:F16)/A16</f>
        <v>19.237499999999997</v>
      </c>
      <c r="I16" s="499">
        <f>SUM($G$9:G16)/A16</f>
        <v>19.237499999999997</v>
      </c>
      <c r="J16" s="609">
        <f t="shared" si="2"/>
        <v>800.50000000000011</v>
      </c>
      <c r="K16" s="610">
        <f t="shared" si="2"/>
        <v>800.50000000000011</v>
      </c>
      <c r="L16" s="495">
        <f t="shared" si="3"/>
        <v>41.611435997400925</v>
      </c>
      <c r="M16" s="464">
        <f t="shared" si="3"/>
        <v>41.611435997400925</v>
      </c>
      <c r="N16" s="366"/>
      <c r="O16" s="586">
        <f>6.4+7.5</f>
        <v>13.9</v>
      </c>
      <c r="P16" s="586">
        <f t="shared" si="4"/>
        <v>13.9</v>
      </c>
      <c r="Q16" s="586">
        <f>6.4+5.4</f>
        <v>11.8</v>
      </c>
      <c r="R16" s="586">
        <f t="shared" si="5"/>
        <v>11.8</v>
      </c>
      <c r="S16" s="647">
        <f t="shared" si="6"/>
        <v>26.683333333333337</v>
      </c>
    </row>
    <row r="17" spans="1:19" s="367" customFormat="1">
      <c r="A17" s="364">
        <v>9</v>
      </c>
      <c r="B17" s="365">
        <f>'FRIT HGE91-FHG'!B17</f>
        <v>46243</v>
      </c>
      <c r="C17" s="331" t="s">
        <v>285</v>
      </c>
      <c r="D17" s="502">
        <f t="shared" si="0"/>
        <v>0</v>
      </c>
      <c r="E17" s="499"/>
      <c r="F17" s="586">
        <f t="shared" si="1"/>
        <v>16.3</v>
      </c>
      <c r="G17" s="1424">
        <f t="shared" si="1"/>
        <v>16.3</v>
      </c>
      <c r="H17" s="498">
        <f>SUM($F$9:F17)/A17</f>
        <v>18.911111111111111</v>
      </c>
      <c r="I17" s="499">
        <f>SUM($G$9:G17)/A17</f>
        <v>18.911111111111111</v>
      </c>
      <c r="J17" s="609">
        <f t="shared" si="2"/>
        <v>784.20000000000016</v>
      </c>
      <c r="K17" s="610">
        <f t="shared" si="2"/>
        <v>784.20000000000016</v>
      </c>
      <c r="L17" s="495">
        <f t="shared" si="3"/>
        <v>41.467685076380739</v>
      </c>
      <c r="M17" s="464">
        <f t="shared" si="3"/>
        <v>41.467685076380739</v>
      </c>
      <c r="N17" s="366"/>
      <c r="O17" s="586">
        <f>3.2+4.5</f>
        <v>7.7</v>
      </c>
      <c r="P17" s="586">
        <f t="shared" si="4"/>
        <v>7.7</v>
      </c>
      <c r="Q17" s="586">
        <f>3.2+5.4</f>
        <v>8.6000000000000014</v>
      </c>
      <c r="R17" s="586">
        <f t="shared" si="5"/>
        <v>8.6000000000000014</v>
      </c>
      <c r="S17" s="647">
        <f t="shared" si="6"/>
        <v>26.140000000000004</v>
      </c>
    </row>
    <row r="18" spans="1:19" s="367" customFormat="1">
      <c r="A18" s="504">
        <v>10</v>
      </c>
      <c r="B18" s="365">
        <f>'FRIT HGE91-FHG'!B18</f>
        <v>46244</v>
      </c>
      <c r="C18" s="331" t="s">
        <v>285</v>
      </c>
      <c r="D18" s="502">
        <f t="shared" si="0"/>
        <v>0</v>
      </c>
      <c r="E18" s="499"/>
      <c r="F18" s="586">
        <f t="shared" si="1"/>
        <v>22.700000000000003</v>
      </c>
      <c r="G18" s="1424">
        <f t="shared" si="1"/>
        <v>22.700000000000003</v>
      </c>
      <c r="H18" s="504">
        <f>SUM($F$9:F18)/A18</f>
        <v>19.29</v>
      </c>
      <c r="I18" s="499">
        <f>SUM($G$9:G18)/A18</f>
        <v>19.29</v>
      </c>
      <c r="J18" s="611">
        <f t="shared" si="2"/>
        <v>761.50000000000011</v>
      </c>
      <c r="K18" s="610">
        <f t="shared" si="2"/>
        <v>761.50000000000011</v>
      </c>
      <c r="L18" s="505">
        <f t="shared" si="3"/>
        <v>39.476412649040959</v>
      </c>
      <c r="M18" s="464">
        <f t="shared" si="3"/>
        <v>39.476412649040959</v>
      </c>
      <c r="N18" s="366"/>
      <c r="O18" s="586">
        <f>6.4+7.5</f>
        <v>13.9</v>
      </c>
      <c r="P18" s="586">
        <f t="shared" si="4"/>
        <v>13.9</v>
      </c>
      <c r="Q18" s="586">
        <f>3.4+5.4</f>
        <v>8.8000000000000007</v>
      </c>
      <c r="R18" s="586">
        <f t="shared" si="5"/>
        <v>8.8000000000000007</v>
      </c>
      <c r="S18" s="647">
        <f t="shared" si="6"/>
        <v>25.383333333333336</v>
      </c>
    </row>
    <row r="19" spans="1:19" s="367" customFormat="1">
      <c r="A19" s="364">
        <v>11</v>
      </c>
      <c r="B19" s="365">
        <f>'FRIT HGE91-FHG'!B19</f>
        <v>46245</v>
      </c>
      <c r="C19" s="331" t="s">
        <v>285</v>
      </c>
      <c r="D19" s="502">
        <f t="shared" si="0"/>
        <v>0</v>
      </c>
      <c r="E19" s="499"/>
      <c r="F19" s="586">
        <f t="shared" si="1"/>
        <v>22.2</v>
      </c>
      <c r="G19" s="1424">
        <f t="shared" si="1"/>
        <v>22.2</v>
      </c>
      <c r="H19" s="498">
        <f>SUM($F$9:F19)/A19</f>
        <v>19.554545454545451</v>
      </c>
      <c r="I19" s="499">
        <f>SUM($G$9:G19)/A19</f>
        <v>19.554545454545451</v>
      </c>
      <c r="J19" s="609">
        <f t="shared" si="2"/>
        <v>739.30000000000007</v>
      </c>
      <c r="K19" s="610">
        <f t="shared" si="2"/>
        <v>739.30000000000007</v>
      </c>
      <c r="L19" s="495">
        <f t="shared" si="3"/>
        <v>37.807066480706659</v>
      </c>
      <c r="M19" s="464">
        <f t="shared" si="3"/>
        <v>37.807066480706659</v>
      </c>
      <c r="N19" s="366"/>
      <c r="O19" s="586">
        <f>3.2+7.5</f>
        <v>10.7</v>
      </c>
      <c r="P19" s="586">
        <f t="shared" si="4"/>
        <v>10.7</v>
      </c>
      <c r="Q19" s="586">
        <f>4.5+3.6+3.4</f>
        <v>11.5</v>
      </c>
      <c r="R19" s="586">
        <f t="shared" si="5"/>
        <v>11.5</v>
      </c>
      <c r="S19" s="647">
        <f t="shared" si="6"/>
        <v>24.643333333333334</v>
      </c>
    </row>
    <row r="20" spans="1:19" s="367" customFormat="1">
      <c r="A20" s="364">
        <v>12</v>
      </c>
      <c r="B20" s="365">
        <f>'FRIT HGE91-FHG'!B20</f>
        <v>46246</v>
      </c>
      <c r="C20" s="331" t="s">
        <v>285</v>
      </c>
      <c r="D20" s="502">
        <f t="shared" si="0"/>
        <v>0</v>
      </c>
      <c r="E20" s="499"/>
      <c r="F20" s="586">
        <f t="shared" si="1"/>
        <v>18.8</v>
      </c>
      <c r="G20" s="1424">
        <f t="shared" si="1"/>
        <v>18.8</v>
      </c>
      <c r="H20" s="498">
        <f>SUM($F$9:F20)/A20</f>
        <v>19.491666666666664</v>
      </c>
      <c r="I20" s="499">
        <f>SUM($G$9:G20)/A20</f>
        <v>19.491666666666664</v>
      </c>
      <c r="J20" s="609">
        <f t="shared" si="2"/>
        <v>720.50000000000011</v>
      </c>
      <c r="K20" s="610">
        <f t="shared" si="2"/>
        <v>720.50000000000011</v>
      </c>
      <c r="L20" s="495">
        <f t="shared" si="3"/>
        <v>36.964514749893127</v>
      </c>
      <c r="M20" s="464">
        <f t="shared" si="3"/>
        <v>36.964514749893127</v>
      </c>
      <c r="N20" s="366"/>
      <c r="O20" s="586">
        <f>4.5+3.2</f>
        <v>7.7</v>
      </c>
      <c r="P20" s="586">
        <f t="shared" si="4"/>
        <v>7.7</v>
      </c>
      <c r="Q20" s="586">
        <f>3.6+7.5</f>
        <v>11.1</v>
      </c>
      <c r="R20" s="586">
        <f t="shared" si="5"/>
        <v>11.1</v>
      </c>
      <c r="S20" s="647">
        <f t="shared" si="6"/>
        <v>24.016666666666669</v>
      </c>
    </row>
    <row r="21" spans="1:19" s="367" customFormat="1">
      <c r="A21" s="364">
        <v>13</v>
      </c>
      <c r="B21" s="365">
        <f>'FRIT HGE91-FHG'!B21</f>
        <v>46247</v>
      </c>
      <c r="C21" s="331" t="s">
        <v>285</v>
      </c>
      <c r="D21" s="502">
        <f t="shared" si="0"/>
        <v>1000</v>
      </c>
      <c r="E21" s="499">
        <v>1000</v>
      </c>
      <c r="F21" s="586">
        <f t="shared" si="1"/>
        <v>22</v>
      </c>
      <c r="G21" s="1424">
        <f t="shared" si="1"/>
        <v>22</v>
      </c>
      <c r="H21" s="498">
        <f>SUM($F$9:F21)/A21</f>
        <v>19.684615384615384</v>
      </c>
      <c r="I21" s="499">
        <f>SUM($G$9:G21)/A21</f>
        <v>19.684615384615384</v>
      </c>
      <c r="J21" s="609">
        <f t="shared" si="2"/>
        <v>1698.5</v>
      </c>
      <c r="K21" s="610">
        <f t="shared" si="2"/>
        <v>1698.5</v>
      </c>
      <c r="L21" s="495">
        <f t="shared" si="3"/>
        <v>86.285658460336066</v>
      </c>
      <c r="M21" s="464">
        <f t="shared" si="3"/>
        <v>86.285658460336066</v>
      </c>
      <c r="N21" s="366"/>
      <c r="O21" s="586">
        <f>7.5+6.4</f>
        <v>13.9</v>
      </c>
      <c r="P21" s="586">
        <f t="shared" si="4"/>
        <v>13.9</v>
      </c>
      <c r="Q21" s="586">
        <f>3.6+4.5</f>
        <v>8.1</v>
      </c>
      <c r="R21" s="586">
        <f t="shared" si="5"/>
        <v>8.1</v>
      </c>
      <c r="S21" s="647">
        <f t="shared" si="6"/>
        <v>56.616666666666667</v>
      </c>
    </row>
    <row r="22" spans="1:19" s="367" customFormat="1">
      <c r="A22" s="364">
        <v>14</v>
      </c>
      <c r="B22" s="365">
        <f>'FRIT HGE91-FHG'!B22</f>
        <v>46248</v>
      </c>
      <c r="C22" s="331" t="s">
        <v>285</v>
      </c>
      <c r="D22" s="502">
        <f t="shared" si="0"/>
        <v>0</v>
      </c>
      <c r="E22" s="499"/>
      <c r="F22" s="586">
        <f t="shared" si="1"/>
        <v>25.4</v>
      </c>
      <c r="G22" s="1424">
        <f t="shared" si="1"/>
        <v>25.4</v>
      </c>
      <c r="H22" s="498">
        <f>SUM($F$9:F22)/A22</f>
        <v>20.092857142857138</v>
      </c>
      <c r="I22" s="499">
        <f>SUM($G$9:G22)/A22</f>
        <v>20.092857142857138</v>
      </c>
      <c r="J22" s="609">
        <f t="shared" si="2"/>
        <v>1673.1</v>
      </c>
      <c r="K22" s="610">
        <f t="shared" si="2"/>
        <v>1673.1</v>
      </c>
      <c r="L22" s="495">
        <f t="shared" si="3"/>
        <v>83.268396729470325</v>
      </c>
      <c r="M22" s="464">
        <f t="shared" si="3"/>
        <v>83.268396729470325</v>
      </c>
      <c r="N22" s="366"/>
      <c r="O22" s="586">
        <f>7.5+3.2</f>
        <v>10.7</v>
      </c>
      <c r="P22" s="586">
        <f t="shared" si="4"/>
        <v>10.7</v>
      </c>
      <c r="Q22" s="586">
        <f>7.5+7.2</f>
        <v>14.7</v>
      </c>
      <c r="R22" s="586">
        <f t="shared" si="5"/>
        <v>14.7</v>
      </c>
      <c r="S22" s="647">
        <f t="shared" si="6"/>
        <v>55.769999999999996</v>
      </c>
    </row>
    <row r="23" spans="1:19" s="367" customFormat="1">
      <c r="A23" s="504">
        <v>15</v>
      </c>
      <c r="B23" s="365">
        <f>'FRIT HGE91-FHG'!B23</f>
        <v>46249</v>
      </c>
      <c r="C23" s="331" t="s">
        <v>285</v>
      </c>
      <c r="D23" s="502">
        <f t="shared" si="0"/>
        <v>0</v>
      </c>
      <c r="E23" s="499"/>
      <c r="F23" s="586">
        <f t="shared" si="1"/>
        <v>25.6</v>
      </c>
      <c r="G23" s="1424">
        <f t="shared" si="1"/>
        <v>25.6</v>
      </c>
      <c r="H23" s="504">
        <f>SUM($F$9:F23)/A23</f>
        <v>20.459999999999997</v>
      </c>
      <c r="I23" s="499">
        <f>SUM($G$9:G23)/A23</f>
        <v>20.459999999999997</v>
      </c>
      <c r="J23" s="611">
        <f t="shared" si="2"/>
        <v>1647.5</v>
      </c>
      <c r="K23" s="610">
        <f t="shared" si="2"/>
        <v>1647.5</v>
      </c>
      <c r="L23" s="505">
        <f t="shared" si="3"/>
        <v>80.522971652003918</v>
      </c>
      <c r="M23" s="464">
        <f t="shared" si="3"/>
        <v>80.522971652003918</v>
      </c>
      <c r="N23" s="366"/>
      <c r="O23" s="586">
        <f>4.5+6.4</f>
        <v>10.9</v>
      </c>
      <c r="P23" s="586">
        <f t="shared" si="4"/>
        <v>10.9</v>
      </c>
      <c r="Q23" s="586">
        <f>7.5+7.2</f>
        <v>14.7</v>
      </c>
      <c r="R23" s="586">
        <f t="shared" si="5"/>
        <v>14.7</v>
      </c>
      <c r="S23" s="647">
        <f t="shared" si="6"/>
        <v>54.916666666666664</v>
      </c>
    </row>
    <row r="24" spans="1:19" s="367" customFormat="1">
      <c r="A24" s="364">
        <v>16</v>
      </c>
      <c r="B24" s="365">
        <f>'FRIT HGE91-FHG'!B24</f>
        <v>46250</v>
      </c>
      <c r="C24" s="331" t="s">
        <v>285</v>
      </c>
      <c r="D24" s="502">
        <f t="shared" si="0"/>
        <v>0</v>
      </c>
      <c r="E24" s="499"/>
      <c r="F24" s="586">
        <f t="shared" si="1"/>
        <v>25.4</v>
      </c>
      <c r="G24" s="1424">
        <f t="shared" si="1"/>
        <v>25.4</v>
      </c>
      <c r="H24" s="498">
        <f>SUM($F$9:F24)/A24</f>
        <v>20.768749999999997</v>
      </c>
      <c r="I24" s="499">
        <f>SUM($G$9:G24)/A24</f>
        <v>20.768749999999997</v>
      </c>
      <c r="J24" s="609">
        <f t="shared" si="2"/>
        <v>1622.1</v>
      </c>
      <c r="K24" s="610">
        <f t="shared" si="2"/>
        <v>1622.1</v>
      </c>
      <c r="L24" s="495">
        <f t="shared" si="3"/>
        <v>78.102919049052062</v>
      </c>
      <c r="M24" s="464">
        <f t="shared" si="3"/>
        <v>78.102919049052062</v>
      </c>
      <c r="N24" s="366"/>
      <c r="O24" s="586">
        <f>3.2+7.5</f>
        <v>10.7</v>
      </c>
      <c r="P24" s="586">
        <f t="shared" si="4"/>
        <v>10.7</v>
      </c>
      <c r="Q24" s="586">
        <f>7.5+7.2</f>
        <v>14.7</v>
      </c>
      <c r="R24" s="586">
        <f t="shared" si="5"/>
        <v>14.7</v>
      </c>
      <c r="S24" s="647">
        <f t="shared" si="6"/>
        <v>54.07</v>
      </c>
    </row>
    <row r="25" spans="1:19" s="367" customFormat="1">
      <c r="A25" s="364">
        <v>17</v>
      </c>
      <c r="B25" s="365">
        <f>'FRIT HGE91-FHG'!B25</f>
        <v>46251</v>
      </c>
      <c r="C25" s="331" t="s">
        <v>285</v>
      </c>
      <c r="D25" s="502">
        <f t="shared" si="0"/>
        <v>0</v>
      </c>
      <c r="E25" s="499"/>
      <c r="F25" s="586">
        <f t="shared" si="1"/>
        <v>22</v>
      </c>
      <c r="G25" s="1424">
        <f t="shared" si="1"/>
        <v>22</v>
      </c>
      <c r="H25" s="498">
        <f>SUM($F$9:F25)/A25</f>
        <v>20.841176470588234</v>
      </c>
      <c r="I25" s="499">
        <f>SUM($G$9:G25)/A25</f>
        <v>20.841176470588234</v>
      </c>
      <c r="J25" s="609">
        <f t="shared" si="2"/>
        <v>1600.1</v>
      </c>
      <c r="K25" s="610">
        <f t="shared" si="2"/>
        <v>1600.1</v>
      </c>
      <c r="L25" s="495">
        <f t="shared" si="3"/>
        <v>76.775896133220428</v>
      </c>
      <c r="M25" s="464">
        <f t="shared" si="3"/>
        <v>76.775896133220428</v>
      </c>
      <c r="N25" s="366"/>
      <c r="O25" s="586">
        <f>4.5+6.4</f>
        <v>10.9</v>
      </c>
      <c r="P25" s="586">
        <f t="shared" si="4"/>
        <v>10.9</v>
      </c>
      <c r="Q25" s="586">
        <f>3.6+7.5</f>
        <v>11.1</v>
      </c>
      <c r="R25" s="586">
        <f t="shared" si="5"/>
        <v>11.1</v>
      </c>
      <c r="S25" s="647">
        <f t="shared" si="6"/>
        <v>53.336666666666666</v>
      </c>
    </row>
    <row r="26" spans="1:19" s="367" customFormat="1">
      <c r="A26" s="364">
        <v>18</v>
      </c>
      <c r="B26" s="365">
        <f>'FRIT HGE91-FHG'!B26</f>
        <v>46252</v>
      </c>
      <c r="C26" s="331" t="s">
        <v>285</v>
      </c>
      <c r="D26" s="502">
        <f t="shared" si="0"/>
        <v>0</v>
      </c>
      <c r="E26" s="499"/>
      <c r="F26" s="586">
        <f t="shared" si="1"/>
        <v>0</v>
      </c>
      <c r="G26" s="1424">
        <f t="shared" si="1"/>
        <v>0</v>
      </c>
      <c r="H26" s="498">
        <f>SUM($F$9:F26)/A26</f>
        <v>19.68333333333333</v>
      </c>
      <c r="I26" s="499">
        <f>SUM($G$9:G26)/A26</f>
        <v>19.68333333333333</v>
      </c>
      <c r="J26" s="609">
        <f t="shared" ref="J26:K39" si="7">J25+D26-F26</f>
        <v>1600.1</v>
      </c>
      <c r="K26" s="610">
        <f t="shared" si="7"/>
        <v>1600.1</v>
      </c>
      <c r="L26" s="495">
        <f t="shared" si="3"/>
        <v>81.292125317527521</v>
      </c>
      <c r="M26" s="464">
        <f t="shared" si="3"/>
        <v>81.292125317527521</v>
      </c>
      <c r="N26" s="366"/>
      <c r="O26" s="586"/>
      <c r="P26" s="586">
        <f t="shared" si="4"/>
        <v>0</v>
      </c>
      <c r="Q26" s="586"/>
      <c r="R26" s="586">
        <f t="shared" si="5"/>
        <v>0</v>
      </c>
      <c r="S26" s="647">
        <f t="shared" si="6"/>
        <v>53.336666666666666</v>
      </c>
    </row>
    <row r="27" spans="1:19" s="367" customFormat="1">
      <c r="A27" s="364">
        <v>19</v>
      </c>
      <c r="B27" s="365">
        <f>'FRIT HGE91-FHG'!B27</f>
        <v>46253</v>
      </c>
      <c r="C27" s="331" t="s">
        <v>285</v>
      </c>
      <c r="D27" s="502">
        <f t="shared" si="0"/>
        <v>0</v>
      </c>
      <c r="E27" s="499"/>
      <c r="F27" s="586">
        <f t="shared" si="1"/>
        <v>0</v>
      </c>
      <c r="G27" s="1424">
        <f t="shared" si="1"/>
        <v>0</v>
      </c>
      <c r="H27" s="498">
        <f>SUM($F$9:F27)/A27</f>
        <v>18.647368421052629</v>
      </c>
      <c r="I27" s="499">
        <f>SUM($G$9:G27)/A27</f>
        <v>18.647368421052629</v>
      </c>
      <c r="J27" s="609">
        <f t="shared" si="7"/>
        <v>1600.1</v>
      </c>
      <c r="K27" s="610">
        <f t="shared" si="7"/>
        <v>1600.1</v>
      </c>
      <c r="L27" s="495">
        <f t="shared" si="3"/>
        <v>85.808354501834614</v>
      </c>
      <c r="M27" s="464">
        <f t="shared" si="3"/>
        <v>85.808354501834614</v>
      </c>
      <c r="N27" s="366"/>
      <c r="O27" s="586"/>
      <c r="P27" s="586">
        <f t="shared" si="4"/>
        <v>0</v>
      </c>
      <c r="Q27" s="586"/>
      <c r="R27" s="586">
        <f t="shared" si="5"/>
        <v>0</v>
      </c>
      <c r="S27" s="647">
        <f t="shared" si="6"/>
        <v>53.336666666666666</v>
      </c>
    </row>
    <row r="28" spans="1:19" s="367" customFormat="1">
      <c r="A28" s="504">
        <v>20</v>
      </c>
      <c r="B28" s="365">
        <f>'FRIT HGE91-FHG'!B28</f>
        <v>46254</v>
      </c>
      <c r="C28" s="331" t="s">
        <v>285</v>
      </c>
      <c r="D28" s="502">
        <f t="shared" si="0"/>
        <v>0</v>
      </c>
      <c r="E28" s="499"/>
      <c r="F28" s="586">
        <f t="shared" si="1"/>
        <v>0</v>
      </c>
      <c r="G28" s="1424">
        <f t="shared" si="1"/>
        <v>0</v>
      </c>
      <c r="H28" s="504">
        <f>SUM($F$9:F28)/A28</f>
        <v>17.714999999999996</v>
      </c>
      <c r="I28" s="499">
        <f>SUM($G$9:G28)/A28</f>
        <v>17.714999999999996</v>
      </c>
      <c r="J28" s="611">
        <f t="shared" si="7"/>
        <v>1600.1</v>
      </c>
      <c r="K28" s="610">
        <f t="shared" si="7"/>
        <v>1600.1</v>
      </c>
      <c r="L28" s="505">
        <f t="shared" si="3"/>
        <v>90.324583686141708</v>
      </c>
      <c r="M28" s="464">
        <f t="shared" si="3"/>
        <v>90.324583686141708</v>
      </c>
      <c r="N28" s="366"/>
      <c r="O28" s="586"/>
      <c r="P28" s="586">
        <f t="shared" si="4"/>
        <v>0</v>
      </c>
      <c r="Q28" s="586"/>
      <c r="R28" s="586">
        <f t="shared" si="5"/>
        <v>0</v>
      </c>
      <c r="S28" s="647">
        <f t="shared" si="6"/>
        <v>53.336666666666666</v>
      </c>
    </row>
    <row r="29" spans="1:19" s="367" customFormat="1">
      <c r="A29" s="364">
        <v>21</v>
      </c>
      <c r="B29" s="365">
        <f>'FRIT HGE91-FHG'!B29</f>
        <v>46255</v>
      </c>
      <c r="C29" s="331" t="s">
        <v>285</v>
      </c>
      <c r="D29" s="502">
        <f t="shared" si="0"/>
        <v>0</v>
      </c>
      <c r="E29" s="499"/>
      <c r="F29" s="586">
        <f t="shared" si="1"/>
        <v>0</v>
      </c>
      <c r="G29" s="1424">
        <f t="shared" si="1"/>
        <v>0</v>
      </c>
      <c r="H29" s="498">
        <f>SUM($F$9:F29)/A29</f>
        <v>16.87142857142857</v>
      </c>
      <c r="I29" s="499">
        <f>SUM($G$9:G29)/A29</f>
        <v>16.87142857142857</v>
      </c>
      <c r="J29" s="609">
        <f t="shared" si="7"/>
        <v>1600.1</v>
      </c>
      <c r="K29" s="610">
        <f t="shared" si="7"/>
        <v>1600.1</v>
      </c>
      <c r="L29" s="495">
        <f t="shared" si="3"/>
        <v>94.840812870448772</v>
      </c>
      <c r="M29" s="464">
        <f t="shared" si="3"/>
        <v>94.840812870448772</v>
      </c>
      <c r="N29" s="366"/>
      <c r="O29" s="586"/>
      <c r="P29" s="586">
        <f t="shared" si="4"/>
        <v>0</v>
      </c>
      <c r="Q29" s="586"/>
      <c r="R29" s="586">
        <f t="shared" si="5"/>
        <v>0</v>
      </c>
      <c r="S29" s="647">
        <f t="shared" si="6"/>
        <v>53.336666666666666</v>
      </c>
    </row>
    <row r="30" spans="1:19" s="367" customFormat="1">
      <c r="A30" s="364">
        <v>22</v>
      </c>
      <c r="B30" s="365">
        <f>'FRIT HGE91-FHG'!B30</f>
        <v>46256</v>
      </c>
      <c r="C30" s="331" t="s">
        <v>285</v>
      </c>
      <c r="D30" s="502">
        <f t="shared" si="0"/>
        <v>0</v>
      </c>
      <c r="E30" s="499"/>
      <c r="F30" s="586">
        <f t="shared" si="1"/>
        <v>0</v>
      </c>
      <c r="G30" s="1424">
        <f t="shared" si="1"/>
        <v>0</v>
      </c>
      <c r="H30" s="498">
        <f>SUM($F$9:F30)/A30</f>
        <v>16.104545454545452</v>
      </c>
      <c r="I30" s="499">
        <f>SUM($G$9:G30)/A30</f>
        <v>16.104545454545452</v>
      </c>
      <c r="J30" s="609">
        <f t="shared" si="7"/>
        <v>1600.1</v>
      </c>
      <c r="K30" s="610">
        <f t="shared" si="7"/>
        <v>1600.1</v>
      </c>
      <c r="L30" s="495">
        <f t="shared" si="3"/>
        <v>99.357042054755865</v>
      </c>
      <c r="M30" s="464">
        <f t="shared" si="3"/>
        <v>99.357042054755865</v>
      </c>
      <c r="N30" s="366"/>
      <c r="O30" s="586"/>
      <c r="P30" s="586">
        <f t="shared" si="4"/>
        <v>0</v>
      </c>
      <c r="Q30" s="586"/>
      <c r="R30" s="586">
        <f t="shared" si="5"/>
        <v>0</v>
      </c>
      <c r="S30" s="647">
        <f t="shared" si="6"/>
        <v>53.336666666666666</v>
      </c>
    </row>
    <row r="31" spans="1:19" s="367" customFormat="1">
      <c r="A31" s="364">
        <v>23</v>
      </c>
      <c r="B31" s="365">
        <f>'FRIT HGE91-FHG'!B31</f>
        <v>46257</v>
      </c>
      <c r="C31" s="331" t="s">
        <v>285</v>
      </c>
      <c r="D31" s="502">
        <f t="shared" si="0"/>
        <v>0</v>
      </c>
      <c r="E31" s="499"/>
      <c r="F31" s="586">
        <f t="shared" si="1"/>
        <v>0</v>
      </c>
      <c r="G31" s="1424">
        <f t="shared" si="1"/>
        <v>0</v>
      </c>
      <c r="H31" s="498">
        <f>SUM($F$9:F31)/A31</f>
        <v>15.404347826086955</v>
      </c>
      <c r="I31" s="499">
        <f>SUM($G$9:G31)/A31</f>
        <v>15.404347826086955</v>
      </c>
      <c r="J31" s="609">
        <f t="shared" si="7"/>
        <v>1600.1</v>
      </c>
      <c r="K31" s="610">
        <f t="shared" si="7"/>
        <v>1600.1</v>
      </c>
      <c r="L31" s="495">
        <f t="shared" si="3"/>
        <v>103.87327123906294</v>
      </c>
      <c r="M31" s="464">
        <f t="shared" si="3"/>
        <v>103.87327123906294</v>
      </c>
      <c r="N31" s="366"/>
      <c r="O31" s="586"/>
      <c r="P31" s="586">
        <f t="shared" si="4"/>
        <v>0</v>
      </c>
      <c r="Q31" s="586"/>
      <c r="R31" s="586">
        <f t="shared" si="5"/>
        <v>0</v>
      </c>
      <c r="S31" s="647">
        <f t="shared" si="6"/>
        <v>53.336666666666666</v>
      </c>
    </row>
    <row r="32" spans="1:19" s="367" customFormat="1">
      <c r="A32" s="364">
        <v>24</v>
      </c>
      <c r="B32" s="365">
        <f>'FRIT HGE91-FHG'!B32</f>
        <v>46258</v>
      </c>
      <c r="C32" s="331" t="s">
        <v>285</v>
      </c>
      <c r="D32" s="502">
        <f t="shared" si="0"/>
        <v>0</v>
      </c>
      <c r="E32" s="499"/>
      <c r="F32" s="586">
        <f t="shared" si="1"/>
        <v>0</v>
      </c>
      <c r="G32" s="1424">
        <f t="shared" si="1"/>
        <v>0</v>
      </c>
      <c r="H32" s="498">
        <f>SUM($F$9:F32)/A32</f>
        <v>14.762499999999998</v>
      </c>
      <c r="I32" s="499">
        <f>SUM($G$9:G32)/A32</f>
        <v>14.762499999999998</v>
      </c>
      <c r="J32" s="609">
        <f t="shared" si="7"/>
        <v>1600.1</v>
      </c>
      <c r="K32" s="610">
        <f t="shared" si="7"/>
        <v>1600.1</v>
      </c>
      <c r="L32" s="495">
        <f t="shared" si="3"/>
        <v>108.38950042337004</v>
      </c>
      <c r="M32" s="464">
        <f t="shared" si="3"/>
        <v>108.38950042337004</v>
      </c>
      <c r="N32" s="366"/>
      <c r="O32" s="586"/>
      <c r="P32" s="586">
        <f t="shared" si="4"/>
        <v>0</v>
      </c>
      <c r="Q32" s="586"/>
      <c r="R32" s="586">
        <f t="shared" si="5"/>
        <v>0</v>
      </c>
      <c r="S32" s="647">
        <f t="shared" si="6"/>
        <v>53.336666666666666</v>
      </c>
    </row>
    <row r="33" spans="1:19" s="367" customFormat="1">
      <c r="A33" s="460">
        <v>25</v>
      </c>
      <c r="B33" s="365">
        <f>'FRIT HGE91-FHG'!B33</f>
        <v>46259</v>
      </c>
      <c r="C33" s="331" t="s">
        <v>285</v>
      </c>
      <c r="D33" s="502">
        <f t="shared" si="0"/>
        <v>0</v>
      </c>
      <c r="E33" s="499"/>
      <c r="F33" s="586">
        <f t="shared" si="1"/>
        <v>0</v>
      </c>
      <c r="G33" s="1424">
        <f t="shared" si="1"/>
        <v>0</v>
      </c>
      <c r="H33" s="460">
        <f>SUM($F$9:F33)/A33</f>
        <v>14.171999999999999</v>
      </c>
      <c r="I33" s="499">
        <f>SUM($G$9:G33)/A33</f>
        <v>14.171999999999999</v>
      </c>
      <c r="J33" s="612">
        <f t="shared" si="7"/>
        <v>1600.1</v>
      </c>
      <c r="K33" s="610">
        <f t="shared" si="7"/>
        <v>1600.1</v>
      </c>
      <c r="L33" s="506">
        <f t="shared" si="3"/>
        <v>112.90572960767712</v>
      </c>
      <c r="M33" s="464">
        <f t="shared" si="3"/>
        <v>112.90572960767712</v>
      </c>
      <c r="N33" s="366"/>
      <c r="O33" s="586"/>
      <c r="P33" s="586">
        <f t="shared" si="4"/>
        <v>0</v>
      </c>
      <c r="Q33" s="586"/>
      <c r="R33" s="586">
        <f t="shared" si="5"/>
        <v>0</v>
      </c>
      <c r="S33" s="647">
        <f t="shared" si="6"/>
        <v>53.336666666666666</v>
      </c>
    </row>
    <row r="34" spans="1:19" s="367" customFormat="1">
      <c r="A34" s="364">
        <v>26</v>
      </c>
      <c r="B34" s="365">
        <f>'FRIT HGE91-FHG'!B34</f>
        <v>46260</v>
      </c>
      <c r="C34" s="331" t="s">
        <v>285</v>
      </c>
      <c r="D34" s="502">
        <f t="shared" si="0"/>
        <v>0</v>
      </c>
      <c r="E34" s="499"/>
      <c r="F34" s="586">
        <f t="shared" si="1"/>
        <v>0</v>
      </c>
      <c r="G34" s="1424">
        <f t="shared" si="1"/>
        <v>0</v>
      </c>
      <c r="H34" s="498">
        <f>SUM($F$9:F34)/A34</f>
        <v>13.626923076923076</v>
      </c>
      <c r="I34" s="499">
        <f>SUM($G$9:G34)/A34</f>
        <v>13.626923076923076</v>
      </c>
      <c r="J34" s="609">
        <f t="shared" si="7"/>
        <v>1600.1</v>
      </c>
      <c r="K34" s="610">
        <f t="shared" si="7"/>
        <v>1600.1</v>
      </c>
      <c r="L34" s="495">
        <f t="shared" si="3"/>
        <v>117.4219587919842</v>
      </c>
      <c r="M34" s="464">
        <f t="shared" si="3"/>
        <v>117.4219587919842</v>
      </c>
      <c r="N34" s="366"/>
      <c r="O34" s="586"/>
      <c r="P34" s="586">
        <f t="shared" si="4"/>
        <v>0</v>
      </c>
      <c r="Q34" s="586"/>
      <c r="R34" s="586">
        <f t="shared" si="5"/>
        <v>0</v>
      </c>
      <c r="S34" s="647">
        <f t="shared" si="6"/>
        <v>53.336666666666666</v>
      </c>
    </row>
    <row r="35" spans="1:19" s="367" customFormat="1">
      <c r="A35" s="364">
        <v>27</v>
      </c>
      <c r="B35" s="365">
        <f>'FRIT HGE91-FHG'!B35</f>
        <v>46261</v>
      </c>
      <c r="C35" s="331" t="s">
        <v>285</v>
      </c>
      <c r="D35" s="502">
        <f t="shared" si="0"/>
        <v>0</v>
      </c>
      <c r="E35" s="499"/>
      <c r="F35" s="586">
        <f t="shared" si="1"/>
        <v>0</v>
      </c>
      <c r="G35" s="1424">
        <f t="shared" si="1"/>
        <v>0</v>
      </c>
      <c r="H35" s="498">
        <f>SUM($F$9:F35)/A35</f>
        <v>13.12222222222222</v>
      </c>
      <c r="I35" s="499">
        <f>SUM($G$9:G35)/A35</f>
        <v>13.12222222222222</v>
      </c>
      <c r="J35" s="609">
        <f t="shared" si="7"/>
        <v>1600.1</v>
      </c>
      <c r="K35" s="610">
        <f t="shared" si="7"/>
        <v>1600.1</v>
      </c>
      <c r="L35" s="495">
        <f t="shared" si="3"/>
        <v>121.93818797629129</v>
      </c>
      <c r="M35" s="464">
        <f t="shared" si="3"/>
        <v>121.93818797629129</v>
      </c>
      <c r="N35" s="366"/>
      <c r="O35" s="586"/>
      <c r="P35" s="586">
        <f t="shared" si="4"/>
        <v>0</v>
      </c>
      <c r="Q35" s="586"/>
      <c r="R35" s="586">
        <f t="shared" si="5"/>
        <v>0</v>
      </c>
      <c r="S35" s="647">
        <f t="shared" si="6"/>
        <v>53.336666666666666</v>
      </c>
    </row>
    <row r="36" spans="1:19" s="367" customFormat="1">
      <c r="A36" s="364">
        <v>28</v>
      </c>
      <c r="B36" s="365">
        <f>'FRIT HGE91-FHG'!B36</f>
        <v>46262</v>
      </c>
      <c r="C36" s="331" t="s">
        <v>285</v>
      </c>
      <c r="D36" s="502">
        <f t="shared" si="0"/>
        <v>0</v>
      </c>
      <c r="E36" s="499"/>
      <c r="F36" s="586">
        <f t="shared" si="1"/>
        <v>0</v>
      </c>
      <c r="G36" s="1424">
        <f t="shared" si="1"/>
        <v>0</v>
      </c>
      <c r="H36" s="498">
        <f>SUM($F$9:F36)/A36</f>
        <v>12.653571428571427</v>
      </c>
      <c r="I36" s="499">
        <f>SUM($G$9:G36)/A36</f>
        <v>12.653571428571427</v>
      </c>
      <c r="J36" s="609">
        <f t="shared" si="7"/>
        <v>1600.1</v>
      </c>
      <c r="K36" s="610">
        <f t="shared" si="7"/>
        <v>1600.1</v>
      </c>
      <c r="L36" s="495">
        <f t="shared" si="3"/>
        <v>126.45441716059837</v>
      </c>
      <c r="M36" s="464">
        <f t="shared" si="3"/>
        <v>126.45441716059837</v>
      </c>
      <c r="N36" s="366"/>
      <c r="O36" s="586"/>
      <c r="P36" s="586">
        <f t="shared" si="4"/>
        <v>0</v>
      </c>
      <c r="Q36" s="586"/>
      <c r="R36" s="586">
        <f t="shared" si="5"/>
        <v>0</v>
      </c>
      <c r="S36" s="647">
        <f t="shared" si="6"/>
        <v>53.336666666666666</v>
      </c>
    </row>
    <row r="37" spans="1:19" s="367" customFormat="1">
      <c r="A37" s="364">
        <v>29</v>
      </c>
      <c r="B37" s="365">
        <f>'FRIT HGE91-FHG'!B37</f>
        <v>46263</v>
      </c>
      <c r="C37" s="331" t="s">
        <v>285</v>
      </c>
      <c r="D37" s="502">
        <f t="shared" si="0"/>
        <v>0</v>
      </c>
      <c r="E37" s="499"/>
      <c r="F37" s="586">
        <f t="shared" si="1"/>
        <v>0</v>
      </c>
      <c r="G37" s="1424">
        <f t="shared" si="1"/>
        <v>0</v>
      </c>
      <c r="H37" s="498">
        <f>SUM($F$9:F37)/A37</f>
        <v>12.217241379310343</v>
      </c>
      <c r="I37" s="499">
        <f>SUM($G$9:G37)/A37</f>
        <v>12.217241379310343</v>
      </c>
      <c r="J37" s="609">
        <f t="shared" si="7"/>
        <v>1600.1</v>
      </c>
      <c r="K37" s="610">
        <f t="shared" si="7"/>
        <v>1600.1</v>
      </c>
      <c r="L37" s="495">
        <f t="shared" si="3"/>
        <v>130.97064634490548</v>
      </c>
      <c r="M37" s="464">
        <f t="shared" si="3"/>
        <v>130.97064634490548</v>
      </c>
      <c r="N37" s="366"/>
      <c r="O37" s="586"/>
      <c r="P37" s="586">
        <f t="shared" si="4"/>
        <v>0</v>
      </c>
      <c r="Q37" s="586"/>
      <c r="R37" s="586">
        <f t="shared" si="5"/>
        <v>0</v>
      </c>
      <c r="S37" s="647">
        <f t="shared" si="6"/>
        <v>53.336666666666666</v>
      </c>
    </row>
    <row r="38" spans="1:19" s="367" customFormat="1">
      <c r="A38" s="504">
        <v>30</v>
      </c>
      <c r="B38" s="365">
        <f>'FRIT HGE91-FHG'!B38</f>
        <v>46264</v>
      </c>
      <c r="C38" s="331" t="s">
        <v>285</v>
      </c>
      <c r="D38" s="502">
        <f t="shared" si="0"/>
        <v>0</v>
      </c>
      <c r="E38" s="499"/>
      <c r="F38" s="586">
        <f t="shared" si="1"/>
        <v>0</v>
      </c>
      <c r="G38" s="1424">
        <f t="shared" si="1"/>
        <v>0</v>
      </c>
      <c r="H38" s="504">
        <f>SUM($F$9:F38)/A38</f>
        <v>11.809999999999999</v>
      </c>
      <c r="I38" s="499">
        <f>SUM($G$9:G38)/A38</f>
        <v>11.809999999999999</v>
      </c>
      <c r="J38" s="611">
        <f t="shared" si="7"/>
        <v>1600.1</v>
      </c>
      <c r="K38" s="610">
        <f t="shared" si="7"/>
        <v>1600.1</v>
      </c>
      <c r="L38" s="505">
        <f t="shared" si="3"/>
        <v>135.48687552921254</v>
      </c>
      <c r="M38" s="464">
        <f t="shared" si="3"/>
        <v>135.48687552921254</v>
      </c>
      <c r="N38" s="366"/>
      <c r="O38" s="586"/>
      <c r="P38" s="586">
        <f t="shared" si="4"/>
        <v>0</v>
      </c>
      <c r="Q38" s="586"/>
      <c r="R38" s="586">
        <f t="shared" si="5"/>
        <v>0</v>
      </c>
      <c r="S38" s="647">
        <f t="shared" si="6"/>
        <v>53.336666666666666</v>
      </c>
    </row>
    <row r="39" spans="1:19" s="367" customFormat="1">
      <c r="A39" s="364">
        <v>31</v>
      </c>
      <c r="B39" s="365">
        <f>'FRIT HGE91-FHG'!B39</f>
        <v>46265</v>
      </c>
      <c r="C39" s="331" t="s">
        <v>285</v>
      </c>
      <c r="D39" s="502">
        <f t="shared" si="0"/>
        <v>0</v>
      </c>
      <c r="E39" s="499"/>
      <c r="F39" s="586">
        <f t="shared" si="1"/>
        <v>0</v>
      </c>
      <c r="G39" s="1424">
        <f t="shared" si="1"/>
        <v>0</v>
      </c>
      <c r="H39" s="498">
        <f>SUM($F$9:F39)/A39</f>
        <v>11.429032258064515</v>
      </c>
      <c r="I39" s="499">
        <f>SUM($G$9:G39)/A39</f>
        <v>11.429032258064515</v>
      </c>
      <c r="J39" s="609">
        <f t="shared" si="7"/>
        <v>1600.1</v>
      </c>
      <c r="K39" s="610">
        <f t="shared" si="7"/>
        <v>1600.1</v>
      </c>
      <c r="L39" s="495">
        <f t="shared" si="3"/>
        <v>140.00310471351963</v>
      </c>
      <c r="M39" s="464">
        <f t="shared" si="3"/>
        <v>140.00310471351963</v>
      </c>
      <c r="N39" s="366"/>
      <c r="O39" s="586"/>
      <c r="P39" s="586">
        <f t="shared" si="4"/>
        <v>0</v>
      </c>
      <c r="Q39" s="586"/>
      <c r="R39" s="586">
        <f t="shared" si="5"/>
        <v>0</v>
      </c>
      <c r="S39" s="647">
        <f t="shared" si="6"/>
        <v>53.336666666666666</v>
      </c>
    </row>
    <row r="40" spans="1:19" s="374" customFormat="1" ht="12.75">
      <c r="A40" s="1212" t="s">
        <v>29</v>
      </c>
      <c r="B40" s="1213"/>
      <c r="C40" s="1214"/>
      <c r="D40" s="388">
        <f>SUM(D9:D39)</f>
        <v>1000</v>
      </c>
      <c r="E40" s="388">
        <f>SUM(E9:E39)</f>
        <v>1000</v>
      </c>
      <c r="F40" s="641">
        <f>SUM(F9:F39)</f>
        <v>354.29999999999995</v>
      </c>
      <c r="G40" s="928">
        <f>SUM(G9:G39)</f>
        <v>354.29999999999995</v>
      </c>
      <c r="H40" s="389"/>
      <c r="I40" s="496"/>
      <c r="J40" s="641">
        <f>J39</f>
        <v>1600.1</v>
      </c>
      <c r="K40" s="642">
        <f>K39</f>
        <v>1600.1</v>
      </c>
      <c r="L40" s="464"/>
      <c r="M40" s="464"/>
      <c r="N40" s="507"/>
      <c r="O40" s="641">
        <f>SUM(O9:O39)</f>
        <v>186.3</v>
      </c>
      <c r="P40" s="928">
        <f>SUM(P9:P39)</f>
        <v>186.3</v>
      </c>
      <c r="Q40" s="641">
        <f>SUM(Q9:Q39)</f>
        <v>167.99999999999997</v>
      </c>
      <c r="R40" s="928">
        <f>SUM(R9:R39)</f>
        <v>167.99999999999997</v>
      </c>
    </row>
    <row r="41" spans="1:19" s="374" customFormat="1" ht="12.75">
      <c r="A41" s="1212" t="s">
        <v>15</v>
      </c>
      <c r="B41" s="1213"/>
      <c r="C41" s="1214"/>
      <c r="D41" s="388">
        <f>D8+D40</f>
        <v>1954.4</v>
      </c>
      <c r="E41" s="388">
        <f>E8+E40</f>
        <v>1954.4</v>
      </c>
      <c r="F41" s="389">
        <f>F40</f>
        <v>354.29999999999995</v>
      </c>
      <c r="G41" s="496">
        <f>G40</f>
        <v>354.29999999999995</v>
      </c>
      <c r="H41" s="389"/>
      <c r="I41" s="496"/>
      <c r="J41" s="641">
        <f>D41-F41</f>
        <v>1600.1000000000001</v>
      </c>
      <c r="K41" s="641">
        <f>E41-G41</f>
        <v>1600.1000000000001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909" priority="1" operator="lessThan">
      <formula>15</formula>
    </cfRule>
    <cfRule type="cellIs" dxfId="11908" priority="2" operator="greaterThan">
      <formula>20</formula>
    </cfRule>
    <cfRule type="cellIs" dxfId="11907" priority="3" operator="between">
      <formula>15</formula>
      <formula>20</formula>
    </cfRule>
    <cfRule type="cellIs" dxfId="11906" priority="4" operator="between">
      <formula>15</formula>
      <formula>20</formula>
    </cfRule>
    <cfRule type="cellIs" dxfId="11905" priority="5" operator="lessThan">
      <formula>15</formula>
    </cfRule>
    <cfRule type="cellIs" dxfId="11904" priority="6" operator="greaterThan">
      <formula>20</formula>
    </cfRule>
    <cfRule type="cellIs" dxfId="11903" priority="7" operator="between">
      <formula>15</formula>
      <formula>21</formula>
    </cfRule>
    <cfRule type="cellIs" dxfId="11902" priority="8" operator="lessThan">
      <formula>15</formula>
    </cfRule>
    <cfRule type="cellIs" dxfId="11901" priority="9" operator="greaterThan">
      <formula>21</formula>
    </cfRule>
  </conditionalFormatting>
  <hyperlinks>
    <hyperlink ref="M5" location="'TỔNG HỢP THÁNG'!A1" display="'TỔNG HỢP THÁNG'!A1"/>
  </hyperlinks>
  <pageMargins left="0.7" right="0.7" top="0.75" bottom="0.75" header="0.3" footer="0.3"/>
  <pageSetup paperSize="9" orientation="portrait" horizontalDpi="0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1.140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  <c r="V3" s="324"/>
    </row>
    <row r="4" spans="1:29" s="587" customFormat="1" ht="18.75" customHeight="1">
      <c r="A4" s="1600" t="s">
        <v>33</v>
      </c>
      <c r="B4" s="1600"/>
      <c r="C4" s="316" t="s">
        <v>184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330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  <c r="V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324"/>
      <c r="U6" s="324"/>
      <c r="V6" s="324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810</v>
      </c>
      <c r="E8" s="388">
        <f>K8</f>
        <v>810</v>
      </c>
      <c r="F8" s="389">
        <f>F40</f>
        <v>0</v>
      </c>
      <c r="G8" s="388">
        <f>G40</f>
        <v>0</v>
      </c>
      <c r="H8" s="387"/>
      <c r="I8" s="388"/>
      <c r="J8" s="637">
        <f>K8</f>
        <v>810</v>
      </c>
      <c r="K8" s="638">
        <v>810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26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 t="shared" ref="D9:D39" si="0">E9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613">
        <f>J8+D9-F9</f>
        <v>810</v>
      </c>
      <c r="K9" s="601">
        <f>K8+E9-G9</f>
        <v>810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31.153846153846153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si="0"/>
        <v>0</v>
      </c>
      <c r="E10" s="499"/>
      <c r="F10" s="446">
        <f t="shared" ref="F10:G39" si="1">O10+Q10</f>
        <v>0</v>
      </c>
      <c r="G10" s="503">
        <f t="shared" si="1"/>
        <v>0</v>
      </c>
      <c r="H10" s="498">
        <f>SUM($F$9:F10)/A10</f>
        <v>0</v>
      </c>
      <c r="I10" s="499">
        <f>SUM($G$9:G10)/A10</f>
        <v>0</v>
      </c>
      <c r="J10" s="613">
        <f t="shared" ref="J10:K25" si="2">J9+D10-F10</f>
        <v>810</v>
      </c>
      <c r="K10" s="601">
        <f t="shared" si="2"/>
        <v>810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31.153846153846153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0"/>
        <v>0</v>
      </c>
      <c r="E11" s="499"/>
      <c r="F11" s="446">
        <f t="shared" si="1"/>
        <v>0</v>
      </c>
      <c r="G11" s="503">
        <f t="shared" si="1"/>
        <v>0</v>
      </c>
      <c r="H11" s="498">
        <f>SUM($F$9:F11)/A11</f>
        <v>0</v>
      </c>
      <c r="I11" s="499">
        <f>SUM($G$9:G11)/A11</f>
        <v>0</v>
      </c>
      <c r="J11" s="613">
        <f t="shared" si="2"/>
        <v>810</v>
      </c>
      <c r="K11" s="601">
        <f t="shared" si="2"/>
        <v>810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31.153846153846153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0"/>
        <v>0</v>
      </c>
      <c r="E12" s="499"/>
      <c r="F12" s="446">
        <f t="shared" si="1"/>
        <v>0</v>
      </c>
      <c r="G12" s="503">
        <f t="shared" si="1"/>
        <v>0</v>
      </c>
      <c r="H12" s="498">
        <f>SUM($F$9:F12)/A12</f>
        <v>0</v>
      </c>
      <c r="I12" s="499">
        <f>SUM($G$9:G12)/A12</f>
        <v>0</v>
      </c>
      <c r="J12" s="613">
        <f t="shared" si="2"/>
        <v>810</v>
      </c>
      <c r="K12" s="601">
        <f t="shared" si="2"/>
        <v>810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31.153846153846153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0"/>
        <v>0</v>
      </c>
      <c r="E13" s="499"/>
      <c r="F13" s="446">
        <f t="shared" si="1"/>
        <v>0</v>
      </c>
      <c r="G13" s="503">
        <f t="shared" si="1"/>
        <v>0</v>
      </c>
      <c r="H13" s="504">
        <f>SUM($F$9:F13)/A13</f>
        <v>0</v>
      </c>
      <c r="I13" s="499">
        <f>SUM($G$9:G13)/A13</f>
        <v>0</v>
      </c>
      <c r="J13" s="614">
        <f t="shared" si="2"/>
        <v>810</v>
      </c>
      <c r="K13" s="601">
        <f t="shared" si="2"/>
        <v>810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31.153846153846153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0"/>
        <v>0</v>
      </c>
      <c r="E14" s="499"/>
      <c r="F14" s="446">
        <f t="shared" si="1"/>
        <v>0</v>
      </c>
      <c r="G14" s="503">
        <f t="shared" si="1"/>
        <v>0</v>
      </c>
      <c r="H14" s="498">
        <f>SUM($F$9:F14)/A14</f>
        <v>0</v>
      </c>
      <c r="I14" s="499">
        <f>SUM($G$9:G14)/A14</f>
        <v>0</v>
      </c>
      <c r="J14" s="613">
        <f t="shared" si="2"/>
        <v>810</v>
      </c>
      <c r="K14" s="601">
        <f t="shared" si="2"/>
        <v>810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31.153846153846153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0"/>
        <v>0</v>
      </c>
      <c r="E15" s="499"/>
      <c r="F15" s="446">
        <f t="shared" si="1"/>
        <v>0</v>
      </c>
      <c r="G15" s="503">
        <f t="shared" si="1"/>
        <v>0</v>
      </c>
      <c r="H15" s="498">
        <f>SUM($F$9:F15)/A15</f>
        <v>0</v>
      </c>
      <c r="I15" s="499">
        <f>SUM($G$9:G15)/A15</f>
        <v>0</v>
      </c>
      <c r="J15" s="613">
        <f t="shared" si="2"/>
        <v>810</v>
      </c>
      <c r="K15" s="601">
        <f t="shared" si="2"/>
        <v>810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31.153846153846153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0"/>
        <v>0</v>
      </c>
      <c r="E16" s="499"/>
      <c r="F16" s="446">
        <f t="shared" si="1"/>
        <v>0</v>
      </c>
      <c r="G16" s="503">
        <f t="shared" si="1"/>
        <v>0</v>
      </c>
      <c r="H16" s="498">
        <f>SUM($F$9:F16)/A16</f>
        <v>0</v>
      </c>
      <c r="I16" s="499">
        <f>SUM($G$9:G16)/A16</f>
        <v>0</v>
      </c>
      <c r="J16" s="613">
        <f t="shared" si="2"/>
        <v>810</v>
      </c>
      <c r="K16" s="601">
        <f t="shared" si="2"/>
        <v>810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31.153846153846153</v>
      </c>
    </row>
    <row r="17" spans="1:19" s="367" customFormat="1">
      <c r="A17" s="364">
        <v>9</v>
      </c>
      <c r="B17" s="365">
        <f>'FRIT HGE91-FHG'!B17</f>
        <v>46243</v>
      </c>
      <c r="C17" s="331" t="s">
        <v>285</v>
      </c>
      <c r="D17" s="502">
        <f t="shared" si="0"/>
        <v>0</v>
      </c>
      <c r="E17" s="499"/>
      <c r="F17" s="446">
        <f t="shared" si="1"/>
        <v>0</v>
      </c>
      <c r="G17" s="503">
        <f t="shared" si="1"/>
        <v>0</v>
      </c>
      <c r="H17" s="498">
        <f>SUM($F$9:F17)/A17</f>
        <v>0</v>
      </c>
      <c r="I17" s="499">
        <f>SUM($G$9:G17)/A17</f>
        <v>0</v>
      </c>
      <c r="J17" s="613">
        <f t="shared" si="2"/>
        <v>810</v>
      </c>
      <c r="K17" s="601">
        <f t="shared" si="2"/>
        <v>810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31.153846153846153</v>
      </c>
    </row>
    <row r="18" spans="1:19" s="367" customFormat="1">
      <c r="A18" s="504">
        <v>10</v>
      </c>
      <c r="B18" s="365">
        <f>'FRIT HGE91-FHG'!B18</f>
        <v>46244</v>
      </c>
      <c r="C18" s="331" t="s">
        <v>285</v>
      </c>
      <c r="D18" s="502">
        <f t="shared" si="0"/>
        <v>0</v>
      </c>
      <c r="E18" s="499"/>
      <c r="F18" s="446">
        <f t="shared" si="1"/>
        <v>0</v>
      </c>
      <c r="G18" s="503">
        <f t="shared" si="1"/>
        <v>0</v>
      </c>
      <c r="H18" s="504">
        <f>SUM($F$9:F18)/A18</f>
        <v>0</v>
      </c>
      <c r="I18" s="499">
        <f>SUM($G$9:G18)/A18</f>
        <v>0</v>
      </c>
      <c r="J18" s="614">
        <f t="shared" si="2"/>
        <v>810</v>
      </c>
      <c r="K18" s="601">
        <f t="shared" si="2"/>
        <v>810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31.153846153846153</v>
      </c>
    </row>
    <row r="19" spans="1:19" s="367" customFormat="1">
      <c r="A19" s="364">
        <v>11</v>
      </c>
      <c r="B19" s="365">
        <f>'FRIT HGE91-FHG'!B19</f>
        <v>46245</v>
      </c>
      <c r="C19" s="331" t="s">
        <v>285</v>
      </c>
      <c r="D19" s="502">
        <f t="shared" si="0"/>
        <v>0</v>
      </c>
      <c r="E19" s="499"/>
      <c r="F19" s="446">
        <f t="shared" si="1"/>
        <v>0</v>
      </c>
      <c r="G19" s="503">
        <f t="shared" si="1"/>
        <v>0</v>
      </c>
      <c r="H19" s="498">
        <f>SUM($F$9:F19)/A19</f>
        <v>0</v>
      </c>
      <c r="I19" s="499">
        <f>SUM($G$9:G19)/A19</f>
        <v>0</v>
      </c>
      <c r="J19" s="613">
        <f t="shared" si="2"/>
        <v>810</v>
      </c>
      <c r="K19" s="601">
        <f t="shared" si="2"/>
        <v>810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31.153846153846153</v>
      </c>
    </row>
    <row r="20" spans="1:19" s="367" customFormat="1">
      <c r="A20" s="364">
        <v>12</v>
      </c>
      <c r="B20" s="365">
        <f>'FRIT HGE91-FHG'!B20</f>
        <v>46246</v>
      </c>
      <c r="C20" s="331" t="s">
        <v>285</v>
      </c>
      <c r="D20" s="502">
        <f t="shared" si="0"/>
        <v>0</v>
      </c>
      <c r="E20" s="499"/>
      <c r="F20" s="446">
        <f t="shared" si="1"/>
        <v>0</v>
      </c>
      <c r="G20" s="503">
        <f t="shared" si="1"/>
        <v>0</v>
      </c>
      <c r="H20" s="498">
        <f>SUM($F$9:F20)/A20</f>
        <v>0</v>
      </c>
      <c r="I20" s="499">
        <f>SUM($G$9:G20)/A20</f>
        <v>0</v>
      </c>
      <c r="J20" s="613">
        <f t="shared" si="2"/>
        <v>810</v>
      </c>
      <c r="K20" s="601">
        <f t="shared" si="2"/>
        <v>810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31.153846153846153</v>
      </c>
    </row>
    <row r="21" spans="1:19" s="367" customFormat="1">
      <c r="A21" s="364">
        <v>13</v>
      </c>
      <c r="B21" s="365">
        <f>'FRIT HGE91-FHG'!B21</f>
        <v>46247</v>
      </c>
      <c r="C21" s="331" t="s">
        <v>285</v>
      </c>
      <c r="D21" s="502">
        <f t="shared" si="0"/>
        <v>0</v>
      </c>
      <c r="E21" s="499"/>
      <c r="F21" s="446">
        <f t="shared" si="1"/>
        <v>0</v>
      </c>
      <c r="G21" s="503">
        <f t="shared" si="1"/>
        <v>0</v>
      </c>
      <c r="H21" s="498">
        <f>SUM($F$9:F21)/A21</f>
        <v>0</v>
      </c>
      <c r="I21" s="499">
        <f>SUM($G$9:G21)/A21</f>
        <v>0</v>
      </c>
      <c r="J21" s="613">
        <f t="shared" si="2"/>
        <v>810</v>
      </c>
      <c r="K21" s="601">
        <f t="shared" si="2"/>
        <v>810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31.153846153846153</v>
      </c>
    </row>
    <row r="22" spans="1:19" s="367" customFormat="1">
      <c r="A22" s="364">
        <v>14</v>
      </c>
      <c r="B22" s="365">
        <f>'FRIT HGE91-FHG'!B22</f>
        <v>46248</v>
      </c>
      <c r="C22" s="331" t="s">
        <v>285</v>
      </c>
      <c r="D22" s="502">
        <f t="shared" si="0"/>
        <v>0</v>
      </c>
      <c r="E22" s="499"/>
      <c r="F22" s="446">
        <f t="shared" si="1"/>
        <v>0</v>
      </c>
      <c r="G22" s="503">
        <f t="shared" si="1"/>
        <v>0</v>
      </c>
      <c r="H22" s="498">
        <f>SUM($F$9:F22)/A22</f>
        <v>0</v>
      </c>
      <c r="I22" s="499">
        <f>SUM($G$9:G22)/A22</f>
        <v>0</v>
      </c>
      <c r="J22" s="613">
        <f t="shared" si="2"/>
        <v>810</v>
      </c>
      <c r="K22" s="601">
        <f t="shared" si="2"/>
        <v>810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31.153846153846153</v>
      </c>
    </row>
    <row r="23" spans="1:19" s="367" customFormat="1">
      <c r="A23" s="504">
        <v>15</v>
      </c>
      <c r="B23" s="365">
        <f>'FRIT HGE91-FHG'!B23</f>
        <v>46249</v>
      </c>
      <c r="C23" s="331" t="s">
        <v>285</v>
      </c>
      <c r="D23" s="502">
        <f t="shared" si="0"/>
        <v>0</v>
      </c>
      <c r="E23" s="499"/>
      <c r="F23" s="446">
        <f t="shared" si="1"/>
        <v>0</v>
      </c>
      <c r="G23" s="503">
        <f t="shared" si="1"/>
        <v>0</v>
      </c>
      <c r="H23" s="504">
        <f>SUM($F$9:F23)/A23</f>
        <v>0</v>
      </c>
      <c r="I23" s="499">
        <f>SUM($G$9:G23)/A23</f>
        <v>0</v>
      </c>
      <c r="J23" s="614">
        <f t="shared" si="2"/>
        <v>810</v>
      </c>
      <c r="K23" s="601">
        <f t="shared" si="2"/>
        <v>810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31.153846153846153</v>
      </c>
    </row>
    <row r="24" spans="1:19" s="367" customFormat="1">
      <c r="A24" s="364">
        <v>16</v>
      </c>
      <c r="B24" s="365">
        <f>'FRIT HGE91-FHG'!B24</f>
        <v>46250</v>
      </c>
      <c r="C24" s="331" t="s">
        <v>285</v>
      </c>
      <c r="D24" s="502">
        <f t="shared" si="0"/>
        <v>0</v>
      </c>
      <c r="E24" s="499"/>
      <c r="F24" s="446">
        <f t="shared" si="1"/>
        <v>0</v>
      </c>
      <c r="G24" s="503">
        <f t="shared" si="1"/>
        <v>0</v>
      </c>
      <c r="H24" s="498">
        <f>SUM($F$9:F24)/A24</f>
        <v>0</v>
      </c>
      <c r="I24" s="499">
        <f>SUM($G$9:G24)/A24</f>
        <v>0</v>
      </c>
      <c r="J24" s="613">
        <f t="shared" si="2"/>
        <v>810</v>
      </c>
      <c r="K24" s="601">
        <f t="shared" si="2"/>
        <v>810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31.153846153846153</v>
      </c>
    </row>
    <row r="25" spans="1:19" s="367" customFormat="1">
      <c r="A25" s="364">
        <v>17</v>
      </c>
      <c r="B25" s="365">
        <f>'FRIT HGE91-FHG'!B25</f>
        <v>46251</v>
      </c>
      <c r="C25" s="331" t="s">
        <v>285</v>
      </c>
      <c r="D25" s="502">
        <f t="shared" si="0"/>
        <v>0</v>
      </c>
      <c r="E25" s="499"/>
      <c r="F25" s="446">
        <f t="shared" si="1"/>
        <v>0</v>
      </c>
      <c r="G25" s="503">
        <f t="shared" si="1"/>
        <v>0</v>
      </c>
      <c r="H25" s="498">
        <f>SUM($F$9:F25)/A25</f>
        <v>0</v>
      </c>
      <c r="I25" s="499">
        <f>SUM($G$9:G25)/A25</f>
        <v>0</v>
      </c>
      <c r="J25" s="613">
        <f t="shared" si="2"/>
        <v>810</v>
      </c>
      <c r="K25" s="601">
        <f t="shared" si="2"/>
        <v>810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31.153846153846153</v>
      </c>
    </row>
    <row r="26" spans="1:19" s="367" customFormat="1">
      <c r="A26" s="364">
        <v>18</v>
      </c>
      <c r="B26" s="365">
        <f>'FRIT HGE91-FHG'!B26</f>
        <v>46252</v>
      </c>
      <c r="C26" s="331" t="s">
        <v>285</v>
      </c>
      <c r="D26" s="502">
        <f t="shared" si="0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0</v>
      </c>
      <c r="I26" s="499">
        <f>SUM($G$9:G26)/A26</f>
        <v>0</v>
      </c>
      <c r="J26" s="613">
        <f t="shared" ref="J26:K39" si="5">J25+D26-F26</f>
        <v>810</v>
      </c>
      <c r="K26" s="601">
        <f t="shared" si="5"/>
        <v>810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31.153846153846153</v>
      </c>
    </row>
    <row r="27" spans="1:19" s="367" customFormat="1">
      <c r="A27" s="364">
        <v>19</v>
      </c>
      <c r="B27" s="365">
        <f>'FRIT HGE91-FHG'!B27</f>
        <v>46253</v>
      </c>
      <c r="C27" s="331" t="s">
        <v>285</v>
      </c>
      <c r="D27" s="502">
        <f t="shared" si="0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0</v>
      </c>
      <c r="I27" s="499">
        <f>SUM($G$9:G27)/A27</f>
        <v>0</v>
      </c>
      <c r="J27" s="613">
        <f t="shared" si="5"/>
        <v>810</v>
      </c>
      <c r="K27" s="601">
        <f t="shared" si="5"/>
        <v>810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31.153846153846153</v>
      </c>
    </row>
    <row r="28" spans="1:19" s="367" customFormat="1">
      <c r="A28" s="504">
        <v>20</v>
      </c>
      <c r="B28" s="365">
        <f>'FRIT HGE91-FHG'!B28</f>
        <v>46254</v>
      </c>
      <c r="C28" s="331" t="s">
        <v>285</v>
      </c>
      <c r="D28" s="502">
        <f t="shared" si="0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0</v>
      </c>
      <c r="I28" s="499">
        <f>SUM($G$9:G28)/A28</f>
        <v>0</v>
      </c>
      <c r="J28" s="614">
        <f t="shared" si="5"/>
        <v>810</v>
      </c>
      <c r="K28" s="601">
        <f t="shared" si="5"/>
        <v>810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31.153846153846153</v>
      </c>
    </row>
    <row r="29" spans="1:19" s="367" customFormat="1">
      <c r="A29" s="364">
        <v>21</v>
      </c>
      <c r="B29" s="365">
        <f>'FRIT HGE91-FHG'!B29</f>
        <v>46255</v>
      </c>
      <c r="C29" s="331" t="s">
        <v>285</v>
      </c>
      <c r="D29" s="502">
        <f t="shared" si="0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0</v>
      </c>
      <c r="I29" s="499">
        <f>SUM($G$9:G29)/A29</f>
        <v>0</v>
      </c>
      <c r="J29" s="613">
        <f t="shared" si="5"/>
        <v>810</v>
      </c>
      <c r="K29" s="601">
        <f t="shared" si="5"/>
        <v>810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31.153846153846153</v>
      </c>
    </row>
    <row r="30" spans="1:19" s="367" customFormat="1">
      <c r="A30" s="364">
        <v>22</v>
      </c>
      <c r="B30" s="365">
        <f>'FRIT HGE91-FHG'!B30</f>
        <v>46256</v>
      </c>
      <c r="C30" s="331" t="s">
        <v>285</v>
      </c>
      <c r="D30" s="502">
        <f t="shared" si="0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0</v>
      </c>
      <c r="I30" s="499">
        <f>SUM($G$9:G30)/A30</f>
        <v>0</v>
      </c>
      <c r="J30" s="613">
        <f t="shared" si="5"/>
        <v>810</v>
      </c>
      <c r="K30" s="601">
        <f t="shared" si="5"/>
        <v>810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31.153846153846153</v>
      </c>
    </row>
    <row r="31" spans="1:19" s="367" customFormat="1">
      <c r="A31" s="364">
        <v>23</v>
      </c>
      <c r="B31" s="365">
        <f>'FRIT HGE91-FHG'!B31</f>
        <v>46257</v>
      </c>
      <c r="C31" s="331" t="s">
        <v>285</v>
      </c>
      <c r="D31" s="502">
        <f t="shared" si="0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0</v>
      </c>
      <c r="I31" s="499">
        <f>SUM($G$9:G31)/A31</f>
        <v>0</v>
      </c>
      <c r="J31" s="613">
        <f t="shared" si="5"/>
        <v>810</v>
      </c>
      <c r="K31" s="601">
        <f t="shared" si="5"/>
        <v>810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31.153846153846153</v>
      </c>
    </row>
    <row r="32" spans="1:19" s="367" customFormat="1">
      <c r="A32" s="364">
        <v>24</v>
      </c>
      <c r="B32" s="365">
        <f>'FRIT HGE91-FHG'!B32</f>
        <v>46258</v>
      </c>
      <c r="C32" s="331" t="s">
        <v>285</v>
      </c>
      <c r="D32" s="502">
        <f t="shared" si="0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0</v>
      </c>
      <c r="I32" s="499">
        <f>SUM($G$9:G32)/A32</f>
        <v>0</v>
      </c>
      <c r="J32" s="613">
        <f t="shared" si="5"/>
        <v>810</v>
      </c>
      <c r="K32" s="601">
        <f t="shared" si="5"/>
        <v>810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31.153846153846153</v>
      </c>
    </row>
    <row r="33" spans="1:19" s="367" customFormat="1">
      <c r="A33" s="460">
        <v>25</v>
      </c>
      <c r="B33" s="365">
        <f>'FRIT HGE91-FHG'!B33</f>
        <v>46259</v>
      </c>
      <c r="C33" s="331" t="s">
        <v>285</v>
      </c>
      <c r="D33" s="502">
        <f t="shared" si="0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0</v>
      </c>
      <c r="I33" s="499">
        <f>SUM($G$9:G33)/A33</f>
        <v>0</v>
      </c>
      <c r="J33" s="615">
        <f t="shared" si="5"/>
        <v>810</v>
      </c>
      <c r="K33" s="601">
        <f t="shared" si="5"/>
        <v>810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31.153846153846153</v>
      </c>
    </row>
    <row r="34" spans="1:19" s="367" customFormat="1">
      <c r="A34" s="364">
        <v>26</v>
      </c>
      <c r="B34" s="365">
        <f>'FRIT HGE91-FHG'!B34</f>
        <v>46260</v>
      </c>
      <c r="C34" s="331" t="s">
        <v>285</v>
      </c>
      <c r="D34" s="502">
        <f t="shared" si="0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0</v>
      </c>
      <c r="I34" s="499">
        <f>SUM($G$9:G34)/A34</f>
        <v>0</v>
      </c>
      <c r="J34" s="613">
        <f t="shared" si="5"/>
        <v>810</v>
      </c>
      <c r="K34" s="601">
        <f t="shared" si="5"/>
        <v>810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31.153846153846153</v>
      </c>
    </row>
    <row r="35" spans="1:19" s="367" customFormat="1">
      <c r="A35" s="364">
        <v>27</v>
      </c>
      <c r="B35" s="365">
        <f>'FRIT HGE91-FHG'!B35</f>
        <v>46261</v>
      </c>
      <c r="C35" s="331" t="s">
        <v>285</v>
      </c>
      <c r="D35" s="502">
        <f t="shared" si="0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0</v>
      </c>
      <c r="I35" s="499">
        <f>SUM($G$9:G35)/A35</f>
        <v>0</v>
      </c>
      <c r="J35" s="613">
        <f t="shared" si="5"/>
        <v>810</v>
      </c>
      <c r="K35" s="601">
        <f t="shared" si="5"/>
        <v>810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31.153846153846153</v>
      </c>
    </row>
    <row r="36" spans="1:19" s="367" customFormat="1">
      <c r="A36" s="364">
        <v>28</v>
      </c>
      <c r="B36" s="365">
        <f>'FRIT HGE91-FHG'!B36</f>
        <v>46262</v>
      </c>
      <c r="C36" s="331" t="s">
        <v>285</v>
      </c>
      <c r="D36" s="502">
        <f t="shared" si="0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0</v>
      </c>
      <c r="I36" s="499">
        <f>SUM($G$9:G36)/A36</f>
        <v>0</v>
      </c>
      <c r="J36" s="613">
        <f t="shared" si="5"/>
        <v>810</v>
      </c>
      <c r="K36" s="601">
        <f t="shared" si="5"/>
        <v>810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31.153846153846153</v>
      </c>
    </row>
    <row r="37" spans="1:19" s="367" customFormat="1">
      <c r="A37" s="364">
        <v>29</v>
      </c>
      <c r="B37" s="365">
        <f>'FRIT HGE91-FHG'!B37</f>
        <v>46263</v>
      </c>
      <c r="C37" s="331" t="s">
        <v>285</v>
      </c>
      <c r="D37" s="502">
        <f t="shared" si="0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0</v>
      </c>
      <c r="I37" s="499">
        <f>SUM($G$9:G37)/A37</f>
        <v>0</v>
      </c>
      <c r="J37" s="613">
        <f t="shared" si="5"/>
        <v>810</v>
      </c>
      <c r="K37" s="601">
        <f t="shared" si="5"/>
        <v>810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31.153846153846153</v>
      </c>
    </row>
    <row r="38" spans="1:19" s="367" customFormat="1">
      <c r="A38" s="504">
        <v>30</v>
      </c>
      <c r="B38" s="365">
        <f>'FRIT HGE91-FHG'!B38</f>
        <v>46264</v>
      </c>
      <c r="C38" s="331" t="s">
        <v>285</v>
      </c>
      <c r="D38" s="502">
        <f t="shared" si="0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0</v>
      </c>
      <c r="I38" s="499">
        <f>SUM($G$9:G38)/A38</f>
        <v>0</v>
      </c>
      <c r="J38" s="614">
        <f t="shared" si="5"/>
        <v>810</v>
      </c>
      <c r="K38" s="601">
        <f t="shared" si="5"/>
        <v>810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31.153846153846153</v>
      </c>
    </row>
    <row r="39" spans="1:19" s="367" customFormat="1">
      <c r="A39" s="364">
        <v>31</v>
      </c>
      <c r="B39" s="365">
        <f>'FRIT HGE91-FHG'!B39</f>
        <v>46265</v>
      </c>
      <c r="C39" s="331" t="s">
        <v>285</v>
      </c>
      <c r="D39" s="502">
        <f t="shared" si="0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0</v>
      </c>
      <c r="I39" s="499">
        <f>SUM($G$9:G39)/A39</f>
        <v>0</v>
      </c>
      <c r="J39" s="613">
        <f t="shared" si="5"/>
        <v>810</v>
      </c>
      <c r="K39" s="601">
        <f t="shared" si="5"/>
        <v>810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31.153846153846153</v>
      </c>
    </row>
    <row r="40" spans="1:19" s="374" customFormat="1" ht="12.75">
      <c r="A40" s="588" t="s">
        <v>29</v>
      </c>
      <c r="B40" s="589"/>
      <c r="C40" s="590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810</v>
      </c>
      <c r="K40" s="461">
        <f>K39</f>
        <v>810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.75">
      <c r="A41" s="588" t="s">
        <v>15</v>
      </c>
      <c r="B41" s="589"/>
      <c r="C41" s="590"/>
      <c r="D41" s="388">
        <f>D8+D40</f>
        <v>810</v>
      </c>
      <c r="E41" s="388">
        <f>E8+E40</f>
        <v>810</v>
      </c>
      <c r="F41" s="389">
        <f>F40</f>
        <v>0</v>
      </c>
      <c r="G41" s="496">
        <f>G40</f>
        <v>0</v>
      </c>
      <c r="H41" s="389"/>
      <c r="I41" s="496"/>
      <c r="J41" s="389">
        <f>D41-F41</f>
        <v>810</v>
      </c>
      <c r="K41" s="389">
        <f>E41-G41</f>
        <v>810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900" priority="343" operator="lessThan">
      <formula>15</formula>
    </cfRule>
    <cfRule type="cellIs" dxfId="11899" priority="344" operator="greaterThan">
      <formula>20</formula>
    </cfRule>
    <cfRule type="cellIs" dxfId="11898" priority="345" operator="between">
      <formula>15</formula>
      <formula>20</formula>
    </cfRule>
    <cfRule type="cellIs" dxfId="11897" priority="346" operator="between">
      <formula>15</formula>
      <formula>20</formula>
    </cfRule>
    <cfRule type="cellIs" dxfId="11896" priority="347" operator="lessThan">
      <formula>15</formula>
    </cfRule>
    <cfRule type="cellIs" dxfId="11895" priority="348" operator="greaterThan">
      <formula>20</formula>
    </cfRule>
    <cfRule type="cellIs" dxfId="11894" priority="349" operator="between">
      <formula>15</formula>
      <formula>21</formula>
    </cfRule>
    <cfRule type="cellIs" dxfId="11893" priority="350" operator="lessThan">
      <formula>15</formula>
    </cfRule>
    <cfRule type="cellIs" dxfId="11892" priority="351" operator="greaterThan">
      <formula>21</formula>
    </cfRule>
  </conditionalFormatting>
  <hyperlinks>
    <hyperlink ref="M5" location="'TỔNG HỢP THÁNG'!A1" display="'TỔNG HỢP THÁNG'!A1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1.140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  <c r="V3" s="324"/>
    </row>
    <row r="4" spans="1:29" s="785" customFormat="1" ht="18.75" customHeight="1">
      <c r="A4" s="1600" t="s">
        <v>33</v>
      </c>
      <c r="B4" s="1600"/>
      <c r="C4" s="316" t="str">
        <f>J4</f>
        <v>CMC G30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451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  <c r="V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324"/>
      <c r="U6" s="324"/>
      <c r="V6" s="324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37">
        <f>K8</f>
        <v>0</v>
      </c>
      <c r="K8" s="638">
        <v>0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17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 t="shared" ref="D9:D39" si="0">E9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613">
        <f>J8+D9-F9</f>
        <v>0</v>
      </c>
      <c r="K9" s="601">
        <f>K8+E9-G9</f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si="0"/>
        <v>0</v>
      </c>
      <c r="E10" s="499"/>
      <c r="F10" s="446">
        <f t="shared" ref="F10:G39" si="1">O10+Q10</f>
        <v>0</v>
      </c>
      <c r="G10" s="503">
        <f t="shared" si="1"/>
        <v>0</v>
      </c>
      <c r="H10" s="498">
        <f>SUM($F$9:F10)/A10</f>
        <v>0</v>
      </c>
      <c r="I10" s="499">
        <f>SUM($G$9:G10)/A10</f>
        <v>0</v>
      </c>
      <c r="J10" s="613">
        <f t="shared" ref="J10:K25" si="2">J9+D10-F10</f>
        <v>0</v>
      </c>
      <c r="K10" s="601">
        <f t="shared" si="2"/>
        <v>0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0"/>
        <v>0</v>
      </c>
      <c r="E11" s="499"/>
      <c r="F11" s="446">
        <f t="shared" si="1"/>
        <v>0</v>
      </c>
      <c r="G11" s="503">
        <f t="shared" si="1"/>
        <v>0</v>
      </c>
      <c r="H11" s="498">
        <f>SUM($F$9:F11)/A11</f>
        <v>0</v>
      </c>
      <c r="I11" s="499">
        <f>SUM($G$9:G11)/A11</f>
        <v>0</v>
      </c>
      <c r="J11" s="613">
        <f t="shared" si="2"/>
        <v>0</v>
      </c>
      <c r="K11" s="601">
        <f t="shared" si="2"/>
        <v>0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0"/>
        <v>0</v>
      </c>
      <c r="E12" s="499"/>
      <c r="F12" s="446">
        <f t="shared" si="1"/>
        <v>0</v>
      </c>
      <c r="G12" s="503">
        <f t="shared" si="1"/>
        <v>0</v>
      </c>
      <c r="H12" s="498">
        <f>SUM($F$9:F12)/A12</f>
        <v>0</v>
      </c>
      <c r="I12" s="499">
        <f>SUM($G$9:G12)/A12</f>
        <v>0</v>
      </c>
      <c r="J12" s="613">
        <f t="shared" si="2"/>
        <v>0</v>
      </c>
      <c r="K12" s="601">
        <f t="shared" si="2"/>
        <v>0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0"/>
        <v>0</v>
      </c>
      <c r="E13" s="499"/>
      <c r="F13" s="446">
        <f t="shared" si="1"/>
        <v>0</v>
      </c>
      <c r="G13" s="503">
        <f t="shared" si="1"/>
        <v>0</v>
      </c>
      <c r="H13" s="504">
        <f>SUM($F$9:F13)/A13</f>
        <v>0</v>
      </c>
      <c r="I13" s="499">
        <f>SUM($G$9:G13)/A13</f>
        <v>0</v>
      </c>
      <c r="J13" s="614">
        <f t="shared" si="2"/>
        <v>0</v>
      </c>
      <c r="K13" s="601">
        <f t="shared" si="2"/>
        <v>0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0"/>
        <v>0</v>
      </c>
      <c r="E14" s="499"/>
      <c r="F14" s="446">
        <f t="shared" si="1"/>
        <v>0</v>
      </c>
      <c r="G14" s="503">
        <f t="shared" si="1"/>
        <v>0</v>
      </c>
      <c r="H14" s="498">
        <f>SUM($F$9:F14)/A14</f>
        <v>0</v>
      </c>
      <c r="I14" s="499">
        <f>SUM($G$9:G14)/A14</f>
        <v>0</v>
      </c>
      <c r="J14" s="613">
        <f t="shared" si="2"/>
        <v>0</v>
      </c>
      <c r="K14" s="601">
        <f t="shared" si="2"/>
        <v>0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0"/>
        <v>0</v>
      </c>
      <c r="E15" s="499"/>
      <c r="F15" s="446">
        <f t="shared" si="1"/>
        <v>0</v>
      </c>
      <c r="G15" s="503">
        <f t="shared" si="1"/>
        <v>0</v>
      </c>
      <c r="H15" s="498">
        <f>SUM($F$9:F15)/A15</f>
        <v>0</v>
      </c>
      <c r="I15" s="499">
        <f>SUM($G$9:G15)/A15</f>
        <v>0</v>
      </c>
      <c r="J15" s="613">
        <f t="shared" si="2"/>
        <v>0</v>
      </c>
      <c r="K15" s="601">
        <f t="shared" si="2"/>
        <v>0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0"/>
        <v>0</v>
      </c>
      <c r="E16" s="499"/>
      <c r="F16" s="446">
        <f t="shared" si="1"/>
        <v>0</v>
      </c>
      <c r="G16" s="503">
        <f t="shared" si="1"/>
        <v>0</v>
      </c>
      <c r="H16" s="498">
        <f>SUM($F$9:F16)/A16</f>
        <v>0</v>
      </c>
      <c r="I16" s="499">
        <f>SUM($G$9:G16)/A16</f>
        <v>0</v>
      </c>
      <c r="J16" s="613">
        <f t="shared" si="2"/>
        <v>0</v>
      </c>
      <c r="K16" s="601">
        <f t="shared" si="2"/>
        <v>0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>
      <c r="A17" s="364">
        <v>9</v>
      </c>
      <c r="B17" s="365">
        <f>'FRIT HGE91-FHG'!B17</f>
        <v>46243</v>
      </c>
      <c r="C17" s="331" t="s">
        <v>285</v>
      </c>
      <c r="D17" s="502">
        <f t="shared" si="0"/>
        <v>0</v>
      </c>
      <c r="E17" s="499"/>
      <c r="F17" s="446">
        <f t="shared" si="1"/>
        <v>0</v>
      </c>
      <c r="G17" s="503">
        <f t="shared" si="1"/>
        <v>0</v>
      </c>
      <c r="H17" s="498">
        <f>SUM($F$9:F17)/A17</f>
        <v>0</v>
      </c>
      <c r="I17" s="499">
        <f>SUM($G$9:G17)/A17</f>
        <v>0</v>
      </c>
      <c r="J17" s="613">
        <f t="shared" si="2"/>
        <v>0</v>
      </c>
      <c r="K17" s="601">
        <f t="shared" si="2"/>
        <v>0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>
      <c r="A18" s="504">
        <v>10</v>
      </c>
      <c r="B18" s="365">
        <f>'FRIT HGE91-FHG'!B18</f>
        <v>46244</v>
      </c>
      <c r="C18" s="331" t="s">
        <v>285</v>
      </c>
      <c r="D18" s="502">
        <f t="shared" si="0"/>
        <v>0</v>
      </c>
      <c r="E18" s="499"/>
      <c r="F18" s="446">
        <f t="shared" si="1"/>
        <v>0</v>
      </c>
      <c r="G18" s="503">
        <f t="shared" si="1"/>
        <v>0</v>
      </c>
      <c r="H18" s="504">
        <f>SUM($F$9:F18)/A18</f>
        <v>0</v>
      </c>
      <c r="I18" s="499">
        <f>SUM($G$9:G18)/A18</f>
        <v>0</v>
      </c>
      <c r="J18" s="614">
        <f t="shared" si="2"/>
        <v>0</v>
      </c>
      <c r="K18" s="601">
        <f t="shared" si="2"/>
        <v>0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>
      <c r="A19" s="364">
        <v>11</v>
      </c>
      <c r="B19" s="365">
        <f>'FRIT HGE91-FHG'!B19</f>
        <v>46245</v>
      </c>
      <c r="C19" s="331" t="s">
        <v>285</v>
      </c>
      <c r="D19" s="502">
        <f t="shared" si="0"/>
        <v>0</v>
      </c>
      <c r="E19" s="499"/>
      <c r="F19" s="446">
        <f t="shared" si="1"/>
        <v>0</v>
      </c>
      <c r="G19" s="503">
        <f t="shared" si="1"/>
        <v>0</v>
      </c>
      <c r="H19" s="498">
        <f>SUM($F$9:F19)/A19</f>
        <v>0</v>
      </c>
      <c r="I19" s="499">
        <f>SUM($G$9:G19)/A19</f>
        <v>0</v>
      </c>
      <c r="J19" s="613">
        <f t="shared" si="2"/>
        <v>0</v>
      </c>
      <c r="K19" s="601">
        <f t="shared" si="2"/>
        <v>0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>
      <c r="A20" s="364">
        <v>12</v>
      </c>
      <c r="B20" s="365">
        <f>'FRIT HGE91-FHG'!B20</f>
        <v>46246</v>
      </c>
      <c r="C20" s="331" t="s">
        <v>285</v>
      </c>
      <c r="D20" s="502">
        <f t="shared" si="0"/>
        <v>0</v>
      </c>
      <c r="E20" s="499"/>
      <c r="F20" s="446">
        <f t="shared" si="1"/>
        <v>0</v>
      </c>
      <c r="G20" s="503">
        <f t="shared" si="1"/>
        <v>0</v>
      </c>
      <c r="H20" s="498">
        <f>SUM($F$9:F20)/A20</f>
        <v>0</v>
      </c>
      <c r="I20" s="499">
        <f>SUM($G$9:G20)/A20</f>
        <v>0</v>
      </c>
      <c r="J20" s="613">
        <f t="shared" si="2"/>
        <v>0</v>
      </c>
      <c r="K20" s="601">
        <f t="shared" si="2"/>
        <v>0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>
      <c r="A21" s="364">
        <v>13</v>
      </c>
      <c r="B21" s="365">
        <f>'FRIT HGE91-FHG'!B21</f>
        <v>46247</v>
      </c>
      <c r="C21" s="331" t="s">
        <v>285</v>
      </c>
      <c r="D21" s="502">
        <f t="shared" si="0"/>
        <v>0</v>
      </c>
      <c r="E21" s="499"/>
      <c r="F21" s="446">
        <f t="shared" si="1"/>
        <v>0</v>
      </c>
      <c r="G21" s="503">
        <f t="shared" si="1"/>
        <v>0</v>
      </c>
      <c r="H21" s="498">
        <f>SUM($F$9:F21)/A21</f>
        <v>0</v>
      </c>
      <c r="I21" s="499">
        <f>SUM($G$9:G21)/A21</f>
        <v>0</v>
      </c>
      <c r="J21" s="613">
        <f t="shared" si="2"/>
        <v>0</v>
      </c>
      <c r="K21" s="601">
        <f t="shared" si="2"/>
        <v>0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>
      <c r="A22" s="364">
        <v>14</v>
      </c>
      <c r="B22" s="365">
        <f>'FRIT HGE91-FHG'!B22</f>
        <v>46248</v>
      </c>
      <c r="C22" s="331" t="s">
        <v>285</v>
      </c>
      <c r="D22" s="502">
        <f t="shared" si="0"/>
        <v>0</v>
      </c>
      <c r="E22" s="499"/>
      <c r="F22" s="446">
        <f t="shared" si="1"/>
        <v>0</v>
      </c>
      <c r="G22" s="503">
        <f t="shared" si="1"/>
        <v>0</v>
      </c>
      <c r="H22" s="498">
        <f>SUM($F$9:F22)/A22</f>
        <v>0</v>
      </c>
      <c r="I22" s="499">
        <f>SUM($G$9:G22)/A22</f>
        <v>0</v>
      </c>
      <c r="J22" s="613">
        <f t="shared" si="2"/>
        <v>0</v>
      </c>
      <c r="K22" s="601">
        <f t="shared" si="2"/>
        <v>0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>
      <c r="A23" s="504">
        <v>15</v>
      </c>
      <c r="B23" s="365">
        <f>'FRIT HGE91-FHG'!B23</f>
        <v>46249</v>
      </c>
      <c r="C23" s="331" t="s">
        <v>285</v>
      </c>
      <c r="D23" s="502">
        <f t="shared" si="0"/>
        <v>0</v>
      </c>
      <c r="E23" s="499"/>
      <c r="F23" s="446">
        <f t="shared" si="1"/>
        <v>0</v>
      </c>
      <c r="G23" s="503">
        <f t="shared" si="1"/>
        <v>0</v>
      </c>
      <c r="H23" s="504">
        <f>SUM($F$9:F23)/A23</f>
        <v>0</v>
      </c>
      <c r="I23" s="499">
        <f>SUM($G$9:G23)/A23</f>
        <v>0</v>
      </c>
      <c r="J23" s="614">
        <f t="shared" si="2"/>
        <v>0</v>
      </c>
      <c r="K23" s="601">
        <f t="shared" si="2"/>
        <v>0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>
      <c r="A24" s="364">
        <v>16</v>
      </c>
      <c r="B24" s="365">
        <f>'FRIT HGE91-FHG'!B24</f>
        <v>46250</v>
      </c>
      <c r="C24" s="331" t="s">
        <v>285</v>
      </c>
      <c r="D24" s="502">
        <f t="shared" si="0"/>
        <v>0</v>
      </c>
      <c r="E24" s="499"/>
      <c r="F24" s="446">
        <f t="shared" si="1"/>
        <v>0</v>
      </c>
      <c r="G24" s="503">
        <f t="shared" si="1"/>
        <v>0</v>
      </c>
      <c r="H24" s="498">
        <f>SUM($F$9:F24)/A24</f>
        <v>0</v>
      </c>
      <c r="I24" s="499">
        <f>SUM($G$9:G24)/A24</f>
        <v>0</v>
      </c>
      <c r="J24" s="613">
        <f t="shared" si="2"/>
        <v>0</v>
      </c>
      <c r="K24" s="601">
        <f t="shared" si="2"/>
        <v>0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>
      <c r="A25" s="364">
        <v>17</v>
      </c>
      <c r="B25" s="365">
        <f>'FRIT HGE91-FHG'!B25</f>
        <v>46251</v>
      </c>
      <c r="C25" s="331" t="s">
        <v>285</v>
      </c>
      <c r="D25" s="502">
        <f t="shared" si="0"/>
        <v>0</v>
      </c>
      <c r="E25" s="499"/>
      <c r="F25" s="446">
        <f t="shared" si="1"/>
        <v>0</v>
      </c>
      <c r="G25" s="503">
        <f t="shared" si="1"/>
        <v>0</v>
      </c>
      <c r="H25" s="498">
        <f>SUM($F$9:F25)/A25</f>
        <v>0</v>
      </c>
      <c r="I25" s="499">
        <f>SUM($G$9:G25)/A25</f>
        <v>0</v>
      </c>
      <c r="J25" s="613">
        <f t="shared" si="2"/>
        <v>0</v>
      </c>
      <c r="K25" s="601">
        <f t="shared" si="2"/>
        <v>0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>
      <c r="A26" s="364">
        <v>18</v>
      </c>
      <c r="B26" s="365">
        <f>'FRIT HGE91-FHG'!B26</f>
        <v>46252</v>
      </c>
      <c r="C26" s="331" t="s">
        <v>285</v>
      </c>
      <c r="D26" s="502">
        <f t="shared" si="0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0</v>
      </c>
      <c r="I26" s="499">
        <f>SUM($G$9:G26)/A26</f>
        <v>0</v>
      </c>
      <c r="J26" s="613">
        <f t="shared" ref="J26:K39" si="5">J25+D26-F26</f>
        <v>0</v>
      </c>
      <c r="K26" s="601">
        <f t="shared" si="5"/>
        <v>0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>
      <c r="A27" s="364">
        <v>19</v>
      </c>
      <c r="B27" s="365">
        <f>'FRIT HGE91-FHG'!B27</f>
        <v>46253</v>
      </c>
      <c r="C27" s="331" t="s">
        <v>285</v>
      </c>
      <c r="D27" s="502">
        <f t="shared" si="0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0</v>
      </c>
      <c r="I27" s="499">
        <f>SUM($G$9:G27)/A27</f>
        <v>0</v>
      </c>
      <c r="J27" s="613">
        <f t="shared" si="5"/>
        <v>0</v>
      </c>
      <c r="K27" s="601">
        <f t="shared" si="5"/>
        <v>0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>
      <c r="A28" s="504">
        <v>20</v>
      </c>
      <c r="B28" s="365">
        <f>'FRIT HGE91-FHG'!B28</f>
        <v>46254</v>
      </c>
      <c r="C28" s="331" t="s">
        <v>285</v>
      </c>
      <c r="D28" s="502">
        <f t="shared" si="0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0</v>
      </c>
      <c r="I28" s="499">
        <f>SUM($G$9:G28)/A28</f>
        <v>0</v>
      </c>
      <c r="J28" s="614">
        <f t="shared" si="5"/>
        <v>0</v>
      </c>
      <c r="K28" s="601">
        <f t="shared" si="5"/>
        <v>0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>
      <c r="A29" s="364">
        <v>21</v>
      </c>
      <c r="B29" s="365">
        <f>'FRIT HGE91-FHG'!B29</f>
        <v>46255</v>
      </c>
      <c r="C29" s="331" t="s">
        <v>285</v>
      </c>
      <c r="D29" s="502">
        <f t="shared" si="0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0</v>
      </c>
      <c r="I29" s="499">
        <f>SUM($G$9:G29)/A29</f>
        <v>0</v>
      </c>
      <c r="J29" s="613">
        <f t="shared" si="5"/>
        <v>0</v>
      </c>
      <c r="K29" s="601">
        <f t="shared" si="5"/>
        <v>0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>
      <c r="A30" s="364">
        <v>22</v>
      </c>
      <c r="B30" s="365">
        <f>'FRIT HGE91-FHG'!B30</f>
        <v>46256</v>
      </c>
      <c r="C30" s="331" t="s">
        <v>285</v>
      </c>
      <c r="D30" s="502">
        <f t="shared" si="0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0</v>
      </c>
      <c r="I30" s="499">
        <f>SUM($G$9:G30)/A30</f>
        <v>0</v>
      </c>
      <c r="J30" s="613">
        <f t="shared" si="5"/>
        <v>0</v>
      </c>
      <c r="K30" s="601">
        <f t="shared" si="5"/>
        <v>0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>
      <c r="A31" s="364">
        <v>23</v>
      </c>
      <c r="B31" s="365">
        <f>'FRIT HGE91-FHG'!B31</f>
        <v>46257</v>
      </c>
      <c r="C31" s="331" t="s">
        <v>285</v>
      </c>
      <c r="D31" s="502">
        <f t="shared" si="0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0</v>
      </c>
      <c r="I31" s="499">
        <f>SUM($G$9:G31)/A31</f>
        <v>0</v>
      </c>
      <c r="J31" s="613">
        <f t="shared" si="5"/>
        <v>0</v>
      </c>
      <c r="K31" s="601">
        <f t="shared" si="5"/>
        <v>0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>
      <c r="A32" s="364">
        <v>24</v>
      </c>
      <c r="B32" s="365">
        <f>'FRIT HGE91-FHG'!B32</f>
        <v>46258</v>
      </c>
      <c r="C32" s="331" t="s">
        <v>285</v>
      </c>
      <c r="D32" s="502">
        <f t="shared" si="0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0</v>
      </c>
      <c r="I32" s="499">
        <f>SUM($G$9:G32)/A32</f>
        <v>0</v>
      </c>
      <c r="J32" s="613">
        <f t="shared" si="5"/>
        <v>0</v>
      </c>
      <c r="K32" s="601">
        <f t="shared" si="5"/>
        <v>0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>
      <c r="A33" s="460">
        <v>25</v>
      </c>
      <c r="B33" s="365">
        <f>'FRIT HGE91-FHG'!B33</f>
        <v>46259</v>
      </c>
      <c r="C33" s="331" t="s">
        <v>285</v>
      </c>
      <c r="D33" s="502">
        <f t="shared" si="0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0</v>
      </c>
      <c r="I33" s="499">
        <f>SUM($G$9:G33)/A33</f>
        <v>0</v>
      </c>
      <c r="J33" s="615">
        <f t="shared" si="5"/>
        <v>0</v>
      </c>
      <c r="K33" s="601">
        <f t="shared" si="5"/>
        <v>0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>
      <c r="A34" s="364">
        <v>26</v>
      </c>
      <c r="B34" s="365">
        <f>'FRIT HGE91-FHG'!B34</f>
        <v>46260</v>
      </c>
      <c r="C34" s="331" t="s">
        <v>285</v>
      </c>
      <c r="D34" s="502">
        <f t="shared" si="0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0</v>
      </c>
      <c r="I34" s="499">
        <f>SUM($G$9:G34)/A34</f>
        <v>0</v>
      </c>
      <c r="J34" s="613">
        <f t="shared" si="5"/>
        <v>0</v>
      </c>
      <c r="K34" s="601">
        <f t="shared" si="5"/>
        <v>0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>
      <c r="A35" s="364">
        <v>27</v>
      </c>
      <c r="B35" s="365">
        <f>'FRIT HGE91-FHG'!B35</f>
        <v>46261</v>
      </c>
      <c r="C35" s="331" t="s">
        <v>285</v>
      </c>
      <c r="D35" s="502">
        <f t="shared" si="0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0</v>
      </c>
      <c r="I35" s="499">
        <f>SUM($G$9:G35)/A35</f>
        <v>0</v>
      </c>
      <c r="J35" s="613">
        <f t="shared" si="5"/>
        <v>0</v>
      </c>
      <c r="K35" s="601">
        <f t="shared" si="5"/>
        <v>0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>
      <c r="A36" s="364">
        <v>28</v>
      </c>
      <c r="B36" s="365">
        <f>'FRIT HGE91-FHG'!B36</f>
        <v>46262</v>
      </c>
      <c r="C36" s="331" t="s">
        <v>285</v>
      </c>
      <c r="D36" s="502">
        <f t="shared" si="0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0</v>
      </c>
      <c r="I36" s="499">
        <f>SUM($G$9:G36)/A36</f>
        <v>0</v>
      </c>
      <c r="J36" s="613">
        <f t="shared" si="5"/>
        <v>0</v>
      </c>
      <c r="K36" s="601">
        <f t="shared" si="5"/>
        <v>0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>
      <c r="A37" s="364">
        <v>29</v>
      </c>
      <c r="B37" s="365">
        <f>'FRIT HGE91-FHG'!B37</f>
        <v>46263</v>
      </c>
      <c r="C37" s="331" t="s">
        <v>285</v>
      </c>
      <c r="D37" s="502">
        <f t="shared" si="0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0</v>
      </c>
      <c r="I37" s="499">
        <f>SUM($G$9:G37)/A37</f>
        <v>0</v>
      </c>
      <c r="J37" s="613">
        <f t="shared" si="5"/>
        <v>0</v>
      </c>
      <c r="K37" s="601">
        <f t="shared" si="5"/>
        <v>0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>
      <c r="A38" s="504">
        <v>30</v>
      </c>
      <c r="B38" s="365">
        <f>'FRIT HGE91-FHG'!B38</f>
        <v>46264</v>
      </c>
      <c r="C38" s="331" t="s">
        <v>285</v>
      </c>
      <c r="D38" s="502">
        <f t="shared" si="0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0</v>
      </c>
      <c r="I38" s="499">
        <f>SUM($G$9:G38)/A38</f>
        <v>0</v>
      </c>
      <c r="J38" s="614">
        <f t="shared" si="5"/>
        <v>0</v>
      </c>
      <c r="K38" s="601">
        <f t="shared" si="5"/>
        <v>0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>
      <c r="A39" s="364">
        <v>31</v>
      </c>
      <c r="B39" s="365">
        <f>'FRIT HGE91-FHG'!B39</f>
        <v>46265</v>
      </c>
      <c r="C39" s="331" t="s">
        <v>285</v>
      </c>
      <c r="D39" s="502">
        <f t="shared" si="0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0</v>
      </c>
      <c r="I39" s="499">
        <f>SUM($G$9:G39)/A39</f>
        <v>0</v>
      </c>
      <c r="J39" s="613">
        <f t="shared" si="5"/>
        <v>0</v>
      </c>
      <c r="K39" s="601">
        <f t="shared" si="5"/>
        <v>0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.75">
      <c r="A40" s="786" t="s">
        <v>29</v>
      </c>
      <c r="B40" s="787"/>
      <c r="C40" s="788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.75">
      <c r="A41" s="786" t="s">
        <v>15</v>
      </c>
      <c r="B41" s="787"/>
      <c r="C41" s="788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891" priority="1" operator="lessThan">
      <formula>15</formula>
    </cfRule>
    <cfRule type="cellIs" dxfId="11890" priority="2" operator="greaterThan">
      <formula>20</formula>
    </cfRule>
    <cfRule type="cellIs" dxfId="11889" priority="3" operator="between">
      <formula>15</formula>
      <formula>20</formula>
    </cfRule>
    <cfRule type="cellIs" dxfId="11888" priority="4" operator="between">
      <formula>15</formula>
      <formula>20</formula>
    </cfRule>
    <cfRule type="cellIs" dxfId="11887" priority="5" operator="lessThan">
      <formula>15</formula>
    </cfRule>
    <cfRule type="cellIs" dxfId="11886" priority="6" operator="greaterThan">
      <formula>20</formula>
    </cfRule>
    <cfRule type="cellIs" dxfId="11885" priority="7" operator="between">
      <formula>15</formula>
      <formula>21</formula>
    </cfRule>
    <cfRule type="cellIs" dxfId="11884" priority="8" operator="lessThan">
      <formula>15</formula>
    </cfRule>
    <cfRule type="cellIs" dxfId="11883" priority="9" operator="greaterThan">
      <formula>21</formula>
    </cfRule>
  </conditionalFormatting>
  <hyperlinks>
    <hyperlink ref="M5" location="'TỔNG HỢP THÁNG'!A1" display="'TỔNG HỢP THÁNG'!A1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AC49"/>
  <sheetViews>
    <sheetView workbookViewId="0">
      <pane ySplit="8" topLeftCell="A9" activePane="bottomLeft" state="frozen"/>
      <selection pane="bottomLeft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1.140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">
        <v>184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184</v>
      </c>
      <c r="K4" s="319"/>
      <c r="L4" s="319"/>
      <c r="M4" s="319"/>
      <c r="O4" s="1422"/>
      <c r="P4" s="1422"/>
      <c r="Q4" s="1422"/>
      <c r="R4" s="1422"/>
      <c r="S4" s="143"/>
      <c r="T4" s="143"/>
      <c r="U4" s="143"/>
      <c r="V4" s="143"/>
      <c r="W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  <c r="W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143"/>
      <c r="U6" s="143"/>
      <c r="V6" s="143"/>
      <c r="W6" s="143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</f>
        <v>0</v>
      </c>
      <c r="K8" s="324">
        <v>0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15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334</v>
      </c>
      <c r="D9" s="502">
        <f t="shared" ref="D9:D39" si="0">E9</f>
        <v>0</v>
      </c>
      <c r="E9" s="499"/>
      <c r="F9" s="446">
        <f>O9+Q9</f>
        <v>0</v>
      </c>
      <c r="G9" s="503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334</v>
      </c>
      <c r="D10" s="502">
        <f t="shared" si="0"/>
        <v>0</v>
      </c>
      <c r="E10" s="499"/>
      <c r="F10" s="446">
        <f t="shared" ref="F10:G39" si="1">O10+Q10</f>
        <v>0</v>
      </c>
      <c r="G10" s="503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ref="J10:J39" si="2">J9+D10-F10</f>
        <v>0</v>
      </c>
      <c r="K10" s="459">
        <f t="shared" ref="K10:K39" si="3">K9+E10-G10</f>
        <v>0</v>
      </c>
      <c r="L10" s="495" t="e">
        <f t="shared" ref="L10:L39" si="4">J10/H10</f>
        <v>#DIV/0!</v>
      </c>
      <c r="M10" s="464" t="e">
        <f t="shared" ref="M10:M39" si="5">K10/I10</f>
        <v>#DIV/0!</v>
      </c>
      <c r="N10" s="366"/>
      <c r="O10" s="446"/>
      <c r="P10" s="446"/>
      <c r="Q10" s="446"/>
      <c r="R10" s="446"/>
      <c r="S10" s="647">
        <f t="shared" ref="S10:S39" si="6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334</v>
      </c>
      <c r="D11" s="502">
        <f t="shared" si="0"/>
        <v>0</v>
      </c>
      <c r="E11" s="499"/>
      <c r="F11" s="446">
        <f t="shared" si="1"/>
        <v>0</v>
      </c>
      <c r="G11" s="503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2"/>
        <v>0</v>
      </c>
      <c r="K11" s="459">
        <f t="shared" si="3"/>
        <v>0</v>
      </c>
      <c r="L11" s="495" t="e">
        <f t="shared" si="4"/>
        <v>#DIV/0!</v>
      </c>
      <c r="M11" s="464" t="e">
        <f t="shared" si="5"/>
        <v>#DIV/0!</v>
      </c>
      <c r="N11" s="366"/>
      <c r="O11" s="446"/>
      <c r="P11" s="446"/>
      <c r="Q11" s="446"/>
      <c r="R11" s="446"/>
      <c r="S11" s="647">
        <f t="shared" si="6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334</v>
      </c>
      <c r="D12" s="502">
        <f t="shared" si="0"/>
        <v>0</v>
      </c>
      <c r="E12" s="499"/>
      <c r="F12" s="446">
        <f t="shared" si="1"/>
        <v>0</v>
      </c>
      <c r="G12" s="503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si="2"/>
        <v>0</v>
      </c>
      <c r="K12" s="459">
        <f t="shared" si="3"/>
        <v>0</v>
      </c>
      <c r="L12" s="495" t="e">
        <f t="shared" si="4"/>
        <v>#DIV/0!</v>
      </c>
      <c r="M12" s="464" t="e">
        <f t="shared" si="5"/>
        <v>#DIV/0!</v>
      </c>
      <c r="N12" s="366"/>
      <c r="O12" s="446"/>
      <c r="P12" s="446"/>
      <c r="Q12" s="446"/>
      <c r="R12" s="446"/>
      <c r="S12" s="647">
        <f t="shared" si="6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334</v>
      </c>
      <c r="D13" s="502">
        <f t="shared" si="0"/>
        <v>0</v>
      </c>
      <c r="E13" s="499"/>
      <c r="F13" s="446">
        <f t="shared" si="1"/>
        <v>0</v>
      </c>
      <c r="G13" s="503">
        <f t="shared" si="1"/>
        <v>0</v>
      </c>
      <c r="H13" s="504">
        <f>SUM($F$9:F13)/A13</f>
        <v>0</v>
      </c>
      <c r="I13" s="499">
        <f>SUM($G$9:G13)/A13</f>
        <v>0</v>
      </c>
      <c r="J13" s="504">
        <f t="shared" si="2"/>
        <v>0</v>
      </c>
      <c r="K13" s="459">
        <f t="shared" si="3"/>
        <v>0</v>
      </c>
      <c r="L13" s="505" t="e">
        <f t="shared" si="4"/>
        <v>#DIV/0!</v>
      </c>
      <c r="M13" s="464" t="e">
        <f t="shared" si="5"/>
        <v>#DIV/0!</v>
      </c>
      <c r="N13" s="366"/>
      <c r="O13" s="446"/>
      <c r="P13" s="446"/>
      <c r="Q13" s="446"/>
      <c r="R13" s="446"/>
      <c r="S13" s="647">
        <f t="shared" si="6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334</v>
      </c>
      <c r="D14" s="502">
        <f t="shared" si="0"/>
        <v>0</v>
      </c>
      <c r="E14" s="499"/>
      <c r="F14" s="446">
        <f t="shared" si="1"/>
        <v>0</v>
      </c>
      <c r="G14" s="503">
        <f t="shared" si="1"/>
        <v>0</v>
      </c>
      <c r="H14" s="498">
        <f>SUM($F$9:F14)/A14</f>
        <v>0</v>
      </c>
      <c r="I14" s="499">
        <f>SUM($G$9:G14)/A14</f>
        <v>0</v>
      </c>
      <c r="J14" s="443">
        <f t="shared" si="2"/>
        <v>0</v>
      </c>
      <c r="K14" s="459">
        <f t="shared" si="3"/>
        <v>0</v>
      </c>
      <c r="L14" s="495" t="e">
        <f t="shared" si="4"/>
        <v>#DIV/0!</v>
      </c>
      <c r="M14" s="464" t="e">
        <f t="shared" si="5"/>
        <v>#DIV/0!</v>
      </c>
      <c r="N14" s="366"/>
      <c r="O14" s="446"/>
      <c r="P14" s="446"/>
      <c r="Q14" s="446"/>
      <c r="R14" s="446"/>
      <c r="S14" s="647">
        <f t="shared" si="6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334</v>
      </c>
      <c r="D15" s="502">
        <f t="shared" si="0"/>
        <v>0</v>
      </c>
      <c r="E15" s="499"/>
      <c r="F15" s="446">
        <f t="shared" si="1"/>
        <v>0</v>
      </c>
      <c r="G15" s="503">
        <f t="shared" si="1"/>
        <v>0</v>
      </c>
      <c r="H15" s="498">
        <f>SUM($F$9:F15)/A15</f>
        <v>0</v>
      </c>
      <c r="I15" s="499">
        <f>SUM($G$9:G15)/A15</f>
        <v>0</v>
      </c>
      <c r="J15" s="443">
        <f t="shared" si="2"/>
        <v>0</v>
      </c>
      <c r="K15" s="459">
        <f t="shared" si="3"/>
        <v>0</v>
      </c>
      <c r="L15" s="495" t="e">
        <f t="shared" si="4"/>
        <v>#DIV/0!</v>
      </c>
      <c r="M15" s="464" t="e">
        <f t="shared" si="5"/>
        <v>#DIV/0!</v>
      </c>
      <c r="N15" s="366"/>
      <c r="O15" s="446"/>
      <c r="P15" s="446"/>
      <c r="Q15" s="446"/>
      <c r="R15" s="446"/>
      <c r="S15" s="647">
        <f t="shared" si="6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334</v>
      </c>
      <c r="D16" s="502">
        <f t="shared" si="0"/>
        <v>0</v>
      </c>
      <c r="E16" s="499"/>
      <c r="F16" s="446">
        <f t="shared" si="1"/>
        <v>0</v>
      </c>
      <c r="G16" s="503">
        <f t="shared" si="1"/>
        <v>0</v>
      </c>
      <c r="H16" s="498">
        <f>SUM($F$9:F16)/A16</f>
        <v>0</v>
      </c>
      <c r="I16" s="499">
        <f>SUM($G$9:G16)/A16</f>
        <v>0</v>
      </c>
      <c r="J16" s="443">
        <f t="shared" si="2"/>
        <v>0</v>
      </c>
      <c r="K16" s="459">
        <f t="shared" si="3"/>
        <v>0</v>
      </c>
      <c r="L16" s="495" t="e">
        <f t="shared" si="4"/>
        <v>#DIV/0!</v>
      </c>
      <c r="M16" s="464" t="e">
        <f t="shared" si="5"/>
        <v>#DIV/0!</v>
      </c>
      <c r="N16" s="366"/>
      <c r="O16" s="446"/>
      <c r="P16" s="446"/>
      <c r="Q16" s="446"/>
      <c r="R16" s="446"/>
      <c r="S16" s="647">
        <f t="shared" si="6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334</v>
      </c>
      <c r="D17" s="502">
        <f t="shared" si="0"/>
        <v>0</v>
      </c>
      <c r="E17" s="499"/>
      <c r="F17" s="446">
        <f t="shared" si="1"/>
        <v>0</v>
      </c>
      <c r="G17" s="503">
        <f t="shared" si="1"/>
        <v>0</v>
      </c>
      <c r="H17" s="498">
        <f>SUM($F$9:F17)/A17</f>
        <v>0</v>
      </c>
      <c r="I17" s="499">
        <f>SUM($G$9:G17)/A17</f>
        <v>0</v>
      </c>
      <c r="J17" s="443">
        <f t="shared" si="2"/>
        <v>0</v>
      </c>
      <c r="K17" s="459">
        <f t="shared" si="3"/>
        <v>0</v>
      </c>
      <c r="L17" s="495" t="e">
        <f t="shared" si="4"/>
        <v>#DIV/0!</v>
      </c>
      <c r="M17" s="464" t="e">
        <f t="shared" si="5"/>
        <v>#DIV/0!</v>
      </c>
      <c r="N17" s="366"/>
      <c r="O17" s="446"/>
      <c r="P17" s="446"/>
      <c r="Q17" s="446"/>
      <c r="R17" s="446"/>
      <c r="S17" s="647">
        <f t="shared" si="6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346</v>
      </c>
      <c r="D18" s="502">
        <f t="shared" si="0"/>
        <v>0</v>
      </c>
      <c r="E18" s="499"/>
      <c r="F18" s="446">
        <f t="shared" si="1"/>
        <v>0</v>
      </c>
      <c r="G18" s="503">
        <f t="shared" si="1"/>
        <v>0</v>
      </c>
      <c r="H18" s="504">
        <f>SUM($F$9:F18)/A18</f>
        <v>0</v>
      </c>
      <c r="I18" s="499">
        <f>SUM($G$9:G18)/A18</f>
        <v>0</v>
      </c>
      <c r="J18" s="504">
        <f t="shared" si="2"/>
        <v>0</v>
      </c>
      <c r="K18" s="459">
        <f t="shared" si="3"/>
        <v>0</v>
      </c>
      <c r="L18" s="505" t="e">
        <f t="shared" si="4"/>
        <v>#DIV/0!</v>
      </c>
      <c r="M18" s="464" t="e">
        <f t="shared" si="5"/>
        <v>#DIV/0!</v>
      </c>
      <c r="N18" s="366"/>
      <c r="O18" s="446"/>
      <c r="P18" s="446"/>
      <c r="Q18" s="446"/>
      <c r="R18" s="446"/>
      <c r="S18" s="647">
        <f t="shared" si="6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334</v>
      </c>
      <c r="D19" s="502">
        <f t="shared" si="0"/>
        <v>0</v>
      </c>
      <c r="E19" s="499"/>
      <c r="F19" s="446">
        <f t="shared" si="1"/>
        <v>0</v>
      </c>
      <c r="G19" s="503">
        <f t="shared" si="1"/>
        <v>0</v>
      </c>
      <c r="H19" s="498">
        <f>SUM($F$9:F19)/A19</f>
        <v>0</v>
      </c>
      <c r="I19" s="499">
        <f>SUM($G$9:G19)/A19</f>
        <v>0</v>
      </c>
      <c r="J19" s="443">
        <f t="shared" si="2"/>
        <v>0</v>
      </c>
      <c r="K19" s="459">
        <f t="shared" si="3"/>
        <v>0</v>
      </c>
      <c r="L19" s="495" t="e">
        <f t="shared" si="4"/>
        <v>#DIV/0!</v>
      </c>
      <c r="M19" s="464" t="e">
        <f t="shared" si="5"/>
        <v>#DIV/0!</v>
      </c>
      <c r="N19" s="366"/>
      <c r="O19" s="446"/>
      <c r="P19" s="446"/>
      <c r="Q19" s="446"/>
      <c r="R19" s="446"/>
      <c r="S19" s="647">
        <f t="shared" si="6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334</v>
      </c>
      <c r="D20" s="502">
        <f t="shared" si="0"/>
        <v>0</v>
      </c>
      <c r="E20" s="499"/>
      <c r="F20" s="446">
        <f t="shared" si="1"/>
        <v>0</v>
      </c>
      <c r="G20" s="503">
        <f t="shared" si="1"/>
        <v>0</v>
      </c>
      <c r="H20" s="498">
        <f>SUM($F$9:F20)/A20</f>
        <v>0</v>
      </c>
      <c r="I20" s="499">
        <f>SUM($G$9:G20)/A20</f>
        <v>0</v>
      </c>
      <c r="J20" s="443">
        <f t="shared" si="2"/>
        <v>0</v>
      </c>
      <c r="K20" s="459">
        <f t="shared" si="3"/>
        <v>0</v>
      </c>
      <c r="L20" s="495" t="e">
        <f t="shared" si="4"/>
        <v>#DIV/0!</v>
      </c>
      <c r="M20" s="464" t="e">
        <f t="shared" si="5"/>
        <v>#DIV/0!</v>
      </c>
      <c r="N20" s="366"/>
      <c r="O20" s="446"/>
      <c r="P20" s="446"/>
      <c r="Q20" s="446"/>
      <c r="R20" s="446"/>
      <c r="S20" s="647">
        <f t="shared" si="6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334</v>
      </c>
      <c r="D21" s="502">
        <f t="shared" si="0"/>
        <v>0</v>
      </c>
      <c r="E21" s="499"/>
      <c r="F21" s="446">
        <f t="shared" si="1"/>
        <v>0</v>
      </c>
      <c r="G21" s="503">
        <f t="shared" si="1"/>
        <v>0</v>
      </c>
      <c r="H21" s="498">
        <f>SUM($F$9:F21)/A21</f>
        <v>0</v>
      </c>
      <c r="I21" s="499">
        <f>SUM($G$9:G21)/A21</f>
        <v>0</v>
      </c>
      <c r="J21" s="443">
        <f t="shared" si="2"/>
        <v>0</v>
      </c>
      <c r="K21" s="459">
        <f t="shared" si="3"/>
        <v>0</v>
      </c>
      <c r="L21" s="495" t="e">
        <f t="shared" si="4"/>
        <v>#DIV/0!</v>
      </c>
      <c r="M21" s="464" t="e">
        <f t="shared" si="5"/>
        <v>#DIV/0!</v>
      </c>
      <c r="N21" s="366"/>
      <c r="O21" s="446"/>
      <c r="P21" s="446"/>
      <c r="Q21" s="446"/>
      <c r="R21" s="446"/>
      <c r="S21" s="647">
        <f t="shared" si="6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334</v>
      </c>
      <c r="D22" s="502">
        <f t="shared" si="0"/>
        <v>0</v>
      </c>
      <c r="E22" s="499"/>
      <c r="F22" s="446">
        <f t="shared" si="1"/>
        <v>0</v>
      </c>
      <c r="G22" s="503">
        <f t="shared" si="1"/>
        <v>0</v>
      </c>
      <c r="H22" s="498">
        <f>SUM($F$9:F22)/A22</f>
        <v>0</v>
      </c>
      <c r="I22" s="499">
        <f>SUM($G$9:G22)/A22</f>
        <v>0</v>
      </c>
      <c r="J22" s="443">
        <f t="shared" si="2"/>
        <v>0</v>
      </c>
      <c r="K22" s="459">
        <f t="shared" si="3"/>
        <v>0</v>
      </c>
      <c r="L22" s="495" t="e">
        <f t="shared" si="4"/>
        <v>#DIV/0!</v>
      </c>
      <c r="M22" s="464" t="e">
        <f t="shared" si="5"/>
        <v>#DIV/0!</v>
      </c>
      <c r="N22" s="366"/>
      <c r="O22" s="446"/>
      <c r="P22" s="446"/>
      <c r="Q22" s="446"/>
      <c r="R22" s="446"/>
      <c r="S22" s="647">
        <f t="shared" si="6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334</v>
      </c>
      <c r="D23" s="502">
        <f t="shared" si="0"/>
        <v>0</v>
      </c>
      <c r="E23" s="499"/>
      <c r="F23" s="446">
        <f t="shared" si="1"/>
        <v>0</v>
      </c>
      <c r="G23" s="503">
        <f t="shared" si="1"/>
        <v>0</v>
      </c>
      <c r="H23" s="504">
        <f>SUM($F$9:F23)/A23</f>
        <v>0</v>
      </c>
      <c r="I23" s="499">
        <f>SUM($G$9:G23)/A23</f>
        <v>0</v>
      </c>
      <c r="J23" s="504">
        <f t="shared" si="2"/>
        <v>0</v>
      </c>
      <c r="K23" s="459">
        <f t="shared" si="3"/>
        <v>0</v>
      </c>
      <c r="L23" s="505" t="e">
        <f t="shared" si="4"/>
        <v>#DIV/0!</v>
      </c>
      <c r="M23" s="464" t="e">
        <f t="shared" si="5"/>
        <v>#DIV/0!</v>
      </c>
      <c r="N23" s="366"/>
      <c r="O23" s="446"/>
      <c r="P23" s="446"/>
      <c r="Q23" s="446"/>
      <c r="R23" s="446"/>
      <c r="S23" s="647">
        <f t="shared" si="6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334</v>
      </c>
      <c r="D24" s="502">
        <f t="shared" si="0"/>
        <v>0</v>
      </c>
      <c r="E24" s="499"/>
      <c r="F24" s="446">
        <f t="shared" si="1"/>
        <v>0</v>
      </c>
      <c r="G24" s="503">
        <f t="shared" si="1"/>
        <v>0</v>
      </c>
      <c r="H24" s="498">
        <f>SUM($F$9:F24)/A24</f>
        <v>0</v>
      </c>
      <c r="I24" s="499">
        <f>SUM($G$9:G24)/A24</f>
        <v>0</v>
      </c>
      <c r="J24" s="443">
        <f t="shared" si="2"/>
        <v>0</v>
      </c>
      <c r="K24" s="459">
        <f t="shared" si="3"/>
        <v>0</v>
      </c>
      <c r="L24" s="495" t="e">
        <f t="shared" si="4"/>
        <v>#DIV/0!</v>
      </c>
      <c r="M24" s="464" t="e">
        <f t="shared" si="5"/>
        <v>#DIV/0!</v>
      </c>
      <c r="N24" s="366"/>
      <c r="O24" s="446"/>
      <c r="P24" s="446"/>
      <c r="Q24" s="446"/>
      <c r="R24" s="446"/>
      <c r="S24" s="647">
        <f t="shared" si="6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334</v>
      </c>
      <c r="D25" s="502">
        <f t="shared" si="0"/>
        <v>0</v>
      </c>
      <c r="E25" s="499"/>
      <c r="F25" s="446">
        <f t="shared" si="1"/>
        <v>0</v>
      </c>
      <c r="G25" s="503">
        <f t="shared" si="1"/>
        <v>0</v>
      </c>
      <c r="H25" s="498">
        <f>SUM($F$9:F25)/A25</f>
        <v>0</v>
      </c>
      <c r="I25" s="499">
        <f>SUM($G$9:G25)/A25</f>
        <v>0</v>
      </c>
      <c r="J25" s="443">
        <f t="shared" si="2"/>
        <v>0</v>
      </c>
      <c r="K25" s="459">
        <f t="shared" si="3"/>
        <v>0</v>
      </c>
      <c r="L25" s="495" t="e">
        <f t="shared" si="4"/>
        <v>#DIV/0!</v>
      </c>
      <c r="M25" s="464" t="e">
        <f t="shared" si="5"/>
        <v>#DIV/0!</v>
      </c>
      <c r="N25" s="366"/>
      <c r="O25" s="446"/>
      <c r="P25" s="446"/>
      <c r="Q25" s="446"/>
      <c r="R25" s="446"/>
      <c r="S25" s="647">
        <f t="shared" si="6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334</v>
      </c>
      <c r="D26" s="502">
        <f t="shared" si="0"/>
        <v>0</v>
      </c>
      <c r="E26" s="499"/>
      <c r="F26" s="446">
        <f t="shared" si="1"/>
        <v>0</v>
      </c>
      <c r="G26" s="503">
        <f t="shared" si="1"/>
        <v>0</v>
      </c>
      <c r="H26" s="498">
        <f>SUM($F$9:F26)/A26</f>
        <v>0</v>
      </c>
      <c r="I26" s="499">
        <f>SUM($G$9:G26)/A26</f>
        <v>0</v>
      </c>
      <c r="J26" s="443">
        <f t="shared" si="2"/>
        <v>0</v>
      </c>
      <c r="K26" s="459">
        <f t="shared" si="3"/>
        <v>0</v>
      </c>
      <c r="L26" s="495" t="e">
        <f t="shared" si="4"/>
        <v>#DIV/0!</v>
      </c>
      <c r="M26" s="464" t="e">
        <f t="shared" si="5"/>
        <v>#DIV/0!</v>
      </c>
      <c r="N26" s="366"/>
      <c r="O26" s="446"/>
      <c r="P26" s="446"/>
      <c r="Q26" s="446"/>
      <c r="R26" s="446"/>
      <c r="S26" s="647">
        <f t="shared" si="6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334</v>
      </c>
      <c r="D27" s="502">
        <f t="shared" si="0"/>
        <v>0</v>
      </c>
      <c r="E27" s="499"/>
      <c r="F27" s="446">
        <f t="shared" si="1"/>
        <v>0</v>
      </c>
      <c r="G27" s="503">
        <f t="shared" si="1"/>
        <v>0</v>
      </c>
      <c r="H27" s="498">
        <f>SUM($F$9:F27)/A27</f>
        <v>0</v>
      </c>
      <c r="I27" s="499">
        <f>SUM($G$9:G27)/A27</f>
        <v>0</v>
      </c>
      <c r="J27" s="443">
        <f t="shared" si="2"/>
        <v>0</v>
      </c>
      <c r="K27" s="459">
        <f t="shared" si="3"/>
        <v>0</v>
      </c>
      <c r="L27" s="495" t="e">
        <f t="shared" si="4"/>
        <v>#DIV/0!</v>
      </c>
      <c r="M27" s="464" t="e">
        <f t="shared" si="5"/>
        <v>#DIV/0!</v>
      </c>
      <c r="N27" s="366"/>
      <c r="O27" s="446"/>
      <c r="P27" s="446"/>
      <c r="Q27" s="446"/>
      <c r="R27" s="446"/>
      <c r="S27" s="647">
        <f t="shared" si="6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334</v>
      </c>
      <c r="D28" s="502">
        <f t="shared" si="0"/>
        <v>0</v>
      </c>
      <c r="E28" s="499"/>
      <c r="F28" s="446">
        <f t="shared" si="1"/>
        <v>0</v>
      </c>
      <c r="G28" s="503">
        <f t="shared" si="1"/>
        <v>0</v>
      </c>
      <c r="H28" s="504">
        <f>SUM($F$9:F28)/A28</f>
        <v>0</v>
      </c>
      <c r="I28" s="499">
        <f>SUM($G$9:G28)/A28</f>
        <v>0</v>
      </c>
      <c r="J28" s="504">
        <f t="shared" si="2"/>
        <v>0</v>
      </c>
      <c r="K28" s="459">
        <f t="shared" si="3"/>
        <v>0</v>
      </c>
      <c r="L28" s="505" t="e">
        <f t="shared" si="4"/>
        <v>#DIV/0!</v>
      </c>
      <c r="M28" s="464" t="e">
        <f t="shared" si="5"/>
        <v>#DIV/0!</v>
      </c>
      <c r="N28" s="366"/>
      <c r="O28" s="446"/>
      <c r="P28" s="446"/>
      <c r="Q28" s="446"/>
      <c r="R28" s="446"/>
      <c r="S28" s="647">
        <f t="shared" si="6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334</v>
      </c>
      <c r="D29" s="502">
        <f t="shared" si="0"/>
        <v>0</v>
      </c>
      <c r="E29" s="499"/>
      <c r="F29" s="446">
        <f t="shared" si="1"/>
        <v>0</v>
      </c>
      <c r="G29" s="503">
        <f t="shared" si="1"/>
        <v>0</v>
      </c>
      <c r="H29" s="498">
        <f>SUM($F$9:F29)/A29</f>
        <v>0</v>
      </c>
      <c r="I29" s="499">
        <f>SUM($G$9:G29)/A29</f>
        <v>0</v>
      </c>
      <c r="J29" s="443">
        <f t="shared" si="2"/>
        <v>0</v>
      </c>
      <c r="K29" s="459">
        <f t="shared" si="3"/>
        <v>0</v>
      </c>
      <c r="L29" s="495" t="e">
        <f t="shared" si="4"/>
        <v>#DIV/0!</v>
      </c>
      <c r="M29" s="464" t="e">
        <f t="shared" si="5"/>
        <v>#DIV/0!</v>
      </c>
      <c r="N29" s="366"/>
      <c r="O29" s="446"/>
      <c r="P29" s="446"/>
      <c r="Q29" s="446"/>
      <c r="R29" s="446"/>
      <c r="S29" s="647">
        <f t="shared" si="6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334</v>
      </c>
      <c r="D30" s="502">
        <f t="shared" si="0"/>
        <v>0</v>
      </c>
      <c r="E30" s="499"/>
      <c r="F30" s="446">
        <f t="shared" si="1"/>
        <v>0</v>
      </c>
      <c r="G30" s="503">
        <f t="shared" si="1"/>
        <v>0</v>
      </c>
      <c r="H30" s="498">
        <f>SUM($F$9:F30)/A30</f>
        <v>0</v>
      </c>
      <c r="I30" s="499">
        <f>SUM($G$9:G30)/A30</f>
        <v>0</v>
      </c>
      <c r="J30" s="443">
        <f t="shared" si="2"/>
        <v>0</v>
      </c>
      <c r="K30" s="459">
        <f t="shared" si="3"/>
        <v>0</v>
      </c>
      <c r="L30" s="495" t="e">
        <f t="shared" si="4"/>
        <v>#DIV/0!</v>
      </c>
      <c r="M30" s="464" t="e">
        <f t="shared" si="5"/>
        <v>#DIV/0!</v>
      </c>
      <c r="N30" s="366"/>
      <c r="O30" s="446"/>
      <c r="P30" s="446"/>
      <c r="Q30" s="446"/>
      <c r="R30" s="446"/>
      <c r="S30" s="647">
        <f t="shared" si="6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334</v>
      </c>
      <c r="D31" s="502">
        <f t="shared" si="0"/>
        <v>0</v>
      </c>
      <c r="E31" s="499"/>
      <c r="F31" s="446">
        <f t="shared" si="1"/>
        <v>0</v>
      </c>
      <c r="G31" s="503">
        <f t="shared" si="1"/>
        <v>0</v>
      </c>
      <c r="H31" s="498">
        <f>SUM($F$9:F31)/A31</f>
        <v>0</v>
      </c>
      <c r="I31" s="499">
        <f>SUM($G$9:G31)/A31</f>
        <v>0</v>
      </c>
      <c r="J31" s="443">
        <f t="shared" si="2"/>
        <v>0</v>
      </c>
      <c r="K31" s="459">
        <f t="shared" si="3"/>
        <v>0</v>
      </c>
      <c r="L31" s="495" t="e">
        <f t="shared" si="4"/>
        <v>#DIV/0!</v>
      </c>
      <c r="M31" s="464" t="e">
        <f t="shared" si="5"/>
        <v>#DIV/0!</v>
      </c>
      <c r="N31" s="366"/>
      <c r="O31" s="446"/>
      <c r="P31" s="446"/>
      <c r="Q31" s="446"/>
      <c r="R31" s="446"/>
      <c r="S31" s="647">
        <f t="shared" si="6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334</v>
      </c>
      <c r="D32" s="502">
        <f t="shared" si="0"/>
        <v>0</v>
      </c>
      <c r="E32" s="499"/>
      <c r="F32" s="446">
        <f t="shared" si="1"/>
        <v>0</v>
      </c>
      <c r="G32" s="503">
        <f t="shared" si="1"/>
        <v>0</v>
      </c>
      <c r="H32" s="498">
        <f>SUM($F$9:F32)/A32</f>
        <v>0</v>
      </c>
      <c r="I32" s="499">
        <f>SUM($G$9:G32)/A32</f>
        <v>0</v>
      </c>
      <c r="J32" s="443">
        <f t="shared" si="2"/>
        <v>0</v>
      </c>
      <c r="K32" s="459">
        <f t="shared" si="3"/>
        <v>0</v>
      </c>
      <c r="L32" s="495" t="e">
        <f t="shared" si="4"/>
        <v>#DIV/0!</v>
      </c>
      <c r="M32" s="464" t="e">
        <f t="shared" si="5"/>
        <v>#DIV/0!</v>
      </c>
      <c r="N32" s="366"/>
      <c r="O32" s="446"/>
      <c r="P32" s="446"/>
      <c r="Q32" s="446"/>
      <c r="R32" s="446"/>
      <c r="S32" s="647">
        <f t="shared" si="6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334</v>
      </c>
      <c r="D33" s="502">
        <f t="shared" si="0"/>
        <v>0</v>
      </c>
      <c r="E33" s="499"/>
      <c r="F33" s="446">
        <f t="shared" si="1"/>
        <v>0</v>
      </c>
      <c r="G33" s="503">
        <f t="shared" si="1"/>
        <v>0</v>
      </c>
      <c r="H33" s="460">
        <f>SUM($F$9:F33)/A33</f>
        <v>0</v>
      </c>
      <c r="I33" s="499">
        <f>SUM($G$9:G33)/A33</f>
        <v>0</v>
      </c>
      <c r="J33" s="460">
        <f t="shared" si="2"/>
        <v>0</v>
      </c>
      <c r="K33" s="459">
        <f t="shared" si="3"/>
        <v>0</v>
      </c>
      <c r="L33" s="506" t="e">
        <f t="shared" si="4"/>
        <v>#DIV/0!</v>
      </c>
      <c r="M33" s="464" t="e">
        <f t="shared" si="5"/>
        <v>#DIV/0!</v>
      </c>
      <c r="N33" s="366"/>
      <c r="O33" s="446"/>
      <c r="P33" s="446"/>
      <c r="Q33" s="446"/>
      <c r="R33" s="446"/>
      <c r="S33" s="647">
        <f t="shared" si="6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334</v>
      </c>
      <c r="D34" s="502">
        <f t="shared" si="0"/>
        <v>0</v>
      </c>
      <c r="E34" s="499"/>
      <c r="F34" s="446">
        <f t="shared" si="1"/>
        <v>0</v>
      </c>
      <c r="G34" s="503">
        <f t="shared" si="1"/>
        <v>0</v>
      </c>
      <c r="H34" s="498">
        <f>SUM($F$9:F34)/A34</f>
        <v>0</v>
      </c>
      <c r="I34" s="499">
        <f>SUM($G$9:G34)/A34</f>
        <v>0</v>
      </c>
      <c r="J34" s="443">
        <f t="shared" si="2"/>
        <v>0</v>
      </c>
      <c r="K34" s="459">
        <f t="shared" si="3"/>
        <v>0</v>
      </c>
      <c r="L34" s="495" t="e">
        <f t="shared" si="4"/>
        <v>#DIV/0!</v>
      </c>
      <c r="M34" s="464" t="e">
        <f t="shared" si="5"/>
        <v>#DIV/0!</v>
      </c>
      <c r="N34" s="366"/>
      <c r="O34" s="446"/>
      <c r="P34" s="446"/>
      <c r="Q34" s="446"/>
      <c r="R34" s="446"/>
      <c r="S34" s="647">
        <f t="shared" si="6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334</v>
      </c>
      <c r="D35" s="502">
        <f t="shared" si="0"/>
        <v>0</v>
      </c>
      <c r="E35" s="499"/>
      <c r="F35" s="446">
        <f t="shared" si="1"/>
        <v>0</v>
      </c>
      <c r="G35" s="503">
        <f t="shared" si="1"/>
        <v>0</v>
      </c>
      <c r="H35" s="498">
        <f>SUM($F$9:F35)/A35</f>
        <v>0</v>
      </c>
      <c r="I35" s="499">
        <f>SUM($G$9:G35)/A35</f>
        <v>0</v>
      </c>
      <c r="J35" s="443">
        <f t="shared" si="2"/>
        <v>0</v>
      </c>
      <c r="K35" s="459">
        <f t="shared" si="3"/>
        <v>0</v>
      </c>
      <c r="L35" s="495" t="e">
        <f t="shared" si="4"/>
        <v>#DIV/0!</v>
      </c>
      <c r="M35" s="464" t="e">
        <f t="shared" si="5"/>
        <v>#DIV/0!</v>
      </c>
      <c r="N35" s="366"/>
      <c r="O35" s="446"/>
      <c r="P35" s="446"/>
      <c r="Q35" s="446"/>
      <c r="R35" s="446"/>
      <c r="S35" s="647">
        <f t="shared" si="6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334</v>
      </c>
      <c r="D36" s="502">
        <f t="shared" si="0"/>
        <v>0</v>
      </c>
      <c r="E36" s="499"/>
      <c r="F36" s="446">
        <f t="shared" si="1"/>
        <v>0</v>
      </c>
      <c r="G36" s="503">
        <f t="shared" si="1"/>
        <v>0</v>
      </c>
      <c r="H36" s="498">
        <f>SUM($F$9:F36)/A36</f>
        <v>0</v>
      </c>
      <c r="I36" s="499">
        <f>SUM($G$9:G36)/A36</f>
        <v>0</v>
      </c>
      <c r="J36" s="443">
        <f t="shared" si="2"/>
        <v>0</v>
      </c>
      <c r="K36" s="459">
        <f t="shared" si="3"/>
        <v>0</v>
      </c>
      <c r="L36" s="495" t="e">
        <f t="shared" si="4"/>
        <v>#DIV/0!</v>
      </c>
      <c r="M36" s="464" t="e">
        <f t="shared" si="5"/>
        <v>#DIV/0!</v>
      </c>
      <c r="N36" s="366"/>
      <c r="O36" s="446"/>
      <c r="P36" s="446"/>
      <c r="Q36" s="446"/>
      <c r="R36" s="446"/>
      <c r="S36" s="647">
        <f t="shared" si="6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334</v>
      </c>
      <c r="D37" s="502">
        <f t="shared" si="0"/>
        <v>0</v>
      </c>
      <c r="E37" s="499"/>
      <c r="F37" s="446">
        <f t="shared" si="1"/>
        <v>0</v>
      </c>
      <c r="G37" s="503">
        <f t="shared" si="1"/>
        <v>0</v>
      </c>
      <c r="H37" s="498">
        <f>SUM($F$9:F37)/A37</f>
        <v>0</v>
      </c>
      <c r="I37" s="499">
        <f>SUM($G$9:G37)/A37</f>
        <v>0</v>
      </c>
      <c r="J37" s="443">
        <f t="shared" si="2"/>
        <v>0</v>
      </c>
      <c r="K37" s="459">
        <f t="shared" si="3"/>
        <v>0</v>
      </c>
      <c r="L37" s="495" t="e">
        <f t="shared" si="4"/>
        <v>#DIV/0!</v>
      </c>
      <c r="M37" s="464" t="e">
        <f t="shared" si="5"/>
        <v>#DIV/0!</v>
      </c>
      <c r="N37" s="366"/>
      <c r="O37" s="446"/>
      <c r="P37" s="446"/>
      <c r="Q37" s="446"/>
      <c r="R37" s="446"/>
      <c r="S37" s="647">
        <f t="shared" si="6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334</v>
      </c>
      <c r="D38" s="502">
        <f t="shared" si="0"/>
        <v>0</v>
      </c>
      <c r="E38" s="499"/>
      <c r="F38" s="446">
        <f t="shared" si="1"/>
        <v>0</v>
      </c>
      <c r="G38" s="503">
        <f t="shared" si="1"/>
        <v>0</v>
      </c>
      <c r="H38" s="504">
        <f>SUM($F$9:F38)/A38</f>
        <v>0</v>
      </c>
      <c r="I38" s="499">
        <f>SUM($G$9:G38)/A38</f>
        <v>0</v>
      </c>
      <c r="J38" s="504">
        <f t="shared" si="2"/>
        <v>0</v>
      </c>
      <c r="K38" s="459">
        <f t="shared" si="3"/>
        <v>0</v>
      </c>
      <c r="L38" s="505" t="e">
        <f t="shared" si="4"/>
        <v>#DIV/0!</v>
      </c>
      <c r="M38" s="464" t="e">
        <f t="shared" si="5"/>
        <v>#DIV/0!</v>
      </c>
      <c r="N38" s="366"/>
      <c r="O38" s="446"/>
      <c r="P38" s="446"/>
      <c r="Q38" s="446"/>
      <c r="R38" s="446"/>
      <c r="S38" s="647">
        <f t="shared" si="6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334</v>
      </c>
      <c r="D39" s="502">
        <f t="shared" si="0"/>
        <v>0</v>
      </c>
      <c r="E39" s="499"/>
      <c r="F39" s="446">
        <f t="shared" si="1"/>
        <v>0</v>
      </c>
      <c r="G39" s="503">
        <f t="shared" si="1"/>
        <v>0</v>
      </c>
      <c r="H39" s="498">
        <f>SUM($F$9:F39)/A39</f>
        <v>0</v>
      </c>
      <c r="I39" s="499">
        <f>SUM($G$9:G39)/A39</f>
        <v>0</v>
      </c>
      <c r="J39" s="443">
        <f t="shared" si="2"/>
        <v>0</v>
      </c>
      <c r="K39" s="459">
        <f t="shared" si="3"/>
        <v>0</v>
      </c>
      <c r="L39" s="495" t="e">
        <f t="shared" si="4"/>
        <v>#DIV/0!</v>
      </c>
      <c r="M39" s="464" t="e">
        <f t="shared" si="5"/>
        <v>#DIV/0!</v>
      </c>
      <c r="N39" s="366"/>
      <c r="O39" s="446"/>
      <c r="P39" s="446"/>
      <c r="Q39" s="446"/>
      <c r="R39" s="446"/>
      <c r="S39" s="647">
        <f t="shared" si="6"/>
        <v>0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705">
        <f>SUM(F9:F39)</f>
        <v>0</v>
      </c>
      <c r="G40" s="706">
        <f>SUM(G9:G39)</f>
        <v>0</v>
      </c>
      <c r="H40" s="389"/>
      <c r="I40" s="496"/>
      <c r="J40" s="645">
        <f>J39</f>
        <v>0</v>
      </c>
      <c r="K40" s="646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705">
        <f>F40</f>
        <v>0</v>
      </c>
      <c r="G41" s="706">
        <f>G40</f>
        <v>0</v>
      </c>
      <c r="H41" s="389"/>
      <c r="I41" s="496"/>
      <c r="J41" s="645">
        <f>D41-F41</f>
        <v>0</v>
      </c>
      <c r="K41" s="645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A6:A7"/>
    <mergeCell ref="B6:B7"/>
    <mergeCell ref="C6:C7"/>
    <mergeCell ref="N6:N7"/>
    <mergeCell ref="H6:I6"/>
    <mergeCell ref="J6:K6"/>
    <mergeCell ref="L6:M6"/>
  </mergeCells>
  <conditionalFormatting sqref="M9:M39">
    <cfRule type="cellIs" dxfId="11882" priority="505" operator="lessThan">
      <formula>15</formula>
    </cfRule>
    <cfRule type="cellIs" dxfId="11881" priority="506" operator="greaterThan">
      <formula>20</formula>
    </cfRule>
    <cfRule type="cellIs" dxfId="11880" priority="507" operator="between">
      <formula>15</formula>
      <formula>20</formula>
    </cfRule>
    <cfRule type="cellIs" dxfId="11879" priority="508" operator="between">
      <formula>15</formula>
      <formula>20</formula>
    </cfRule>
    <cfRule type="cellIs" dxfId="11878" priority="509" operator="lessThan">
      <formula>15</formula>
    </cfRule>
    <cfRule type="cellIs" dxfId="11877" priority="510" operator="greaterThan">
      <formula>20</formula>
    </cfRule>
    <cfRule type="cellIs" dxfId="11876" priority="511" operator="between">
      <formula>15</formula>
      <formula>21</formula>
    </cfRule>
    <cfRule type="cellIs" dxfId="11875" priority="512" operator="lessThan">
      <formula>15</formula>
    </cfRule>
    <cfRule type="cellIs" dxfId="11874" priority="513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23622047244094491"/>
  <pageSetup paperSize="8" orientation="landscape" horizontalDpi="4294967292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AC49"/>
  <sheetViews>
    <sheetView zoomScaleNormal="100" workbookViewId="0">
      <pane ySplit="8" topLeftCell="A12" activePane="bottomLeft" state="frozen"/>
      <selection pane="bottomLeft" activeCell="O26" sqref="O26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5" width="10.140625" style="142" customWidth="1"/>
    <col min="6" max="6" width="12.28515625" style="142" customWidth="1"/>
    <col min="7" max="7" width="11.5703125" style="142" customWidth="1"/>
    <col min="8" max="9" width="9.28515625" style="142" customWidth="1"/>
    <col min="10" max="11" width="11.85546875" style="142" customWidth="1"/>
    <col min="12" max="13" width="12" style="143" customWidth="1"/>
    <col min="14" max="14" width="6.42578125" style="143" customWidth="1"/>
    <col min="15" max="18" width="10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">
        <v>127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185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621"/>
      <c r="U6" s="621"/>
      <c r="V6" s="621"/>
    </row>
    <row r="7" spans="1:29" s="355" customFormat="1" ht="13.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6453.9</v>
      </c>
      <c r="E8" s="388">
        <f>K8</f>
        <v>6453.9</v>
      </c>
      <c r="F8" s="604">
        <f>F40</f>
        <v>2160.4999999999995</v>
      </c>
      <c r="G8" s="605">
        <f>G40</f>
        <v>2160.4999999999995</v>
      </c>
      <c r="H8" s="387"/>
      <c r="I8" s="388"/>
      <c r="J8" s="937">
        <f>K8-K8*N8</f>
        <v>6453.9</v>
      </c>
      <c r="K8" s="672">
        <v>6453.9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117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334</v>
      </c>
      <c r="D9" s="502">
        <f t="shared" ref="D9:D26" si="0">E9</f>
        <v>0</v>
      </c>
      <c r="E9" s="499"/>
      <c r="F9" s="586">
        <f>O9+Q9</f>
        <v>80.400000000000006</v>
      </c>
      <c r="G9" s="1424">
        <f>P9+R9</f>
        <v>80.400000000000006</v>
      </c>
      <c r="H9" s="498">
        <f>SUM($F$9:F9)/A9</f>
        <v>80.400000000000006</v>
      </c>
      <c r="I9" s="499">
        <f>SUM($G$9:G9)/A9</f>
        <v>80.400000000000006</v>
      </c>
      <c r="J9" s="443">
        <f>J8+D9-F9</f>
        <v>6373.5</v>
      </c>
      <c r="K9" s="459">
        <f>K8+E9-G9</f>
        <v>6373.5</v>
      </c>
      <c r="L9" s="495">
        <f>J9/H9</f>
        <v>79.272388059701484</v>
      </c>
      <c r="M9" s="464">
        <f>K9/I9</f>
        <v>79.272388059701484</v>
      </c>
      <c r="N9" s="366"/>
      <c r="O9" s="586">
        <f>31.5+18</f>
        <v>49.5</v>
      </c>
      <c r="P9" s="586">
        <f>O9</f>
        <v>49.5</v>
      </c>
      <c r="Q9" s="586">
        <f>12+18.9</f>
        <v>30.9</v>
      </c>
      <c r="R9" s="586">
        <f>Q9</f>
        <v>30.9</v>
      </c>
      <c r="S9" s="647">
        <f>J9/$S$8</f>
        <v>54.474358974358971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334</v>
      </c>
      <c r="D10" s="502">
        <f t="shared" si="0"/>
        <v>0</v>
      </c>
      <c r="E10" s="499"/>
      <c r="F10" s="586">
        <f t="shared" ref="F10:G39" si="1">O10+Q10</f>
        <v>67.5</v>
      </c>
      <c r="G10" s="1424">
        <f t="shared" si="1"/>
        <v>67.5</v>
      </c>
      <c r="H10" s="498">
        <f>SUM($F$9:F10)/A10</f>
        <v>73.95</v>
      </c>
      <c r="I10" s="499">
        <f>SUM($G$9:G10)/A10</f>
        <v>73.95</v>
      </c>
      <c r="J10" s="443">
        <f t="shared" ref="J10:J39" si="2">J9+D10-F10</f>
        <v>6306</v>
      </c>
      <c r="K10" s="459">
        <f t="shared" ref="K10:K39" si="3">K9+E10-G10</f>
        <v>6306</v>
      </c>
      <c r="L10" s="495">
        <f t="shared" ref="L10:L39" si="4">J10/H10</f>
        <v>85.273833671399586</v>
      </c>
      <c r="M10" s="464">
        <f t="shared" ref="M10:M39" si="5">K10/I10</f>
        <v>85.273833671399586</v>
      </c>
      <c r="N10" s="366"/>
      <c r="O10" s="586">
        <f>31.5+18</f>
        <v>49.5</v>
      </c>
      <c r="P10" s="586">
        <f t="shared" ref="P10:P39" si="6">O10</f>
        <v>49.5</v>
      </c>
      <c r="Q10" s="586">
        <v>18</v>
      </c>
      <c r="R10" s="586">
        <f t="shared" ref="R10:R39" si="7">Q10</f>
        <v>18</v>
      </c>
      <c r="S10" s="647">
        <f t="shared" ref="S10:S39" si="8">J10/$S$8</f>
        <v>53.897435897435898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349</v>
      </c>
      <c r="D11" s="502">
        <f t="shared" si="0"/>
        <v>0</v>
      </c>
      <c r="E11" s="499"/>
      <c r="F11" s="586">
        <f t="shared" si="1"/>
        <v>73.8</v>
      </c>
      <c r="G11" s="1424">
        <f t="shared" si="1"/>
        <v>73.8</v>
      </c>
      <c r="H11" s="498">
        <f>SUM($F$9:F11)/A11</f>
        <v>73.899999999999991</v>
      </c>
      <c r="I11" s="499">
        <f>SUM($G$9:G11)/A11</f>
        <v>73.899999999999991</v>
      </c>
      <c r="J11" s="443">
        <f t="shared" si="2"/>
        <v>6232.2</v>
      </c>
      <c r="K11" s="459">
        <f t="shared" si="3"/>
        <v>6232.2</v>
      </c>
      <c r="L11" s="495">
        <f t="shared" si="4"/>
        <v>84.332882273342364</v>
      </c>
      <c r="M11" s="464">
        <f t="shared" si="5"/>
        <v>84.332882273342364</v>
      </c>
      <c r="N11" s="366"/>
      <c r="O11" s="586">
        <f>36+18.9</f>
        <v>54.9</v>
      </c>
      <c r="P11" s="586">
        <f t="shared" si="6"/>
        <v>54.9</v>
      </c>
      <c r="Q11" s="586">
        <v>18.899999999999999</v>
      </c>
      <c r="R11" s="586">
        <f t="shared" si="7"/>
        <v>18.899999999999999</v>
      </c>
      <c r="S11" s="647">
        <f t="shared" si="8"/>
        <v>53.266666666666666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334</v>
      </c>
      <c r="D12" s="502">
        <f t="shared" si="0"/>
        <v>0</v>
      </c>
      <c r="E12" s="499"/>
      <c r="F12" s="586">
        <f t="shared" si="1"/>
        <v>86.4</v>
      </c>
      <c r="G12" s="1424">
        <f t="shared" si="1"/>
        <v>86.4</v>
      </c>
      <c r="H12" s="498">
        <f>SUM($F$9:F12)/A12</f>
        <v>77.025000000000006</v>
      </c>
      <c r="I12" s="499">
        <f>SUM($G$9:G12)/A12</f>
        <v>77.025000000000006</v>
      </c>
      <c r="J12" s="443">
        <f t="shared" si="2"/>
        <v>6145.8</v>
      </c>
      <c r="K12" s="459">
        <f t="shared" si="3"/>
        <v>6145.8</v>
      </c>
      <c r="L12" s="495">
        <f t="shared" si="4"/>
        <v>79.789678675754615</v>
      </c>
      <c r="M12" s="464">
        <f t="shared" si="5"/>
        <v>79.789678675754615</v>
      </c>
      <c r="N12" s="366"/>
      <c r="O12" s="586">
        <f>18+31.5</f>
        <v>49.5</v>
      </c>
      <c r="P12" s="586">
        <f t="shared" si="6"/>
        <v>49.5</v>
      </c>
      <c r="Q12" s="586">
        <f>18.9+18</f>
        <v>36.9</v>
      </c>
      <c r="R12" s="586">
        <f t="shared" si="7"/>
        <v>36.9</v>
      </c>
      <c r="S12" s="647">
        <f t="shared" si="8"/>
        <v>52.52820512820513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334</v>
      </c>
      <c r="D13" s="502">
        <f t="shared" si="0"/>
        <v>0</v>
      </c>
      <c r="E13" s="499"/>
      <c r="F13" s="586">
        <f t="shared" si="1"/>
        <v>91.8</v>
      </c>
      <c r="G13" s="1424">
        <f t="shared" si="1"/>
        <v>91.8</v>
      </c>
      <c r="H13" s="504">
        <f>SUM($F$9:F13)/A13</f>
        <v>79.98</v>
      </c>
      <c r="I13" s="499">
        <f>SUM($G$9:G13)/A13</f>
        <v>79.98</v>
      </c>
      <c r="J13" s="504">
        <f t="shared" si="2"/>
        <v>6054</v>
      </c>
      <c r="K13" s="459">
        <f t="shared" si="3"/>
        <v>6054</v>
      </c>
      <c r="L13" s="505">
        <f t="shared" si="4"/>
        <v>75.693923480870211</v>
      </c>
      <c r="M13" s="464">
        <f t="shared" si="5"/>
        <v>75.693923480870211</v>
      </c>
      <c r="N13" s="366"/>
      <c r="O13" s="586">
        <f>36+18.9</f>
        <v>54.9</v>
      </c>
      <c r="P13" s="586">
        <f t="shared" si="6"/>
        <v>54.9</v>
      </c>
      <c r="Q13" s="586">
        <f>18+18.9</f>
        <v>36.9</v>
      </c>
      <c r="R13" s="586">
        <f t="shared" si="7"/>
        <v>36.9</v>
      </c>
      <c r="S13" s="647">
        <f t="shared" si="8"/>
        <v>51.743589743589745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334</v>
      </c>
      <c r="D14" s="502">
        <f t="shared" si="0"/>
        <v>0</v>
      </c>
      <c r="E14" s="499"/>
      <c r="F14" s="586">
        <f t="shared" si="1"/>
        <v>86.4</v>
      </c>
      <c r="G14" s="1424">
        <f t="shared" si="1"/>
        <v>86.4</v>
      </c>
      <c r="H14" s="498">
        <f>SUM($F$9:F14)/A14</f>
        <v>81.050000000000011</v>
      </c>
      <c r="I14" s="499">
        <f>SUM($G$9:G14)/A14</f>
        <v>81.050000000000011</v>
      </c>
      <c r="J14" s="443">
        <f t="shared" si="2"/>
        <v>5967.6</v>
      </c>
      <c r="K14" s="459">
        <f t="shared" si="3"/>
        <v>5967.6</v>
      </c>
      <c r="L14" s="495">
        <f t="shared" si="4"/>
        <v>73.628624305983948</v>
      </c>
      <c r="M14" s="464">
        <f t="shared" si="5"/>
        <v>73.628624305983948</v>
      </c>
      <c r="N14" s="366"/>
      <c r="O14" s="586">
        <f>31.5+18</f>
        <v>49.5</v>
      </c>
      <c r="P14" s="586">
        <f t="shared" si="6"/>
        <v>49.5</v>
      </c>
      <c r="Q14" s="586">
        <f>18.9+18</f>
        <v>36.9</v>
      </c>
      <c r="R14" s="586">
        <f t="shared" si="7"/>
        <v>36.9</v>
      </c>
      <c r="S14" s="647">
        <f t="shared" si="8"/>
        <v>51.005128205128209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334</v>
      </c>
      <c r="D15" s="502">
        <f t="shared" si="0"/>
        <v>0</v>
      </c>
      <c r="E15" s="499"/>
      <c r="F15" s="586">
        <f t="shared" si="1"/>
        <v>86.4</v>
      </c>
      <c r="G15" s="1424">
        <f t="shared" si="1"/>
        <v>86.4</v>
      </c>
      <c r="H15" s="498">
        <f>SUM($F$9:F15)/A15</f>
        <v>81.814285714285717</v>
      </c>
      <c r="I15" s="499">
        <f>SUM($G$9:G15)/A15</f>
        <v>81.814285714285717</v>
      </c>
      <c r="J15" s="443">
        <f t="shared" si="2"/>
        <v>5881.2000000000007</v>
      </c>
      <c r="K15" s="459">
        <f t="shared" si="3"/>
        <v>5881.2000000000007</v>
      </c>
      <c r="L15" s="495">
        <f t="shared" si="4"/>
        <v>71.884756416972238</v>
      </c>
      <c r="M15" s="464">
        <f t="shared" si="5"/>
        <v>71.884756416972238</v>
      </c>
      <c r="N15" s="366"/>
      <c r="O15" s="586">
        <f>18+31.5</f>
        <v>49.5</v>
      </c>
      <c r="P15" s="586">
        <f t="shared" si="6"/>
        <v>49.5</v>
      </c>
      <c r="Q15" s="586">
        <f>18+18.9</f>
        <v>36.9</v>
      </c>
      <c r="R15" s="586">
        <f t="shared" si="7"/>
        <v>36.9</v>
      </c>
      <c r="S15" s="647">
        <f t="shared" si="8"/>
        <v>50.266666666666673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334</v>
      </c>
      <c r="D16" s="502">
        <f t="shared" si="0"/>
        <v>0</v>
      </c>
      <c r="E16" s="499"/>
      <c r="F16" s="586">
        <f t="shared" si="1"/>
        <v>122.4</v>
      </c>
      <c r="G16" s="1424">
        <f t="shared" si="1"/>
        <v>122.4</v>
      </c>
      <c r="H16" s="498">
        <f>SUM($F$9:F16)/A16</f>
        <v>86.887500000000003</v>
      </c>
      <c r="I16" s="499">
        <f>SUM($G$9:G16)/A16</f>
        <v>86.887500000000003</v>
      </c>
      <c r="J16" s="443">
        <f t="shared" si="2"/>
        <v>5758.8000000000011</v>
      </c>
      <c r="K16" s="459">
        <f t="shared" si="3"/>
        <v>5758.8000000000011</v>
      </c>
      <c r="L16" s="495">
        <f t="shared" si="4"/>
        <v>66.278808804488577</v>
      </c>
      <c r="M16" s="464">
        <f t="shared" si="5"/>
        <v>66.278808804488577</v>
      </c>
      <c r="N16" s="366"/>
      <c r="O16" s="586">
        <f>36+31.5</f>
        <v>67.5</v>
      </c>
      <c r="P16" s="586">
        <f t="shared" si="6"/>
        <v>67.5</v>
      </c>
      <c r="Q16" s="586">
        <f>36+18.9</f>
        <v>54.9</v>
      </c>
      <c r="R16" s="586">
        <f t="shared" si="7"/>
        <v>54.9</v>
      </c>
      <c r="S16" s="647">
        <f t="shared" si="8"/>
        <v>49.22051282051283</v>
      </c>
    </row>
    <row r="17" spans="1:20" s="367" customFormat="1" ht="12" customHeight="1">
      <c r="A17" s="364">
        <v>9</v>
      </c>
      <c r="B17" s="365">
        <f>'FRIT HGE91-FHG'!B17</f>
        <v>46243</v>
      </c>
      <c r="C17" s="331" t="s">
        <v>334</v>
      </c>
      <c r="D17" s="502">
        <f t="shared" si="0"/>
        <v>0</v>
      </c>
      <c r="E17" s="499"/>
      <c r="F17" s="586">
        <f t="shared" si="1"/>
        <v>73.8</v>
      </c>
      <c r="G17" s="1424">
        <f t="shared" si="1"/>
        <v>73.8</v>
      </c>
      <c r="H17" s="498">
        <f>SUM($F$9:F17)/A17</f>
        <v>85.433333333333337</v>
      </c>
      <c r="I17" s="499">
        <f>SUM($G$9:G17)/A17</f>
        <v>85.433333333333337</v>
      </c>
      <c r="J17" s="443">
        <f t="shared" si="2"/>
        <v>5685.0000000000009</v>
      </c>
      <c r="K17" s="459">
        <f t="shared" si="3"/>
        <v>5685.0000000000009</v>
      </c>
      <c r="L17" s="495">
        <f t="shared" si="4"/>
        <v>66.5431135388217</v>
      </c>
      <c r="M17" s="464">
        <f t="shared" si="5"/>
        <v>66.5431135388217</v>
      </c>
      <c r="N17" s="366"/>
      <c r="O17" s="586">
        <f>18+18.9</f>
        <v>36.9</v>
      </c>
      <c r="P17" s="586">
        <f t="shared" si="6"/>
        <v>36.9</v>
      </c>
      <c r="Q17" s="586">
        <f>18+18.9</f>
        <v>36.9</v>
      </c>
      <c r="R17" s="586">
        <f t="shared" si="7"/>
        <v>36.9</v>
      </c>
      <c r="S17" s="647">
        <f t="shared" si="8"/>
        <v>48.589743589743598</v>
      </c>
    </row>
    <row r="18" spans="1:20" s="367" customFormat="1" ht="12" customHeight="1">
      <c r="A18" s="504">
        <v>10</v>
      </c>
      <c r="B18" s="365">
        <f>'FRIT HGE91-FHG'!B18</f>
        <v>46244</v>
      </c>
      <c r="C18" s="331" t="s">
        <v>334</v>
      </c>
      <c r="D18" s="502">
        <f t="shared" si="0"/>
        <v>0</v>
      </c>
      <c r="E18" s="499"/>
      <c r="F18" s="586">
        <f t="shared" si="1"/>
        <v>605.79999999999995</v>
      </c>
      <c r="G18" s="1424">
        <f t="shared" si="1"/>
        <v>605.79999999999995</v>
      </c>
      <c r="H18" s="504">
        <f>SUM($F$9:F18)/A18</f>
        <v>137.46999999999997</v>
      </c>
      <c r="I18" s="499">
        <f>SUM($G$9:G18)/A18</f>
        <v>137.46999999999997</v>
      </c>
      <c r="J18" s="504">
        <f t="shared" si="2"/>
        <v>5079.2000000000007</v>
      </c>
      <c r="K18" s="459">
        <f t="shared" si="3"/>
        <v>5079.2000000000007</v>
      </c>
      <c r="L18" s="505">
        <f t="shared" si="4"/>
        <v>36.947697679493722</v>
      </c>
      <c r="M18" s="464">
        <f t="shared" si="5"/>
        <v>36.947697679493722</v>
      </c>
      <c r="N18" s="366"/>
      <c r="O18" s="586">
        <f>36+531.5</f>
        <v>567.5</v>
      </c>
      <c r="P18" s="586">
        <f t="shared" si="6"/>
        <v>567.5</v>
      </c>
      <c r="Q18" s="586">
        <f>19.4+18.9</f>
        <v>38.299999999999997</v>
      </c>
      <c r="R18" s="586">
        <f t="shared" si="7"/>
        <v>38.299999999999997</v>
      </c>
      <c r="S18" s="647">
        <f t="shared" si="8"/>
        <v>43.411965811965821</v>
      </c>
    </row>
    <row r="19" spans="1:20" s="367" customFormat="1" ht="12" customHeight="1">
      <c r="A19" s="364">
        <v>11</v>
      </c>
      <c r="B19" s="365">
        <f>'FRIT HGE91-FHG'!B19</f>
        <v>46245</v>
      </c>
      <c r="C19" s="331" t="s">
        <v>334</v>
      </c>
      <c r="D19" s="502">
        <f t="shared" si="0"/>
        <v>0</v>
      </c>
      <c r="E19" s="499"/>
      <c r="F19" s="586">
        <f t="shared" si="1"/>
        <v>101.8</v>
      </c>
      <c r="G19" s="1424">
        <f t="shared" si="1"/>
        <v>101.8</v>
      </c>
      <c r="H19" s="498">
        <f>SUM($F$9:F19)/A19</f>
        <v>134.22727272727272</v>
      </c>
      <c r="I19" s="499">
        <f>SUM($G$9:G19)/A19</f>
        <v>134.22727272727272</v>
      </c>
      <c r="J19" s="443">
        <f t="shared" si="2"/>
        <v>4977.4000000000005</v>
      </c>
      <c r="K19" s="459">
        <f t="shared" si="3"/>
        <v>4977.4000000000005</v>
      </c>
      <c r="L19" s="495">
        <f t="shared" si="4"/>
        <v>37.081882831019307</v>
      </c>
      <c r="M19" s="464">
        <f t="shared" si="5"/>
        <v>37.081882831019307</v>
      </c>
      <c r="N19" s="366"/>
      <c r="O19" s="586">
        <f>18+31.5</f>
        <v>49.5</v>
      </c>
      <c r="P19" s="586">
        <f t="shared" si="6"/>
        <v>49.5</v>
      </c>
      <c r="Q19" s="586">
        <f>18.9+21.6+11.8</f>
        <v>52.3</v>
      </c>
      <c r="R19" s="586">
        <f t="shared" si="7"/>
        <v>52.3</v>
      </c>
      <c r="S19" s="647">
        <f t="shared" si="8"/>
        <v>42.541880341880344</v>
      </c>
    </row>
    <row r="20" spans="1:20" s="367" customFormat="1" ht="12" customHeight="1">
      <c r="A20" s="364">
        <v>12</v>
      </c>
      <c r="B20" s="365">
        <f>'FRIT HGE91-FHG'!B20</f>
        <v>46246</v>
      </c>
      <c r="C20" s="331" t="s">
        <v>334</v>
      </c>
      <c r="D20" s="502">
        <f t="shared" si="0"/>
        <v>0</v>
      </c>
      <c r="E20" s="499"/>
      <c r="F20" s="586">
        <f t="shared" si="1"/>
        <v>90</v>
      </c>
      <c r="G20" s="1424">
        <f t="shared" si="1"/>
        <v>90</v>
      </c>
      <c r="H20" s="498">
        <f>SUM($F$9:F20)/A20</f>
        <v>130.54166666666666</v>
      </c>
      <c r="I20" s="499">
        <f>SUM($G$9:G20)/A20</f>
        <v>130.54166666666666</v>
      </c>
      <c r="J20" s="443">
        <f t="shared" si="2"/>
        <v>4887.4000000000005</v>
      </c>
      <c r="K20" s="459">
        <f t="shared" si="3"/>
        <v>4887.4000000000005</v>
      </c>
      <c r="L20" s="495">
        <f t="shared" si="4"/>
        <v>37.439387168847759</v>
      </c>
      <c r="M20" s="464">
        <f t="shared" si="5"/>
        <v>37.439387168847759</v>
      </c>
      <c r="N20" s="366"/>
      <c r="O20" s="586">
        <f>18.9+18</f>
        <v>36.9</v>
      </c>
      <c r="P20" s="586">
        <f t="shared" si="6"/>
        <v>36.9</v>
      </c>
      <c r="Q20" s="586">
        <f>21.6+31.5</f>
        <v>53.1</v>
      </c>
      <c r="R20" s="586">
        <f t="shared" si="7"/>
        <v>53.1</v>
      </c>
      <c r="S20" s="647">
        <f t="shared" si="8"/>
        <v>41.772649572649577</v>
      </c>
    </row>
    <row r="21" spans="1:20" s="367" customFormat="1" ht="12" customHeight="1">
      <c r="A21" s="364">
        <v>13</v>
      </c>
      <c r="B21" s="365">
        <f>'FRIT HGE91-FHG'!B21</f>
        <v>46247</v>
      </c>
      <c r="C21" s="331" t="s">
        <v>334</v>
      </c>
      <c r="D21" s="502">
        <f t="shared" si="0"/>
        <v>0</v>
      </c>
      <c r="E21" s="499"/>
      <c r="F21" s="586">
        <f t="shared" si="1"/>
        <v>108</v>
      </c>
      <c r="G21" s="1424">
        <f t="shared" si="1"/>
        <v>108</v>
      </c>
      <c r="H21" s="498">
        <f>SUM($F$9:F21)/A21</f>
        <v>128.80769230769229</v>
      </c>
      <c r="I21" s="499">
        <f>SUM($G$9:G21)/A21</f>
        <v>128.80769230769229</v>
      </c>
      <c r="J21" s="443">
        <f t="shared" si="2"/>
        <v>4779.4000000000005</v>
      </c>
      <c r="K21" s="459">
        <f t="shared" si="3"/>
        <v>4779.4000000000005</v>
      </c>
      <c r="L21" s="495">
        <f t="shared" si="4"/>
        <v>37.104926843833987</v>
      </c>
      <c r="M21" s="464">
        <f t="shared" si="5"/>
        <v>37.104926843833987</v>
      </c>
      <c r="N21" s="366"/>
      <c r="O21" s="586">
        <f>31.5+36</f>
        <v>67.5</v>
      </c>
      <c r="P21" s="586">
        <f t="shared" si="6"/>
        <v>67.5</v>
      </c>
      <c r="Q21" s="586">
        <f>21.6+18.9</f>
        <v>40.5</v>
      </c>
      <c r="R21" s="586">
        <f t="shared" si="7"/>
        <v>40.5</v>
      </c>
      <c r="S21" s="647">
        <f t="shared" si="8"/>
        <v>40.849572649572657</v>
      </c>
    </row>
    <row r="22" spans="1:20" s="367" customFormat="1" ht="12" customHeight="1">
      <c r="A22" s="364">
        <v>14</v>
      </c>
      <c r="B22" s="365">
        <f>'FRIT HGE91-FHG'!B22</f>
        <v>46248</v>
      </c>
      <c r="C22" s="331" t="s">
        <v>334</v>
      </c>
      <c r="D22" s="502">
        <f t="shared" si="0"/>
        <v>0</v>
      </c>
      <c r="E22" s="499"/>
      <c r="F22" s="586">
        <f t="shared" si="1"/>
        <v>124.2</v>
      </c>
      <c r="G22" s="1424">
        <f t="shared" si="1"/>
        <v>124.2</v>
      </c>
      <c r="H22" s="498">
        <f>SUM($F$9:F22)/A22</f>
        <v>128.47857142857143</v>
      </c>
      <c r="I22" s="499">
        <f>SUM($G$9:G22)/A22</f>
        <v>128.47857142857143</v>
      </c>
      <c r="J22" s="443">
        <f t="shared" si="2"/>
        <v>4655.2000000000007</v>
      </c>
      <c r="K22" s="459">
        <f t="shared" si="3"/>
        <v>4655.2000000000007</v>
      </c>
      <c r="L22" s="495">
        <f t="shared" si="4"/>
        <v>36.233279590815592</v>
      </c>
      <c r="M22" s="464">
        <f t="shared" si="5"/>
        <v>36.233279590815592</v>
      </c>
      <c r="N22" s="366"/>
      <c r="O22" s="586">
        <f>31.5+18</f>
        <v>49.5</v>
      </c>
      <c r="P22" s="586">
        <f t="shared" si="6"/>
        <v>49.5</v>
      </c>
      <c r="Q22" s="586">
        <f>31.5+43.2</f>
        <v>74.7</v>
      </c>
      <c r="R22" s="586">
        <f t="shared" si="7"/>
        <v>74.7</v>
      </c>
      <c r="S22" s="647">
        <f t="shared" si="8"/>
        <v>39.788034188034196</v>
      </c>
    </row>
    <row r="23" spans="1:20" s="367" customFormat="1" ht="12" customHeight="1">
      <c r="A23" s="504">
        <v>15</v>
      </c>
      <c r="B23" s="365">
        <f>'FRIT HGE91-FHG'!B23</f>
        <v>46249</v>
      </c>
      <c r="C23" s="331" t="s">
        <v>334</v>
      </c>
      <c r="D23" s="502">
        <f t="shared" si="0"/>
        <v>1000</v>
      </c>
      <c r="E23" s="499">
        <v>1000</v>
      </c>
      <c r="F23" s="586">
        <f t="shared" si="1"/>
        <v>129.6</v>
      </c>
      <c r="G23" s="1424">
        <f t="shared" si="1"/>
        <v>129.6</v>
      </c>
      <c r="H23" s="504">
        <f>SUM($F$9:F23)/A23</f>
        <v>128.55333333333331</v>
      </c>
      <c r="I23" s="499">
        <f>SUM($G$9:G23)/A23</f>
        <v>128.55333333333331</v>
      </c>
      <c r="J23" s="504">
        <f t="shared" si="2"/>
        <v>5525.6</v>
      </c>
      <c r="K23" s="459">
        <f t="shared" si="3"/>
        <v>5525.6</v>
      </c>
      <c r="L23" s="505">
        <f t="shared" si="4"/>
        <v>42.98293833947001</v>
      </c>
      <c r="M23" s="464">
        <f t="shared" si="5"/>
        <v>42.98293833947001</v>
      </c>
      <c r="N23" s="366"/>
      <c r="O23" s="586">
        <f>18.9+36</f>
        <v>54.9</v>
      </c>
      <c r="P23" s="586">
        <f t="shared" si="6"/>
        <v>54.9</v>
      </c>
      <c r="Q23" s="586">
        <f>31.5+43.2</f>
        <v>74.7</v>
      </c>
      <c r="R23" s="586">
        <f t="shared" si="7"/>
        <v>74.7</v>
      </c>
      <c r="S23" s="647">
        <f t="shared" si="8"/>
        <v>47.22735042735043</v>
      </c>
    </row>
    <row r="24" spans="1:20" s="367" customFormat="1" ht="12" customHeight="1">
      <c r="A24" s="364">
        <v>16</v>
      </c>
      <c r="B24" s="365">
        <f>'FRIT HGE91-FHG'!B24</f>
        <v>46250</v>
      </c>
      <c r="C24" s="331" t="s">
        <v>334</v>
      </c>
      <c r="D24" s="502">
        <f t="shared" si="0"/>
        <v>0</v>
      </c>
      <c r="E24" s="499"/>
      <c r="F24" s="586">
        <f t="shared" si="1"/>
        <v>124.2</v>
      </c>
      <c r="G24" s="1424">
        <f t="shared" si="1"/>
        <v>124.2</v>
      </c>
      <c r="H24" s="498">
        <f>SUM($F$9:F24)/A24</f>
        <v>128.28124999999997</v>
      </c>
      <c r="I24" s="499">
        <f>SUM($G$9:G24)/A24</f>
        <v>128.28124999999997</v>
      </c>
      <c r="J24" s="443">
        <f t="shared" si="2"/>
        <v>5401.4000000000005</v>
      </c>
      <c r="K24" s="459">
        <f t="shared" si="3"/>
        <v>5401.4000000000005</v>
      </c>
      <c r="L24" s="495">
        <f t="shared" si="4"/>
        <v>42.105919610231439</v>
      </c>
      <c r="M24" s="464">
        <f t="shared" si="5"/>
        <v>42.105919610231439</v>
      </c>
      <c r="N24" s="366"/>
      <c r="O24" s="586">
        <f>18+31.5</f>
        <v>49.5</v>
      </c>
      <c r="P24" s="586">
        <f t="shared" si="6"/>
        <v>49.5</v>
      </c>
      <c r="Q24" s="586">
        <f>31.5+43.2</f>
        <v>74.7</v>
      </c>
      <c r="R24" s="586">
        <f t="shared" si="7"/>
        <v>74.7</v>
      </c>
      <c r="S24" s="647">
        <f t="shared" si="8"/>
        <v>46.165811965811969</v>
      </c>
    </row>
    <row r="25" spans="1:20" s="367" customFormat="1" ht="12" customHeight="1">
      <c r="A25" s="364">
        <v>17</v>
      </c>
      <c r="B25" s="365">
        <f>'FRIT HGE91-FHG'!B25</f>
        <v>46251</v>
      </c>
      <c r="C25" s="331" t="s">
        <v>334</v>
      </c>
      <c r="D25" s="502">
        <f t="shared" si="0"/>
        <v>0</v>
      </c>
      <c r="E25" s="499"/>
      <c r="F25" s="586">
        <f t="shared" si="1"/>
        <v>108</v>
      </c>
      <c r="G25" s="1424">
        <f t="shared" si="1"/>
        <v>108</v>
      </c>
      <c r="H25" s="498">
        <f>SUM($F$9:F25)/A25</f>
        <v>127.08823529411762</v>
      </c>
      <c r="I25" s="499">
        <f>SUM($G$9:G25)/A25</f>
        <v>127.08823529411762</v>
      </c>
      <c r="J25" s="443">
        <f t="shared" si="2"/>
        <v>5293.4000000000005</v>
      </c>
      <c r="K25" s="459">
        <f t="shared" si="3"/>
        <v>5293.4000000000005</v>
      </c>
      <c r="L25" s="495">
        <f t="shared" si="4"/>
        <v>41.651376996065736</v>
      </c>
      <c r="M25" s="464">
        <f t="shared" si="5"/>
        <v>41.651376996065736</v>
      </c>
      <c r="N25" s="366"/>
      <c r="O25" s="586">
        <f>18.9+36</f>
        <v>54.9</v>
      </c>
      <c r="P25" s="586">
        <f t="shared" si="6"/>
        <v>54.9</v>
      </c>
      <c r="Q25" s="586">
        <f>21.6+31.5</f>
        <v>53.1</v>
      </c>
      <c r="R25" s="586">
        <f t="shared" si="7"/>
        <v>53.1</v>
      </c>
      <c r="S25" s="647">
        <f t="shared" si="8"/>
        <v>45.242735042735049</v>
      </c>
      <c r="T25" s="367" t="s">
        <v>5</v>
      </c>
    </row>
    <row r="26" spans="1:20" s="367" customFormat="1" ht="12" customHeight="1">
      <c r="A26" s="364">
        <v>18</v>
      </c>
      <c r="B26" s="365">
        <f>'FRIT HGE91-FHG'!B26</f>
        <v>46252</v>
      </c>
      <c r="C26" s="331" t="s">
        <v>334</v>
      </c>
      <c r="D26" s="502">
        <f t="shared" si="0"/>
        <v>0</v>
      </c>
      <c r="E26" s="499"/>
      <c r="F26" s="586">
        <f t="shared" si="1"/>
        <v>0</v>
      </c>
      <c r="G26" s="1424">
        <f t="shared" si="1"/>
        <v>0</v>
      </c>
      <c r="H26" s="498">
        <f>SUM($F$9:F26)/A26</f>
        <v>120.02777777777776</v>
      </c>
      <c r="I26" s="499">
        <f>SUM($G$9:G26)/A26</f>
        <v>120.02777777777776</v>
      </c>
      <c r="J26" s="443">
        <f t="shared" si="2"/>
        <v>5293.4000000000005</v>
      </c>
      <c r="K26" s="459">
        <f t="shared" si="3"/>
        <v>5293.4000000000005</v>
      </c>
      <c r="L26" s="495">
        <f t="shared" si="4"/>
        <v>44.101457995834309</v>
      </c>
      <c r="M26" s="464">
        <f t="shared" si="5"/>
        <v>44.101457995834309</v>
      </c>
      <c r="N26" s="366"/>
      <c r="O26" s="586"/>
      <c r="P26" s="586">
        <f t="shared" si="6"/>
        <v>0</v>
      </c>
      <c r="Q26" s="586"/>
      <c r="R26" s="586">
        <f t="shared" si="7"/>
        <v>0</v>
      </c>
      <c r="S26" s="647">
        <f t="shared" si="8"/>
        <v>45.242735042735049</v>
      </c>
    </row>
    <row r="27" spans="1:20" s="367" customFormat="1" ht="12" customHeight="1">
      <c r="A27" s="364">
        <v>19</v>
      </c>
      <c r="B27" s="365">
        <f>'FRIT HGE91-FHG'!B27</f>
        <v>46253</v>
      </c>
      <c r="C27" s="331" t="s">
        <v>334</v>
      </c>
      <c r="D27" s="502">
        <f>E27</f>
        <v>0</v>
      </c>
      <c r="E27" s="499"/>
      <c r="F27" s="586">
        <f t="shared" si="1"/>
        <v>0</v>
      </c>
      <c r="G27" s="1424">
        <f t="shared" si="1"/>
        <v>0</v>
      </c>
      <c r="H27" s="498">
        <f>SUM($F$9:F27)/A27</f>
        <v>113.71052631578945</v>
      </c>
      <c r="I27" s="499">
        <f>SUM($G$9:G27)/A27</f>
        <v>113.71052631578945</v>
      </c>
      <c r="J27" s="443">
        <f t="shared" si="2"/>
        <v>5293.4000000000005</v>
      </c>
      <c r="K27" s="459">
        <f t="shared" si="3"/>
        <v>5293.4000000000005</v>
      </c>
      <c r="L27" s="495">
        <f t="shared" si="4"/>
        <v>46.551538995602883</v>
      </c>
      <c r="M27" s="464">
        <f t="shared" si="5"/>
        <v>46.551538995602883</v>
      </c>
      <c r="N27" s="366"/>
      <c r="O27" s="586"/>
      <c r="P27" s="586">
        <f t="shared" si="6"/>
        <v>0</v>
      </c>
      <c r="Q27" s="586"/>
      <c r="R27" s="586">
        <f t="shared" si="7"/>
        <v>0</v>
      </c>
      <c r="S27" s="647">
        <f t="shared" si="8"/>
        <v>45.242735042735049</v>
      </c>
    </row>
    <row r="28" spans="1:20" s="367" customFormat="1" ht="12" customHeight="1">
      <c r="A28" s="504">
        <v>20</v>
      </c>
      <c r="B28" s="365">
        <f>'FRIT HGE91-FHG'!B28</f>
        <v>46254</v>
      </c>
      <c r="C28" s="331" t="s">
        <v>334</v>
      </c>
      <c r="D28" s="502">
        <f t="shared" ref="D28:D39" si="9">E28</f>
        <v>0</v>
      </c>
      <c r="E28" s="499"/>
      <c r="F28" s="586">
        <f t="shared" si="1"/>
        <v>0</v>
      </c>
      <c r="G28" s="1424">
        <f t="shared" si="1"/>
        <v>0</v>
      </c>
      <c r="H28" s="504">
        <f>SUM($F$9:F28)/A28</f>
        <v>108.02499999999998</v>
      </c>
      <c r="I28" s="499">
        <f>SUM($G$9:G28)/A28</f>
        <v>108.02499999999998</v>
      </c>
      <c r="J28" s="504">
        <f t="shared" si="2"/>
        <v>5293.4000000000005</v>
      </c>
      <c r="K28" s="459">
        <f t="shared" si="3"/>
        <v>5293.4000000000005</v>
      </c>
      <c r="L28" s="505">
        <f t="shared" si="4"/>
        <v>49.001619995371456</v>
      </c>
      <c r="M28" s="464">
        <f t="shared" si="5"/>
        <v>49.001619995371456</v>
      </c>
      <c r="N28" s="366"/>
      <c r="O28" s="586"/>
      <c r="P28" s="586">
        <f t="shared" si="6"/>
        <v>0</v>
      </c>
      <c r="Q28" s="586"/>
      <c r="R28" s="586">
        <f t="shared" si="7"/>
        <v>0</v>
      </c>
      <c r="S28" s="647">
        <f t="shared" si="8"/>
        <v>45.242735042735049</v>
      </c>
    </row>
    <row r="29" spans="1:20" s="367" customFormat="1" ht="12" customHeight="1">
      <c r="A29" s="364">
        <v>21</v>
      </c>
      <c r="B29" s="365">
        <f>'FRIT HGE91-FHG'!B29</f>
        <v>46255</v>
      </c>
      <c r="C29" s="331" t="s">
        <v>334</v>
      </c>
      <c r="D29" s="502">
        <f t="shared" si="9"/>
        <v>0</v>
      </c>
      <c r="E29" s="499"/>
      <c r="F29" s="586">
        <f t="shared" si="1"/>
        <v>0</v>
      </c>
      <c r="G29" s="1424">
        <f t="shared" si="1"/>
        <v>0</v>
      </c>
      <c r="H29" s="498">
        <f>SUM($F$9:F29)/A29</f>
        <v>102.88095238095237</v>
      </c>
      <c r="I29" s="499">
        <f>SUM($G$9:G29)/A29</f>
        <v>102.88095238095237</v>
      </c>
      <c r="J29" s="443">
        <f t="shared" si="2"/>
        <v>5293.4000000000005</v>
      </c>
      <c r="K29" s="459">
        <f t="shared" si="3"/>
        <v>5293.4000000000005</v>
      </c>
      <c r="L29" s="495">
        <f t="shared" si="4"/>
        <v>51.45170099514003</v>
      </c>
      <c r="M29" s="464">
        <f t="shared" si="5"/>
        <v>51.45170099514003</v>
      </c>
      <c r="N29" s="366"/>
      <c r="O29" s="586"/>
      <c r="P29" s="586">
        <f t="shared" si="6"/>
        <v>0</v>
      </c>
      <c r="Q29" s="586"/>
      <c r="R29" s="586">
        <f t="shared" si="7"/>
        <v>0</v>
      </c>
      <c r="S29" s="647">
        <f t="shared" si="8"/>
        <v>45.242735042735049</v>
      </c>
    </row>
    <row r="30" spans="1:20" s="367" customFormat="1" ht="12" customHeight="1">
      <c r="A30" s="364">
        <v>22</v>
      </c>
      <c r="B30" s="365">
        <f>'FRIT HGE91-FHG'!B30</f>
        <v>46256</v>
      </c>
      <c r="C30" s="331" t="s">
        <v>334</v>
      </c>
      <c r="D30" s="502">
        <f t="shared" si="9"/>
        <v>0</v>
      </c>
      <c r="E30" s="499"/>
      <c r="F30" s="586">
        <f t="shared" si="1"/>
        <v>0</v>
      </c>
      <c r="G30" s="1424">
        <f t="shared" si="1"/>
        <v>0</v>
      </c>
      <c r="H30" s="498">
        <f>SUM($F$9:F30)/A30</f>
        <v>98.204545454545439</v>
      </c>
      <c r="I30" s="499">
        <f>SUM($G$9:G30)/A30</f>
        <v>98.204545454545439</v>
      </c>
      <c r="J30" s="443">
        <f t="shared" si="2"/>
        <v>5293.4000000000005</v>
      </c>
      <c r="K30" s="459">
        <f t="shared" si="3"/>
        <v>5293.4000000000005</v>
      </c>
      <c r="L30" s="495">
        <f t="shared" si="4"/>
        <v>53.901781994908603</v>
      </c>
      <c r="M30" s="464">
        <f t="shared" si="5"/>
        <v>53.901781994908603</v>
      </c>
      <c r="N30" s="366"/>
      <c r="O30" s="586"/>
      <c r="P30" s="586">
        <f t="shared" si="6"/>
        <v>0</v>
      </c>
      <c r="Q30" s="586"/>
      <c r="R30" s="586">
        <f t="shared" si="7"/>
        <v>0</v>
      </c>
      <c r="S30" s="647">
        <f t="shared" si="8"/>
        <v>45.242735042735049</v>
      </c>
    </row>
    <row r="31" spans="1:20" s="367" customFormat="1" ht="12" customHeight="1">
      <c r="A31" s="364">
        <v>23</v>
      </c>
      <c r="B31" s="365">
        <f>'FRIT HGE91-FHG'!B31</f>
        <v>46257</v>
      </c>
      <c r="C31" s="331" t="s">
        <v>334</v>
      </c>
      <c r="D31" s="502">
        <f t="shared" si="9"/>
        <v>0</v>
      </c>
      <c r="E31" s="499"/>
      <c r="F31" s="586">
        <f t="shared" si="1"/>
        <v>0</v>
      </c>
      <c r="G31" s="1424">
        <f t="shared" si="1"/>
        <v>0</v>
      </c>
      <c r="H31" s="498">
        <f>SUM($F$9:F31)/A31</f>
        <v>93.934782608695627</v>
      </c>
      <c r="I31" s="499">
        <f>SUM($G$9:G31)/A31</f>
        <v>93.934782608695627</v>
      </c>
      <c r="J31" s="443">
        <f t="shared" si="2"/>
        <v>5293.4000000000005</v>
      </c>
      <c r="K31" s="459">
        <f t="shared" si="3"/>
        <v>5293.4000000000005</v>
      </c>
      <c r="L31" s="495">
        <f t="shared" si="4"/>
        <v>56.351862994677177</v>
      </c>
      <c r="M31" s="464">
        <f t="shared" si="5"/>
        <v>56.351862994677177</v>
      </c>
      <c r="N31" s="366"/>
      <c r="O31" s="586"/>
      <c r="P31" s="586">
        <f t="shared" si="6"/>
        <v>0</v>
      </c>
      <c r="Q31" s="586"/>
      <c r="R31" s="586">
        <f t="shared" si="7"/>
        <v>0</v>
      </c>
      <c r="S31" s="647">
        <f t="shared" si="8"/>
        <v>45.242735042735049</v>
      </c>
    </row>
    <row r="32" spans="1:20" s="367" customFormat="1" ht="12" customHeight="1">
      <c r="A32" s="364">
        <v>24</v>
      </c>
      <c r="B32" s="365">
        <f>'FRIT HGE91-FHG'!B32</f>
        <v>46258</v>
      </c>
      <c r="C32" s="331" t="s">
        <v>334</v>
      </c>
      <c r="D32" s="502">
        <f t="shared" si="9"/>
        <v>0</v>
      </c>
      <c r="E32" s="499"/>
      <c r="F32" s="586">
        <f t="shared" si="1"/>
        <v>0</v>
      </c>
      <c r="G32" s="1424">
        <f t="shared" si="1"/>
        <v>0</v>
      </c>
      <c r="H32" s="498">
        <f>SUM($F$9:F32)/A32</f>
        <v>90.020833333333314</v>
      </c>
      <c r="I32" s="499">
        <f>SUM($G$9:G32)/A32</f>
        <v>90.020833333333314</v>
      </c>
      <c r="J32" s="443">
        <f t="shared" si="2"/>
        <v>5293.4000000000005</v>
      </c>
      <c r="K32" s="459">
        <f t="shared" si="3"/>
        <v>5293.4000000000005</v>
      </c>
      <c r="L32" s="495">
        <f t="shared" si="4"/>
        <v>58.80194399444575</v>
      </c>
      <c r="M32" s="464">
        <f t="shared" si="5"/>
        <v>58.80194399444575</v>
      </c>
      <c r="N32" s="366"/>
      <c r="O32" s="586"/>
      <c r="P32" s="586">
        <f t="shared" si="6"/>
        <v>0</v>
      </c>
      <c r="Q32" s="586"/>
      <c r="R32" s="586">
        <f t="shared" si="7"/>
        <v>0</v>
      </c>
      <c r="S32" s="647">
        <f t="shared" si="8"/>
        <v>45.242735042735049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334</v>
      </c>
      <c r="D33" s="502">
        <f t="shared" si="9"/>
        <v>0</v>
      </c>
      <c r="E33" s="499"/>
      <c r="F33" s="586">
        <f t="shared" si="1"/>
        <v>0</v>
      </c>
      <c r="G33" s="1424">
        <f t="shared" si="1"/>
        <v>0</v>
      </c>
      <c r="H33" s="460">
        <f>SUM($F$9:F33)/A33</f>
        <v>86.419999999999987</v>
      </c>
      <c r="I33" s="499">
        <f>SUM($G$9:G33)/A33</f>
        <v>86.419999999999987</v>
      </c>
      <c r="J33" s="460">
        <f t="shared" si="2"/>
        <v>5293.4000000000005</v>
      </c>
      <c r="K33" s="459">
        <f t="shared" si="3"/>
        <v>5293.4000000000005</v>
      </c>
      <c r="L33" s="506">
        <f t="shared" si="4"/>
        <v>61.252024994214317</v>
      </c>
      <c r="M33" s="464">
        <f t="shared" si="5"/>
        <v>61.252024994214317</v>
      </c>
      <c r="N33" s="366"/>
      <c r="O33" s="586"/>
      <c r="P33" s="586">
        <f t="shared" si="6"/>
        <v>0</v>
      </c>
      <c r="Q33" s="586"/>
      <c r="R33" s="586">
        <f t="shared" si="7"/>
        <v>0</v>
      </c>
      <c r="S33" s="647">
        <f t="shared" si="8"/>
        <v>45.242735042735049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334</v>
      </c>
      <c r="D34" s="502">
        <f t="shared" si="9"/>
        <v>0</v>
      </c>
      <c r="E34" s="499"/>
      <c r="F34" s="586">
        <f t="shared" si="1"/>
        <v>0</v>
      </c>
      <c r="G34" s="1424">
        <f t="shared" si="1"/>
        <v>0</v>
      </c>
      <c r="H34" s="498">
        <f>SUM($F$9:F34)/A34</f>
        <v>83.096153846153825</v>
      </c>
      <c r="I34" s="499">
        <f>SUM($G$9:G34)/A34</f>
        <v>83.096153846153825</v>
      </c>
      <c r="J34" s="443">
        <f t="shared" si="2"/>
        <v>5293.4000000000005</v>
      </c>
      <c r="K34" s="459">
        <f>K33+E34-G34</f>
        <v>5293.4000000000005</v>
      </c>
      <c r="L34" s="495">
        <f t="shared" si="4"/>
        <v>63.702105993982897</v>
      </c>
      <c r="M34" s="464">
        <f t="shared" si="5"/>
        <v>63.702105993982897</v>
      </c>
      <c r="N34" s="366"/>
      <c r="O34" s="586"/>
      <c r="P34" s="586">
        <f t="shared" si="6"/>
        <v>0</v>
      </c>
      <c r="Q34" s="586"/>
      <c r="R34" s="586">
        <f t="shared" si="7"/>
        <v>0</v>
      </c>
      <c r="S34" s="647">
        <f t="shared" si="8"/>
        <v>45.242735042735049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334</v>
      </c>
      <c r="D35" s="502">
        <f t="shared" si="9"/>
        <v>0</v>
      </c>
      <c r="E35" s="499"/>
      <c r="F35" s="586">
        <f t="shared" si="1"/>
        <v>0</v>
      </c>
      <c r="G35" s="1424">
        <f t="shared" si="1"/>
        <v>0</v>
      </c>
      <c r="H35" s="498">
        <f>SUM($F$9:F35)/A35</f>
        <v>80.018518518518505</v>
      </c>
      <c r="I35" s="499">
        <f>SUM($G$9:G35)/A35</f>
        <v>80.018518518518505</v>
      </c>
      <c r="J35" s="443">
        <f t="shared" si="2"/>
        <v>5293.4000000000005</v>
      </c>
      <c r="K35" s="459">
        <f t="shared" si="3"/>
        <v>5293.4000000000005</v>
      </c>
      <c r="L35" s="495">
        <f t="shared" si="4"/>
        <v>66.152186993751471</v>
      </c>
      <c r="M35" s="464">
        <f t="shared" si="5"/>
        <v>66.152186993751471</v>
      </c>
      <c r="N35" s="366"/>
      <c r="O35" s="586"/>
      <c r="P35" s="586">
        <f t="shared" si="6"/>
        <v>0</v>
      </c>
      <c r="Q35" s="586"/>
      <c r="R35" s="586">
        <f t="shared" si="7"/>
        <v>0</v>
      </c>
      <c r="S35" s="647">
        <f t="shared" si="8"/>
        <v>45.242735042735049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334</v>
      </c>
      <c r="D36" s="502">
        <f t="shared" si="9"/>
        <v>0</v>
      </c>
      <c r="E36" s="499"/>
      <c r="F36" s="586">
        <f t="shared" si="1"/>
        <v>0</v>
      </c>
      <c r="G36" s="1424">
        <f t="shared" si="1"/>
        <v>0</v>
      </c>
      <c r="H36" s="498">
        <f>SUM($F$9:F36)/A36</f>
        <v>77.160714285714263</v>
      </c>
      <c r="I36" s="499">
        <f>SUM($G$9:G36)/A36</f>
        <v>77.160714285714263</v>
      </c>
      <c r="J36" s="443">
        <f t="shared" si="2"/>
        <v>5293.4000000000005</v>
      </c>
      <c r="K36" s="459">
        <f t="shared" si="3"/>
        <v>5293.4000000000005</v>
      </c>
      <c r="L36" s="495">
        <f t="shared" si="4"/>
        <v>68.602267993520044</v>
      </c>
      <c r="M36" s="464">
        <f t="shared" si="5"/>
        <v>68.602267993520044</v>
      </c>
      <c r="N36" s="366"/>
      <c r="O36" s="586"/>
      <c r="P36" s="586">
        <f t="shared" si="6"/>
        <v>0</v>
      </c>
      <c r="Q36" s="586"/>
      <c r="R36" s="586">
        <f t="shared" si="7"/>
        <v>0</v>
      </c>
      <c r="S36" s="647">
        <f t="shared" si="8"/>
        <v>45.242735042735049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334</v>
      </c>
      <c r="D37" s="502">
        <f t="shared" si="9"/>
        <v>0</v>
      </c>
      <c r="E37" s="499"/>
      <c r="F37" s="586">
        <f t="shared" si="1"/>
        <v>0</v>
      </c>
      <c r="G37" s="1424">
        <f t="shared" si="1"/>
        <v>0</v>
      </c>
      <c r="H37" s="498">
        <f>SUM($F$9:F37)/A37</f>
        <v>74.499999999999986</v>
      </c>
      <c r="I37" s="499">
        <f>SUM($G$9:G37)/A37</f>
        <v>74.499999999999986</v>
      </c>
      <c r="J37" s="443">
        <f t="shared" si="2"/>
        <v>5293.4000000000005</v>
      </c>
      <c r="K37" s="459">
        <f t="shared" si="3"/>
        <v>5293.4000000000005</v>
      </c>
      <c r="L37" s="495">
        <f t="shared" si="4"/>
        <v>71.052348993288618</v>
      </c>
      <c r="M37" s="464">
        <f t="shared" si="5"/>
        <v>71.052348993288618</v>
      </c>
      <c r="N37" s="366"/>
      <c r="O37" s="586"/>
      <c r="P37" s="586">
        <f t="shared" si="6"/>
        <v>0</v>
      </c>
      <c r="Q37" s="586"/>
      <c r="R37" s="586">
        <f t="shared" si="7"/>
        <v>0</v>
      </c>
      <c r="S37" s="647">
        <f t="shared" si="8"/>
        <v>45.242735042735049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334</v>
      </c>
      <c r="D38" s="502">
        <f t="shared" si="9"/>
        <v>0</v>
      </c>
      <c r="E38" s="499"/>
      <c r="F38" s="586">
        <f t="shared" si="1"/>
        <v>0</v>
      </c>
      <c r="G38" s="1424">
        <f t="shared" si="1"/>
        <v>0</v>
      </c>
      <c r="H38" s="504">
        <f>SUM($F$9:F38)/A38</f>
        <v>72.016666666666652</v>
      </c>
      <c r="I38" s="499">
        <f>SUM($G$9:G38)/A38</f>
        <v>72.016666666666652</v>
      </c>
      <c r="J38" s="504">
        <f t="shared" si="2"/>
        <v>5293.4000000000005</v>
      </c>
      <c r="K38" s="459">
        <f t="shared" si="3"/>
        <v>5293.4000000000005</v>
      </c>
      <c r="L38" s="505">
        <f t="shared" si="4"/>
        <v>73.502429993057191</v>
      </c>
      <c r="M38" s="464">
        <f t="shared" si="5"/>
        <v>73.502429993057191</v>
      </c>
      <c r="N38" s="366"/>
      <c r="O38" s="586"/>
      <c r="P38" s="586">
        <f t="shared" si="6"/>
        <v>0</v>
      </c>
      <c r="Q38" s="586"/>
      <c r="R38" s="586">
        <f t="shared" si="7"/>
        <v>0</v>
      </c>
      <c r="S38" s="647">
        <f t="shared" si="8"/>
        <v>45.242735042735049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334</v>
      </c>
      <c r="D39" s="502">
        <f t="shared" si="9"/>
        <v>0</v>
      </c>
      <c r="E39" s="499"/>
      <c r="F39" s="586">
        <f t="shared" si="1"/>
        <v>0</v>
      </c>
      <c r="G39" s="1424">
        <f t="shared" si="1"/>
        <v>0</v>
      </c>
      <c r="H39" s="498">
        <f>SUM($F$9:F39)/A39</f>
        <v>69.693548387096754</v>
      </c>
      <c r="I39" s="499">
        <f>SUM($G$9:G39)/A39</f>
        <v>69.693548387096754</v>
      </c>
      <c r="J39" s="443">
        <f t="shared" si="2"/>
        <v>5293.4000000000005</v>
      </c>
      <c r="K39" s="459">
        <f t="shared" si="3"/>
        <v>5293.4000000000005</v>
      </c>
      <c r="L39" s="495">
        <f t="shared" si="4"/>
        <v>75.952510992825765</v>
      </c>
      <c r="M39" s="464">
        <f t="shared" si="5"/>
        <v>75.952510992825765</v>
      </c>
      <c r="N39" s="366"/>
      <c r="O39" s="586"/>
      <c r="P39" s="586">
        <f t="shared" si="6"/>
        <v>0</v>
      </c>
      <c r="Q39" s="586"/>
      <c r="R39" s="586">
        <f t="shared" si="7"/>
        <v>0</v>
      </c>
      <c r="S39" s="647">
        <f t="shared" si="8"/>
        <v>45.242735042735049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1000</v>
      </c>
      <c r="E40" s="388">
        <f>SUM(E9:E39)</f>
        <v>1000</v>
      </c>
      <c r="F40" s="659">
        <f>SUM(F9:F39)</f>
        <v>2160.4999999999995</v>
      </c>
      <c r="G40" s="663">
        <f>SUM(G9:G39)</f>
        <v>2160.4999999999995</v>
      </c>
      <c r="H40" s="389"/>
      <c r="I40" s="496"/>
      <c r="J40" s="641">
        <f>J39</f>
        <v>5293.4000000000005</v>
      </c>
      <c r="K40" s="642">
        <f>K39</f>
        <v>5293.4000000000005</v>
      </c>
      <c r="L40" s="464"/>
      <c r="M40" s="464"/>
      <c r="N40" s="507"/>
      <c r="O40" s="641">
        <f>SUM(O9:O39)</f>
        <v>1391.9000000000003</v>
      </c>
      <c r="P40" s="928">
        <f>SUM(P9:P39)</f>
        <v>1391.9000000000003</v>
      </c>
      <c r="Q40" s="641">
        <f>SUM(Q9:Q39)</f>
        <v>768.60000000000014</v>
      </c>
      <c r="R40" s="928">
        <f>SUM(R9:R39)</f>
        <v>768.60000000000014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7453.9</v>
      </c>
      <c r="E41" s="388">
        <f>E8+E40</f>
        <v>7453.9</v>
      </c>
      <c r="F41" s="389">
        <f>F40</f>
        <v>2160.4999999999995</v>
      </c>
      <c r="G41" s="496">
        <f>G40</f>
        <v>2160.4999999999995</v>
      </c>
      <c r="H41" s="389"/>
      <c r="I41" s="496"/>
      <c r="J41" s="641">
        <f>D41-F41</f>
        <v>5293.4</v>
      </c>
      <c r="K41" s="641">
        <f>E41-G41</f>
        <v>5293.4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1873" priority="271" operator="lessThan">
      <formula>15</formula>
    </cfRule>
    <cfRule type="cellIs" dxfId="11872" priority="272" operator="greaterThan">
      <formula>20</formula>
    </cfRule>
    <cfRule type="cellIs" dxfId="11871" priority="273" operator="between">
      <formula>15</formula>
      <formula>20</formula>
    </cfRule>
    <cfRule type="cellIs" dxfId="11870" priority="274" operator="between">
      <formula>15</formula>
      <formula>20</formula>
    </cfRule>
    <cfRule type="cellIs" dxfId="11869" priority="275" operator="lessThan">
      <formula>15</formula>
    </cfRule>
    <cfRule type="cellIs" dxfId="11868" priority="276" operator="greaterThan">
      <formula>20</formula>
    </cfRule>
    <cfRule type="cellIs" dxfId="11867" priority="277" operator="between">
      <formula>15</formula>
      <formula>21</formula>
    </cfRule>
    <cfRule type="cellIs" dxfId="11866" priority="278" operator="lessThan">
      <formula>15</formula>
    </cfRule>
    <cfRule type="cellIs" dxfId="11865" priority="27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AC58"/>
  <sheetViews>
    <sheetView workbookViewId="0">
      <pane ySplit="8" topLeftCell="A15" activePane="bottomLeft" state="frozen"/>
      <selection pane="bottomLeft" activeCell="O9" sqref="O9:R18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6.42578125" style="143" customWidth="1"/>
    <col min="4" max="5" width="10.140625" style="142" customWidth="1"/>
    <col min="6" max="6" width="11.85546875" style="142" customWidth="1"/>
    <col min="7" max="7" width="10.140625" style="142" customWidth="1"/>
    <col min="8" max="9" width="9.28515625" style="142" customWidth="1"/>
    <col min="10" max="11" width="10.7109375" style="142" customWidth="1"/>
    <col min="12" max="13" width="12" style="143" customWidth="1"/>
    <col min="14" max="14" width="6" style="143" customWidth="1"/>
    <col min="15" max="18" width="10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">
        <v>190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273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621"/>
      <c r="U6" s="621"/>
      <c r="V6" s="621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/>
      <c r="G8" s="388">
        <f>G40</f>
        <v>0</v>
      </c>
      <c r="H8" s="387"/>
      <c r="I8" s="388"/>
      <c r="J8" s="634">
        <f>K8-K8*N8</f>
        <v>0</v>
      </c>
      <c r="K8" s="672">
        <v>0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37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104</v>
      </c>
      <c r="D9" s="502">
        <f>E9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>J9/H9</f>
        <v>#DIV/0!</v>
      </c>
      <c r="M9" s="464" t="e">
        <f>K9/I9</f>
        <v>#DIV/0!</v>
      </c>
      <c r="N9" s="366"/>
      <c r="O9" s="586"/>
      <c r="P9" s="586">
        <f>O9</f>
        <v>0</v>
      </c>
      <c r="Q9" s="586"/>
      <c r="R9" s="586">
        <f>Q9</f>
        <v>0</v>
      </c>
      <c r="S9" s="647">
        <f>J9/$S$8</f>
        <v>0</v>
      </c>
      <c r="T9" s="305"/>
      <c r="U9" s="305"/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502">
        <f t="shared" ref="D10:D39" si="0">E10</f>
        <v>0</v>
      </c>
      <c r="E10" s="499"/>
      <c r="F10" s="586">
        <f t="shared" ref="F10:G39" si="1">O10+Q10</f>
        <v>0</v>
      </c>
      <c r="G10" s="1424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ref="J10:J39" si="2">J9+D10-F10</f>
        <v>0</v>
      </c>
      <c r="K10" s="459">
        <f t="shared" ref="K10:K39" si="3">K9+E10-G10</f>
        <v>0</v>
      </c>
      <c r="L10" s="495" t="e">
        <f t="shared" ref="L10:L39" si="4">J10/H10</f>
        <v>#DIV/0!</v>
      </c>
      <c r="M10" s="464" t="e">
        <f t="shared" ref="M10:M39" si="5">K10/I10</f>
        <v>#DIV/0!</v>
      </c>
      <c r="N10" s="366"/>
      <c r="O10" s="586"/>
      <c r="P10" s="586">
        <f t="shared" ref="P10:P18" si="6">O10</f>
        <v>0</v>
      </c>
      <c r="Q10" s="586"/>
      <c r="R10" s="586">
        <f t="shared" ref="R10:R18" si="7">Q10</f>
        <v>0</v>
      </c>
      <c r="S10" s="647">
        <f t="shared" ref="S10:S39" si="8">J10/$S$8</f>
        <v>0</v>
      </c>
      <c r="T10" s="305"/>
      <c r="U10" s="305"/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502">
        <f t="shared" si="0"/>
        <v>0</v>
      </c>
      <c r="E11" s="499"/>
      <c r="F11" s="586">
        <f t="shared" si="1"/>
        <v>0</v>
      </c>
      <c r="G11" s="1424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2"/>
        <v>0</v>
      </c>
      <c r="K11" s="459">
        <f t="shared" si="3"/>
        <v>0</v>
      </c>
      <c r="L11" s="495" t="e">
        <f t="shared" si="4"/>
        <v>#DIV/0!</v>
      </c>
      <c r="M11" s="464" t="e">
        <f t="shared" si="5"/>
        <v>#DIV/0!</v>
      </c>
      <c r="N11" s="366"/>
      <c r="O11" s="586"/>
      <c r="P11" s="586">
        <f t="shared" si="6"/>
        <v>0</v>
      </c>
      <c r="Q11" s="586"/>
      <c r="R11" s="586">
        <f t="shared" si="7"/>
        <v>0</v>
      </c>
      <c r="S11" s="647">
        <f t="shared" si="8"/>
        <v>0</v>
      </c>
      <c r="T11" s="305"/>
      <c r="U11" s="305"/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346</v>
      </c>
      <c r="D12" s="502">
        <f t="shared" si="0"/>
        <v>0</v>
      </c>
      <c r="E12" s="499"/>
      <c r="F12" s="586">
        <f t="shared" si="1"/>
        <v>0</v>
      </c>
      <c r="G12" s="1424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si="2"/>
        <v>0</v>
      </c>
      <c r="K12" s="459">
        <f t="shared" si="3"/>
        <v>0</v>
      </c>
      <c r="L12" s="495" t="e">
        <f t="shared" si="4"/>
        <v>#DIV/0!</v>
      </c>
      <c r="M12" s="464" t="e">
        <f t="shared" si="5"/>
        <v>#DIV/0!</v>
      </c>
      <c r="N12" s="366"/>
      <c r="O12" s="586"/>
      <c r="P12" s="586">
        <f t="shared" si="6"/>
        <v>0</v>
      </c>
      <c r="Q12" s="586"/>
      <c r="R12" s="586">
        <f t="shared" si="7"/>
        <v>0</v>
      </c>
      <c r="S12" s="647">
        <f t="shared" si="8"/>
        <v>0</v>
      </c>
      <c r="T12" s="305"/>
      <c r="U12" s="305"/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502">
        <f t="shared" si="0"/>
        <v>0</v>
      </c>
      <c r="E13" s="499"/>
      <c r="F13" s="586">
        <f t="shared" si="1"/>
        <v>0</v>
      </c>
      <c r="G13" s="1424">
        <f t="shared" si="1"/>
        <v>0</v>
      </c>
      <c r="H13" s="504">
        <f>SUM($F$9:F13)/A13</f>
        <v>0</v>
      </c>
      <c r="I13" s="499">
        <f>SUM($G$9:G13)/A13</f>
        <v>0</v>
      </c>
      <c r="J13" s="504">
        <f t="shared" si="2"/>
        <v>0</v>
      </c>
      <c r="K13" s="459">
        <f t="shared" si="3"/>
        <v>0</v>
      </c>
      <c r="L13" s="505" t="e">
        <f t="shared" si="4"/>
        <v>#DIV/0!</v>
      </c>
      <c r="M13" s="464" t="e">
        <f t="shared" si="5"/>
        <v>#DIV/0!</v>
      </c>
      <c r="N13" s="366"/>
      <c r="O13" s="586"/>
      <c r="P13" s="586">
        <f t="shared" si="6"/>
        <v>0</v>
      </c>
      <c r="Q13" s="586"/>
      <c r="R13" s="586">
        <f t="shared" si="7"/>
        <v>0</v>
      </c>
      <c r="S13" s="647">
        <f t="shared" si="8"/>
        <v>0</v>
      </c>
      <c r="T13" s="305"/>
      <c r="U13" s="305"/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502">
        <f t="shared" si="0"/>
        <v>0</v>
      </c>
      <c r="E14" s="499"/>
      <c r="F14" s="586">
        <f t="shared" si="1"/>
        <v>0</v>
      </c>
      <c r="G14" s="1424">
        <f t="shared" si="1"/>
        <v>0</v>
      </c>
      <c r="H14" s="498">
        <f>SUM($F$9:F14)/A14</f>
        <v>0</v>
      </c>
      <c r="I14" s="499">
        <f>SUM($G$9:G14)/A14</f>
        <v>0</v>
      </c>
      <c r="J14" s="443">
        <f t="shared" si="2"/>
        <v>0</v>
      </c>
      <c r="K14" s="459">
        <f t="shared" si="3"/>
        <v>0</v>
      </c>
      <c r="L14" s="495" t="e">
        <f t="shared" si="4"/>
        <v>#DIV/0!</v>
      </c>
      <c r="M14" s="464" t="e">
        <f t="shared" si="5"/>
        <v>#DIV/0!</v>
      </c>
      <c r="N14" s="366"/>
      <c r="O14" s="586"/>
      <c r="P14" s="586">
        <f t="shared" si="6"/>
        <v>0</v>
      </c>
      <c r="Q14" s="586"/>
      <c r="R14" s="586">
        <f t="shared" si="7"/>
        <v>0</v>
      </c>
      <c r="S14" s="647">
        <f t="shared" si="8"/>
        <v>0</v>
      </c>
      <c r="T14" s="305"/>
      <c r="U14" s="305"/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502">
        <f t="shared" si="0"/>
        <v>0</v>
      </c>
      <c r="E15" s="499"/>
      <c r="F15" s="586">
        <f t="shared" si="1"/>
        <v>0</v>
      </c>
      <c r="G15" s="1424">
        <f t="shared" si="1"/>
        <v>0</v>
      </c>
      <c r="H15" s="498">
        <f>SUM($F$9:F15)/A15</f>
        <v>0</v>
      </c>
      <c r="I15" s="499">
        <f>SUM($G$9:G15)/A15</f>
        <v>0</v>
      </c>
      <c r="J15" s="443">
        <f t="shared" si="2"/>
        <v>0</v>
      </c>
      <c r="K15" s="459">
        <f t="shared" si="3"/>
        <v>0</v>
      </c>
      <c r="L15" s="495" t="e">
        <f t="shared" si="4"/>
        <v>#DIV/0!</v>
      </c>
      <c r="M15" s="464" t="e">
        <f t="shared" si="5"/>
        <v>#DIV/0!</v>
      </c>
      <c r="N15" s="366"/>
      <c r="O15" s="586"/>
      <c r="P15" s="586">
        <f t="shared" si="6"/>
        <v>0</v>
      </c>
      <c r="Q15" s="586"/>
      <c r="R15" s="586">
        <f t="shared" si="7"/>
        <v>0</v>
      </c>
      <c r="S15" s="647">
        <f t="shared" si="8"/>
        <v>0</v>
      </c>
      <c r="T15" s="305"/>
      <c r="U15" s="305"/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502">
        <f t="shared" si="0"/>
        <v>0</v>
      </c>
      <c r="E16" s="499"/>
      <c r="F16" s="586">
        <f t="shared" si="1"/>
        <v>0</v>
      </c>
      <c r="G16" s="1424">
        <f t="shared" si="1"/>
        <v>0</v>
      </c>
      <c r="H16" s="498">
        <f>SUM($F$9:F16)/A16</f>
        <v>0</v>
      </c>
      <c r="I16" s="499">
        <f>SUM($G$9:G16)/A16</f>
        <v>0</v>
      </c>
      <c r="J16" s="443">
        <f t="shared" si="2"/>
        <v>0</v>
      </c>
      <c r="K16" s="459">
        <f t="shared" si="3"/>
        <v>0</v>
      </c>
      <c r="L16" s="495" t="e">
        <f t="shared" si="4"/>
        <v>#DIV/0!</v>
      </c>
      <c r="M16" s="464" t="e">
        <f t="shared" si="5"/>
        <v>#DIV/0!</v>
      </c>
      <c r="N16" s="366"/>
      <c r="O16" s="586"/>
      <c r="P16" s="586">
        <f t="shared" si="6"/>
        <v>0</v>
      </c>
      <c r="Q16" s="586"/>
      <c r="R16" s="586">
        <f t="shared" si="7"/>
        <v>0</v>
      </c>
      <c r="S16" s="647">
        <f t="shared" si="8"/>
        <v>0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502">
        <f t="shared" si="0"/>
        <v>0</v>
      </c>
      <c r="E17" s="499"/>
      <c r="F17" s="586">
        <f t="shared" si="1"/>
        <v>0</v>
      </c>
      <c r="G17" s="1424">
        <f t="shared" si="1"/>
        <v>0</v>
      </c>
      <c r="H17" s="498">
        <f>SUM($F$9:F17)/A17</f>
        <v>0</v>
      </c>
      <c r="I17" s="499">
        <f>SUM($G$9:G17)/A17</f>
        <v>0</v>
      </c>
      <c r="J17" s="443">
        <f t="shared" si="2"/>
        <v>0</v>
      </c>
      <c r="K17" s="459">
        <f t="shared" si="3"/>
        <v>0</v>
      </c>
      <c r="L17" s="495" t="e">
        <f t="shared" si="4"/>
        <v>#DIV/0!</v>
      </c>
      <c r="M17" s="464" t="e">
        <f t="shared" si="5"/>
        <v>#DIV/0!</v>
      </c>
      <c r="N17" s="366"/>
      <c r="O17" s="586"/>
      <c r="P17" s="586">
        <f t="shared" si="6"/>
        <v>0</v>
      </c>
      <c r="Q17" s="586"/>
      <c r="R17" s="586">
        <f t="shared" si="7"/>
        <v>0</v>
      </c>
      <c r="S17" s="647">
        <f t="shared" si="8"/>
        <v>0</v>
      </c>
      <c r="T17" s="305"/>
      <c r="U17" s="305"/>
    </row>
    <row r="18" spans="1:21" s="367" customFormat="1" ht="12" customHeight="1">
      <c r="A18" s="504">
        <v>10</v>
      </c>
      <c r="B18" s="365">
        <f>'FRIT HGE91-FHG'!B18</f>
        <v>46244</v>
      </c>
      <c r="C18" s="331" t="s">
        <v>104</v>
      </c>
      <c r="D18" s="502">
        <f t="shared" si="0"/>
        <v>0</v>
      </c>
      <c r="E18" s="499"/>
      <c r="F18" s="586">
        <f t="shared" si="1"/>
        <v>0</v>
      </c>
      <c r="G18" s="1424">
        <f t="shared" si="1"/>
        <v>0</v>
      </c>
      <c r="H18" s="504">
        <f>SUM($F$9:F18)/A18</f>
        <v>0</v>
      </c>
      <c r="I18" s="499">
        <f>SUM($G$9:G18)/A18</f>
        <v>0</v>
      </c>
      <c r="J18" s="504">
        <f t="shared" si="2"/>
        <v>0</v>
      </c>
      <c r="K18" s="459">
        <f t="shared" si="3"/>
        <v>0</v>
      </c>
      <c r="L18" s="505" t="e">
        <f t="shared" si="4"/>
        <v>#DIV/0!</v>
      </c>
      <c r="M18" s="464" t="e">
        <f t="shared" si="5"/>
        <v>#DIV/0!</v>
      </c>
      <c r="N18" s="366"/>
      <c r="O18" s="586"/>
      <c r="P18" s="586">
        <f t="shared" si="6"/>
        <v>0</v>
      </c>
      <c r="Q18" s="586"/>
      <c r="R18" s="586">
        <f t="shared" si="7"/>
        <v>0</v>
      </c>
      <c r="S18" s="647">
        <f t="shared" si="8"/>
        <v>0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31" t="s">
        <v>104</v>
      </c>
      <c r="D19" s="502">
        <f t="shared" si="0"/>
        <v>0</v>
      </c>
      <c r="E19" s="499"/>
      <c r="F19" s="586">
        <f t="shared" si="1"/>
        <v>0</v>
      </c>
      <c r="G19" s="1424">
        <f t="shared" si="1"/>
        <v>0</v>
      </c>
      <c r="H19" s="498">
        <f>SUM($F$9:F19)/A19</f>
        <v>0</v>
      </c>
      <c r="I19" s="499">
        <f>SUM($G$9:G19)/A19</f>
        <v>0</v>
      </c>
      <c r="J19" s="443">
        <f t="shared" si="2"/>
        <v>0</v>
      </c>
      <c r="K19" s="459">
        <f t="shared" si="3"/>
        <v>0</v>
      </c>
      <c r="L19" s="495" t="e">
        <f t="shared" si="4"/>
        <v>#DIV/0!</v>
      </c>
      <c r="M19" s="464" t="e">
        <f t="shared" si="5"/>
        <v>#DIV/0!</v>
      </c>
      <c r="N19" s="366"/>
      <c r="O19" s="586"/>
      <c r="P19" s="586">
        <f t="shared" ref="P19:P39" si="9">O19</f>
        <v>0</v>
      </c>
      <c r="Q19" s="586"/>
      <c r="R19" s="586">
        <f t="shared" ref="R19:R39" si="10">Q19</f>
        <v>0</v>
      </c>
      <c r="S19" s="647">
        <f t="shared" si="8"/>
        <v>0</v>
      </c>
      <c r="T19" s="305"/>
      <c r="U19" s="305"/>
    </row>
    <row r="20" spans="1:21" s="367" customFormat="1" ht="12" customHeight="1">
      <c r="A20" s="364">
        <v>12</v>
      </c>
      <c r="B20" s="365">
        <f>'FRIT HGE91-FHG'!B20</f>
        <v>46246</v>
      </c>
      <c r="C20" s="331" t="s">
        <v>104</v>
      </c>
      <c r="D20" s="502">
        <f t="shared" si="0"/>
        <v>0</v>
      </c>
      <c r="E20" s="499"/>
      <c r="F20" s="586">
        <f t="shared" si="1"/>
        <v>0</v>
      </c>
      <c r="G20" s="1424">
        <f t="shared" si="1"/>
        <v>0</v>
      </c>
      <c r="H20" s="498">
        <f>SUM($F$9:F20)/A20</f>
        <v>0</v>
      </c>
      <c r="I20" s="499">
        <f>SUM($G$9:G20)/A20</f>
        <v>0</v>
      </c>
      <c r="J20" s="443">
        <f t="shared" si="2"/>
        <v>0</v>
      </c>
      <c r="K20" s="459">
        <f t="shared" si="3"/>
        <v>0</v>
      </c>
      <c r="L20" s="495" t="e">
        <f t="shared" si="4"/>
        <v>#DIV/0!</v>
      </c>
      <c r="M20" s="464" t="e">
        <f t="shared" si="5"/>
        <v>#DIV/0!</v>
      </c>
      <c r="N20" s="366"/>
      <c r="O20" s="586"/>
      <c r="P20" s="586">
        <f t="shared" si="9"/>
        <v>0</v>
      </c>
      <c r="Q20" s="586"/>
      <c r="R20" s="586">
        <f t="shared" si="10"/>
        <v>0</v>
      </c>
      <c r="S20" s="647">
        <f t="shared" si="8"/>
        <v>0</v>
      </c>
    </row>
    <row r="21" spans="1:21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502">
        <f t="shared" si="0"/>
        <v>0</v>
      </c>
      <c r="E21" s="499"/>
      <c r="F21" s="586">
        <f t="shared" si="1"/>
        <v>0</v>
      </c>
      <c r="G21" s="1424">
        <f t="shared" si="1"/>
        <v>0</v>
      </c>
      <c r="H21" s="498">
        <f>SUM($F$9:F21)/A21</f>
        <v>0</v>
      </c>
      <c r="I21" s="499">
        <f>SUM($G$9:G21)/A21</f>
        <v>0</v>
      </c>
      <c r="J21" s="443">
        <f t="shared" si="2"/>
        <v>0</v>
      </c>
      <c r="K21" s="459">
        <f t="shared" si="3"/>
        <v>0</v>
      </c>
      <c r="L21" s="495" t="e">
        <f t="shared" si="4"/>
        <v>#DIV/0!</v>
      </c>
      <c r="M21" s="464" t="e">
        <f t="shared" si="5"/>
        <v>#DIV/0!</v>
      </c>
      <c r="N21" s="366"/>
      <c r="O21" s="586"/>
      <c r="P21" s="586">
        <f t="shared" si="9"/>
        <v>0</v>
      </c>
      <c r="Q21" s="586"/>
      <c r="R21" s="586">
        <f t="shared" si="10"/>
        <v>0</v>
      </c>
      <c r="S21" s="647">
        <f t="shared" si="8"/>
        <v>0</v>
      </c>
    </row>
    <row r="22" spans="1:21" s="367" customFormat="1" ht="12" customHeight="1">
      <c r="A22" s="364">
        <v>14</v>
      </c>
      <c r="B22" s="365">
        <f>'FRIT HGE91-FHG'!B22</f>
        <v>46248</v>
      </c>
      <c r="C22" s="331" t="s">
        <v>104</v>
      </c>
      <c r="D22" s="502">
        <f t="shared" si="0"/>
        <v>0</v>
      </c>
      <c r="E22" s="499"/>
      <c r="F22" s="586">
        <f t="shared" si="1"/>
        <v>0</v>
      </c>
      <c r="G22" s="1424">
        <f t="shared" si="1"/>
        <v>0</v>
      </c>
      <c r="H22" s="498">
        <f>SUM($F$9:F22)/A22</f>
        <v>0</v>
      </c>
      <c r="I22" s="499">
        <f>SUM($G$9:G22)/A22</f>
        <v>0</v>
      </c>
      <c r="J22" s="443">
        <f t="shared" si="2"/>
        <v>0</v>
      </c>
      <c r="K22" s="459">
        <f t="shared" si="3"/>
        <v>0</v>
      </c>
      <c r="L22" s="495" t="e">
        <f t="shared" si="4"/>
        <v>#DIV/0!</v>
      </c>
      <c r="M22" s="464" t="e">
        <f t="shared" si="5"/>
        <v>#DIV/0!</v>
      </c>
      <c r="N22" s="366"/>
      <c r="O22" s="586"/>
      <c r="P22" s="586">
        <f t="shared" si="9"/>
        <v>0</v>
      </c>
      <c r="Q22" s="586"/>
      <c r="R22" s="586">
        <f t="shared" si="10"/>
        <v>0</v>
      </c>
      <c r="S22" s="647">
        <f t="shared" si="8"/>
        <v>0</v>
      </c>
    </row>
    <row r="23" spans="1:21" s="367" customFormat="1" ht="12" customHeight="1">
      <c r="A23" s="504">
        <v>15</v>
      </c>
      <c r="B23" s="365">
        <f>'FRIT HGE91-FHG'!B23</f>
        <v>46249</v>
      </c>
      <c r="C23" s="331" t="s">
        <v>104</v>
      </c>
      <c r="D23" s="502">
        <f t="shared" si="0"/>
        <v>0</v>
      </c>
      <c r="E23" s="499"/>
      <c r="F23" s="586">
        <f t="shared" si="1"/>
        <v>0</v>
      </c>
      <c r="G23" s="1424">
        <f t="shared" si="1"/>
        <v>0</v>
      </c>
      <c r="H23" s="504">
        <f>SUM($F$9:F23)/A23</f>
        <v>0</v>
      </c>
      <c r="I23" s="499">
        <f>SUM($G$9:G23)/A23</f>
        <v>0</v>
      </c>
      <c r="J23" s="504">
        <f t="shared" si="2"/>
        <v>0</v>
      </c>
      <c r="K23" s="459">
        <f t="shared" si="3"/>
        <v>0</v>
      </c>
      <c r="L23" s="505" t="e">
        <f t="shared" si="4"/>
        <v>#DIV/0!</v>
      </c>
      <c r="M23" s="464" t="e">
        <f t="shared" si="5"/>
        <v>#DIV/0!</v>
      </c>
      <c r="N23" s="366"/>
      <c r="O23" s="586"/>
      <c r="P23" s="586">
        <f t="shared" si="9"/>
        <v>0</v>
      </c>
      <c r="Q23" s="586"/>
      <c r="R23" s="586">
        <f t="shared" si="10"/>
        <v>0</v>
      </c>
      <c r="S23" s="647">
        <f t="shared" si="8"/>
        <v>0</v>
      </c>
    </row>
    <row r="24" spans="1:21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502">
        <f t="shared" si="0"/>
        <v>0</v>
      </c>
      <c r="E24" s="499"/>
      <c r="F24" s="586">
        <f t="shared" si="1"/>
        <v>0</v>
      </c>
      <c r="G24" s="1424">
        <f t="shared" si="1"/>
        <v>0</v>
      </c>
      <c r="H24" s="498">
        <f>SUM($F$9:F24)/A24</f>
        <v>0</v>
      </c>
      <c r="I24" s="499">
        <f>SUM($G$9:G24)/A24</f>
        <v>0</v>
      </c>
      <c r="J24" s="443">
        <f t="shared" si="2"/>
        <v>0</v>
      </c>
      <c r="K24" s="459">
        <f t="shared" si="3"/>
        <v>0</v>
      </c>
      <c r="L24" s="495" t="e">
        <f t="shared" si="4"/>
        <v>#DIV/0!</v>
      </c>
      <c r="M24" s="464" t="e">
        <f t="shared" si="5"/>
        <v>#DIV/0!</v>
      </c>
      <c r="N24" s="366"/>
      <c r="O24" s="586"/>
      <c r="P24" s="586">
        <f t="shared" si="9"/>
        <v>0</v>
      </c>
      <c r="Q24" s="586"/>
      <c r="R24" s="586">
        <f t="shared" si="10"/>
        <v>0</v>
      </c>
      <c r="S24" s="647">
        <f t="shared" si="8"/>
        <v>0</v>
      </c>
    </row>
    <row r="25" spans="1:21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502">
        <f t="shared" si="0"/>
        <v>0</v>
      </c>
      <c r="E25" s="499"/>
      <c r="F25" s="586">
        <f t="shared" si="1"/>
        <v>0</v>
      </c>
      <c r="G25" s="1424">
        <f t="shared" si="1"/>
        <v>0</v>
      </c>
      <c r="H25" s="498">
        <f>SUM($F$9:F25)/A25</f>
        <v>0</v>
      </c>
      <c r="I25" s="499">
        <f>SUM($G$9:G25)/A25</f>
        <v>0</v>
      </c>
      <c r="J25" s="443">
        <f t="shared" si="2"/>
        <v>0</v>
      </c>
      <c r="K25" s="459">
        <f t="shared" si="3"/>
        <v>0</v>
      </c>
      <c r="L25" s="495" t="e">
        <f t="shared" si="4"/>
        <v>#DIV/0!</v>
      </c>
      <c r="M25" s="464" t="e">
        <f t="shared" si="5"/>
        <v>#DIV/0!</v>
      </c>
      <c r="N25" s="366"/>
      <c r="O25" s="586"/>
      <c r="P25" s="586">
        <f t="shared" si="9"/>
        <v>0</v>
      </c>
      <c r="Q25" s="586"/>
      <c r="R25" s="586">
        <f t="shared" si="10"/>
        <v>0</v>
      </c>
      <c r="S25" s="647">
        <f t="shared" si="8"/>
        <v>0</v>
      </c>
    </row>
    <row r="26" spans="1:21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502">
        <f t="shared" si="0"/>
        <v>0</v>
      </c>
      <c r="E26" s="499"/>
      <c r="F26" s="586">
        <f t="shared" si="1"/>
        <v>0</v>
      </c>
      <c r="G26" s="1424">
        <f t="shared" si="1"/>
        <v>0</v>
      </c>
      <c r="H26" s="498">
        <f>SUM($F$9:F26)/A26</f>
        <v>0</v>
      </c>
      <c r="I26" s="499">
        <f>SUM($G$9:G26)/A26</f>
        <v>0</v>
      </c>
      <c r="J26" s="443">
        <f t="shared" si="2"/>
        <v>0</v>
      </c>
      <c r="K26" s="459">
        <f t="shared" si="3"/>
        <v>0</v>
      </c>
      <c r="L26" s="495" t="e">
        <f t="shared" si="4"/>
        <v>#DIV/0!</v>
      </c>
      <c r="M26" s="464" t="e">
        <f t="shared" si="5"/>
        <v>#DIV/0!</v>
      </c>
      <c r="N26" s="366"/>
      <c r="O26" s="586"/>
      <c r="P26" s="586">
        <f t="shared" si="9"/>
        <v>0</v>
      </c>
      <c r="Q26" s="586"/>
      <c r="R26" s="586">
        <f t="shared" si="10"/>
        <v>0</v>
      </c>
      <c r="S26" s="647">
        <f t="shared" si="8"/>
        <v>0</v>
      </c>
    </row>
    <row r="27" spans="1:21" s="367" customFormat="1" ht="12" customHeight="1">
      <c r="A27" s="364">
        <v>19</v>
      </c>
      <c r="B27" s="365">
        <f>'FRIT HGE91-FHG'!B27</f>
        <v>46253</v>
      </c>
      <c r="C27" s="331" t="s">
        <v>346</v>
      </c>
      <c r="D27" s="502">
        <f t="shared" si="0"/>
        <v>0</v>
      </c>
      <c r="E27" s="499"/>
      <c r="F27" s="586">
        <f t="shared" si="1"/>
        <v>0</v>
      </c>
      <c r="G27" s="1424">
        <f t="shared" si="1"/>
        <v>0</v>
      </c>
      <c r="H27" s="498">
        <f>SUM($F$9:F27)/A27</f>
        <v>0</v>
      </c>
      <c r="I27" s="499">
        <f>SUM($G$9:G27)/A27</f>
        <v>0</v>
      </c>
      <c r="J27" s="443">
        <f t="shared" si="2"/>
        <v>0</v>
      </c>
      <c r="K27" s="459">
        <f t="shared" si="3"/>
        <v>0</v>
      </c>
      <c r="L27" s="495" t="e">
        <f t="shared" si="4"/>
        <v>#DIV/0!</v>
      </c>
      <c r="M27" s="464" t="e">
        <f t="shared" si="5"/>
        <v>#DIV/0!</v>
      </c>
      <c r="N27" s="366"/>
      <c r="O27" s="586"/>
      <c r="P27" s="586">
        <f t="shared" si="9"/>
        <v>0</v>
      </c>
      <c r="Q27" s="586"/>
      <c r="R27" s="586">
        <f t="shared" si="10"/>
        <v>0</v>
      </c>
      <c r="S27" s="647">
        <f t="shared" si="8"/>
        <v>0</v>
      </c>
    </row>
    <row r="28" spans="1:21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502">
        <f t="shared" si="0"/>
        <v>0</v>
      </c>
      <c r="E28" s="499"/>
      <c r="F28" s="586">
        <f t="shared" si="1"/>
        <v>0</v>
      </c>
      <c r="G28" s="1424">
        <f t="shared" si="1"/>
        <v>0</v>
      </c>
      <c r="H28" s="504">
        <f>SUM($F$9:F28)/A28</f>
        <v>0</v>
      </c>
      <c r="I28" s="499">
        <f>SUM($G$9:G28)/A28</f>
        <v>0</v>
      </c>
      <c r="J28" s="504">
        <f t="shared" si="2"/>
        <v>0</v>
      </c>
      <c r="K28" s="459">
        <f t="shared" si="3"/>
        <v>0</v>
      </c>
      <c r="L28" s="505" t="e">
        <f t="shared" si="4"/>
        <v>#DIV/0!</v>
      </c>
      <c r="M28" s="464" t="e">
        <f t="shared" si="5"/>
        <v>#DIV/0!</v>
      </c>
      <c r="N28" s="366"/>
      <c r="O28" s="586"/>
      <c r="P28" s="586">
        <f t="shared" si="9"/>
        <v>0</v>
      </c>
      <c r="Q28" s="586"/>
      <c r="R28" s="586">
        <f t="shared" si="10"/>
        <v>0</v>
      </c>
      <c r="S28" s="647">
        <f t="shared" si="8"/>
        <v>0</v>
      </c>
    </row>
    <row r="29" spans="1:21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502">
        <f t="shared" si="0"/>
        <v>0</v>
      </c>
      <c r="E29" s="499"/>
      <c r="F29" s="586">
        <f t="shared" si="1"/>
        <v>0</v>
      </c>
      <c r="G29" s="1424">
        <f t="shared" si="1"/>
        <v>0</v>
      </c>
      <c r="H29" s="498">
        <f>SUM($F$9:F29)/A29</f>
        <v>0</v>
      </c>
      <c r="I29" s="499">
        <f>SUM($G$9:G29)/A29</f>
        <v>0</v>
      </c>
      <c r="J29" s="443">
        <f t="shared" si="2"/>
        <v>0</v>
      </c>
      <c r="K29" s="459">
        <f t="shared" si="3"/>
        <v>0</v>
      </c>
      <c r="L29" s="495" t="e">
        <f t="shared" si="4"/>
        <v>#DIV/0!</v>
      </c>
      <c r="M29" s="464" t="e">
        <f t="shared" si="5"/>
        <v>#DIV/0!</v>
      </c>
      <c r="N29" s="366"/>
      <c r="O29" s="586"/>
      <c r="P29" s="586">
        <f t="shared" si="9"/>
        <v>0</v>
      </c>
      <c r="Q29" s="586"/>
      <c r="R29" s="586">
        <f t="shared" si="10"/>
        <v>0</v>
      </c>
      <c r="S29" s="647">
        <f t="shared" si="8"/>
        <v>0</v>
      </c>
    </row>
    <row r="30" spans="1:21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502">
        <f t="shared" si="0"/>
        <v>0</v>
      </c>
      <c r="E30" s="499"/>
      <c r="F30" s="586">
        <f t="shared" si="1"/>
        <v>0</v>
      </c>
      <c r="G30" s="1424">
        <f t="shared" si="1"/>
        <v>0</v>
      </c>
      <c r="H30" s="498">
        <f>SUM($F$9:F30)/A30</f>
        <v>0</v>
      </c>
      <c r="I30" s="499">
        <f>SUM($G$9:G30)/A30</f>
        <v>0</v>
      </c>
      <c r="J30" s="443">
        <f t="shared" si="2"/>
        <v>0</v>
      </c>
      <c r="K30" s="459">
        <f t="shared" si="3"/>
        <v>0</v>
      </c>
      <c r="L30" s="495" t="e">
        <f t="shared" si="4"/>
        <v>#DIV/0!</v>
      </c>
      <c r="M30" s="464" t="e">
        <f t="shared" si="5"/>
        <v>#DIV/0!</v>
      </c>
      <c r="N30" s="366"/>
      <c r="O30" s="586"/>
      <c r="P30" s="586">
        <f t="shared" si="9"/>
        <v>0</v>
      </c>
      <c r="Q30" s="586"/>
      <c r="R30" s="586">
        <f t="shared" si="10"/>
        <v>0</v>
      </c>
      <c r="S30" s="647">
        <f t="shared" si="8"/>
        <v>0</v>
      </c>
    </row>
    <row r="31" spans="1:21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502">
        <f t="shared" si="0"/>
        <v>0</v>
      </c>
      <c r="E31" s="499"/>
      <c r="F31" s="586">
        <f t="shared" si="1"/>
        <v>0</v>
      </c>
      <c r="G31" s="1424">
        <f t="shared" si="1"/>
        <v>0</v>
      </c>
      <c r="H31" s="498">
        <f>SUM($F$9:F31)/A31</f>
        <v>0</v>
      </c>
      <c r="I31" s="499">
        <f>SUM($G$9:G31)/A31</f>
        <v>0</v>
      </c>
      <c r="J31" s="443">
        <f t="shared" si="2"/>
        <v>0</v>
      </c>
      <c r="K31" s="459">
        <f t="shared" si="3"/>
        <v>0</v>
      </c>
      <c r="L31" s="495" t="e">
        <f t="shared" si="4"/>
        <v>#DIV/0!</v>
      </c>
      <c r="M31" s="464" t="e">
        <f t="shared" si="5"/>
        <v>#DIV/0!</v>
      </c>
      <c r="N31" s="366"/>
      <c r="O31" s="586"/>
      <c r="P31" s="586">
        <f t="shared" si="9"/>
        <v>0</v>
      </c>
      <c r="Q31" s="586"/>
      <c r="R31" s="586">
        <f t="shared" si="10"/>
        <v>0</v>
      </c>
      <c r="S31" s="647">
        <f t="shared" si="8"/>
        <v>0</v>
      </c>
    </row>
    <row r="32" spans="1:21" s="367" customFormat="1" ht="12" customHeight="1">
      <c r="A32" s="364">
        <v>24</v>
      </c>
      <c r="B32" s="365">
        <f>'FRIT HGE91-FHG'!B32</f>
        <v>46258</v>
      </c>
      <c r="C32" s="331" t="s">
        <v>104</v>
      </c>
      <c r="D32" s="502">
        <f t="shared" si="0"/>
        <v>0</v>
      </c>
      <c r="E32" s="499"/>
      <c r="F32" s="586">
        <f t="shared" si="1"/>
        <v>0</v>
      </c>
      <c r="G32" s="1424">
        <f t="shared" si="1"/>
        <v>0</v>
      </c>
      <c r="H32" s="498">
        <f>SUM($F$9:F32)/A32</f>
        <v>0</v>
      </c>
      <c r="I32" s="499">
        <f>SUM($G$9:G32)/A32</f>
        <v>0</v>
      </c>
      <c r="J32" s="443">
        <f t="shared" si="2"/>
        <v>0</v>
      </c>
      <c r="K32" s="459">
        <f t="shared" si="3"/>
        <v>0</v>
      </c>
      <c r="L32" s="495" t="e">
        <f t="shared" si="4"/>
        <v>#DIV/0!</v>
      </c>
      <c r="M32" s="464" t="e">
        <f t="shared" si="5"/>
        <v>#DIV/0!</v>
      </c>
      <c r="N32" s="366"/>
      <c r="O32" s="586"/>
      <c r="P32" s="586">
        <f t="shared" si="9"/>
        <v>0</v>
      </c>
      <c r="Q32" s="586"/>
      <c r="R32" s="586">
        <f t="shared" si="10"/>
        <v>0</v>
      </c>
      <c r="S32" s="647">
        <f t="shared" si="8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104</v>
      </c>
      <c r="D33" s="502">
        <f t="shared" si="0"/>
        <v>0</v>
      </c>
      <c r="E33" s="499"/>
      <c r="F33" s="586">
        <f t="shared" si="1"/>
        <v>0</v>
      </c>
      <c r="G33" s="1424">
        <f t="shared" si="1"/>
        <v>0</v>
      </c>
      <c r="H33" s="460">
        <f>SUM($F$9:F33)/A33</f>
        <v>0</v>
      </c>
      <c r="I33" s="499">
        <f>SUM($G$9:G33)/A33</f>
        <v>0</v>
      </c>
      <c r="J33" s="460">
        <f t="shared" si="2"/>
        <v>0</v>
      </c>
      <c r="K33" s="459">
        <f t="shared" si="3"/>
        <v>0</v>
      </c>
      <c r="L33" s="506" t="e">
        <f>J33/H33</f>
        <v>#DIV/0!</v>
      </c>
      <c r="M33" s="464" t="e">
        <f t="shared" si="5"/>
        <v>#DIV/0!</v>
      </c>
      <c r="N33" s="366"/>
      <c r="O33" s="586"/>
      <c r="P33" s="586">
        <f t="shared" si="9"/>
        <v>0</v>
      </c>
      <c r="Q33" s="586"/>
      <c r="R33" s="586">
        <f t="shared" si="10"/>
        <v>0</v>
      </c>
      <c r="S33" s="647">
        <f t="shared" si="8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0"/>
        <v>0</v>
      </c>
      <c r="E34" s="499"/>
      <c r="F34" s="586">
        <f t="shared" si="1"/>
        <v>0</v>
      </c>
      <c r="G34" s="1424">
        <f t="shared" si="1"/>
        <v>0</v>
      </c>
      <c r="H34" s="498">
        <f>SUM($F$9:F34)/A34</f>
        <v>0</v>
      </c>
      <c r="I34" s="499">
        <f>SUM($G$9:G34)/A34</f>
        <v>0</v>
      </c>
      <c r="J34" s="443">
        <f t="shared" si="2"/>
        <v>0</v>
      </c>
      <c r="K34" s="459">
        <f t="shared" si="3"/>
        <v>0</v>
      </c>
      <c r="L34" s="495" t="e">
        <f t="shared" si="4"/>
        <v>#DIV/0!</v>
      </c>
      <c r="M34" s="464" t="e">
        <f t="shared" si="5"/>
        <v>#DIV/0!</v>
      </c>
      <c r="N34" s="366"/>
      <c r="O34" s="586"/>
      <c r="P34" s="586">
        <f t="shared" si="9"/>
        <v>0</v>
      </c>
      <c r="Q34" s="586"/>
      <c r="R34" s="586">
        <f t="shared" si="10"/>
        <v>0</v>
      </c>
      <c r="S34" s="647">
        <f t="shared" si="8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502">
        <f t="shared" si="0"/>
        <v>0</v>
      </c>
      <c r="E35" s="499"/>
      <c r="F35" s="586">
        <f t="shared" si="1"/>
        <v>0</v>
      </c>
      <c r="G35" s="1424">
        <f t="shared" si="1"/>
        <v>0</v>
      </c>
      <c r="H35" s="498">
        <f>SUM($F$9:F35)/A35</f>
        <v>0</v>
      </c>
      <c r="I35" s="499">
        <f>SUM($G$9:G35)/A35</f>
        <v>0</v>
      </c>
      <c r="J35" s="443">
        <f t="shared" si="2"/>
        <v>0</v>
      </c>
      <c r="K35" s="459">
        <f t="shared" si="3"/>
        <v>0</v>
      </c>
      <c r="L35" s="495" t="e">
        <f t="shared" si="4"/>
        <v>#DIV/0!</v>
      </c>
      <c r="M35" s="464" t="e">
        <f t="shared" si="5"/>
        <v>#DIV/0!</v>
      </c>
      <c r="N35" s="366"/>
      <c r="O35" s="586"/>
      <c r="P35" s="586">
        <f t="shared" si="9"/>
        <v>0</v>
      </c>
      <c r="Q35" s="586"/>
      <c r="R35" s="586">
        <f t="shared" si="10"/>
        <v>0</v>
      </c>
      <c r="S35" s="647">
        <f t="shared" si="8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 t="shared" si="0"/>
        <v>0</v>
      </c>
      <c r="E36" s="499"/>
      <c r="F36" s="586">
        <f t="shared" si="1"/>
        <v>0</v>
      </c>
      <c r="G36" s="1424">
        <f t="shared" si="1"/>
        <v>0</v>
      </c>
      <c r="H36" s="498">
        <f>SUM($F$9:F36)/A36</f>
        <v>0</v>
      </c>
      <c r="I36" s="499">
        <f>SUM($G$9:G36)/A36</f>
        <v>0</v>
      </c>
      <c r="J36" s="443">
        <f t="shared" si="2"/>
        <v>0</v>
      </c>
      <c r="K36" s="459">
        <f t="shared" si="3"/>
        <v>0</v>
      </c>
      <c r="L36" s="495" t="e">
        <f t="shared" si="4"/>
        <v>#DIV/0!</v>
      </c>
      <c r="M36" s="464" t="e">
        <f t="shared" si="5"/>
        <v>#DIV/0!</v>
      </c>
      <c r="N36" s="366"/>
      <c r="O36" s="586"/>
      <c r="P36" s="586">
        <f t="shared" si="9"/>
        <v>0</v>
      </c>
      <c r="Q36" s="586"/>
      <c r="R36" s="586">
        <f t="shared" si="10"/>
        <v>0</v>
      </c>
      <c r="S36" s="647">
        <f t="shared" si="8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104</v>
      </c>
      <c r="D37" s="502">
        <f t="shared" si="0"/>
        <v>0</v>
      </c>
      <c r="E37" s="499"/>
      <c r="F37" s="586">
        <f t="shared" si="1"/>
        <v>0</v>
      </c>
      <c r="G37" s="1424">
        <f t="shared" si="1"/>
        <v>0</v>
      </c>
      <c r="H37" s="498">
        <f>SUM($F$9:F37)/A37</f>
        <v>0</v>
      </c>
      <c r="I37" s="499">
        <f>SUM($G$9:G37)/A37</f>
        <v>0</v>
      </c>
      <c r="J37" s="443">
        <f t="shared" si="2"/>
        <v>0</v>
      </c>
      <c r="K37" s="459">
        <f t="shared" si="3"/>
        <v>0</v>
      </c>
      <c r="L37" s="495" t="e">
        <f t="shared" si="4"/>
        <v>#DIV/0!</v>
      </c>
      <c r="M37" s="464" t="e">
        <f t="shared" si="5"/>
        <v>#DIV/0!</v>
      </c>
      <c r="N37" s="366"/>
      <c r="O37" s="586"/>
      <c r="P37" s="586">
        <f t="shared" si="9"/>
        <v>0</v>
      </c>
      <c r="Q37" s="586"/>
      <c r="R37" s="586">
        <f t="shared" si="10"/>
        <v>0</v>
      </c>
      <c r="S37" s="647">
        <f t="shared" si="8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502">
        <f t="shared" si="0"/>
        <v>0</v>
      </c>
      <c r="E38" s="499"/>
      <c r="F38" s="586">
        <f t="shared" si="1"/>
        <v>0</v>
      </c>
      <c r="G38" s="1424">
        <f t="shared" si="1"/>
        <v>0</v>
      </c>
      <c r="H38" s="504">
        <f>SUM($F$9:F38)/A38</f>
        <v>0</v>
      </c>
      <c r="I38" s="499">
        <f>SUM($G$9:G38)/A38</f>
        <v>0</v>
      </c>
      <c r="J38" s="504">
        <f t="shared" si="2"/>
        <v>0</v>
      </c>
      <c r="K38" s="459">
        <f t="shared" si="3"/>
        <v>0</v>
      </c>
      <c r="L38" s="505" t="e">
        <f t="shared" si="4"/>
        <v>#DIV/0!</v>
      </c>
      <c r="M38" s="464" t="e">
        <f t="shared" si="5"/>
        <v>#DIV/0!</v>
      </c>
      <c r="N38" s="366"/>
      <c r="O38" s="586"/>
      <c r="P38" s="586">
        <f t="shared" si="9"/>
        <v>0</v>
      </c>
      <c r="Q38" s="586"/>
      <c r="R38" s="586">
        <f t="shared" si="10"/>
        <v>0</v>
      </c>
      <c r="S38" s="647">
        <f t="shared" si="8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502">
        <f t="shared" si="0"/>
        <v>0</v>
      </c>
      <c r="E39" s="499"/>
      <c r="F39" s="586">
        <f t="shared" si="1"/>
        <v>0</v>
      </c>
      <c r="G39" s="1424">
        <f t="shared" si="1"/>
        <v>0</v>
      </c>
      <c r="H39" s="498">
        <f>SUM($F$9:F39)/A39</f>
        <v>0</v>
      </c>
      <c r="I39" s="499">
        <f>SUM($G$9:G39)/A39</f>
        <v>0</v>
      </c>
      <c r="J39" s="443">
        <f t="shared" si="2"/>
        <v>0</v>
      </c>
      <c r="K39" s="459">
        <f t="shared" si="3"/>
        <v>0</v>
      </c>
      <c r="L39" s="495" t="e">
        <f t="shared" si="4"/>
        <v>#DIV/0!</v>
      </c>
      <c r="M39" s="464" t="e">
        <f t="shared" si="5"/>
        <v>#DIV/0!</v>
      </c>
      <c r="N39" s="366"/>
      <c r="O39" s="586"/>
      <c r="P39" s="586">
        <f t="shared" si="9"/>
        <v>0</v>
      </c>
      <c r="Q39" s="586"/>
      <c r="R39" s="586">
        <f t="shared" si="10"/>
        <v>0</v>
      </c>
      <c r="S39" s="647">
        <f t="shared" si="8"/>
        <v>0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952">
        <f>SUM(F9:F39)</f>
        <v>0</v>
      </c>
      <c r="G40" s="953">
        <f>SUM(G9:G39)</f>
        <v>0</v>
      </c>
      <c r="H40" s="389"/>
      <c r="I40" s="496"/>
      <c r="J40" s="641">
        <f>J39</f>
        <v>0</v>
      </c>
      <c r="K40" s="642">
        <f>K39</f>
        <v>0</v>
      </c>
      <c r="L40" s="464"/>
      <c r="M40" s="464"/>
      <c r="N40" s="507"/>
      <c r="O40" s="641">
        <f>SUM(O9:O39)</f>
        <v>0</v>
      </c>
      <c r="P40" s="928">
        <f>SUM(P9:P39)</f>
        <v>0</v>
      </c>
      <c r="Q40" s="641">
        <f>SUM(Q9:Q39)</f>
        <v>0</v>
      </c>
      <c r="R40" s="928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954">
        <f>F40</f>
        <v>0</v>
      </c>
      <c r="G41" s="953">
        <f>G40</f>
        <v>0</v>
      </c>
      <c r="H41" s="389"/>
      <c r="I41" s="496"/>
      <c r="J41" s="641">
        <f>D41-F41</f>
        <v>0</v>
      </c>
      <c r="K41" s="940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pans="4:11">
      <c r="D49" s="143"/>
      <c r="E49" s="143"/>
      <c r="F49" s="143"/>
      <c r="G49" s="143"/>
      <c r="H49" s="143"/>
      <c r="I49" s="143"/>
      <c r="J49" s="143"/>
      <c r="K49" s="143"/>
    </row>
    <row r="58" spans="4:11">
      <c r="F58" s="142">
        <f>121.5+229.5</f>
        <v>351</v>
      </c>
    </row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1864" priority="316" operator="lessThan">
      <formula>15</formula>
    </cfRule>
    <cfRule type="cellIs" dxfId="11863" priority="317" operator="greaterThan">
      <formula>20</formula>
    </cfRule>
    <cfRule type="cellIs" dxfId="11862" priority="318" operator="between">
      <formula>15</formula>
      <formula>20</formula>
    </cfRule>
    <cfRule type="cellIs" dxfId="11861" priority="319" operator="between">
      <formula>15</formula>
      <formula>20</formula>
    </cfRule>
    <cfRule type="cellIs" dxfId="11860" priority="320" operator="lessThan">
      <formula>15</formula>
    </cfRule>
    <cfRule type="cellIs" dxfId="11859" priority="321" operator="greaterThan">
      <formula>20</formula>
    </cfRule>
    <cfRule type="cellIs" dxfId="11858" priority="322" operator="between">
      <formula>15</formula>
      <formula>21</formula>
    </cfRule>
    <cfRule type="cellIs" dxfId="11857" priority="323" operator="lessThan">
      <formula>15</formula>
    </cfRule>
    <cfRule type="cellIs" dxfId="11856" priority="324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AC58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6.42578125" style="143" customWidth="1"/>
    <col min="4" max="5" width="10.140625" style="142" customWidth="1"/>
    <col min="6" max="6" width="11.85546875" style="142" customWidth="1"/>
    <col min="7" max="7" width="10.140625" style="142" customWidth="1"/>
    <col min="8" max="9" width="9.28515625" style="142" customWidth="1"/>
    <col min="10" max="11" width="10.7109375" style="142" customWidth="1"/>
    <col min="12" max="13" width="12" style="143" customWidth="1"/>
    <col min="14" max="14" width="6" style="143" customWidth="1"/>
    <col min="15" max="18" width="12.285156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406" customFormat="1" ht="18.75" customHeight="1">
      <c r="A4" s="1600" t="s">
        <v>33</v>
      </c>
      <c r="B4" s="1600"/>
      <c r="C4" s="316" t="str">
        <f>J4</f>
        <v>PROMEX CHS4</v>
      </c>
      <c r="D4" s="383"/>
      <c r="E4" s="383" t="s">
        <v>228</v>
      </c>
      <c r="F4" s="383" t="s">
        <v>231</v>
      </c>
      <c r="G4" s="383"/>
      <c r="H4" s="383"/>
      <c r="I4" s="383" t="s">
        <v>114</v>
      </c>
      <c r="J4" s="318" t="s">
        <v>1219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1406"/>
      <c r="U6" s="1406"/>
      <c r="V6" s="1406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1657.8</v>
      </c>
      <c r="E8" s="388">
        <f>K8</f>
        <v>1657.8</v>
      </c>
      <c r="F8" s="389"/>
      <c r="G8" s="388">
        <f>G40</f>
        <v>467.2999999999999</v>
      </c>
      <c r="H8" s="387"/>
      <c r="I8" s="388"/>
      <c r="J8" s="634">
        <f>K8-K8*N8</f>
        <v>1657.8</v>
      </c>
      <c r="K8" s="672">
        <v>1657.8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37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104</v>
      </c>
      <c r="D9" s="502">
        <f>E9</f>
        <v>0</v>
      </c>
      <c r="E9" s="499"/>
      <c r="F9" s="586">
        <f>O9+Q9</f>
        <v>24.3</v>
      </c>
      <c r="G9" s="1424">
        <f>P9+R9</f>
        <v>24.3</v>
      </c>
      <c r="H9" s="498">
        <f>SUM($F$9:F9)/A9</f>
        <v>24.3</v>
      </c>
      <c r="I9" s="499">
        <f>SUM($G$9:G9)/A9</f>
        <v>24.3</v>
      </c>
      <c r="J9" s="443">
        <f>J8+D9-F9</f>
        <v>1633.5</v>
      </c>
      <c r="K9" s="459">
        <f>K8+E9-G9</f>
        <v>1633.5</v>
      </c>
      <c r="L9" s="495">
        <f>J9/H9</f>
        <v>67.222222222222214</v>
      </c>
      <c r="M9" s="464">
        <f>K9/I9</f>
        <v>67.222222222222214</v>
      </c>
      <c r="N9" s="366"/>
      <c r="O9" s="586">
        <f>9+5.4</f>
        <v>14.4</v>
      </c>
      <c r="P9" s="586">
        <f>O9</f>
        <v>14.4</v>
      </c>
      <c r="Q9" s="586">
        <f>4.5+5.4</f>
        <v>9.9</v>
      </c>
      <c r="R9" s="586">
        <f>Q9</f>
        <v>9.9</v>
      </c>
      <c r="S9" s="647">
        <f>J9/$S$8</f>
        <v>44.148648648648646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104</v>
      </c>
      <c r="D10" s="502">
        <f t="shared" ref="D10:D39" si="0">E10</f>
        <v>0</v>
      </c>
      <c r="E10" s="499"/>
      <c r="F10" s="586">
        <f t="shared" ref="F10:G39" si="1">O10+Q10</f>
        <v>19.8</v>
      </c>
      <c r="G10" s="1424">
        <f t="shared" si="1"/>
        <v>19.8</v>
      </c>
      <c r="H10" s="498">
        <f>SUM($F$9:F10)/A10</f>
        <v>22.05</v>
      </c>
      <c r="I10" s="499">
        <f>SUM($G$9:G10)/A10</f>
        <v>22.05</v>
      </c>
      <c r="J10" s="443">
        <f t="shared" ref="J10:K25" si="2">J9+D10-F10</f>
        <v>1613.7</v>
      </c>
      <c r="K10" s="459">
        <f t="shared" si="2"/>
        <v>1613.7</v>
      </c>
      <c r="L10" s="495">
        <f t="shared" ref="L10:M39" si="3">J10/H10</f>
        <v>73.183673469387756</v>
      </c>
      <c r="M10" s="464">
        <f t="shared" si="3"/>
        <v>73.183673469387756</v>
      </c>
      <c r="N10" s="366"/>
      <c r="O10" s="586">
        <f>9+5.4</f>
        <v>14.4</v>
      </c>
      <c r="P10" s="586">
        <f t="shared" ref="P10:P39" si="4">O10</f>
        <v>14.4</v>
      </c>
      <c r="Q10" s="586">
        <v>5.4</v>
      </c>
      <c r="R10" s="586">
        <f t="shared" ref="R10:R39" si="5">Q10</f>
        <v>5.4</v>
      </c>
      <c r="S10" s="647">
        <f t="shared" ref="S10:S39" si="6">J10/$S$8</f>
        <v>43.613513513513517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104</v>
      </c>
      <c r="D11" s="502">
        <f t="shared" si="0"/>
        <v>0</v>
      </c>
      <c r="E11" s="499"/>
      <c r="F11" s="586">
        <f t="shared" si="1"/>
        <v>21.6</v>
      </c>
      <c r="G11" s="1424">
        <f t="shared" si="1"/>
        <v>21.6</v>
      </c>
      <c r="H11" s="498">
        <f>SUM($F$9:F11)/A11</f>
        <v>21.900000000000002</v>
      </c>
      <c r="I11" s="499">
        <f>SUM($G$9:G11)/A11</f>
        <v>21.900000000000002</v>
      </c>
      <c r="J11" s="443">
        <f t="shared" si="2"/>
        <v>1592.1000000000001</v>
      </c>
      <c r="K11" s="459">
        <f t="shared" si="2"/>
        <v>1592.1000000000001</v>
      </c>
      <c r="L11" s="495">
        <f t="shared" si="3"/>
        <v>72.698630136986296</v>
      </c>
      <c r="M11" s="464">
        <f t="shared" si="3"/>
        <v>72.698630136986296</v>
      </c>
      <c r="N11" s="366"/>
      <c r="O11" s="586">
        <f>10.8+5.4</f>
        <v>16.200000000000003</v>
      </c>
      <c r="P11" s="586">
        <f t="shared" si="4"/>
        <v>16.200000000000003</v>
      </c>
      <c r="Q11" s="586">
        <v>5.4</v>
      </c>
      <c r="R11" s="586">
        <f t="shared" si="5"/>
        <v>5.4</v>
      </c>
      <c r="S11" s="647">
        <f t="shared" si="6"/>
        <v>43.029729729729731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346</v>
      </c>
      <c r="D12" s="502">
        <f t="shared" si="0"/>
        <v>0</v>
      </c>
      <c r="E12" s="499"/>
      <c r="F12" s="586">
        <f t="shared" si="1"/>
        <v>25.200000000000003</v>
      </c>
      <c r="G12" s="1424">
        <f t="shared" si="1"/>
        <v>25.200000000000003</v>
      </c>
      <c r="H12" s="498">
        <f>SUM($F$9:F12)/A12</f>
        <v>22.725000000000001</v>
      </c>
      <c r="I12" s="499">
        <f>SUM($G$9:G12)/A12</f>
        <v>22.725000000000001</v>
      </c>
      <c r="J12" s="443">
        <f t="shared" si="2"/>
        <v>1566.9</v>
      </c>
      <c r="K12" s="459">
        <f t="shared" si="2"/>
        <v>1566.9</v>
      </c>
      <c r="L12" s="495">
        <f t="shared" si="3"/>
        <v>68.950495049504951</v>
      </c>
      <c r="M12" s="464">
        <f t="shared" si="3"/>
        <v>68.950495049504951</v>
      </c>
      <c r="N12" s="366"/>
      <c r="O12" s="586">
        <f>5.4+9</f>
        <v>14.4</v>
      </c>
      <c r="P12" s="586">
        <f t="shared" si="4"/>
        <v>14.4</v>
      </c>
      <c r="Q12" s="586">
        <f>5.4+5.4</f>
        <v>10.8</v>
      </c>
      <c r="R12" s="586">
        <f t="shared" si="5"/>
        <v>10.8</v>
      </c>
      <c r="S12" s="647">
        <f t="shared" si="6"/>
        <v>42.348648648648648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104</v>
      </c>
      <c r="D13" s="502">
        <f t="shared" si="0"/>
        <v>0</v>
      </c>
      <c r="E13" s="499"/>
      <c r="F13" s="586">
        <f t="shared" si="1"/>
        <v>27.000000000000004</v>
      </c>
      <c r="G13" s="1424">
        <f t="shared" si="1"/>
        <v>27.000000000000004</v>
      </c>
      <c r="H13" s="504">
        <f>SUM($F$9:F13)/A13</f>
        <v>23.580000000000002</v>
      </c>
      <c r="I13" s="499">
        <f>SUM($G$9:G13)/A13</f>
        <v>23.580000000000002</v>
      </c>
      <c r="J13" s="504">
        <f t="shared" si="2"/>
        <v>1539.9</v>
      </c>
      <c r="K13" s="459">
        <f t="shared" si="2"/>
        <v>1539.9</v>
      </c>
      <c r="L13" s="505">
        <f t="shared" si="3"/>
        <v>65.305343511450374</v>
      </c>
      <c r="M13" s="464">
        <f t="shared" si="3"/>
        <v>65.305343511450374</v>
      </c>
      <c r="N13" s="366"/>
      <c r="O13" s="586">
        <f>10.8+5.4</f>
        <v>16.200000000000003</v>
      </c>
      <c r="P13" s="586">
        <f t="shared" si="4"/>
        <v>16.200000000000003</v>
      </c>
      <c r="Q13" s="586">
        <f>5.4+5.4</f>
        <v>10.8</v>
      </c>
      <c r="R13" s="586">
        <f t="shared" si="5"/>
        <v>10.8</v>
      </c>
      <c r="S13" s="647">
        <f t="shared" si="6"/>
        <v>41.618918918918922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502">
        <f t="shared" si="0"/>
        <v>0</v>
      </c>
      <c r="E14" s="499"/>
      <c r="F14" s="586">
        <f t="shared" si="1"/>
        <v>25.200000000000003</v>
      </c>
      <c r="G14" s="1424">
        <f t="shared" si="1"/>
        <v>25.200000000000003</v>
      </c>
      <c r="H14" s="498">
        <f>SUM($F$9:F14)/A14</f>
        <v>23.850000000000005</v>
      </c>
      <c r="I14" s="499">
        <f>SUM($G$9:G14)/A14</f>
        <v>23.850000000000005</v>
      </c>
      <c r="J14" s="443">
        <f t="shared" si="2"/>
        <v>1514.7</v>
      </c>
      <c r="K14" s="459">
        <f t="shared" si="2"/>
        <v>1514.7</v>
      </c>
      <c r="L14" s="495">
        <f t="shared" si="3"/>
        <v>63.50943396226414</v>
      </c>
      <c r="M14" s="464">
        <f t="shared" si="3"/>
        <v>63.50943396226414</v>
      </c>
      <c r="N14" s="366"/>
      <c r="O14" s="586">
        <f>9+5.4</f>
        <v>14.4</v>
      </c>
      <c r="P14" s="586">
        <f t="shared" si="4"/>
        <v>14.4</v>
      </c>
      <c r="Q14" s="586">
        <f>5.4+5.4</f>
        <v>10.8</v>
      </c>
      <c r="R14" s="586">
        <f t="shared" si="5"/>
        <v>10.8</v>
      </c>
      <c r="S14" s="647">
        <f t="shared" si="6"/>
        <v>40.93783783783784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104</v>
      </c>
      <c r="D15" s="502">
        <f t="shared" si="0"/>
        <v>0</v>
      </c>
      <c r="E15" s="499"/>
      <c r="F15" s="586">
        <f t="shared" si="1"/>
        <v>25.200000000000003</v>
      </c>
      <c r="G15" s="1424">
        <f t="shared" si="1"/>
        <v>25.200000000000003</v>
      </c>
      <c r="H15" s="498">
        <f>SUM($F$9:F15)/A15</f>
        <v>24.042857142857144</v>
      </c>
      <c r="I15" s="499">
        <f>SUM($G$9:G15)/A15</f>
        <v>24.042857142857144</v>
      </c>
      <c r="J15" s="443">
        <f t="shared" si="2"/>
        <v>1489.5</v>
      </c>
      <c r="K15" s="459">
        <f t="shared" si="2"/>
        <v>1489.5</v>
      </c>
      <c r="L15" s="495">
        <f t="shared" si="3"/>
        <v>61.951871657754005</v>
      </c>
      <c r="M15" s="464">
        <f t="shared" si="3"/>
        <v>61.951871657754005</v>
      </c>
      <c r="N15" s="366"/>
      <c r="O15" s="586">
        <f>5.4+9</f>
        <v>14.4</v>
      </c>
      <c r="P15" s="586">
        <f t="shared" si="4"/>
        <v>14.4</v>
      </c>
      <c r="Q15" s="586">
        <f>5.4+5.4</f>
        <v>10.8</v>
      </c>
      <c r="R15" s="586">
        <f t="shared" si="5"/>
        <v>10.8</v>
      </c>
      <c r="S15" s="647">
        <f t="shared" si="6"/>
        <v>40.256756756756758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104</v>
      </c>
      <c r="D16" s="502">
        <f t="shared" si="0"/>
        <v>0</v>
      </c>
      <c r="E16" s="499"/>
      <c r="F16" s="586">
        <f t="shared" si="1"/>
        <v>36</v>
      </c>
      <c r="G16" s="1424">
        <f t="shared" si="1"/>
        <v>36</v>
      </c>
      <c r="H16" s="498">
        <f>SUM($F$9:F16)/A16</f>
        <v>25.537500000000001</v>
      </c>
      <c r="I16" s="499">
        <f>SUM($G$9:G16)/A16</f>
        <v>25.537500000000001</v>
      </c>
      <c r="J16" s="443">
        <f t="shared" si="2"/>
        <v>1453.5</v>
      </c>
      <c r="K16" s="459">
        <f t="shared" si="2"/>
        <v>1453.5</v>
      </c>
      <c r="L16" s="495">
        <f t="shared" si="3"/>
        <v>56.916299559471362</v>
      </c>
      <c r="M16" s="464">
        <f t="shared" si="3"/>
        <v>56.916299559471362</v>
      </c>
      <c r="N16" s="366"/>
      <c r="O16" s="586">
        <f>10.8+9</f>
        <v>19.8</v>
      </c>
      <c r="P16" s="586">
        <f t="shared" si="4"/>
        <v>19.8</v>
      </c>
      <c r="Q16" s="586">
        <f>10.8+5.4</f>
        <v>16.200000000000003</v>
      </c>
      <c r="R16" s="586">
        <f t="shared" si="5"/>
        <v>16.200000000000003</v>
      </c>
      <c r="S16" s="647">
        <f t="shared" si="6"/>
        <v>39.283783783783782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104</v>
      </c>
      <c r="D17" s="502">
        <f t="shared" si="0"/>
        <v>0</v>
      </c>
      <c r="E17" s="499"/>
      <c r="F17" s="586">
        <f t="shared" si="1"/>
        <v>21.6</v>
      </c>
      <c r="G17" s="1424">
        <f t="shared" si="1"/>
        <v>21.6</v>
      </c>
      <c r="H17" s="498">
        <f>SUM($F$9:F17)/A17</f>
        <v>25.1</v>
      </c>
      <c r="I17" s="499">
        <f>SUM($G$9:G17)/A17</f>
        <v>25.1</v>
      </c>
      <c r="J17" s="443">
        <f t="shared" si="2"/>
        <v>1431.9</v>
      </c>
      <c r="K17" s="459">
        <f t="shared" si="2"/>
        <v>1431.9</v>
      </c>
      <c r="L17" s="495">
        <f t="shared" si="3"/>
        <v>57.047808764940243</v>
      </c>
      <c r="M17" s="464">
        <f t="shared" si="3"/>
        <v>57.047808764940243</v>
      </c>
      <c r="N17" s="366"/>
      <c r="O17" s="586">
        <f>5.4+5.4</f>
        <v>10.8</v>
      </c>
      <c r="P17" s="586">
        <f t="shared" si="4"/>
        <v>10.8</v>
      </c>
      <c r="Q17" s="586">
        <f>5.4+5.4</f>
        <v>10.8</v>
      </c>
      <c r="R17" s="586">
        <f t="shared" si="5"/>
        <v>10.8</v>
      </c>
      <c r="S17" s="647">
        <f t="shared" si="6"/>
        <v>38.700000000000003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104</v>
      </c>
      <c r="D18" s="502">
        <f t="shared" si="0"/>
        <v>0</v>
      </c>
      <c r="E18" s="499"/>
      <c r="F18" s="586">
        <f t="shared" si="1"/>
        <v>31</v>
      </c>
      <c r="G18" s="1424">
        <f t="shared" si="1"/>
        <v>31</v>
      </c>
      <c r="H18" s="504">
        <f>SUM($F$9:F18)/A18</f>
        <v>25.689999999999998</v>
      </c>
      <c r="I18" s="499">
        <f>SUM($G$9:G18)/A18</f>
        <v>25.689999999999998</v>
      </c>
      <c r="J18" s="504">
        <f t="shared" si="2"/>
        <v>1400.9</v>
      </c>
      <c r="K18" s="459">
        <f t="shared" si="2"/>
        <v>1400.9</v>
      </c>
      <c r="L18" s="505">
        <f t="shared" si="3"/>
        <v>54.53094589334372</v>
      </c>
      <c r="M18" s="464">
        <f t="shared" si="3"/>
        <v>54.53094589334372</v>
      </c>
      <c r="N18" s="366"/>
      <c r="O18" s="586">
        <f>10.8+9</f>
        <v>19.8</v>
      </c>
      <c r="P18" s="586">
        <f t="shared" si="4"/>
        <v>19.8</v>
      </c>
      <c r="Q18" s="586">
        <f>5.8+5.4</f>
        <v>11.2</v>
      </c>
      <c r="R18" s="586">
        <f t="shared" si="5"/>
        <v>11.2</v>
      </c>
      <c r="S18" s="647">
        <f t="shared" si="6"/>
        <v>37.862162162162164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104</v>
      </c>
      <c r="D19" s="502">
        <f t="shared" si="0"/>
        <v>0</v>
      </c>
      <c r="E19" s="499"/>
      <c r="F19" s="586">
        <f t="shared" si="1"/>
        <v>27.700000000000003</v>
      </c>
      <c r="G19" s="1424">
        <f t="shared" si="1"/>
        <v>27.700000000000003</v>
      </c>
      <c r="H19" s="498">
        <f>SUM($F$9:F19)/A19</f>
        <v>25.872727272727271</v>
      </c>
      <c r="I19" s="499">
        <f>SUM($G$9:G19)/A19</f>
        <v>25.872727272727271</v>
      </c>
      <c r="J19" s="443">
        <f t="shared" si="2"/>
        <v>1373.2</v>
      </c>
      <c r="K19" s="459">
        <f t="shared" si="2"/>
        <v>1373.2</v>
      </c>
      <c r="L19" s="495">
        <f t="shared" si="3"/>
        <v>53.075193253689392</v>
      </c>
      <c r="M19" s="464">
        <f t="shared" si="3"/>
        <v>53.075193253689392</v>
      </c>
      <c r="N19" s="366"/>
      <c r="O19" s="586">
        <f>5.4+9</f>
        <v>14.4</v>
      </c>
      <c r="P19" s="586">
        <f t="shared" si="4"/>
        <v>14.4</v>
      </c>
      <c r="Q19" s="586">
        <f>5.4+4.5+3.4</f>
        <v>13.3</v>
      </c>
      <c r="R19" s="586">
        <f t="shared" si="5"/>
        <v>13.3</v>
      </c>
      <c r="S19" s="647">
        <f t="shared" si="6"/>
        <v>37.113513513513517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104</v>
      </c>
      <c r="D20" s="502">
        <f t="shared" si="0"/>
        <v>0</v>
      </c>
      <c r="E20" s="499"/>
      <c r="F20" s="586">
        <f t="shared" si="1"/>
        <v>24.3</v>
      </c>
      <c r="G20" s="1424">
        <f t="shared" si="1"/>
        <v>24.3</v>
      </c>
      <c r="H20" s="498">
        <f>SUM($F$9:F20)/A20</f>
        <v>25.741666666666664</v>
      </c>
      <c r="I20" s="499">
        <f>SUM($G$9:G20)/A20</f>
        <v>25.741666666666664</v>
      </c>
      <c r="J20" s="443">
        <f t="shared" si="2"/>
        <v>1348.9</v>
      </c>
      <c r="K20" s="459">
        <f t="shared" si="2"/>
        <v>1348.9</v>
      </c>
      <c r="L20" s="495">
        <f t="shared" si="3"/>
        <v>52.401424409193922</v>
      </c>
      <c r="M20" s="464">
        <f t="shared" si="3"/>
        <v>52.401424409193922</v>
      </c>
      <c r="N20" s="366"/>
      <c r="O20" s="586">
        <f>5.4+5.4</f>
        <v>10.8</v>
      </c>
      <c r="P20" s="586">
        <f t="shared" si="4"/>
        <v>10.8</v>
      </c>
      <c r="Q20" s="586">
        <f>4.5+9</f>
        <v>13.5</v>
      </c>
      <c r="R20" s="586">
        <f t="shared" si="5"/>
        <v>13.5</v>
      </c>
      <c r="S20" s="647">
        <f t="shared" si="6"/>
        <v>36.456756756756761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502">
        <f t="shared" si="0"/>
        <v>0</v>
      </c>
      <c r="E21" s="499"/>
      <c r="F21" s="586">
        <f t="shared" si="1"/>
        <v>29.700000000000003</v>
      </c>
      <c r="G21" s="1424">
        <f t="shared" si="1"/>
        <v>29.700000000000003</v>
      </c>
      <c r="H21" s="498">
        <f>SUM($F$9:F21)/A21</f>
        <v>26.046153846153842</v>
      </c>
      <c r="I21" s="499">
        <f>SUM($G$9:G21)/A21</f>
        <v>26.046153846153842</v>
      </c>
      <c r="J21" s="443">
        <f t="shared" si="2"/>
        <v>1319.2</v>
      </c>
      <c r="K21" s="459">
        <f t="shared" si="2"/>
        <v>1319.2</v>
      </c>
      <c r="L21" s="495">
        <f t="shared" si="3"/>
        <v>50.648552864737162</v>
      </c>
      <c r="M21" s="464">
        <f t="shared" si="3"/>
        <v>50.648552864737162</v>
      </c>
      <c r="N21" s="366"/>
      <c r="O21" s="586">
        <f>9+10.8</f>
        <v>19.8</v>
      </c>
      <c r="P21" s="586">
        <f t="shared" si="4"/>
        <v>19.8</v>
      </c>
      <c r="Q21" s="586">
        <f>4.5+5.4</f>
        <v>9.9</v>
      </c>
      <c r="R21" s="586">
        <f t="shared" si="5"/>
        <v>9.9</v>
      </c>
      <c r="S21" s="647">
        <f t="shared" si="6"/>
        <v>35.654054054054058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104</v>
      </c>
      <c r="D22" s="502">
        <f t="shared" si="0"/>
        <v>0</v>
      </c>
      <c r="E22" s="499"/>
      <c r="F22" s="586">
        <f t="shared" si="1"/>
        <v>32.4</v>
      </c>
      <c r="G22" s="1424">
        <f t="shared" si="1"/>
        <v>32.4</v>
      </c>
      <c r="H22" s="498">
        <f>SUM($F$9:F22)/A22</f>
        <v>26.499999999999996</v>
      </c>
      <c r="I22" s="499">
        <f>SUM($G$9:G22)/A22</f>
        <v>26.499999999999996</v>
      </c>
      <c r="J22" s="443">
        <f t="shared" si="2"/>
        <v>1286.8</v>
      </c>
      <c r="K22" s="459">
        <f t="shared" si="2"/>
        <v>1286.8</v>
      </c>
      <c r="L22" s="495">
        <f t="shared" si="3"/>
        <v>48.55849056603774</v>
      </c>
      <c r="M22" s="464">
        <f t="shared" si="3"/>
        <v>48.55849056603774</v>
      </c>
      <c r="N22" s="366"/>
      <c r="O22" s="586">
        <f>9+5.4</f>
        <v>14.4</v>
      </c>
      <c r="P22" s="586">
        <f t="shared" si="4"/>
        <v>14.4</v>
      </c>
      <c r="Q22" s="586">
        <f>9+9</f>
        <v>18</v>
      </c>
      <c r="R22" s="586">
        <f t="shared" si="5"/>
        <v>18</v>
      </c>
      <c r="S22" s="647">
        <f t="shared" si="6"/>
        <v>34.778378378378378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104</v>
      </c>
      <c r="D23" s="502">
        <f t="shared" si="0"/>
        <v>0</v>
      </c>
      <c r="E23" s="499"/>
      <c r="F23" s="586">
        <f t="shared" si="1"/>
        <v>34.200000000000003</v>
      </c>
      <c r="G23" s="1424">
        <f t="shared" si="1"/>
        <v>34.200000000000003</v>
      </c>
      <c r="H23" s="504">
        <f>SUM($F$9:F23)/A23</f>
        <v>27.013333333333328</v>
      </c>
      <c r="I23" s="499">
        <f>SUM($G$9:G23)/A23</f>
        <v>27.013333333333328</v>
      </c>
      <c r="J23" s="504">
        <f t="shared" si="2"/>
        <v>1252.5999999999999</v>
      </c>
      <c r="K23" s="459">
        <f t="shared" si="2"/>
        <v>1252.5999999999999</v>
      </c>
      <c r="L23" s="505">
        <f t="shared" si="3"/>
        <v>46.369693978282335</v>
      </c>
      <c r="M23" s="464">
        <f t="shared" si="3"/>
        <v>46.369693978282335</v>
      </c>
      <c r="N23" s="366"/>
      <c r="O23" s="586">
        <f>5.4+10.8</f>
        <v>16.200000000000003</v>
      </c>
      <c r="P23" s="586">
        <f t="shared" si="4"/>
        <v>16.200000000000003</v>
      </c>
      <c r="Q23" s="586">
        <f>9+9</f>
        <v>18</v>
      </c>
      <c r="R23" s="586">
        <f t="shared" si="5"/>
        <v>18</v>
      </c>
      <c r="S23" s="647">
        <f t="shared" si="6"/>
        <v>33.854054054054053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502">
        <f t="shared" si="0"/>
        <v>0</v>
      </c>
      <c r="E24" s="499"/>
      <c r="F24" s="586">
        <f t="shared" si="1"/>
        <v>32.4</v>
      </c>
      <c r="G24" s="1424">
        <f t="shared" si="1"/>
        <v>32.4</v>
      </c>
      <c r="H24" s="498">
        <f>SUM($F$9:F24)/A24</f>
        <v>27.349999999999994</v>
      </c>
      <c r="I24" s="499">
        <f>SUM($G$9:G24)/A24</f>
        <v>27.349999999999994</v>
      </c>
      <c r="J24" s="443">
        <f t="shared" si="2"/>
        <v>1220.1999999999998</v>
      </c>
      <c r="K24" s="459">
        <f t="shared" si="2"/>
        <v>1220.1999999999998</v>
      </c>
      <c r="L24" s="495">
        <f t="shared" si="3"/>
        <v>44.614259597806218</v>
      </c>
      <c r="M24" s="464">
        <f t="shared" si="3"/>
        <v>44.614259597806218</v>
      </c>
      <c r="N24" s="366"/>
      <c r="O24" s="586">
        <f>5.4+9</f>
        <v>14.4</v>
      </c>
      <c r="P24" s="586">
        <f t="shared" si="4"/>
        <v>14.4</v>
      </c>
      <c r="Q24" s="586">
        <f>9+9</f>
        <v>18</v>
      </c>
      <c r="R24" s="586">
        <f t="shared" si="5"/>
        <v>18</v>
      </c>
      <c r="S24" s="647">
        <f t="shared" si="6"/>
        <v>32.978378378378373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502">
        <f t="shared" si="0"/>
        <v>0</v>
      </c>
      <c r="E25" s="499"/>
      <c r="F25" s="586">
        <f t="shared" si="1"/>
        <v>29.700000000000003</v>
      </c>
      <c r="G25" s="1424">
        <f t="shared" si="1"/>
        <v>29.700000000000003</v>
      </c>
      <c r="H25" s="498">
        <f>SUM($F$9:F25)/A25</f>
        <v>27.48823529411764</v>
      </c>
      <c r="I25" s="499">
        <f>SUM($G$9:G25)/A25</f>
        <v>27.48823529411764</v>
      </c>
      <c r="J25" s="443">
        <f t="shared" si="2"/>
        <v>1190.4999999999998</v>
      </c>
      <c r="K25" s="459">
        <f t="shared" si="2"/>
        <v>1190.4999999999998</v>
      </c>
      <c r="L25" s="495">
        <f t="shared" si="3"/>
        <v>43.309437192381772</v>
      </c>
      <c r="M25" s="464">
        <f t="shared" si="3"/>
        <v>43.309437192381772</v>
      </c>
      <c r="N25" s="366"/>
      <c r="O25" s="586">
        <f>5.4+10.8</f>
        <v>16.200000000000003</v>
      </c>
      <c r="P25" s="586">
        <f t="shared" si="4"/>
        <v>16.200000000000003</v>
      </c>
      <c r="Q25" s="586">
        <f>4.5+9</f>
        <v>13.5</v>
      </c>
      <c r="R25" s="586">
        <f t="shared" si="5"/>
        <v>13.5</v>
      </c>
      <c r="S25" s="647">
        <f t="shared" si="6"/>
        <v>32.17567567567567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502">
        <f t="shared" si="0"/>
        <v>0</v>
      </c>
      <c r="E26" s="499"/>
      <c r="F26" s="586">
        <f t="shared" si="1"/>
        <v>0</v>
      </c>
      <c r="G26" s="1424">
        <f t="shared" si="1"/>
        <v>0</v>
      </c>
      <c r="H26" s="498">
        <f>SUM($F$9:F26)/A26</f>
        <v>25.961111111111105</v>
      </c>
      <c r="I26" s="499">
        <f>SUM($G$9:G26)/A26</f>
        <v>25.961111111111105</v>
      </c>
      <c r="J26" s="443">
        <f t="shared" ref="J26:K39" si="7">J25+D26-F26</f>
        <v>1190.4999999999998</v>
      </c>
      <c r="K26" s="459">
        <f t="shared" si="7"/>
        <v>1190.4999999999998</v>
      </c>
      <c r="L26" s="495">
        <f t="shared" si="3"/>
        <v>45.857051144874816</v>
      </c>
      <c r="M26" s="464">
        <f t="shared" si="3"/>
        <v>45.857051144874816</v>
      </c>
      <c r="N26" s="366"/>
      <c r="O26" s="586"/>
      <c r="P26" s="586">
        <f t="shared" si="4"/>
        <v>0</v>
      </c>
      <c r="Q26" s="586"/>
      <c r="R26" s="586">
        <f t="shared" si="5"/>
        <v>0</v>
      </c>
      <c r="S26" s="647">
        <f t="shared" si="6"/>
        <v>32.17567567567567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346</v>
      </c>
      <c r="D27" s="502">
        <f t="shared" si="0"/>
        <v>0</v>
      </c>
      <c r="E27" s="499"/>
      <c r="F27" s="586">
        <f t="shared" si="1"/>
        <v>0</v>
      </c>
      <c r="G27" s="1424">
        <f t="shared" si="1"/>
        <v>0</v>
      </c>
      <c r="H27" s="498">
        <f>SUM($F$9:F27)/A27</f>
        <v>24.594736842105259</v>
      </c>
      <c r="I27" s="499">
        <f>SUM($G$9:G27)/A27</f>
        <v>24.594736842105259</v>
      </c>
      <c r="J27" s="443">
        <f t="shared" si="7"/>
        <v>1190.4999999999998</v>
      </c>
      <c r="K27" s="459">
        <f t="shared" si="7"/>
        <v>1190.4999999999998</v>
      </c>
      <c r="L27" s="495">
        <f t="shared" si="3"/>
        <v>48.404665097367854</v>
      </c>
      <c r="M27" s="464">
        <f t="shared" si="3"/>
        <v>48.404665097367854</v>
      </c>
      <c r="N27" s="366"/>
      <c r="O27" s="586"/>
      <c r="P27" s="586">
        <f t="shared" si="4"/>
        <v>0</v>
      </c>
      <c r="Q27" s="586"/>
      <c r="R27" s="586">
        <f t="shared" si="5"/>
        <v>0</v>
      </c>
      <c r="S27" s="647">
        <f t="shared" si="6"/>
        <v>32.17567567567567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104</v>
      </c>
      <c r="D28" s="502">
        <f t="shared" si="0"/>
        <v>0</v>
      </c>
      <c r="E28" s="499"/>
      <c r="F28" s="586">
        <f t="shared" si="1"/>
        <v>0</v>
      </c>
      <c r="G28" s="1424">
        <f t="shared" si="1"/>
        <v>0</v>
      </c>
      <c r="H28" s="504">
        <f>SUM($F$9:F28)/A28</f>
        <v>23.364999999999995</v>
      </c>
      <c r="I28" s="499">
        <f>SUM($G$9:G28)/A28</f>
        <v>23.364999999999995</v>
      </c>
      <c r="J28" s="504">
        <f t="shared" si="7"/>
        <v>1190.4999999999998</v>
      </c>
      <c r="K28" s="459">
        <f t="shared" si="7"/>
        <v>1190.4999999999998</v>
      </c>
      <c r="L28" s="505">
        <f t="shared" si="3"/>
        <v>50.952279049860906</v>
      </c>
      <c r="M28" s="464">
        <f t="shared" si="3"/>
        <v>50.952279049860906</v>
      </c>
      <c r="N28" s="366"/>
      <c r="O28" s="586"/>
      <c r="P28" s="586">
        <f t="shared" si="4"/>
        <v>0</v>
      </c>
      <c r="Q28" s="586"/>
      <c r="R28" s="586">
        <f t="shared" si="5"/>
        <v>0</v>
      </c>
      <c r="S28" s="647">
        <f t="shared" si="6"/>
        <v>32.17567567567567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502">
        <f t="shared" si="0"/>
        <v>0</v>
      </c>
      <c r="E29" s="499"/>
      <c r="F29" s="586">
        <f t="shared" si="1"/>
        <v>0</v>
      </c>
      <c r="G29" s="1424">
        <f t="shared" si="1"/>
        <v>0</v>
      </c>
      <c r="H29" s="498">
        <f>SUM($F$9:F29)/A29</f>
        <v>22.252380952380946</v>
      </c>
      <c r="I29" s="499">
        <f>SUM($G$9:G29)/A29</f>
        <v>22.252380952380946</v>
      </c>
      <c r="J29" s="443">
        <f t="shared" si="7"/>
        <v>1190.4999999999998</v>
      </c>
      <c r="K29" s="459">
        <f t="shared" si="7"/>
        <v>1190.4999999999998</v>
      </c>
      <c r="L29" s="495">
        <f t="shared" si="3"/>
        <v>53.49989300235395</v>
      </c>
      <c r="M29" s="464">
        <f t="shared" si="3"/>
        <v>53.49989300235395</v>
      </c>
      <c r="N29" s="366"/>
      <c r="O29" s="586"/>
      <c r="P29" s="586">
        <f t="shared" si="4"/>
        <v>0</v>
      </c>
      <c r="Q29" s="586"/>
      <c r="R29" s="586">
        <f t="shared" si="5"/>
        <v>0</v>
      </c>
      <c r="S29" s="647">
        <f t="shared" si="6"/>
        <v>32.17567567567567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502">
        <f t="shared" si="0"/>
        <v>0</v>
      </c>
      <c r="E30" s="499"/>
      <c r="F30" s="586">
        <f t="shared" si="1"/>
        <v>0</v>
      </c>
      <c r="G30" s="1424">
        <f t="shared" si="1"/>
        <v>0</v>
      </c>
      <c r="H30" s="498">
        <f>SUM($F$9:F30)/A30</f>
        <v>21.240909090909085</v>
      </c>
      <c r="I30" s="499">
        <f>SUM($G$9:G30)/A30</f>
        <v>21.240909090909085</v>
      </c>
      <c r="J30" s="443">
        <f t="shared" si="7"/>
        <v>1190.4999999999998</v>
      </c>
      <c r="K30" s="459">
        <f t="shared" si="7"/>
        <v>1190.4999999999998</v>
      </c>
      <c r="L30" s="495">
        <f t="shared" si="3"/>
        <v>56.047506954847002</v>
      </c>
      <c r="M30" s="464">
        <f t="shared" si="3"/>
        <v>56.047506954847002</v>
      </c>
      <c r="N30" s="366"/>
      <c r="O30" s="586"/>
      <c r="P30" s="586">
        <f t="shared" si="4"/>
        <v>0</v>
      </c>
      <c r="Q30" s="586"/>
      <c r="R30" s="586">
        <f t="shared" si="5"/>
        <v>0</v>
      </c>
      <c r="S30" s="647">
        <f t="shared" si="6"/>
        <v>32.17567567567567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502">
        <f t="shared" si="0"/>
        <v>0</v>
      </c>
      <c r="E31" s="499"/>
      <c r="F31" s="586">
        <f t="shared" si="1"/>
        <v>0</v>
      </c>
      <c r="G31" s="1424">
        <f t="shared" si="1"/>
        <v>0</v>
      </c>
      <c r="H31" s="498">
        <f>SUM($F$9:F31)/A31</f>
        <v>20.317391304347822</v>
      </c>
      <c r="I31" s="499">
        <f>SUM($G$9:G31)/A31</f>
        <v>20.317391304347822</v>
      </c>
      <c r="J31" s="443">
        <f t="shared" si="7"/>
        <v>1190.4999999999998</v>
      </c>
      <c r="K31" s="459">
        <f t="shared" si="7"/>
        <v>1190.4999999999998</v>
      </c>
      <c r="L31" s="495">
        <f t="shared" si="3"/>
        <v>58.595120907340039</v>
      </c>
      <c r="M31" s="464">
        <f t="shared" si="3"/>
        <v>58.595120907340039</v>
      </c>
      <c r="N31" s="366"/>
      <c r="O31" s="586"/>
      <c r="P31" s="586">
        <f t="shared" si="4"/>
        <v>0</v>
      </c>
      <c r="Q31" s="586"/>
      <c r="R31" s="586">
        <f t="shared" si="5"/>
        <v>0</v>
      </c>
      <c r="S31" s="647">
        <f t="shared" si="6"/>
        <v>32.17567567567567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104</v>
      </c>
      <c r="D32" s="502">
        <f t="shared" si="0"/>
        <v>0</v>
      </c>
      <c r="E32" s="499"/>
      <c r="F32" s="586">
        <f t="shared" si="1"/>
        <v>0</v>
      </c>
      <c r="G32" s="1424">
        <f t="shared" si="1"/>
        <v>0</v>
      </c>
      <c r="H32" s="498">
        <f>SUM($F$9:F32)/A32</f>
        <v>19.470833333333328</v>
      </c>
      <c r="I32" s="499">
        <f>SUM($G$9:G32)/A32</f>
        <v>19.470833333333328</v>
      </c>
      <c r="J32" s="443">
        <f t="shared" si="7"/>
        <v>1190.4999999999998</v>
      </c>
      <c r="K32" s="459">
        <f t="shared" si="7"/>
        <v>1190.4999999999998</v>
      </c>
      <c r="L32" s="495">
        <f t="shared" si="3"/>
        <v>61.142734859833091</v>
      </c>
      <c r="M32" s="464">
        <f t="shared" si="3"/>
        <v>61.142734859833091</v>
      </c>
      <c r="N32" s="366"/>
      <c r="O32" s="586"/>
      <c r="P32" s="586">
        <f t="shared" si="4"/>
        <v>0</v>
      </c>
      <c r="Q32" s="586"/>
      <c r="R32" s="586">
        <f t="shared" si="5"/>
        <v>0</v>
      </c>
      <c r="S32" s="647">
        <f t="shared" si="6"/>
        <v>32.17567567567567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104</v>
      </c>
      <c r="D33" s="502">
        <f t="shared" si="0"/>
        <v>0</v>
      </c>
      <c r="E33" s="499"/>
      <c r="F33" s="586">
        <f t="shared" si="1"/>
        <v>0</v>
      </c>
      <c r="G33" s="1424">
        <f t="shared" si="1"/>
        <v>0</v>
      </c>
      <c r="H33" s="460">
        <f>SUM($F$9:F33)/A33</f>
        <v>18.691999999999997</v>
      </c>
      <c r="I33" s="499">
        <f>SUM($G$9:G33)/A33</f>
        <v>18.691999999999997</v>
      </c>
      <c r="J33" s="460">
        <f t="shared" si="7"/>
        <v>1190.4999999999998</v>
      </c>
      <c r="K33" s="459">
        <f t="shared" si="7"/>
        <v>1190.4999999999998</v>
      </c>
      <c r="L33" s="506">
        <f>J33/H33</f>
        <v>63.690348812326128</v>
      </c>
      <c r="M33" s="464">
        <f t="shared" si="3"/>
        <v>63.690348812326128</v>
      </c>
      <c r="N33" s="366"/>
      <c r="O33" s="586"/>
      <c r="P33" s="586">
        <f t="shared" si="4"/>
        <v>0</v>
      </c>
      <c r="Q33" s="586"/>
      <c r="R33" s="586">
        <f t="shared" si="5"/>
        <v>0</v>
      </c>
      <c r="S33" s="647">
        <f t="shared" si="6"/>
        <v>32.17567567567567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0"/>
        <v>0</v>
      </c>
      <c r="E34" s="499"/>
      <c r="F34" s="586">
        <f t="shared" si="1"/>
        <v>0</v>
      </c>
      <c r="G34" s="1424">
        <f t="shared" si="1"/>
        <v>0</v>
      </c>
      <c r="H34" s="498">
        <f>SUM($F$9:F34)/A34</f>
        <v>17.973076923076921</v>
      </c>
      <c r="I34" s="499">
        <f>SUM($G$9:G34)/A34</f>
        <v>17.973076923076921</v>
      </c>
      <c r="J34" s="443">
        <f t="shared" si="7"/>
        <v>1190.4999999999998</v>
      </c>
      <c r="K34" s="459">
        <f t="shared" si="7"/>
        <v>1190.4999999999998</v>
      </c>
      <c r="L34" s="495">
        <f t="shared" si="3"/>
        <v>66.237962764819173</v>
      </c>
      <c r="M34" s="464">
        <f t="shared" si="3"/>
        <v>66.237962764819173</v>
      </c>
      <c r="N34" s="366"/>
      <c r="O34" s="586"/>
      <c r="P34" s="586">
        <f t="shared" si="4"/>
        <v>0</v>
      </c>
      <c r="Q34" s="586"/>
      <c r="R34" s="586">
        <f t="shared" si="5"/>
        <v>0</v>
      </c>
      <c r="S34" s="647">
        <f t="shared" si="6"/>
        <v>32.17567567567567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502">
        <f t="shared" si="0"/>
        <v>0</v>
      </c>
      <c r="E35" s="499"/>
      <c r="F35" s="586">
        <f t="shared" si="1"/>
        <v>0</v>
      </c>
      <c r="G35" s="1424">
        <f t="shared" si="1"/>
        <v>0</v>
      </c>
      <c r="H35" s="498">
        <f>SUM($F$9:F35)/A35</f>
        <v>17.307407407407403</v>
      </c>
      <c r="I35" s="499">
        <f>SUM($G$9:G35)/A35</f>
        <v>17.307407407407403</v>
      </c>
      <c r="J35" s="443">
        <f t="shared" si="7"/>
        <v>1190.4999999999998</v>
      </c>
      <c r="K35" s="459">
        <f t="shared" si="7"/>
        <v>1190.4999999999998</v>
      </c>
      <c r="L35" s="495">
        <f t="shared" si="3"/>
        <v>68.785576717312225</v>
      </c>
      <c r="M35" s="464">
        <f t="shared" si="3"/>
        <v>68.785576717312225</v>
      </c>
      <c r="N35" s="366"/>
      <c r="O35" s="586"/>
      <c r="P35" s="586">
        <f t="shared" si="4"/>
        <v>0</v>
      </c>
      <c r="Q35" s="586"/>
      <c r="R35" s="586">
        <f t="shared" si="5"/>
        <v>0</v>
      </c>
      <c r="S35" s="647">
        <f t="shared" si="6"/>
        <v>32.17567567567567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 t="shared" si="0"/>
        <v>0</v>
      </c>
      <c r="E36" s="499"/>
      <c r="F36" s="586">
        <f t="shared" si="1"/>
        <v>0</v>
      </c>
      <c r="G36" s="1424">
        <f t="shared" si="1"/>
        <v>0</v>
      </c>
      <c r="H36" s="498">
        <f>SUM($F$9:F36)/A36</f>
        <v>16.68928571428571</v>
      </c>
      <c r="I36" s="499">
        <f>SUM($G$9:G36)/A36</f>
        <v>16.68928571428571</v>
      </c>
      <c r="J36" s="443">
        <f t="shared" si="7"/>
        <v>1190.4999999999998</v>
      </c>
      <c r="K36" s="459">
        <f t="shared" si="7"/>
        <v>1190.4999999999998</v>
      </c>
      <c r="L36" s="495">
        <f t="shared" si="3"/>
        <v>71.333190669805276</v>
      </c>
      <c r="M36" s="464">
        <f t="shared" si="3"/>
        <v>71.333190669805276</v>
      </c>
      <c r="N36" s="366"/>
      <c r="O36" s="586"/>
      <c r="P36" s="586">
        <f t="shared" si="4"/>
        <v>0</v>
      </c>
      <c r="Q36" s="586"/>
      <c r="R36" s="586">
        <f t="shared" si="5"/>
        <v>0</v>
      </c>
      <c r="S36" s="647">
        <f t="shared" si="6"/>
        <v>32.17567567567567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104</v>
      </c>
      <c r="D37" s="502">
        <f t="shared" si="0"/>
        <v>0</v>
      </c>
      <c r="E37" s="499"/>
      <c r="F37" s="586">
        <f t="shared" si="1"/>
        <v>0</v>
      </c>
      <c r="G37" s="1424">
        <f t="shared" si="1"/>
        <v>0</v>
      </c>
      <c r="H37" s="498">
        <f>SUM($F$9:F37)/A37</f>
        <v>16.113793103448273</v>
      </c>
      <c r="I37" s="499">
        <f>SUM($G$9:G37)/A37</f>
        <v>16.113793103448273</v>
      </c>
      <c r="J37" s="443">
        <f t="shared" si="7"/>
        <v>1190.4999999999998</v>
      </c>
      <c r="K37" s="459">
        <f t="shared" si="7"/>
        <v>1190.4999999999998</v>
      </c>
      <c r="L37" s="495">
        <f t="shared" si="3"/>
        <v>73.880804622298314</v>
      </c>
      <c r="M37" s="464">
        <f t="shared" si="3"/>
        <v>73.880804622298314</v>
      </c>
      <c r="N37" s="366"/>
      <c r="O37" s="586"/>
      <c r="P37" s="586">
        <f t="shared" si="4"/>
        <v>0</v>
      </c>
      <c r="Q37" s="586"/>
      <c r="R37" s="586">
        <f t="shared" si="5"/>
        <v>0</v>
      </c>
      <c r="S37" s="647">
        <f t="shared" si="6"/>
        <v>32.17567567567567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104</v>
      </c>
      <c r="D38" s="502">
        <f t="shared" si="0"/>
        <v>0</v>
      </c>
      <c r="E38" s="499"/>
      <c r="F38" s="586">
        <f t="shared" si="1"/>
        <v>0</v>
      </c>
      <c r="G38" s="1424">
        <f t="shared" si="1"/>
        <v>0</v>
      </c>
      <c r="H38" s="504">
        <f>SUM($F$9:F38)/A38</f>
        <v>15.576666666666663</v>
      </c>
      <c r="I38" s="499">
        <f>SUM($G$9:G38)/A38</f>
        <v>15.576666666666663</v>
      </c>
      <c r="J38" s="504">
        <f t="shared" si="7"/>
        <v>1190.4999999999998</v>
      </c>
      <c r="K38" s="459">
        <f t="shared" si="7"/>
        <v>1190.4999999999998</v>
      </c>
      <c r="L38" s="505">
        <f t="shared" si="3"/>
        <v>76.428418574791365</v>
      </c>
      <c r="M38" s="464">
        <f t="shared" si="3"/>
        <v>76.428418574791365</v>
      </c>
      <c r="N38" s="366"/>
      <c r="O38" s="586"/>
      <c r="P38" s="586">
        <f t="shared" si="4"/>
        <v>0</v>
      </c>
      <c r="Q38" s="586"/>
      <c r="R38" s="586">
        <f t="shared" si="5"/>
        <v>0</v>
      </c>
      <c r="S38" s="647">
        <f t="shared" si="6"/>
        <v>32.17567567567567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104</v>
      </c>
      <c r="D39" s="502">
        <f t="shared" si="0"/>
        <v>0</v>
      </c>
      <c r="E39" s="499"/>
      <c r="F39" s="586">
        <f t="shared" si="1"/>
        <v>0</v>
      </c>
      <c r="G39" s="1424">
        <f t="shared" si="1"/>
        <v>0</v>
      </c>
      <c r="H39" s="498">
        <f>SUM($F$9:F39)/A39</f>
        <v>15.074193548387093</v>
      </c>
      <c r="I39" s="499">
        <f>SUM($G$9:G39)/A39</f>
        <v>15.074193548387093</v>
      </c>
      <c r="J39" s="443">
        <f t="shared" si="7"/>
        <v>1190.4999999999998</v>
      </c>
      <c r="K39" s="459">
        <f t="shared" si="7"/>
        <v>1190.4999999999998</v>
      </c>
      <c r="L39" s="495">
        <f t="shared" si="3"/>
        <v>78.976032527284403</v>
      </c>
      <c r="M39" s="464">
        <f t="shared" si="3"/>
        <v>78.976032527284403</v>
      </c>
      <c r="N39" s="366"/>
      <c r="O39" s="586"/>
      <c r="P39" s="586">
        <f t="shared" si="4"/>
        <v>0</v>
      </c>
      <c r="Q39" s="586"/>
      <c r="R39" s="586">
        <f t="shared" si="5"/>
        <v>0</v>
      </c>
      <c r="S39" s="647">
        <f t="shared" si="6"/>
        <v>32.17567567567567</v>
      </c>
    </row>
    <row r="40" spans="1:19" s="374" customFormat="1" ht="12" customHeight="1">
      <c r="A40" s="1407" t="s">
        <v>29</v>
      </c>
      <c r="B40" s="1408"/>
      <c r="C40" s="1409"/>
      <c r="D40" s="388">
        <f>SUM(D9:D39)</f>
        <v>0</v>
      </c>
      <c r="E40" s="388">
        <f>SUM(E9:E39)</f>
        <v>0</v>
      </c>
      <c r="F40" s="952">
        <f>SUM(F9:F39)</f>
        <v>467.2999999999999</v>
      </c>
      <c r="G40" s="953">
        <f>SUM(G9:G39)</f>
        <v>467.2999999999999</v>
      </c>
      <c r="H40" s="389"/>
      <c r="I40" s="496"/>
      <c r="J40" s="641">
        <f>J39</f>
        <v>1190.4999999999998</v>
      </c>
      <c r="K40" s="642">
        <f>K39</f>
        <v>1190.4999999999998</v>
      </c>
      <c r="L40" s="464"/>
      <c r="M40" s="464"/>
      <c r="N40" s="507"/>
      <c r="O40" s="389">
        <f>SUM(O9:O39)</f>
        <v>261.00000000000006</v>
      </c>
      <c r="P40" s="496">
        <f>SUM(P9:P39)</f>
        <v>261.00000000000006</v>
      </c>
      <c r="Q40" s="389">
        <f>SUM(Q9:Q39)</f>
        <v>206.3</v>
      </c>
      <c r="R40" s="496">
        <f>SUM(R9:R39)</f>
        <v>206.3</v>
      </c>
    </row>
    <row r="41" spans="1:19" s="374" customFormat="1" ht="12" customHeight="1">
      <c r="A41" s="1407" t="s">
        <v>15</v>
      </c>
      <c r="B41" s="1408"/>
      <c r="C41" s="1409"/>
      <c r="D41" s="388">
        <f>D8+D40</f>
        <v>1657.8</v>
      </c>
      <c r="E41" s="388">
        <f>E8+E40</f>
        <v>1657.8</v>
      </c>
      <c r="F41" s="954">
        <f>F40</f>
        <v>467.2999999999999</v>
      </c>
      <c r="G41" s="953">
        <f>G40</f>
        <v>467.2999999999999</v>
      </c>
      <c r="H41" s="389"/>
      <c r="I41" s="496"/>
      <c r="J41" s="641">
        <f>D41-F41</f>
        <v>1190.5</v>
      </c>
      <c r="K41" s="940">
        <f>E41-G41</f>
        <v>1190.5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pans="4:11">
      <c r="D49" s="143"/>
      <c r="E49" s="143"/>
      <c r="F49" s="143"/>
      <c r="G49" s="143"/>
      <c r="H49" s="143"/>
      <c r="I49" s="143"/>
      <c r="J49" s="143"/>
      <c r="K49" s="143"/>
    </row>
    <row r="58" spans="4:11">
      <c r="F58" s="142">
        <f>121.5+229.5</f>
        <v>351</v>
      </c>
    </row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855" priority="1" operator="lessThan">
      <formula>15</formula>
    </cfRule>
    <cfRule type="cellIs" dxfId="11854" priority="2" operator="greaterThan">
      <formula>20</formula>
    </cfRule>
    <cfRule type="cellIs" dxfId="11853" priority="3" operator="between">
      <formula>15</formula>
      <formula>20</formula>
    </cfRule>
    <cfRule type="cellIs" dxfId="11852" priority="4" operator="between">
      <formula>15</formula>
      <formula>20</formula>
    </cfRule>
    <cfRule type="cellIs" dxfId="11851" priority="5" operator="lessThan">
      <formula>15</formula>
    </cfRule>
    <cfRule type="cellIs" dxfId="11850" priority="6" operator="greaterThan">
      <formula>20</formula>
    </cfRule>
    <cfRule type="cellIs" dxfId="11849" priority="7" operator="between">
      <formula>15</formula>
      <formula>21</formula>
    </cfRule>
    <cfRule type="cellIs" dxfId="11848" priority="8" operator="lessThan">
      <formula>15</formula>
    </cfRule>
    <cfRule type="cellIs" dxfId="11847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FF"/>
  </sheetPr>
  <dimension ref="A1:AC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6.42578125" style="143" customWidth="1"/>
    <col min="4" max="7" width="10.140625" style="142" customWidth="1"/>
    <col min="8" max="9" width="9.28515625" style="142" customWidth="1"/>
    <col min="10" max="11" width="10.7109375" style="142" customWidth="1"/>
    <col min="12" max="13" width="12" style="143" customWidth="1"/>
    <col min="14" max="14" width="6" style="143" customWidth="1"/>
    <col min="15" max="18" width="10.8554687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733" customFormat="1" ht="18.75" customHeight="1">
      <c r="A4" s="1600" t="s">
        <v>33</v>
      </c>
      <c r="B4" s="1600"/>
      <c r="C4" s="316" t="str">
        <f>J4</f>
        <v>COMPOUD TRÁNG ĐẾ</v>
      </c>
      <c r="D4" s="383"/>
      <c r="E4" s="383" t="s">
        <v>228</v>
      </c>
      <c r="F4" s="383" t="s">
        <v>229</v>
      </c>
      <c r="G4" s="383"/>
      <c r="H4" s="383"/>
      <c r="I4" s="383" t="s">
        <v>114</v>
      </c>
      <c r="J4" s="318" t="s">
        <v>360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73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73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  <c r="T7" s="733"/>
    </row>
    <row r="8" spans="1:29" s="305" customFormat="1" ht="12" customHeight="1">
      <c r="A8" s="1597" t="s">
        <v>3</v>
      </c>
      <c r="B8" s="1598"/>
      <c r="C8" s="1599"/>
      <c r="D8" s="387">
        <f>J8</f>
        <v>17607.04</v>
      </c>
      <c r="E8" s="388">
        <f>K8</f>
        <v>20008</v>
      </c>
      <c r="F8" s="389">
        <f>F40</f>
        <v>3600</v>
      </c>
      <c r="G8" s="388">
        <f>G40</f>
        <v>4113</v>
      </c>
      <c r="H8" s="387"/>
      <c r="I8" s="388"/>
      <c r="J8" s="624">
        <f>K8-K8*N8</f>
        <v>17607.04</v>
      </c>
      <c r="K8" s="324">
        <v>20008</v>
      </c>
      <c r="L8" s="462"/>
      <c r="M8" s="463"/>
      <c r="N8" s="366">
        <v>0.12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1200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921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17607.04</v>
      </c>
      <c r="K9" s="459">
        <f>K8+E9-G9</f>
        <v>20008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14.672533333333334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ref="D10:D19" si="0">E10-E10*N10</f>
        <v>0</v>
      </c>
      <c r="E10" s="499"/>
      <c r="F10" s="586">
        <f t="shared" ref="F10:G39" si="1">O10+Q10</f>
        <v>0</v>
      </c>
      <c r="G10" s="1424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ref="J10:K25" si="2">J9+D10-F10</f>
        <v>17607.04</v>
      </c>
      <c r="K10" s="459">
        <f t="shared" si="2"/>
        <v>20008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14.672533333333334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0"/>
        <v>0</v>
      </c>
      <c r="E11" s="499"/>
      <c r="F11" s="586">
        <f t="shared" si="1"/>
        <v>0</v>
      </c>
      <c r="G11" s="1424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2"/>
        <v>17607.04</v>
      </c>
      <c r="K11" s="459">
        <f t="shared" si="2"/>
        <v>20008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14.672533333333334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0"/>
        <v>0</v>
      </c>
      <c r="E12" s="499"/>
      <c r="F12" s="586">
        <f t="shared" si="1"/>
        <v>1200</v>
      </c>
      <c r="G12" s="1424">
        <f t="shared" si="1"/>
        <v>1371</v>
      </c>
      <c r="H12" s="498">
        <f>SUM($F$9:F12)/A12</f>
        <v>300</v>
      </c>
      <c r="I12" s="499">
        <f>SUM($G$9:G12)/A12</f>
        <v>342.75</v>
      </c>
      <c r="J12" s="443">
        <f t="shared" si="2"/>
        <v>16407.04</v>
      </c>
      <c r="K12" s="459">
        <f t="shared" si="2"/>
        <v>18637</v>
      </c>
      <c r="L12" s="495">
        <f t="shared" si="3"/>
        <v>54.690133333333335</v>
      </c>
      <c r="M12" s="464">
        <f t="shared" si="3"/>
        <v>54.374908825674687</v>
      </c>
      <c r="N12" s="366"/>
      <c r="O12" s="446">
        <v>1200</v>
      </c>
      <c r="P12" s="446">
        <v>1371</v>
      </c>
      <c r="Q12" s="446"/>
      <c r="R12" s="446"/>
      <c r="S12" s="647">
        <f t="shared" si="4"/>
        <v>13.672533333333334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0"/>
        <v>0</v>
      </c>
      <c r="E13" s="499"/>
      <c r="F13" s="586">
        <f t="shared" si="1"/>
        <v>0</v>
      </c>
      <c r="G13" s="1424">
        <f t="shared" si="1"/>
        <v>0</v>
      </c>
      <c r="H13" s="504">
        <f>SUM($F$9:F13)/A13</f>
        <v>240</v>
      </c>
      <c r="I13" s="499">
        <f>SUM($G$9:G13)/A13</f>
        <v>274.2</v>
      </c>
      <c r="J13" s="504">
        <f t="shared" si="2"/>
        <v>16407.04</v>
      </c>
      <c r="K13" s="459">
        <f t="shared" si="2"/>
        <v>18637</v>
      </c>
      <c r="L13" s="505">
        <f t="shared" si="3"/>
        <v>68.362666666666669</v>
      </c>
      <c r="M13" s="464">
        <f t="shared" si="3"/>
        <v>67.968636032093372</v>
      </c>
      <c r="N13" s="366"/>
      <c r="O13" s="446"/>
      <c r="P13" s="446"/>
      <c r="Q13" s="446"/>
      <c r="R13" s="446"/>
      <c r="S13" s="647">
        <f t="shared" si="4"/>
        <v>13.672533333333334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334</v>
      </c>
      <c r="D14" s="502">
        <f t="shared" si="0"/>
        <v>0</v>
      </c>
      <c r="E14" s="499"/>
      <c r="F14" s="586">
        <f t="shared" si="1"/>
        <v>0</v>
      </c>
      <c r="G14" s="1424">
        <f t="shared" si="1"/>
        <v>0</v>
      </c>
      <c r="H14" s="498">
        <f>SUM($F$9:F14)/A14</f>
        <v>200</v>
      </c>
      <c r="I14" s="499">
        <f>SUM($G$9:G14)/A14</f>
        <v>228.5</v>
      </c>
      <c r="J14" s="443">
        <f t="shared" si="2"/>
        <v>16407.04</v>
      </c>
      <c r="K14" s="459">
        <f t="shared" si="2"/>
        <v>18637</v>
      </c>
      <c r="L14" s="495">
        <f t="shared" si="3"/>
        <v>82.035200000000003</v>
      </c>
      <c r="M14" s="464">
        <f t="shared" si="3"/>
        <v>81.562363238512035</v>
      </c>
      <c r="N14" s="366"/>
      <c r="O14" s="446"/>
      <c r="P14" s="446"/>
      <c r="Q14" s="446"/>
      <c r="R14" s="446"/>
      <c r="S14" s="647">
        <f t="shared" si="4"/>
        <v>13.672533333333334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334</v>
      </c>
      <c r="D15" s="502">
        <f t="shared" si="0"/>
        <v>0</v>
      </c>
      <c r="E15" s="499"/>
      <c r="F15" s="586">
        <f t="shared" si="1"/>
        <v>0</v>
      </c>
      <c r="G15" s="1424">
        <f t="shared" si="1"/>
        <v>0</v>
      </c>
      <c r="H15" s="498">
        <f>SUM($F$9:F15)/A15</f>
        <v>171.42857142857142</v>
      </c>
      <c r="I15" s="499">
        <f>SUM($G$9:G15)/A15</f>
        <v>195.85714285714286</v>
      </c>
      <c r="J15" s="443">
        <f t="shared" si="2"/>
        <v>16407.04</v>
      </c>
      <c r="K15" s="459">
        <f t="shared" si="2"/>
        <v>18637</v>
      </c>
      <c r="L15" s="495">
        <f t="shared" si="3"/>
        <v>95.707733333333351</v>
      </c>
      <c r="M15" s="464">
        <f t="shared" si="3"/>
        <v>95.156090444930712</v>
      </c>
      <c r="N15" s="366"/>
      <c r="O15" s="446"/>
      <c r="P15" s="446"/>
      <c r="Q15" s="446"/>
      <c r="R15" s="446"/>
      <c r="S15" s="647">
        <f t="shared" si="4"/>
        <v>13.672533333333334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0"/>
        <v>0</v>
      </c>
      <c r="E16" s="499"/>
      <c r="F16" s="586">
        <f t="shared" si="1"/>
        <v>0</v>
      </c>
      <c r="G16" s="1424">
        <f t="shared" si="1"/>
        <v>0</v>
      </c>
      <c r="H16" s="498">
        <f>SUM($F$9:F16)/A16</f>
        <v>150</v>
      </c>
      <c r="I16" s="499">
        <f>SUM($G$9:G16)/A16</f>
        <v>171.375</v>
      </c>
      <c r="J16" s="443">
        <f t="shared" si="2"/>
        <v>16407.04</v>
      </c>
      <c r="K16" s="459">
        <f t="shared" si="2"/>
        <v>18637</v>
      </c>
      <c r="L16" s="495">
        <f t="shared" si="3"/>
        <v>109.38026666666667</v>
      </c>
      <c r="M16" s="464">
        <f t="shared" si="3"/>
        <v>108.74981765134937</v>
      </c>
      <c r="N16" s="366"/>
      <c r="O16" s="446"/>
      <c r="P16" s="446"/>
      <c r="Q16" s="446"/>
      <c r="R16" s="446"/>
      <c r="S16" s="647">
        <f t="shared" si="4"/>
        <v>13.672533333333334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0"/>
        <v>0</v>
      </c>
      <c r="E17" s="499"/>
      <c r="F17" s="586">
        <f t="shared" si="1"/>
        <v>1200</v>
      </c>
      <c r="G17" s="1424">
        <f t="shared" si="1"/>
        <v>1371</v>
      </c>
      <c r="H17" s="498">
        <f>SUM($F$9:F17)/A17</f>
        <v>266.66666666666669</v>
      </c>
      <c r="I17" s="499">
        <f>SUM($G$9:G17)/A17</f>
        <v>304.66666666666669</v>
      </c>
      <c r="J17" s="443">
        <f t="shared" si="2"/>
        <v>15207.04</v>
      </c>
      <c r="K17" s="459">
        <f t="shared" si="2"/>
        <v>17266</v>
      </c>
      <c r="L17" s="495">
        <f t="shared" si="3"/>
        <v>57.026400000000002</v>
      </c>
      <c r="M17" s="464">
        <f t="shared" si="3"/>
        <v>56.671772428884026</v>
      </c>
      <c r="N17" s="366"/>
      <c r="O17" s="446">
        <v>1200</v>
      </c>
      <c r="P17" s="446">
        <v>1371</v>
      </c>
      <c r="Q17" s="446"/>
      <c r="R17" s="446"/>
      <c r="S17" s="647">
        <f t="shared" si="4"/>
        <v>12.672533333333334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0"/>
        <v>0</v>
      </c>
      <c r="E18" s="499"/>
      <c r="F18" s="586">
        <f t="shared" si="1"/>
        <v>0</v>
      </c>
      <c r="G18" s="1424">
        <f t="shared" si="1"/>
        <v>0</v>
      </c>
      <c r="H18" s="504">
        <f>SUM($F$9:F18)/A18</f>
        <v>240</v>
      </c>
      <c r="I18" s="499">
        <f>SUM($G$9:G18)/A18</f>
        <v>274.2</v>
      </c>
      <c r="J18" s="504">
        <f t="shared" si="2"/>
        <v>15207.04</v>
      </c>
      <c r="K18" s="459">
        <f t="shared" si="2"/>
        <v>17266</v>
      </c>
      <c r="L18" s="505">
        <f t="shared" si="3"/>
        <v>63.362666666666669</v>
      </c>
      <c r="M18" s="464">
        <f t="shared" si="3"/>
        <v>62.968636032093364</v>
      </c>
      <c r="N18" s="366"/>
      <c r="O18" s="446"/>
      <c r="P18" s="446"/>
      <c r="Q18" s="446"/>
      <c r="R18" s="446"/>
      <c r="S18" s="647">
        <f t="shared" si="4"/>
        <v>12.672533333333334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0"/>
        <v>0</v>
      </c>
      <c r="E19" s="499"/>
      <c r="F19" s="586">
        <f t="shared" si="1"/>
        <v>0</v>
      </c>
      <c r="G19" s="1424">
        <f t="shared" si="1"/>
        <v>0</v>
      </c>
      <c r="H19" s="498">
        <f>SUM($F$9:F19)/A19</f>
        <v>218.18181818181819</v>
      </c>
      <c r="I19" s="499">
        <f>SUM($G$9:G19)/A19</f>
        <v>249.27272727272728</v>
      </c>
      <c r="J19" s="443">
        <f t="shared" si="2"/>
        <v>15207.04</v>
      </c>
      <c r="K19" s="459">
        <f t="shared" si="2"/>
        <v>17266</v>
      </c>
      <c r="L19" s="495">
        <f t="shared" si="3"/>
        <v>69.698933333333329</v>
      </c>
      <c r="M19" s="464">
        <f t="shared" si="3"/>
        <v>69.265499635302703</v>
      </c>
      <c r="N19" s="366"/>
      <c r="O19" s="446"/>
      <c r="P19" s="446"/>
      <c r="Q19" s="446"/>
      <c r="R19" s="446"/>
      <c r="S19" s="647">
        <f t="shared" si="4"/>
        <v>12.672533333333334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>E20-E20*N20</f>
        <v>0</v>
      </c>
      <c r="E20" s="499"/>
      <c r="F20" s="586">
        <f t="shared" si="1"/>
        <v>0</v>
      </c>
      <c r="G20" s="1424">
        <f t="shared" si="1"/>
        <v>0</v>
      </c>
      <c r="H20" s="498">
        <f>SUM($F$9:F20)/A20</f>
        <v>200</v>
      </c>
      <c r="I20" s="499">
        <f>SUM($G$9:G20)/A20</f>
        <v>228.5</v>
      </c>
      <c r="J20" s="443">
        <f t="shared" si="2"/>
        <v>15207.04</v>
      </c>
      <c r="K20" s="459">
        <f t="shared" si="2"/>
        <v>17266</v>
      </c>
      <c r="L20" s="495">
        <f t="shared" si="3"/>
        <v>76.035200000000003</v>
      </c>
      <c r="M20" s="464">
        <f t="shared" si="3"/>
        <v>75.562363238512035</v>
      </c>
      <c r="N20" s="366"/>
      <c r="O20" s="446"/>
      <c r="P20" s="446"/>
      <c r="Q20" s="446"/>
      <c r="R20" s="446"/>
      <c r="S20" s="647">
        <f t="shared" si="4"/>
        <v>12.672533333333334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ref="D21:D39" si="5">E21-E21*N21</f>
        <v>0</v>
      </c>
      <c r="E21" s="499"/>
      <c r="F21" s="586">
        <f t="shared" si="1"/>
        <v>0</v>
      </c>
      <c r="G21" s="1424">
        <f t="shared" si="1"/>
        <v>0</v>
      </c>
      <c r="H21" s="498">
        <f>SUM($F$9:F21)/A21</f>
        <v>184.61538461538461</v>
      </c>
      <c r="I21" s="499">
        <f>SUM($G$9:G21)/A21</f>
        <v>210.92307692307693</v>
      </c>
      <c r="J21" s="443">
        <f t="shared" si="2"/>
        <v>15207.04</v>
      </c>
      <c r="K21" s="459">
        <f t="shared" si="2"/>
        <v>17266</v>
      </c>
      <c r="L21" s="495">
        <f t="shared" si="3"/>
        <v>82.371466666666677</v>
      </c>
      <c r="M21" s="464">
        <f t="shared" si="3"/>
        <v>81.859226841721366</v>
      </c>
      <c r="N21" s="366"/>
      <c r="O21" s="446"/>
      <c r="P21" s="446"/>
      <c r="Q21" s="446"/>
      <c r="R21" s="446"/>
      <c r="S21" s="647">
        <f t="shared" si="4"/>
        <v>12.672533333333334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5"/>
        <v>0</v>
      </c>
      <c r="E22" s="499"/>
      <c r="F22" s="586">
        <f t="shared" si="1"/>
        <v>1200</v>
      </c>
      <c r="G22" s="1424">
        <f t="shared" si="1"/>
        <v>1371</v>
      </c>
      <c r="H22" s="498">
        <f>SUM($F$9:F22)/A22</f>
        <v>257.14285714285717</v>
      </c>
      <c r="I22" s="499">
        <f>SUM($G$9:G22)/A22</f>
        <v>293.78571428571428</v>
      </c>
      <c r="J22" s="443">
        <f t="shared" si="2"/>
        <v>14007.04</v>
      </c>
      <c r="K22" s="459">
        <f t="shared" si="2"/>
        <v>15895</v>
      </c>
      <c r="L22" s="495">
        <f t="shared" si="3"/>
        <v>54.471822222222222</v>
      </c>
      <c r="M22" s="464">
        <f t="shared" si="3"/>
        <v>54.104060296620474</v>
      </c>
      <c r="N22" s="366"/>
      <c r="O22" s="446">
        <v>1200</v>
      </c>
      <c r="P22" s="446">
        <v>1371</v>
      </c>
      <c r="Q22" s="446"/>
      <c r="R22" s="446"/>
      <c r="S22" s="647">
        <f t="shared" si="4"/>
        <v>11.672533333333334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5"/>
        <v>0</v>
      </c>
      <c r="E23" s="499"/>
      <c r="F23" s="586">
        <f t="shared" si="1"/>
        <v>0</v>
      </c>
      <c r="G23" s="1424">
        <f t="shared" si="1"/>
        <v>0</v>
      </c>
      <c r="H23" s="504">
        <f>SUM($F$9:F23)/A23</f>
        <v>240</v>
      </c>
      <c r="I23" s="499">
        <f>SUM($G$9:G23)/A23</f>
        <v>274.2</v>
      </c>
      <c r="J23" s="504">
        <f t="shared" si="2"/>
        <v>14007.04</v>
      </c>
      <c r="K23" s="459">
        <f t="shared" si="2"/>
        <v>15895</v>
      </c>
      <c r="L23" s="505">
        <f t="shared" si="3"/>
        <v>58.362666666666669</v>
      </c>
      <c r="M23" s="464">
        <f t="shared" si="3"/>
        <v>57.968636032093364</v>
      </c>
      <c r="N23" s="366"/>
      <c r="O23" s="446"/>
      <c r="P23" s="446"/>
      <c r="Q23" s="446"/>
      <c r="R23" s="446"/>
      <c r="S23" s="647">
        <f t="shared" si="4"/>
        <v>11.672533333333334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5"/>
        <v>0</v>
      </c>
      <c r="E24" s="499"/>
      <c r="F24" s="586">
        <f t="shared" si="1"/>
        <v>0</v>
      </c>
      <c r="G24" s="1424">
        <f t="shared" si="1"/>
        <v>0</v>
      </c>
      <c r="H24" s="498">
        <f>SUM($F$9:F24)/A24</f>
        <v>225</v>
      </c>
      <c r="I24" s="499">
        <f>SUM($G$9:G24)/A24</f>
        <v>257.0625</v>
      </c>
      <c r="J24" s="443">
        <f t="shared" si="2"/>
        <v>14007.04</v>
      </c>
      <c r="K24" s="459">
        <f>K23+E24-G24</f>
        <v>15895</v>
      </c>
      <c r="L24" s="495">
        <f t="shared" si="3"/>
        <v>62.253511111111116</v>
      </c>
      <c r="M24" s="464">
        <f t="shared" si="3"/>
        <v>61.833211767566254</v>
      </c>
      <c r="N24" s="366"/>
      <c r="O24" s="446"/>
      <c r="P24" s="446"/>
      <c r="Q24" s="446"/>
      <c r="R24" s="446"/>
      <c r="S24" s="647">
        <f t="shared" si="4"/>
        <v>11.672533333333334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334</v>
      </c>
      <c r="D25" s="502">
        <f t="shared" si="5"/>
        <v>0</v>
      </c>
      <c r="E25" s="499"/>
      <c r="F25" s="586">
        <f t="shared" si="1"/>
        <v>0</v>
      </c>
      <c r="G25" s="1424">
        <f t="shared" si="1"/>
        <v>0</v>
      </c>
      <c r="H25" s="498">
        <f>SUM($F$9:F25)/A25</f>
        <v>211.76470588235293</v>
      </c>
      <c r="I25" s="499">
        <f>SUM($G$9:G25)/A25</f>
        <v>241.94117647058823</v>
      </c>
      <c r="J25" s="443">
        <f t="shared" si="2"/>
        <v>14007.04</v>
      </c>
      <c r="K25" s="459">
        <f>K24+E25-G25</f>
        <v>15895</v>
      </c>
      <c r="L25" s="495">
        <f t="shared" si="3"/>
        <v>66.144355555555563</v>
      </c>
      <c r="M25" s="464">
        <f t="shared" si="3"/>
        <v>65.697787503039152</v>
      </c>
      <c r="N25" s="366"/>
      <c r="O25" s="446"/>
      <c r="P25" s="446"/>
      <c r="Q25" s="446"/>
      <c r="R25" s="446"/>
      <c r="S25" s="647">
        <f t="shared" si="4"/>
        <v>11.672533333333334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5"/>
        <v>0</v>
      </c>
      <c r="E26" s="499"/>
      <c r="F26" s="586">
        <f t="shared" si="1"/>
        <v>0</v>
      </c>
      <c r="G26" s="1424">
        <f t="shared" si="1"/>
        <v>0</v>
      </c>
      <c r="H26" s="498">
        <f>SUM($F$9:F26)/A26</f>
        <v>200</v>
      </c>
      <c r="I26" s="499">
        <f>SUM($G$9:G26)/A26</f>
        <v>228.5</v>
      </c>
      <c r="J26" s="443">
        <f t="shared" ref="J26:K39" si="6">J25+D26-F26</f>
        <v>14007.04</v>
      </c>
      <c r="K26" s="459">
        <f t="shared" si="6"/>
        <v>15895</v>
      </c>
      <c r="L26" s="495">
        <f t="shared" si="3"/>
        <v>70.035200000000003</v>
      </c>
      <c r="M26" s="464">
        <f t="shared" si="3"/>
        <v>69.562363238512035</v>
      </c>
      <c r="N26" s="366"/>
      <c r="O26" s="446"/>
      <c r="P26" s="446"/>
      <c r="Q26" s="446"/>
      <c r="R26" s="446"/>
      <c r="S26" s="647">
        <f t="shared" si="4"/>
        <v>11.672533333333334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5"/>
        <v>0</v>
      </c>
      <c r="E27" s="499"/>
      <c r="F27" s="586">
        <f t="shared" si="1"/>
        <v>0</v>
      </c>
      <c r="G27" s="1424">
        <f t="shared" si="1"/>
        <v>0</v>
      </c>
      <c r="H27" s="498">
        <f>SUM($F$9:F27)/A27</f>
        <v>189.47368421052633</v>
      </c>
      <c r="I27" s="499">
        <f>SUM($G$9:G27)/A27</f>
        <v>216.47368421052633</v>
      </c>
      <c r="J27" s="443">
        <f t="shared" si="6"/>
        <v>14007.04</v>
      </c>
      <c r="K27" s="459">
        <f t="shared" si="6"/>
        <v>15895</v>
      </c>
      <c r="L27" s="495">
        <f t="shared" si="3"/>
        <v>73.926044444444443</v>
      </c>
      <c r="M27" s="464">
        <f t="shared" si="3"/>
        <v>73.426938973984917</v>
      </c>
      <c r="N27" s="366"/>
      <c r="O27" s="446"/>
      <c r="P27" s="446"/>
      <c r="Q27" s="446"/>
      <c r="R27" s="446"/>
      <c r="S27" s="647">
        <f t="shared" si="4"/>
        <v>11.672533333333334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5"/>
        <v>0</v>
      </c>
      <c r="E28" s="499"/>
      <c r="F28" s="586">
        <f t="shared" si="1"/>
        <v>0</v>
      </c>
      <c r="G28" s="1424">
        <f t="shared" si="1"/>
        <v>0</v>
      </c>
      <c r="H28" s="504">
        <f>SUM($F$9:F28)/A28</f>
        <v>180</v>
      </c>
      <c r="I28" s="499">
        <f>SUM($G$9:G28)/A28</f>
        <v>205.65</v>
      </c>
      <c r="J28" s="504">
        <f t="shared" si="6"/>
        <v>14007.04</v>
      </c>
      <c r="K28" s="459">
        <f t="shared" si="6"/>
        <v>15895</v>
      </c>
      <c r="L28" s="505">
        <f t="shared" si="3"/>
        <v>77.816888888888897</v>
      </c>
      <c r="M28" s="464">
        <f t="shared" si="3"/>
        <v>77.291514709457815</v>
      </c>
      <c r="N28" s="366"/>
      <c r="O28" s="446"/>
      <c r="P28" s="446"/>
      <c r="Q28" s="446"/>
      <c r="R28" s="446"/>
      <c r="S28" s="647">
        <f t="shared" si="4"/>
        <v>11.672533333333334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5"/>
        <v>0</v>
      </c>
      <c r="E29" s="499"/>
      <c r="F29" s="586">
        <f t="shared" si="1"/>
        <v>0</v>
      </c>
      <c r="G29" s="1424">
        <f t="shared" si="1"/>
        <v>0</v>
      </c>
      <c r="H29" s="498">
        <f>SUM($F$9:F29)/A29</f>
        <v>171.42857142857142</v>
      </c>
      <c r="I29" s="499">
        <f>SUM($G$9:G29)/A29</f>
        <v>195.85714285714286</v>
      </c>
      <c r="J29" s="443">
        <f t="shared" si="6"/>
        <v>14007.04</v>
      </c>
      <c r="K29" s="459">
        <f t="shared" si="6"/>
        <v>15895</v>
      </c>
      <c r="L29" s="495">
        <f t="shared" si="3"/>
        <v>81.707733333333351</v>
      </c>
      <c r="M29" s="464">
        <f t="shared" si="3"/>
        <v>81.156090444930712</v>
      </c>
      <c r="N29" s="366"/>
      <c r="O29" s="446"/>
      <c r="P29" s="446"/>
      <c r="Q29" s="446"/>
      <c r="R29" s="446"/>
      <c r="S29" s="647">
        <f t="shared" si="4"/>
        <v>11.672533333333334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346</v>
      </c>
      <c r="D30" s="502">
        <f t="shared" si="5"/>
        <v>0</v>
      </c>
      <c r="E30" s="499"/>
      <c r="F30" s="586">
        <f t="shared" si="1"/>
        <v>0</v>
      </c>
      <c r="G30" s="1424">
        <f t="shared" si="1"/>
        <v>0</v>
      </c>
      <c r="H30" s="498">
        <f>SUM($F$9:F30)/A30</f>
        <v>163.63636363636363</v>
      </c>
      <c r="I30" s="499">
        <f>SUM($G$9:G30)/A30</f>
        <v>186.95454545454547</v>
      </c>
      <c r="J30" s="443">
        <f t="shared" si="6"/>
        <v>14007.04</v>
      </c>
      <c r="K30" s="459">
        <f t="shared" si="6"/>
        <v>15895</v>
      </c>
      <c r="L30" s="495">
        <f t="shared" si="3"/>
        <v>85.598577777777791</v>
      </c>
      <c r="M30" s="464">
        <f t="shared" si="3"/>
        <v>85.020666180403595</v>
      </c>
      <c r="N30" s="366"/>
      <c r="O30" s="446"/>
      <c r="P30" s="446"/>
      <c r="Q30" s="446"/>
      <c r="R30" s="446"/>
      <c r="S30" s="647">
        <f t="shared" si="4"/>
        <v>11.672533333333334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334</v>
      </c>
      <c r="D31" s="502">
        <f t="shared" si="5"/>
        <v>0</v>
      </c>
      <c r="E31" s="499"/>
      <c r="F31" s="586">
        <f t="shared" si="1"/>
        <v>0</v>
      </c>
      <c r="G31" s="1424">
        <f t="shared" si="1"/>
        <v>0</v>
      </c>
      <c r="H31" s="498">
        <f>SUM($F$9:F31)/A31</f>
        <v>156.52173913043478</v>
      </c>
      <c r="I31" s="499">
        <f>SUM($G$9:G31)/A31</f>
        <v>178.82608695652175</v>
      </c>
      <c r="J31" s="443">
        <f>J30+D31-F31</f>
        <v>14007.04</v>
      </c>
      <c r="K31" s="459">
        <f t="shared" si="6"/>
        <v>15895</v>
      </c>
      <c r="L31" s="495">
        <f t="shared" si="3"/>
        <v>89.489422222222231</v>
      </c>
      <c r="M31" s="464">
        <f t="shared" si="3"/>
        <v>88.885241915876477</v>
      </c>
      <c r="N31" s="366"/>
      <c r="O31" s="446"/>
      <c r="P31" s="446"/>
      <c r="Q31" s="446"/>
      <c r="R31" s="446"/>
      <c r="S31" s="647">
        <f t="shared" si="4"/>
        <v>11.672533333333334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334</v>
      </c>
      <c r="D32" s="502">
        <f t="shared" si="5"/>
        <v>0</v>
      </c>
      <c r="E32" s="499"/>
      <c r="F32" s="586">
        <f t="shared" si="1"/>
        <v>0</v>
      </c>
      <c r="G32" s="1424">
        <f t="shared" si="1"/>
        <v>0</v>
      </c>
      <c r="H32" s="498">
        <f>SUM($F$9:F32)/A32</f>
        <v>150</v>
      </c>
      <c r="I32" s="499">
        <f>SUM($G$9:G32)/A32</f>
        <v>171.375</v>
      </c>
      <c r="J32" s="443">
        <f t="shared" si="6"/>
        <v>14007.04</v>
      </c>
      <c r="K32" s="459">
        <f t="shared" si="6"/>
        <v>15895</v>
      </c>
      <c r="L32" s="495">
        <f t="shared" si="3"/>
        <v>93.380266666666671</v>
      </c>
      <c r="M32" s="464">
        <f t="shared" si="3"/>
        <v>92.749817651349375</v>
      </c>
      <c r="N32" s="366"/>
      <c r="O32" s="446"/>
      <c r="P32" s="446"/>
      <c r="Q32" s="446"/>
      <c r="R32" s="446"/>
      <c r="S32" s="647">
        <f t="shared" si="4"/>
        <v>11.672533333333334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334</v>
      </c>
      <c r="D33" s="502">
        <f t="shared" si="5"/>
        <v>0</v>
      </c>
      <c r="E33" s="499"/>
      <c r="F33" s="586">
        <f t="shared" si="1"/>
        <v>0</v>
      </c>
      <c r="G33" s="1424">
        <f t="shared" si="1"/>
        <v>0</v>
      </c>
      <c r="H33" s="460">
        <f>SUM($F$9:F33)/A33</f>
        <v>144</v>
      </c>
      <c r="I33" s="499">
        <f>SUM($G$9:G33)/A33</f>
        <v>164.52</v>
      </c>
      <c r="J33" s="460">
        <f>J32+D33-F33</f>
        <v>14007.04</v>
      </c>
      <c r="K33" s="459">
        <f t="shared" si="6"/>
        <v>15895</v>
      </c>
      <c r="L33" s="506">
        <f t="shared" si="3"/>
        <v>97.271111111111111</v>
      </c>
      <c r="M33" s="464">
        <f t="shared" si="3"/>
        <v>96.614393386822272</v>
      </c>
      <c r="N33" s="366"/>
      <c r="O33" s="446"/>
      <c r="P33" s="446"/>
      <c r="Q33" s="446"/>
      <c r="R33" s="446"/>
      <c r="S33" s="647">
        <f t="shared" si="4"/>
        <v>11.672533333333334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334</v>
      </c>
      <c r="D34" s="502">
        <f t="shared" si="5"/>
        <v>0</v>
      </c>
      <c r="E34" s="499"/>
      <c r="F34" s="586">
        <f t="shared" si="1"/>
        <v>0</v>
      </c>
      <c r="G34" s="1424">
        <f t="shared" si="1"/>
        <v>0</v>
      </c>
      <c r="H34" s="498">
        <f>SUM($F$9:F34)/A34</f>
        <v>138.46153846153845</v>
      </c>
      <c r="I34" s="499">
        <f>SUM($G$9:G34)/A34</f>
        <v>158.19230769230768</v>
      </c>
      <c r="J34" s="443">
        <f t="shared" si="6"/>
        <v>14007.04</v>
      </c>
      <c r="K34" s="459">
        <f t="shared" si="6"/>
        <v>15895</v>
      </c>
      <c r="L34" s="495">
        <f t="shared" si="3"/>
        <v>101.16195555555556</v>
      </c>
      <c r="M34" s="464">
        <f t="shared" si="3"/>
        <v>100.47896912229517</v>
      </c>
      <c r="N34" s="366"/>
      <c r="O34" s="446"/>
      <c r="P34" s="446"/>
      <c r="Q34" s="446"/>
      <c r="R34" s="446"/>
      <c r="S34" s="647">
        <f t="shared" si="4"/>
        <v>11.672533333333334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334</v>
      </c>
      <c r="D35" s="502">
        <f t="shared" si="5"/>
        <v>0</v>
      </c>
      <c r="E35" s="499"/>
      <c r="F35" s="586">
        <f t="shared" si="1"/>
        <v>0</v>
      </c>
      <c r="G35" s="1424">
        <f t="shared" si="1"/>
        <v>0</v>
      </c>
      <c r="H35" s="498">
        <f>SUM($F$9:F35)/A35</f>
        <v>133.33333333333334</v>
      </c>
      <c r="I35" s="499">
        <f>SUM($G$9:G35)/A35</f>
        <v>152.33333333333334</v>
      </c>
      <c r="J35" s="443">
        <f t="shared" si="6"/>
        <v>14007.04</v>
      </c>
      <c r="K35" s="459">
        <f t="shared" si="6"/>
        <v>15895</v>
      </c>
      <c r="L35" s="495">
        <f t="shared" si="3"/>
        <v>105.0528</v>
      </c>
      <c r="M35" s="464">
        <f t="shared" si="3"/>
        <v>104.34354485776805</v>
      </c>
      <c r="N35" s="366"/>
      <c r="O35" s="446"/>
      <c r="P35" s="446"/>
      <c r="Q35" s="446"/>
      <c r="R35" s="446"/>
      <c r="S35" s="647">
        <f t="shared" si="4"/>
        <v>11.672533333333334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334</v>
      </c>
      <c r="D36" s="502">
        <f>E36-E36*N36</f>
        <v>0</v>
      </c>
      <c r="E36" s="499"/>
      <c r="F36" s="586">
        <f t="shared" si="1"/>
        <v>0</v>
      </c>
      <c r="G36" s="1424">
        <f t="shared" si="1"/>
        <v>0</v>
      </c>
      <c r="H36" s="498">
        <f>SUM($F$9:F36)/A36</f>
        <v>128.57142857142858</v>
      </c>
      <c r="I36" s="499">
        <f>SUM($G$9:G36)/A36</f>
        <v>146.89285714285714</v>
      </c>
      <c r="J36" s="443">
        <f t="shared" si="6"/>
        <v>14007.04</v>
      </c>
      <c r="K36" s="459">
        <f t="shared" si="6"/>
        <v>15895</v>
      </c>
      <c r="L36" s="495">
        <f t="shared" si="3"/>
        <v>108.94364444444444</v>
      </c>
      <c r="M36" s="464">
        <f t="shared" si="3"/>
        <v>108.20812059324095</v>
      </c>
      <c r="N36" s="366"/>
      <c r="O36" s="446"/>
      <c r="P36" s="446"/>
      <c r="Q36" s="446"/>
      <c r="R36" s="446"/>
      <c r="S36" s="647">
        <f t="shared" si="4"/>
        <v>11.672533333333334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5"/>
        <v>0</v>
      </c>
      <c r="E37" s="499"/>
      <c r="F37" s="586">
        <f t="shared" si="1"/>
        <v>0</v>
      </c>
      <c r="G37" s="1424">
        <f t="shared" si="1"/>
        <v>0</v>
      </c>
      <c r="H37" s="498">
        <f>SUM($F$9:F37)/A37</f>
        <v>124.13793103448276</v>
      </c>
      <c r="I37" s="499">
        <f>SUM($G$9:G37)/A37</f>
        <v>141.82758620689654</v>
      </c>
      <c r="J37" s="443">
        <f t="shared" si="6"/>
        <v>14007.04</v>
      </c>
      <c r="K37" s="459">
        <f t="shared" si="6"/>
        <v>15895</v>
      </c>
      <c r="L37" s="495">
        <f t="shared" si="3"/>
        <v>112.8344888888889</v>
      </c>
      <c r="M37" s="464">
        <f t="shared" si="3"/>
        <v>112.07269632871385</v>
      </c>
      <c r="N37" s="366"/>
      <c r="O37" s="446"/>
      <c r="P37" s="446"/>
      <c r="Q37" s="446"/>
      <c r="R37" s="446"/>
      <c r="S37" s="647">
        <f t="shared" si="4"/>
        <v>11.672533333333334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5"/>
        <v>0</v>
      </c>
      <c r="E38" s="499"/>
      <c r="F38" s="586">
        <f t="shared" si="1"/>
        <v>0</v>
      </c>
      <c r="G38" s="1424">
        <f t="shared" si="1"/>
        <v>0</v>
      </c>
      <c r="H38" s="504">
        <f>SUM($F$9:F38)/A38</f>
        <v>120</v>
      </c>
      <c r="I38" s="499">
        <f>SUM($G$9:G38)/A38</f>
        <v>137.1</v>
      </c>
      <c r="J38" s="504">
        <f t="shared" si="6"/>
        <v>14007.04</v>
      </c>
      <c r="K38" s="459">
        <f t="shared" si="6"/>
        <v>15895</v>
      </c>
      <c r="L38" s="505">
        <f t="shared" si="3"/>
        <v>116.72533333333334</v>
      </c>
      <c r="M38" s="464">
        <f t="shared" si="3"/>
        <v>115.93727206418673</v>
      </c>
      <c r="N38" s="366"/>
      <c r="O38" s="446"/>
      <c r="P38" s="446"/>
      <c r="Q38" s="446"/>
      <c r="R38" s="446"/>
      <c r="S38" s="647">
        <f t="shared" si="4"/>
        <v>11.672533333333334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5"/>
        <v>0</v>
      </c>
      <c r="E39" s="499"/>
      <c r="F39" s="586">
        <f t="shared" si="1"/>
        <v>0</v>
      </c>
      <c r="G39" s="1424">
        <f t="shared" si="1"/>
        <v>0</v>
      </c>
      <c r="H39" s="498">
        <f>SUM($F$9:F39)/A39</f>
        <v>116.12903225806451</v>
      </c>
      <c r="I39" s="499">
        <f>SUM($G$9:G39)/A39</f>
        <v>132.67741935483872</v>
      </c>
      <c r="J39" s="443">
        <f t="shared" si="6"/>
        <v>14007.04</v>
      </c>
      <c r="K39" s="459">
        <f t="shared" si="6"/>
        <v>15895</v>
      </c>
      <c r="L39" s="495">
        <f t="shared" si="3"/>
        <v>120.61617777777779</v>
      </c>
      <c r="M39" s="464">
        <f t="shared" si="3"/>
        <v>119.80184779965961</v>
      </c>
      <c r="N39" s="366"/>
      <c r="O39" s="446"/>
      <c r="P39" s="446"/>
      <c r="Q39" s="446"/>
      <c r="R39" s="446"/>
      <c r="S39" s="647">
        <f t="shared" si="4"/>
        <v>11.672533333333334</v>
      </c>
    </row>
    <row r="40" spans="1:19" s="374" customFormat="1" ht="12" customHeight="1">
      <c r="A40" s="734" t="s">
        <v>29</v>
      </c>
      <c r="B40" s="735"/>
      <c r="C40" s="736"/>
      <c r="D40" s="388">
        <f>SUM(D9:D39)</f>
        <v>0</v>
      </c>
      <c r="E40" s="388">
        <f>SUM(E9:E39)</f>
        <v>0</v>
      </c>
      <c r="F40" s="389">
        <f>SUM(F9:F39)</f>
        <v>3600</v>
      </c>
      <c r="G40" s="496">
        <f>SUM(G9:G39)</f>
        <v>4113</v>
      </c>
      <c r="H40" s="389"/>
      <c r="I40" s="496"/>
      <c r="J40" s="389">
        <f>J39</f>
        <v>14007.04</v>
      </c>
      <c r="K40" s="461">
        <f>K39</f>
        <v>15895</v>
      </c>
      <c r="L40" s="464"/>
      <c r="M40" s="464"/>
      <c r="N40" s="507"/>
      <c r="O40" s="389">
        <f>SUM(O9:O39)</f>
        <v>3600</v>
      </c>
      <c r="P40" s="496">
        <f>SUM(P9:P39)</f>
        <v>4113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734" t="s">
        <v>15</v>
      </c>
      <c r="B41" s="735"/>
      <c r="C41" s="736"/>
      <c r="D41" s="388">
        <f>D8+D40</f>
        <v>17607.04</v>
      </c>
      <c r="E41" s="388">
        <f>E8+E40</f>
        <v>20008</v>
      </c>
      <c r="F41" s="389">
        <f>F40</f>
        <v>3600</v>
      </c>
      <c r="G41" s="496">
        <f>G40</f>
        <v>4113</v>
      </c>
      <c r="H41" s="389"/>
      <c r="I41" s="496"/>
      <c r="J41" s="389">
        <f>D41-F41</f>
        <v>14007.04</v>
      </c>
      <c r="K41" s="389">
        <f>E41-G41</f>
        <v>15895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846" priority="1" operator="lessThan">
      <formula>15</formula>
    </cfRule>
    <cfRule type="cellIs" dxfId="11845" priority="2" operator="greaterThan">
      <formula>20</formula>
    </cfRule>
    <cfRule type="cellIs" dxfId="11844" priority="3" operator="between">
      <formula>15</formula>
      <formula>20</formula>
    </cfRule>
    <cfRule type="cellIs" dxfId="11843" priority="4" operator="between">
      <formula>15</formula>
      <formula>20</formula>
    </cfRule>
    <cfRule type="cellIs" dxfId="11842" priority="5" operator="lessThan">
      <formula>15</formula>
    </cfRule>
    <cfRule type="cellIs" dxfId="11841" priority="6" operator="greaterThan">
      <formula>20</formula>
    </cfRule>
    <cfRule type="cellIs" dxfId="11840" priority="7" operator="between">
      <formula>15</formula>
      <formula>21</formula>
    </cfRule>
    <cfRule type="cellIs" dxfId="11839" priority="8" operator="lessThan">
      <formula>15</formula>
    </cfRule>
    <cfRule type="cellIs" dxfId="11838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23622047244094491"/>
  <pageSetup paperSize="8" orientation="landscape" horizontalDpi="4294967292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FF"/>
  </sheetPr>
  <dimension ref="A1:AC49"/>
  <sheetViews>
    <sheetView workbookViewId="0">
      <pane ySplit="8" topLeftCell="A9" activePane="bottomLeft" state="frozen"/>
      <selection pane="bottomLeft" activeCell="O20" sqref="O19:P2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6.42578125" style="143" customWidth="1"/>
    <col min="4" max="7" width="10.140625" style="142" customWidth="1"/>
    <col min="8" max="9" width="9.28515625" style="142" customWidth="1"/>
    <col min="10" max="11" width="10.7109375" style="142" customWidth="1"/>
    <col min="12" max="13" width="12" style="143" customWidth="1"/>
    <col min="14" max="14" width="6" style="143" customWidth="1"/>
    <col min="15" max="18" width="9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">
        <v>274</v>
      </c>
      <c r="D4" s="383"/>
      <c r="E4" s="383" t="s">
        <v>228</v>
      </c>
      <c r="F4" s="383" t="s">
        <v>229</v>
      </c>
      <c r="G4" s="383"/>
      <c r="H4" s="383"/>
      <c r="I4" s="383" t="s">
        <v>114</v>
      </c>
      <c r="J4" s="318" t="s">
        <v>189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621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621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>
        <v>5236</v>
      </c>
      <c r="L7" s="354" t="s">
        <v>6</v>
      </c>
      <c r="M7" s="353">
        <f>K7</f>
        <v>5236</v>
      </c>
      <c r="N7" s="1606"/>
      <c r="O7" s="1595"/>
      <c r="P7" s="1596"/>
      <c r="Q7" s="1595"/>
      <c r="R7" s="1596"/>
      <c r="S7" s="143"/>
      <c r="T7" s="621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624">
        <f>K8-K8*N8</f>
        <v>0</v>
      </c>
      <c r="K8" s="324">
        <v>0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225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/>
      <c r="E9" s="499">
        <f>D9</f>
        <v>0</v>
      </c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/>
      <c r="E10" s="499">
        <f t="shared" ref="E10:E39" si="0">D10</f>
        <v>0</v>
      </c>
      <c r="F10" s="586">
        <f t="shared" ref="F10:G39" si="1">O10+Q10</f>
        <v>0</v>
      </c>
      <c r="G10" s="1424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ref="J10:J39" si="2">J9+D10-F10</f>
        <v>0</v>
      </c>
      <c r="K10" s="459">
        <f t="shared" ref="K10:K39" si="3">K9+E10-G10</f>
        <v>0</v>
      </c>
      <c r="L10" s="495" t="e">
        <f t="shared" ref="L10:L39" si="4">J10/H10</f>
        <v>#DIV/0!</v>
      </c>
      <c r="M10" s="464" t="e">
        <f t="shared" ref="M10:M39" si="5">K10/I10</f>
        <v>#DIV/0!</v>
      </c>
      <c r="N10" s="366"/>
      <c r="O10" s="446"/>
      <c r="P10" s="446"/>
      <c r="Q10" s="446"/>
      <c r="R10" s="446"/>
      <c r="S10" s="647">
        <f t="shared" ref="S10:S39" si="6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/>
      <c r="E11" s="499">
        <f t="shared" si="0"/>
        <v>0</v>
      </c>
      <c r="F11" s="586">
        <f t="shared" si="1"/>
        <v>0</v>
      </c>
      <c r="G11" s="1424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2"/>
        <v>0</v>
      </c>
      <c r="K11" s="459">
        <f t="shared" si="3"/>
        <v>0</v>
      </c>
      <c r="L11" s="495" t="e">
        <f t="shared" si="4"/>
        <v>#DIV/0!</v>
      </c>
      <c r="M11" s="464" t="e">
        <f t="shared" si="5"/>
        <v>#DIV/0!</v>
      </c>
      <c r="N11" s="366"/>
      <c r="O11" s="446"/>
      <c r="P11" s="446"/>
      <c r="Q11" s="446"/>
      <c r="R11" s="446"/>
      <c r="S11" s="647">
        <f t="shared" si="6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/>
      <c r="E12" s="499">
        <f t="shared" si="0"/>
        <v>0</v>
      </c>
      <c r="F12" s="586">
        <f t="shared" si="1"/>
        <v>0</v>
      </c>
      <c r="G12" s="1424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si="2"/>
        <v>0</v>
      </c>
      <c r="K12" s="459">
        <f t="shared" si="3"/>
        <v>0</v>
      </c>
      <c r="L12" s="495" t="e">
        <f t="shared" si="4"/>
        <v>#DIV/0!</v>
      </c>
      <c r="M12" s="464" t="e">
        <f t="shared" si="5"/>
        <v>#DIV/0!</v>
      </c>
      <c r="N12" s="366"/>
      <c r="O12" s="446"/>
      <c r="P12" s="446"/>
      <c r="Q12" s="446"/>
      <c r="R12" s="446"/>
      <c r="S12" s="647">
        <f t="shared" si="6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/>
      <c r="E13" s="499">
        <f t="shared" si="0"/>
        <v>0</v>
      </c>
      <c r="F13" s="586">
        <f t="shared" si="1"/>
        <v>0</v>
      </c>
      <c r="G13" s="1424">
        <f t="shared" si="1"/>
        <v>0</v>
      </c>
      <c r="H13" s="504">
        <f>SUM($F$9:F13)/A13</f>
        <v>0</v>
      </c>
      <c r="I13" s="499">
        <f>SUM($G$9:G13)/A13</f>
        <v>0</v>
      </c>
      <c r="J13" s="504">
        <f t="shared" si="2"/>
        <v>0</v>
      </c>
      <c r="K13" s="459">
        <f t="shared" si="3"/>
        <v>0</v>
      </c>
      <c r="L13" s="505" t="e">
        <f t="shared" si="4"/>
        <v>#DIV/0!</v>
      </c>
      <c r="M13" s="464" t="e">
        <f t="shared" si="5"/>
        <v>#DIV/0!</v>
      </c>
      <c r="N13" s="366"/>
      <c r="O13" s="446"/>
      <c r="P13" s="446"/>
      <c r="Q13" s="446"/>
      <c r="R13" s="446"/>
      <c r="S13" s="647">
        <f t="shared" si="6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/>
      <c r="E14" s="499">
        <f t="shared" si="0"/>
        <v>0</v>
      </c>
      <c r="F14" s="586">
        <f t="shared" si="1"/>
        <v>0</v>
      </c>
      <c r="G14" s="1424">
        <f t="shared" si="1"/>
        <v>0</v>
      </c>
      <c r="H14" s="498">
        <f>SUM($F$9:F14)/A14</f>
        <v>0</v>
      </c>
      <c r="I14" s="499">
        <f>SUM($G$9:G14)/A14</f>
        <v>0</v>
      </c>
      <c r="J14" s="443">
        <f t="shared" si="2"/>
        <v>0</v>
      </c>
      <c r="K14" s="459">
        <f t="shared" si="3"/>
        <v>0</v>
      </c>
      <c r="L14" s="495" t="e">
        <f t="shared" si="4"/>
        <v>#DIV/0!</v>
      </c>
      <c r="M14" s="464" t="e">
        <f t="shared" si="5"/>
        <v>#DIV/0!</v>
      </c>
      <c r="N14" s="366"/>
      <c r="O14" s="446"/>
      <c r="P14" s="446"/>
      <c r="Q14" s="446"/>
      <c r="R14" s="446"/>
      <c r="S14" s="647">
        <f t="shared" si="6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/>
      <c r="E15" s="499">
        <f>D15</f>
        <v>0</v>
      </c>
      <c r="F15" s="586">
        <f t="shared" si="1"/>
        <v>0</v>
      </c>
      <c r="G15" s="1424">
        <f t="shared" si="1"/>
        <v>0</v>
      </c>
      <c r="H15" s="498">
        <f>SUM($F$9:F15)/A15</f>
        <v>0</v>
      </c>
      <c r="I15" s="499">
        <f>SUM($G$9:G15)/A15</f>
        <v>0</v>
      </c>
      <c r="J15" s="443">
        <f t="shared" si="2"/>
        <v>0</v>
      </c>
      <c r="K15" s="459">
        <f t="shared" si="3"/>
        <v>0</v>
      </c>
      <c r="L15" s="495" t="e">
        <f t="shared" si="4"/>
        <v>#DIV/0!</v>
      </c>
      <c r="M15" s="464" t="e">
        <f t="shared" si="5"/>
        <v>#DIV/0!</v>
      </c>
      <c r="N15" s="366"/>
      <c r="O15" s="446"/>
      <c r="P15" s="446"/>
      <c r="Q15" s="446"/>
      <c r="R15" s="446"/>
      <c r="S15" s="647">
        <f t="shared" si="6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/>
      <c r="E16" s="499">
        <f t="shared" si="0"/>
        <v>0</v>
      </c>
      <c r="F16" s="586">
        <f t="shared" si="1"/>
        <v>0</v>
      </c>
      <c r="G16" s="1424">
        <f t="shared" si="1"/>
        <v>0</v>
      </c>
      <c r="H16" s="498">
        <f>SUM($F$9:F16)/A16</f>
        <v>0</v>
      </c>
      <c r="I16" s="499">
        <f>SUM($G$9:G16)/A16</f>
        <v>0</v>
      </c>
      <c r="J16" s="443">
        <f t="shared" si="2"/>
        <v>0</v>
      </c>
      <c r="K16" s="459">
        <f t="shared" si="3"/>
        <v>0</v>
      </c>
      <c r="L16" s="495" t="e">
        <f t="shared" si="4"/>
        <v>#DIV/0!</v>
      </c>
      <c r="M16" s="464" t="e">
        <f t="shared" si="5"/>
        <v>#DIV/0!</v>
      </c>
      <c r="N16" s="366"/>
      <c r="O16" s="446"/>
      <c r="P16" s="446"/>
      <c r="Q16" s="446"/>
      <c r="R16" s="446"/>
      <c r="S16" s="647">
        <f t="shared" si="6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/>
      <c r="E17" s="499">
        <f t="shared" si="0"/>
        <v>0</v>
      </c>
      <c r="F17" s="586">
        <f t="shared" si="1"/>
        <v>0</v>
      </c>
      <c r="G17" s="1424">
        <f t="shared" si="1"/>
        <v>0</v>
      </c>
      <c r="H17" s="498">
        <f>SUM($F$9:F17)/A17</f>
        <v>0</v>
      </c>
      <c r="I17" s="499">
        <f>SUM($G$9:G17)/A17</f>
        <v>0</v>
      </c>
      <c r="J17" s="443">
        <f t="shared" si="2"/>
        <v>0</v>
      </c>
      <c r="K17" s="459">
        <f t="shared" si="3"/>
        <v>0</v>
      </c>
      <c r="L17" s="495" t="e">
        <f t="shared" si="4"/>
        <v>#DIV/0!</v>
      </c>
      <c r="M17" s="464" t="e">
        <f t="shared" si="5"/>
        <v>#DIV/0!</v>
      </c>
      <c r="N17" s="366"/>
      <c r="O17" s="446"/>
      <c r="P17" s="446"/>
      <c r="Q17" s="446"/>
      <c r="R17" s="446"/>
      <c r="S17" s="647">
        <f t="shared" si="6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/>
      <c r="E18" s="499">
        <f t="shared" si="0"/>
        <v>0</v>
      </c>
      <c r="F18" s="586">
        <f t="shared" si="1"/>
        <v>0</v>
      </c>
      <c r="G18" s="1424">
        <f t="shared" si="1"/>
        <v>0</v>
      </c>
      <c r="H18" s="504">
        <f>SUM($F$9:F18)/A18</f>
        <v>0</v>
      </c>
      <c r="I18" s="499">
        <f>SUM($G$9:G18)/A18</f>
        <v>0</v>
      </c>
      <c r="J18" s="504">
        <f t="shared" si="2"/>
        <v>0</v>
      </c>
      <c r="K18" s="459">
        <f t="shared" si="3"/>
        <v>0</v>
      </c>
      <c r="L18" s="505" t="e">
        <f t="shared" si="4"/>
        <v>#DIV/0!</v>
      </c>
      <c r="M18" s="464" t="e">
        <f t="shared" si="5"/>
        <v>#DIV/0!</v>
      </c>
      <c r="N18" s="366"/>
      <c r="O18" s="446"/>
      <c r="P18" s="446"/>
      <c r="Q18" s="446"/>
      <c r="R18" s="446"/>
      <c r="S18" s="647">
        <f t="shared" si="6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/>
      <c r="E19" s="499">
        <f t="shared" si="0"/>
        <v>0</v>
      </c>
      <c r="F19" s="586">
        <f t="shared" si="1"/>
        <v>0</v>
      </c>
      <c r="G19" s="1424">
        <f t="shared" si="1"/>
        <v>0</v>
      </c>
      <c r="H19" s="498">
        <f>SUM($F$9:F19)/A19</f>
        <v>0</v>
      </c>
      <c r="I19" s="499">
        <f>SUM($G$9:G19)/A19</f>
        <v>0</v>
      </c>
      <c r="J19" s="443">
        <f t="shared" si="2"/>
        <v>0</v>
      </c>
      <c r="K19" s="459">
        <f t="shared" si="3"/>
        <v>0</v>
      </c>
      <c r="L19" s="495" t="e">
        <f t="shared" si="4"/>
        <v>#DIV/0!</v>
      </c>
      <c r="M19" s="464" t="e">
        <f t="shared" si="5"/>
        <v>#DIV/0!</v>
      </c>
      <c r="N19" s="366"/>
      <c r="O19" s="446"/>
      <c r="P19" s="446"/>
      <c r="Q19" s="446"/>
      <c r="R19" s="446"/>
      <c r="S19" s="647">
        <f t="shared" si="6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/>
      <c r="E20" s="499">
        <f t="shared" si="0"/>
        <v>0</v>
      </c>
      <c r="F20" s="586">
        <f t="shared" si="1"/>
        <v>0</v>
      </c>
      <c r="G20" s="1424">
        <f t="shared" si="1"/>
        <v>0</v>
      </c>
      <c r="H20" s="498">
        <f>SUM($F$9:F20)/A20</f>
        <v>0</v>
      </c>
      <c r="I20" s="499">
        <f>SUM($G$9:G20)/A20</f>
        <v>0</v>
      </c>
      <c r="J20" s="443">
        <f t="shared" si="2"/>
        <v>0</v>
      </c>
      <c r="K20" s="459">
        <f t="shared" si="3"/>
        <v>0</v>
      </c>
      <c r="L20" s="495" t="e">
        <f t="shared" si="4"/>
        <v>#DIV/0!</v>
      </c>
      <c r="M20" s="464" t="e">
        <f t="shared" si="5"/>
        <v>#DIV/0!</v>
      </c>
      <c r="N20" s="366"/>
      <c r="O20" s="446"/>
      <c r="P20" s="446"/>
      <c r="Q20" s="446"/>
      <c r="R20" s="446"/>
      <c r="S20" s="647">
        <f t="shared" si="6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/>
      <c r="E21" s="499">
        <f t="shared" si="0"/>
        <v>0</v>
      </c>
      <c r="F21" s="586">
        <f t="shared" si="1"/>
        <v>0</v>
      </c>
      <c r="G21" s="1424">
        <f t="shared" si="1"/>
        <v>0</v>
      </c>
      <c r="H21" s="498">
        <f>SUM($F$9:F21)/A21</f>
        <v>0</v>
      </c>
      <c r="I21" s="499">
        <f>SUM($G$9:G21)/A21</f>
        <v>0</v>
      </c>
      <c r="J21" s="443">
        <f t="shared" si="2"/>
        <v>0</v>
      </c>
      <c r="K21" s="459">
        <f t="shared" si="3"/>
        <v>0</v>
      </c>
      <c r="L21" s="495" t="e">
        <f t="shared" si="4"/>
        <v>#DIV/0!</v>
      </c>
      <c r="M21" s="464" t="e">
        <f t="shared" si="5"/>
        <v>#DIV/0!</v>
      </c>
      <c r="N21" s="366"/>
      <c r="O21" s="446"/>
      <c r="P21" s="446"/>
      <c r="Q21" s="446"/>
      <c r="R21" s="446"/>
      <c r="S21" s="647">
        <f t="shared" si="6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/>
      <c r="E22" s="499">
        <f t="shared" si="0"/>
        <v>0</v>
      </c>
      <c r="F22" s="586">
        <f t="shared" si="1"/>
        <v>0</v>
      </c>
      <c r="G22" s="1424">
        <f t="shared" si="1"/>
        <v>0</v>
      </c>
      <c r="H22" s="498">
        <f>SUM($F$9:F22)/A22</f>
        <v>0</v>
      </c>
      <c r="I22" s="499">
        <f>SUM($G$9:G22)/A22</f>
        <v>0</v>
      </c>
      <c r="J22" s="443">
        <f t="shared" si="2"/>
        <v>0</v>
      </c>
      <c r="K22" s="459">
        <f t="shared" si="3"/>
        <v>0</v>
      </c>
      <c r="L22" s="495" t="e">
        <f t="shared" si="4"/>
        <v>#DIV/0!</v>
      </c>
      <c r="M22" s="464" t="e">
        <f t="shared" si="5"/>
        <v>#DIV/0!</v>
      </c>
      <c r="N22" s="366"/>
      <c r="O22" s="446"/>
      <c r="P22" s="446"/>
      <c r="Q22" s="446"/>
      <c r="R22" s="446"/>
      <c r="S22" s="647">
        <f t="shared" si="6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/>
      <c r="E23" s="499">
        <f t="shared" si="0"/>
        <v>0</v>
      </c>
      <c r="F23" s="586">
        <f t="shared" si="1"/>
        <v>0</v>
      </c>
      <c r="G23" s="1424">
        <f t="shared" si="1"/>
        <v>0</v>
      </c>
      <c r="H23" s="504">
        <f>SUM($F$9:F23)/A23</f>
        <v>0</v>
      </c>
      <c r="I23" s="499">
        <f>SUM($G$9:G23)/A23</f>
        <v>0</v>
      </c>
      <c r="J23" s="504">
        <f t="shared" si="2"/>
        <v>0</v>
      </c>
      <c r="K23" s="459">
        <f t="shared" si="3"/>
        <v>0</v>
      </c>
      <c r="L23" s="505" t="e">
        <f t="shared" si="4"/>
        <v>#DIV/0!</v>
      </c>
      <c r="M23" s="464" t="e">
        <f t="shared" si="5"/>
        <v>#DIV/0!</v>
      </c>
      <c r="N23" s="366"/>
      <c r="O23" s="446"/>
      <c r="P23" s="446"/>
      <c r="Q23" s="446"/>
      <c r="R23" s="446"/>
      <c r="S23" s="647">
        <f t="shared" si="6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/>
      <c r="E24" s="499">
        <f>D24</f>
        <v>0</v>
      </c>
      <c r="F24" s="586">
        <f t="shared" si="1"/>
        <v>0</v>
      </c>
      <c r="G24" s="1424">
        <f t="shared" si="1"/>
        <v>0</v>
      </c>
      <c r="H24" s="498">
        <f>SUM($F$9:F24)/A24</f>
        <v>0</v>
      </c>
      <c r="I24" s="499">
        <f>SUM($G$9:G24)/A24</f>
        <v>0</v>
      </c>
      <c r="J24" s="443">
        <f t="shared" si="2"/>
        <v>0</v>
      </c>
      <c r="K24" s="459">
        <f>K23+E24-G24</f>
        <v>0</v>
      </c>
      <c r="L24" s="495" t="e">
        <f t="shared" si="4"/>
        <v>#DIV/0!</v>
      </c>
      <c r="M24" s="464" t="e">
        <f t="shared" si="5"/>
        <v>#DIV/0!</v>
      </c>
      <c r="N24" s="366"/>
      <c r="O24" s="446"/>
      <c r="P24" s="446"/>
      <c r="Q24" s="446"/>
      <c r="R24" s="446"/>
      <c r="S24" s="647">
        <f t="shared" si="6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>
        <f>D25</f>
        <v>0</v>
      </c>
      <c r="F25" s="586">
        <f t="shared" si="1"/>
        <v>0</v>
      </c>
      <c r="G25" s="1424">
        <f t="shared" si="1"/>
        <v>0</v>
      </c>
      <c r="H25" s="498">
        <f>SUM($F$9:F25)/A25</f>
        <v>0</v>
      </c>
      <c r="I25" s="499">
        <f>SUM($G$9:G25)/A25</f>
        <v>0</v>
      </c>
      <c r="J25" s="443">
        <f t="shared" si="2"/>
        <v>0</v>
      </c>
      <c r="K25" s="459">
        <f>K24+E25-G25</f>
        <v>0</v>
      </c>
      <c r="L25" s="495" t="e">
        <f t="shared" si="4"/>
        <v>#DIV/0!</v>
      </c>
      <c r="M25" s="464" t="e">
        <f t="shared" si="5"/>
        <v>#DIV/0!</v>
      </c>
      <c r="N25" s="366"/>
      <c r="O25" s="446"/>
      <c r="P25" s="446"/>
      <c r="Q25" s="446"/>
      <c r="R25" s="446"/>
      <c r="S25" s="647">
        <f t="shared" si="6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/>
      <c r="E26" s="499">
        <f t="shared" si="0"/>
        <v>0</v>
      </c>
      <c r="F26" s="586">
        <f t="shared" si="1"/>
        <v>0</v>
      </c>
      <c r="G26" s="1424">
        <f t="shared" si="1"/>
        <v>0</v>
      </c>
      <c r="H26" s="498">
        <f>SUM($F$9:F26)/A26</f>
        <v>0</v>
      </c>
      <c r="I26" s="499">
        <f>SUM($G$9:G26)/A26</f>
        <v>0</v>
      </c>
      <c r="J26" s="443">
        <f t="shared" si="2"/>
        <v>0</v>
      </c>
      <c r="K26" s="459">
        <f t="shared" si="3"/>
        <v>0</v>
      </c>
      <c r="L26" s="495" t="e">
        <f t="shared" si="4"/>
        <v>#DIV/0!</v>
      </c>
      <c r="M26" s="464" t="e">
        <f t="shared" si="5"/>
        <v>#DIV/0!</v>
      </c>
      <c r="N26" s="366"/>
      <c r="O26" s="446"/>
      <c r="P26" s="446"/>
      <c r="Q26" s="446"/>
      <c r="R26" s="446"/>
      <c r="S26" s="647">
        <f t="shared" si="6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/>
      <c r="E27" s="499">
        <f t="shared" si="0"/>
        <v>0</v>
      </c>
      <c r="F27" s="586">
        <f t="shared" si="1"/>
        <v>0</v>
      </c>
      <c r="G27" s="1424">
        <f t="shared" si="1"/>
        <v>0</v>
      </c>
      <c r="H27" s="498">
        <f>SUM($F$9:F27)/A27</f>
        <v>0</v>
      </c>
      <c r="I27" s="499">
        <f>SUM($G$9:G27)/A27</f>
        <v>0</v>
      </c>
      <c r="J27" s="443">
        <f t="shared" si="2"/>
        <v>0</v>
      </c>
      <c r="K27" s="459">
        <f t="shared" si="3"/>
        <v>0</v>
      </c>
      <c r="L27" s="495" t="e">
        <f t="shared" si="4"/>
        <v>#DIV/0!</v>
      </c>
      <c r="M27" s="464" t="e">
        <f t="shared" si="5"/>
        <v>#DIV/0!</v>
      </c>
      <c r="N27" s="366"/>
      <c r="O27" s="446"/>
      <c r="P27" s="446"/>
      <c r="Q27" s="446"/>
      <c r="R27" s="446"/>
      <c r="S27" s="647">
        <f t="shared" si="6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/>
      <c r="E28" s="499">
        <f t="shared" si="0"/>
        <v>0</v>
      </c>
      <c r="F28" s="586">
        <f t="shared" si="1"/>
        <v>0</v>
      </c>
      <c r="G28" s="1424">
        <f t="shared" si="1"/>
        <v>0</v>
      </c>
      <c r="H28" s="504">
        <f>SUM($F$9:F28)/A28</f>
        <v>0</v>
      </c>
      <c r="I28" s="499">
        <f>SUM($G$9:G28)/A28</f>
        <v>0</v>
      </c>
      <c r="J28" s="504">
        <f t="shared" si="2"/>
        <v>0</v>
      </c>
      <c r="K28" s="459">
        <f t="shared" si="3"/>
        <v>0</v>
      </c>
      <c r="L28" s="505" t="e">
        <f t="shared" si="4"/>
        <v>#DIV/0!</v>
      </c>
      <c r="M28" s="464" t="e">
        <f t="shared" si="5"/>
        <v>#DIV/0!</v>
      </c>
      <c r="N28" s="366"/>
      <c r="O28" s="446"/>
      <c r="P28" s="446"/>
      <c r="Q28" s="446"/>
      <c r="R28" s="446"/>
      <c r="S28" s="647">
        <f t="shared" si="6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/>
      <c r="E29" s="499">
        <f t="shared" si="0"/>
        <v>0</v>
      </c>
      <c r="F29" s="586">
        <f t="shared" si="1"/>
        <v>0</v>
      </c>
      <c r="G29" s="1424">
        <f t="shared" si="1"/>
        <v>0</v>
      </c>
      <c r="H29" s="498">
        <f>SUM($F$9:F29)/A29</f>
        <v>0</v>
      </c>
      <c r="I29" s="499">
        <f>SUM($G$9:G29)/A29</f>
        <v>0</v>
      </c>
      <c r="J29" s="443">
        <f t="shared" si="2"/>
        <v>0</v>
      </c>
      <c r="K29" s="459">
        <f t="shared" si="3"/>
        <v>0</v>
      </c>
      <c r="L29" s="495" t="e">
        <f t="shared" si="4"/>
        <v>#DIV/0!</v>
      </c>
      <c r="M29" s="464" t="e">
        <f t="shared" si="5"/>
        <v>#DIV/0!</v>
      </c>
      <c r="N29" s="366"/>
      <c r="O29" s="446"/>
      <c r="P29" s="446"/>
      <c r="Q29" s="446"/>
      <c r="R29" s="446"/>
      <c r="S29" s="647">
        <f t="shared" si="6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/>
      <c r="E30" s="499">
        <f t="shared" si="0"/>
        <v>0</v>
      </c>
      <c r="F30" s="586">
        <f t="shared" si="1"/>
        <v>0</v>
      </c>
      <c r="G30" s="1424">
        <f t="shared" si="1"/>
        <v>0</v>
      </c>
      <c r="H30" s="498">
        <f>SUM($F$9:F30)/A30</f>
        <v>0</v>
      </c>
      <c r="I30" s="499">
        <f>SUM($G$9:G30)/A30</f>
        <v>0</v>
      </c>
      <c r="J30" s="443">
        <f t="shared" si="2"/>
        <v>0</v>
      </c>
      <c r="K30" s="459">
        <f t="shared" si="3"/>
        <v>0</v>
      </c>
      <c r="L30" s="495" t="e">
        <f t="shared" si="4"/>
        <v>#DIV/0!</v>
      </c>
      <c r="M30" s="464" t="e">
        <f t="shared" si="5"/>
        <v>#DIV/0!</v>
      </c>
      <c r="N30" s="366"/>
      <c r="O30" s="446"/>
      <c r="P30" s="446"/>
      <c r="Q30" s="446"/>
      <c r="R30" s="446"/>
      <c r="S30" s="647">
        <f t="shared" si="6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/>
      <c r="E31" s="499">
        <f t="shared" si="0"/>
        <v>0</v>
      </c>
      <c r="F31" s="586">
        <f t="shared" si="1"/>
        <v>0</v>
      </c>
      <c r="G31" s="1424">
        <f t="shared" si="1"/>
        <v>0</v>
      </c>
      <c r="H31" s="498">
        <f>SUM($F$9:F31)/A31</f>
        <v>0</v>
      </c>
      <c r="I31" s="499">
        <f>SUM($G$9:G31)/A31</f>
        <v>0</v>
      </c>
      <c r="J31" s="443">
        <f t="shared" si="2"/>
        <v>0</v>
      </c>
      <c r="K31" s="459">
        <f t="shared" si="3"/>
        <v>0</v>
      </c>
      <c r="L31" s="495" t="e">
        <f t="shared" si="4"/>
        <v>#DIV/0!</v>
      </c>
      <c r="M31" s="464" t="e">
        <f t="shared" si="5"/>
        <v>#DIV/0!</v>
      </c>
      <c r="N31" s="366"/>
      <c r="O31" s="446"/>
      <c r="P31" s="446"/>
      <c r="Q31" s="446"/>
      <c r="R31" s="446"/>
      <c r="S31" s="647">
        <f t="shared" si="6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/>
      <c r="E32" s="499">
        <f t="shared" si="0"/>
        <v>0</v>
      </c>
      <c r="F32" s="586">
        <f t="shared" si="1"/>
        <v>0</v>
      </c>
      <c r="G32" s="1424">
        <f t="shared" si="1"/>
        <v>0</v>
      </c>
      <c r="H32" s="498">
        <f>SUM($F$9:F32)/A32</f>
        <v>0</v>
      </c>
      <c r="I32" s="499">
        <f>SUM($G$9:G32)/A32</f>
        <v>0</v>
      </c>
      <c r="J32" s="443">
        <f t="shared" si="2"/>
        <v>0</v>
      </c>
      <c r="K32" s="459">
        <f t="shared" si="3"/>
        <v>0</v>
      </c>
      <c r="L32" s="495" t="e">
        <f t="shared" si="4"/>
        <v>#DIV/0!</v>
      </c>
      <c r="M32" s="464" t="e">
        <f t="shared" si="5"/>
        <v>#DIV/0!</v>
      </c>
      <c r="N32" s="366"/>
      <c r="O32" s="446"/>
      <c r="P32" s="446"/>
      <c r="Q32" s="446"/>
      <c r="R32" s="446"/>
      <c r="S32" s="647">
        <f t="shared" si="6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/>
      <c r="E33" s="499">
        <f t="shared" si="0"/>
        <v>0</v>
      </c>
      <c r="F33" s="586">
        <f t="shared" si="1"/>
        <v>0</v>
      </c>
      <c r="G33" s="1424">
        <f t="shared" si="1"/>
        <v>0</v>
      </c>
      <c r="H33" s="460">
        <f>SUM($F$9:F33)/A33</f>
        <v>0</v>
      </c>
      <c r="I33" s="499">
        <f>SUM($G$9:G33)/A33</f>
        <v>0</v>
      </c>
      <c r="J33" s="460">
        <f t="shared" si="2"/>
        <v>0</v>
      </c>
      <c r="K33" s="459">
        <f t="shared" si="3"/>
        <v>0</v>
      </c>
      <c r="L33" s="506" t="e">
        <f t="shared" si="4"/>
        <v>#DIV/0!</v>
      </c>
      <c r="M33" s="464" t="e">
        <f t="shared" si="5"/>
        <v>#DIV/0!</v>
      </c>
      <c r="N33" s="366"/>
      <c r="O33" s="446"/>
      <c r="P33" s="446"/>
      <c r="Q33" s="446"/>
      <c r="R33" s="446"/>
      <c r="S33" s="647">
        <f t="shared" si="6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/>
      <c r="E34" s="499">
        <f t="shared" si="0"/>
        <v>0</v>
      </c>
      <c r="F34" s="586">
        <f t="shared" si="1"/>
        <v>0</v>
      </c>
      <c r="G34" s="1424">
        <f t="shared" si="1"/>
        <v>0</v>
      </c>
      <c r="H34" s="498">
        <f>SUM($F$9:F34)/A34</f>
        <v>0</v>
      </c>
      <c r="I34" s="499">
        <f>SUM($G$9:G34)/A34</f>
        <v>0</v>
      </c>
      <c r="J34" s="443">
        <f t="shared" si="2"/>
        <v>0</v>
      </c>
      <c r="K34" s="459">
        <f t="shared" si="3"/>
        <v>0</v>
      </c>
      <c r="L34" s="495" t="e">
        <f t="shared" si="4"/>
        <v>#DIV/0!</v>
      </c>
      <c r="M34" s="464" t="e">
        <f t="shared" si="5"/>
        <v>#DIV/0!</v>
      </c>
      <c r="N34" s="366"/>
      <c r="O34" s="446"/>
      <c r="P34" s="446"/>
      <c r="Q34" s="446"/>
      <c r="R34" s="446"/>
      <c r="S34" s="647">
        <f t="shared" si="6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/>
      <c r="E35" s="499">
        <f t="shared" si="0"/>
        <v>0</v>
      </c>
      <c r="F35" s="586">
        <f t="shared" si="1"/>
        <v>0</v>
      </c>
      <c r="G35" s="1424">
        <f t="shared" si="1"/>
        <v>0</v>
      </c>
      <c r="H35" s="498">
        <f>SUM($F$9:F35)/A35</f>
        <v>0</v>
      </c>
      <c r="I35" s="499">
        <f>SUM($G$9:G35)/A35</f>
        <v>0</v>
      </c>
      <c r="J35" s="443">
        <f t="shared" si="2"/>
        <v>0</v>
      </c>
      <c r="K35" s="459">
        <f t="shared" si="3"/>
        <v>0</v>
      </c>
      <c r="L35" s="495" t="e">
        <f t="shared" si="4"/>
        <v>#DIV/0!</v>
      </c>
      <c r="M35" s="464" t="e">
        <f t="shared" si="5"/>
        <v>#DIV/0!</v>
      </c>
      <c r="N35" s="366"/>
      <c r="O35" s="446"/>
      <c r="P35" s="446"/>
      <c r="Q35" s="446"/>
      <c r="R35" s="446"/>
      <c r="S35" s="647">
        <f t="shared" si="6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/>
      <c r="E36" s="499">
        <f t="shared" si="0"/>
        <v>0</v>
      </c>
      <c r="F36" s="586">
        <f t="shared" si="1"/>
        <v>0</v>
      </c>
      <c r="G36" s="1424">
        <f t="shared" si="1"/>
        <v>0</v>
      </c>
      <c r="H36" s="498">
        <f>SUM($F$9:F36)/A36</f>
        <v>0</v>
      </c>
      <c r="I36" s="499">
        <f>SUM($G$9:G36)/A36</f>
        <v>0</v>
      </c>
      <c r="J36" s="443">
        <f t="shared" si="2"/>
        <v>0</v>
      </c>
      <c r="K36" s="459">
        <f t="shared" si="3"/>
        <v>0</v>
      </c>
      <c r="L36" s="495" t="e">
        <f t="shared" si="4"/>
        <v>#DIV/0!</v>
      </c>
      <c r="M36" s="464" t="e">
        <f t="shared" si="5"/>
        <v>#DIV/0!</v>
      </c>
      <c r="N36" s="366"/>
      <c r="O36" s="446"/>
      <c r="P36" s="446"/>
      <c r="Q36" s="446"/>
      <c r="R36" s="446"/>
      <c r="S36" s="647">
        <f t="shared" si="6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/>
      <c r="E37" s="499"/>
      <c r="F37" s="586">
        <f t="shared" si="1"/>
        <v>0</v>
      </c>
      <c r="G37" s="1424">
        <f t="shared" si="1"/>
        <v>0</v>
      </c>
      <c r="H37" s="498">
        <f>SUM($F$9:F37)/A37</f>
        <v>0</v>
      </c>
      <c r="I37" s="499">
        <f>SUM($G$9:G37)/A37</f>
        <v>0</v>
      </c>
      <c r="J37" s="443">
        <f t="shared" si="2"/>
        <v>0</v>
      </c>
      <c r="K37" s="459">
        <f t="shared" si="3"/>
        <v>0</v>
      </c>
      <c r="L37" s="495" t="e">
        <f t="shared" si="4"/>
        <v>#DIV/0!</v>
      </c>
      <c r="M37" s="464" t="e">
        <f t="shared" si="5"/>
        <v>#DIV/0!</v>
      </c>
      <c r="N37" s="366"/>
      <c r="O37" s="446"/>
      <c r="P37" s="446"/>
      <c r="Q37" s="446"/>
      <c r="R37" s="446"/>
      <c r="S37" s="647">
        <f t="shared" si="6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/>
      <c r="E38" s="499">
        <f t="shared" si="0"/>
        <v>0</v>
      </c>
      <c r="F38" s="586">
        <f t="shared" si="1"/>
        <v>0</v>
      </c>
      <c r="G38" s="1424">
        <f t="shared" si="1"/>
        <v>0</v>
      </c>
      <c r="H38" s="504">
        <f>SUM($F$9:F38)/A38</f>
        <v>0</v>
      </c>
      <c r="I38" s="499">
        <f>SUM($G$9:G38)/A38</f>
        <v>0</v>
      </c>
      <c r="J38" s="504">
        <f t="shared" si="2"/>
        <v>0</v>
      </c>
      <c r="K38" s="459">
        <f t="shared" si="3"/>
        <v>0</v>
      </c>
      <c r="L38" s="505" t="e">
        <f t="shared" si="4"/>
        <v>#DIV/0!</v>
      </c>
      <c r="M38" s="464" t="e">
        <f t="shared" si="5"/>
        <v>#DIV/0!</v>
      </c>
      <c r="N38" s="366"/>
      <c r="O38" s="446"/>
      <c r="P38" s="446"/>
      <c r="Q38" s="446"/>
      <c r="R38" s="446"/>
      <c r="S38" s="647">
        <f t="shared" si="6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/>
      <c r="E39" s="499">
        <f t="shared" si="0"/>
        <v>0</v>
      </c>
      <c r="F39" s="586">
        <f t="shared" si="1"/>
        <v>0</v>
      </c>
      <c r="G39" s="1424">
        <f t="shared" si="1"/>
        <v>0</v>
      </c>
      <c r="H39" s="498">
        <f>SUM($F$9:F39)/A39</f>
        <v>0</v>
      </c>
      <c r="I39" s="499">
        <f>SUM($G$9:G39)/A39</f>
        <v>0</v>
      </c>
      <c r="J39" s="443">
        <f t="shared" si="2"/>
        <v>0</v>
      </c>
      <c r="K39" s="459">
        <f t="shared" si="3"/>
        <v>0</v>
      </c>
      <c r="L39" s="495" t="e">
        <f t="shared" si="4"/>
        <v>#DIV/0!</v>
      </c>
      <c r="M39" s="464" t="e">
        <f t="shared" si="5"/>
        <v>#DIV/0!</v>
      </c>
      <c r="N39" s="366"/>
      <c r="O39" s="446"/>
      <c r="P39" s="446"/>
      <c r="Q39" s="446"/>
      <c r="R39" s="446"/>
      <c r="S39" s="647">
        <f t="shared" si="6"/>
        <v>0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1837" priority="595" operator="lessThan">
      <formula>15</formula>
    </cfRule>
    <cfRule type="cellIs" dxfId="11836" priority="596" operator="greaterThan">
      <formula>20</formula>
    </cfRule>
    <cfRule type="cellIs" dxfId="11835" priority="597" operator="between">
      <formula>15</formula>
      <formula>20</formula>
    </cfRule>
    <cfRule type="cellIs" dxfId="11834" priority="598" operator="between">
      <formula>15</formula>
      <formula>20</formula>
    </cfRule>
    <cfRule type="cellIs" dxfId="11833" priority="599" operator="lessThan">
      <formula>15</formula>
    </cfRule>
    <cfRule type="cellIs" dxfId="11832" priority="600" operator="greaterThan">
      <formula>20</formula>
    </cfRule>
    <cfRule type="cellIs" dxfId="11831" priority="601" operator="between">
      <formula>15</formula>
      <formula>21</formula>
    </cfRule>
    <cfRule type="cellIs" dxfId="11830" priority="602" operator="lessThan">
      <formula>15</formula>
    </cfRule>
    <cfRule type="cellIs" dxfId="11829" priority="603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23622047244094491"/>
  <pageSetup paperSize="8" orientation="landscape" horizontalDpi="4294967292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FF"/>
  </sheetPr>
  <dimension ref="A1:AC49"/>
  <sheetViews>
    <sheetView workbookViewId="0">
      <pane ySplit="8" topLeftCell="A12" activePane="bottomLeft" state="frozen"/>
      <selection pane="bottomLeft" activeCell="N20" sqref="N20:P27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6.42578125" style="143" customWidth="1"/>
    <col min="4" max="7" width="10.140625" style="142" customWidth="1"/>
    <col min="8" max="9" width="9.28515625" style="142" customWidth="1"/>
    <col min="10" max="11" width="10.7109375" style="142" customWidth="1"/>
    <col min="12" max="13" width="12" style="143" customWidth="1"/>
    <col min="14" max="14" width="6" style="143" customWidth="1"/>
    <col min="15" max="19" width="7.42578125" style="143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364" customFormat="1" ht="18.75" customHeight="1">
      <c r="A4" s="1600" t="s">
        <v>33</v>
      </c>
      <c r="B4" s="1600"/>
      <c r="C4" s="316" t="str">
        <f>J4</f>
        <v>MGO/ Men lót chân ( EG-02 )</v>
      </c>
      <c r="D4" s="383"/>
      <c r="E4" s="383" t="s">
        <v>228</v>
      </c>
      <c r="F4" s="383" t="s">
        <v>229</v>
      </c>
      <c r="G4" s="383"/>
      <c r="H4" s="383"/>
      <c r="I4" s="383" t="s">
        <v>114</v>
      </c>
      <c r="J4" s="318" t="s">
        <v>1177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364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1364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>
        <v>5236</v>
      </c>
      <c r="L7" s="354" t="s">
        <v>6</v>
      </c>
      <c r="M7" s="353">
        <f>K7</f>
        <v>5236</v>
      </c>
      <c r="N7" s="1606"/>
      <c r="O7" s="1595"/>
      <c r="P7" s="1596"/>
      <c r="Q7" s="1595"/>
      <c r="R7" s="1596"/>
      <c r="S7" s="143"/>
      <c r="T7" s="1364"/>
    </row>
    <row r="8" spans="1:29" s="305" customFormat="1" ht="12" customHeight="1">
      <c r="A8" s="1597" t="s">
        <v>3</v>
      </c>
      <c r="B8" s="1598"/>
      <c r="C8" s="1599"/>
      <c r="D8" s="387">
        <f>J8</f>
        <v>584</v>
      </c>
      <c r="E8" s="388">
        <f>K8</f>
        <v>584</v>
      </c>
      <c r="F8" s="389">
        <f>F40</f>
        <v>0</v>
      </c>
      <c r="G8" s="388">
        <f>G40</f>
        <v>0</v>
      </c>
      <c r="H8" s="387"/>
      <c r="I8" s="388"/>
      <c r="J8" s="624">
        <f>K8-K8*N8</f>
        <v>584</v>
      </c>
      <c r="K8" s="324">
        <v>584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225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/>
      <c r="E9" s="499">
        <f>D9</f>
        <v>0</v>
      </c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584</v>
      </c>
      <c r="K9" s="459">
        <f>K8+E9-G9</f>
        <v>584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2.5955555555555554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/>
      <c r="E10" s="499">
        <f t="shared" ref="E10:E39" si="0">D10</f>
        <v>0</v>
      </c>
      <c r="F10" s="586">
        <f t="shared" ref="F10:G39" si="1">O10+Q10</f>
        <v>0</v>
      </c>
      <c r="G10" s="1424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ref="J10:K25" si="2">J9+D10-F10</f>
        <v>584</v>
      </c>
      <c r="K10" s="459">
        <f t="shared" si="2"/>
        <v>584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2.5955555555555554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/>
      <c r="E11" s="499">
        <f t="shared" si="0"/>
        <v>0</v>
      </c>
      <c r="F11" s="586">
        <f t="shared" si="1"/>
        <v>0</v>
      </c>
      <c r="G11" s="1424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2"/>
        <v>584</v>
      </c>
      <c r="K11" s="459">
        <f t="shared" si="2"/>
        <v>584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2.5955555555555554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/>
      <c r="E12" s="499">
        <f t="shared" si="0"/>
        <v>0</v>
      </c>
      <c r="F12" s="586">
        <f t="shared" si="1"/>
        <v>0</v>
      </c>
      <c r="G12" s="1424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si="2"/>
        <v>584</v>
      </c>
      <c r="K12" s="459">
        <f t="shared" si="2"/>
        <v>584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2.5955555555555554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/>
      <c r="E13" s="499">
        <f t="shared" si="0"/>
        <v>0</v>
      </c>
      <c r="F13" s="586">
        <f t="shared" si="1"/>
        <v>0</v>
      </c>
      <c r="G13" s="1424">
        <f t="shared" si="1"/>
        <v>0</v>
      </c>
      <c r="H13" s="504">
        <f>SUM($F$9:F13)/A13</f>
        <v>0</v>
      </c>
      <c r="I13" s="499">
        <f>SUM($G$9:G13)/A13</f>
        <v>0</v>
      </c>
      <c r="J13" s="504">
        <f t="shared" si="2"/>
        <v>584</v>
      </c>
      <c r="K13" s="459">
        <f t="shared" si="2"/>
        <v>584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2.5955555555555554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/>
      <c r="E14" s="499">
        <f t="shared" si="0"/>
        <v>0</v>
      </c>
      <c r="F14" s="586">
        <f t="shared" si="1"/>
        <v>0</v>
      </c>
      <c r="G14" s="1424">
        <f t="shared" si="1"/>
        <v>0</v>
      </c>
      <c r="H14" s="498">
        <f>SUM($F$9:F14)/A14</f>
        <v>0</v>
      </c>
      <c r="I14" s="499">
        <f>SUM($G$9:G14)/A14</f>
        <v>0</v>
      </c>
      <c r="J14" s="443">
        <f t="shared" si="2"/>
        <v>584</v>
      </c>
      <c r="K14" s="459">
        <f t="shared" si="2"/>
        <v>584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2.5955555555555554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/>
      <c r="E15" s="499">
        <f>D15</f>
        <v>0</v>
      </c>
      <c r="F15" s="586">
        <f t="shared" si="1"/>
        <v>0</v>
      </c>
      <c r="G15" s="1424">
        <f t="shared" si="1"/>
        <v>0</v>
      </c>
      <c r="H15" s="498">
        <f>SUM($F$9:F15)/A15</f>
        <v>0</v>
      </c>
      <c r="I15" s="499">
        <f>SUM($G$9:G15)/A15</f>
        <v>0</v>
      </c>
      <c r="J15" s="443">
        <f t="shared" si="2"/>
        <v>584</v>
      </c>
      <c r="K15" s="459">
        <f t="shared" si="2"/>
        <v>584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2.5955555555555554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/>
      <c r="E16" s="499">
        <f t="shared" si="0"/>
        <v>0</v>
      </c>
      <c r="F16" s="586">
        <f t="shared" si="1"/>
        <v>0</v>
      </c>
      <c r="G16" s="1424">
        <f t="shared" si="1"/>
        <v>0</v>
      </c>
      <c r="H16" s="498">
        <f>SUM($F$9:F16)/A16</f>
        <v>0</v>
      </c>
      <c r="I16" s="499">
        <f>SUM($G$9:G16)/A16</f>
        <v>0</v>
      </c>
      <c r="J16" s="443">
        <f t="shared" si="2"/>
        <v>584</v>
      </c>
      <c r="K16" s="459">
        <f t="shared" si="2"/>
        <v>584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2.5955555555555554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/>
      <c r="E17" s="499">
        <f t="shared" si="0"/>
        <v>0</v>
      </c>
      <c r="F17" s="586">
        <f t="shared" si="1"/>
        <v>0</v>
      </c>
      <c r="G17" s="1424">
        <f t="shared" si="1"/>
        <v>0</v>
      </c>
      <c r="H17" s="498">
        <f>SUM($F$9:F17)/A17</f>
        <v>0</v>
      </c>
      <c r="I17" s="499">
        <f>SUM($G$9:G17)/A17</f>
        <v>0</v>
      </c>
      <c r="J17" s="443">
        <f t="shared" si="2"/>
        <v>584</v>
      </c>
      <c r="K17" s="459">
        <f t="shared" si="2"/>
        <v>584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2.5955555555555554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/>
      <c r="E18" s="499">
        <f t="shared" si="0"/>
        <v>0</v>
      </c>
      <c r="F18" s="586">
        <f t="shared" si="1"/>
        <v>0</v>
      </c>
      <c r="G18" s="1424">
        <f t="shared" si="1"/>
        <v>0</v>
      </c>
      <c r="H18" s="504">
        <f>SUM($F$9:F18)/A18</f>
        <v>0</v>
      </c>
      <c r="I18" s="499">
        <f>SUM($G$9:G18)/A18</f>
        <v>0</v>
      </c>
      <c r="J18" s="504">
        <f t="shared" si="2"/>
        <v>584</v>
      </c>
      <c r="K18" s="459">
        <f t="shared" si="2"/>
        <v>584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2.5955555555555554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/>
      <c r="E19" s="499">
        <f t="shared" si="0"/>
        <v>0</v>
      </c>
      <c r="F19" s="586">
        <f t="shared" si="1"/>
        <v>0</v>
      </c>
      <c r="G19" s="1424">
        <f t="shared" si="1"/>
        <v>0</v>
      </c>
      <c r="H19" s="498">
        <f>SUM($F$9:F19)/A19</f>
        <v>0</v>
      </c>
      <c r="I19" s="499">
        <f>SUM($G$9:G19)/A19</f>
        <v>0</v>
      </c>
      <c r="J19" s="443">
        <f t="shared" si="2"/>
        <v>584</v>
      </c>
      <c r="K19" s="459">
        <f t="shared" si="2"/>
        <v>584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2.5955555555555554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/>
      <c r="E20" s="499">
        <f t="shared" si="0"/>
        <v>0</v>
      </c>
      <c r="F20" s="586">
        <f t="shared" si="1"/>
        <v>0</v>
      </c>
      <c r="G20" s="1424">
        <f t="shared" si="1"/>
        <v>0</v>
      </c>
      <c r="H20" s="498">
        <f>SUM($F$9:F20)/A20</f>
        <v>0</v>
      </c>
      <c r="I20" s="499">
        <f>SUM($G$9:G20)/A20</f>
        <v>0</v>
      </c>
      <c r="J20" s="443">
        <f t="shared" si="2"/>
        <v>584</v>
      </c>
      <c r="K20" s="459">
        <f t="shared" si="2"/>
        <v>584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2.5955555555555554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/>
      <c r="E21" s="499">
        <f t="shared" si="0"/>
        <v>0</v>
      </c>
      <c r="F21" s="586">
        <f t="shared" si="1"/>
        <v>0</v>
      </c>
      <c r="G21" s="1424">
        <f t="shared" si="1"/>
        <v>0</v>
      </c>
      <c r="H21" s="498">
        <f>SUM($F$9:F21)/A21</f>
        <v>0</v>
      </c>
      <c r="I21" s="499">
        <f>SUM($G$9:G21)/A21</f>
        <v>0</v>
      </c>
      <c r="J21" s="443">
        <f t="shared" si="2"/>
        <v>584</v>
      </c>
      <c r="K21" s="459">
        <f t="shared" si="2"/>
        <v>584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2.5955555555555554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/>
      <c r="E22" s="499">
        <f t="shared" si="0"/>
        <v>0</v>
      </c>
      <c r="F22" s="586">
        <f t="shared" si="1"/>
        <v>0</v>
      </c>
      <c r="G22" s="1424">
        <f t="shared" si="1"/>
        <v>0</v>
      </c>
      <c r="H22" s="498">
        <f>SUM($F$9:F22)/A22</f>
        <v>0</v>
      </c>
      <c r="I22" s="499">
        <f>SUM($G$9:G22)/A22</f>
        <v>0</v>
      </c>
      <c r="J22" s="443">
        <f t="shared" si="2"/>
        <v>584</v>
      </c>
      <c r="K22" s="459">
        <f t="shared" si="2"/>
        <v>584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2.5955555555555554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/>
      <c r="E23" s="499">
        <f t="shared" si="0"/>
        <v>0</v>
      </c>
      <c r="F23" s="586">
        <f t="shared" si="1"/>
        <v>0</v>
      </c>
      <c r="G23" s="1424">
        <f t="shared" si="1"/>
        <v>0</v>
      </c>
      <c r="H23" s="504">
        <f>SUM($F$9:F23)/A23</f>
        <v>0</v>
      </c>
      <c r="I23" s="499">
        <f>SUM($G$9:G23)/A23</f>
        <v>0</v>
      </c>
      <c r="J23" s="504">
        <f t="shared" si="2"/>
        <v>584</v>
      </c>
      <c r="K23" s="459">
        <f t="shared" si="2"/>
        <v>584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2.5955555555555554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/>
      <c r="E24" s="499">
        <f>D24</f>
        <v>0</v>
      </c>
      <c r="F24" s="586">
        <f t="shared" si="1"/>
        <v>0</v>
      </c>
      <c r="G24" s="1424">
        <f t="shared" si="1"/>
        <v>0</v>
      </c>
      <c r="H24" s="498">
        <f>SUM($F$9:F24)/A24</f>
        <v>0</v>
      </c>
      <c r="I24" s="499">
        <f>SUM($G$9:G24)/A24</f>
        <v>0</v>
      </c>
      <c r="J24" s="443">
        <f t="shared" si="2"/>
        <v>584</v>
      </c>
      <c r="K24" s="459">
        <f>K23+E24-G24</f>
        <v>584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2.5955555555555554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>
        <f>D25</f>
        <v>0</v>
      </c>
      <c r="F25" s="586">
        <f t="shared" si="1"/>
        <v>0</v>
      </c>
      <c r="G25" s="1424">
        <f t="shared" si="1"/>
        <v>0</v>
      </c>
      <c r="H25" s="498">
        <f>SUM($F$9:F25)/A25</f>
        <v>0</v>
      </c>
      <c r="I25" s="499">
        <f>SUM($G$9:G25)/A25</f>
        <v>0</v>
      </c>
      <c r="J25" s="443">
        <f t="shared" si="2"/>
        <v>584</v>
      </c>
      <c r="K25" s="459">
        <f>K24+E25-G25</f>
        <v>584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2.5955555555555554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/>
      <c r="E26" s="499">
        <f t="shared" si="0"/>
        <v>0</v>
      </c>
      <c r="F26" s="586">
        <f t="shared" si="1"/>
        <v>0</v>
      </c>
      <c r="G26" s="1424">
        <f t="shared" si="1"/>
        <v>0</v>
      </c>
      <c r="H26" s="498">
        <f>SUM($F$9:F26)/A26</f>
        <v>0</v>
      </c>
      <c r="I26" s="499">
        <f>SUM($G$9:G26)/A26</f>
        <v>0</v>
      </c>
      <c r="J26" s="443">
        <f t="shared" ref="J26:K39" si="5">J25+D26-F26</f>
        <v>584</v>
      </c>
      <c r="K26" s="459">
        <f t="shared" si="5"/>
        <v>584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2.5955555555555554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/>
      <c r="E27" s="499">
        <f t="shared" si="0"/>
        <v>0</v>
      </c>
      <c r="F27" s="586">
        <f t="shared" si="1"/>
        <v>0</v>
      </c>
      <c r="G27" s="1424">
        <f t="shared" si="1"/>
        <v>0</v>
      </c>
      <c r="H27" s="498">
        <f>SUM($F$9:F27)/A27</f>
        <v>0</v>
      </c>
      <c r="I27" s="499">
        <f>SUM($G$9:G27)/A27</f>
        <v>0</v>
      </c>
      <c r="J27" s="443">
        <f t="shared" si="5"/>
        <v>584</v>
      </c>
      <c r="K27" s="459">
        <f t="shared" si="5"/>
        <v>584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2.5955555555555554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/>
      <c r="E28" s="499">
        <f t="shared" si="0"/>
        <v>0</v>
      </c>
      <c r="F28" s="586">
        <f t="shared" si="1"/>
        <v>0</v>
      </c>
      <c r="G28" s="1424">
        <f t="shared" si="1"/>
        <v>0</v>
      </c>
      <c r="H28" s="504">
        <f>SUM($F$9:F28)/A28</f>
        <v>0</v>
      </c>
      <c r="I28" s="499">
        <f>SUM($G$9:G28)/A28</f>
        <v>0</v>
      </c>
      <c r="J28" s="504">
        <f t="shared" si="5"/>
        <v>584</v>
      </c>
      <c r="K28" s="459">
        <f t="shared" si="5"/>
        <v>584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2.5955555555555554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/>
      <c r="E29" s="499">
        <f t="shared" si="0"/>
        <v>0</v>
      </c>
      <c r="F29" s="586">
        <f t="shared" si="1"/>
        <v>0</v>
      </c>
      <c r="G29" s="1424">
        <f t="shared" si="1"/>
        <v>0</v>
      </c>
      <c r="H29" s="498">
        <f>SUM($F$9:F29)/A29</f>
        <v>0</v>
      </c>
      <c r="I29" s="499">
        <f>SUM($G$9:G29)/A29</f>
        <v>0</v>
      </c>
      <c r="J29" s="443">
        <f t="shared" si="5"/>
        <v>584</v>
      </c>
      <c r="K29" s="459">
        <f t="shared" si="5"/>
        <v>584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2.5955555555555554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/>
      <c r="E30" s="499">
        <f t="shared" si="0"/>
        <v>0</v>
      </c>
      <c r="F30" s="586">
        <f t="shared" si="1"/>
        <v>0</v>
      </c>
      <c r="G30" s="1424">
        <f t="shared" si="1"/>
        <v>0</v>
      </c>
      <c r="H30" s="498">
        <f>SUM($F$9:F30)/A30</f>
        <v>0</v>
      </c>
      <c r="I30" s="499">
        <f>SUM($G$9:G30)/A30</f>
        <v>0</v>
      </c>
      <c r="J30" s="443">
        <f t="shared" si="5"/>
        <v>584</v>
      </c>
      <c r="K30" s="459">
        <f t="shared" si="5"/>
        <v>584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2.5955555555555554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/>
      <c r="E31" s="499">
        <f t="shared" si="0"/>
        <v>0</v>
      </c>
      <c r="F31" s="586">
        <f t="shared" si="1"/>
        <v>0</v>
      </c>
      <c r="G31" s="1424">
        <f t="shared" si="1"/>
        <v>0</v>
      </c>
      <c r="H31" s="498">
        <f>SUM($F$9:F31)/A31</f>
        <v>0</v>
      </c>
      <c r="I31" s="499">
        <f>SUM($G$9:G31)/A31</f>
        <v>0</v>
      </c>
      <c r="J31" s="443">
        <f t="shared" si="5"/>
        <v>584</v>
      </c>
      <c r="K31" s="459">
        <f t="shared" si="5"/>
        <v>584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2.5955555555555554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/>
      <c r="E32" s="499">
        <f t="shared" si="0"/>
        <v>0</v>
      </c>
      <c r="F32" s="586">
        <f t="shared" si="1"/>
        <v>0</v>
      </c>
      <c r="G32" s="1424">
        <f t="shared" si="1"/>
        <v>0</v>
      </c>
      <c r="H32" s="498">
        <f>SUM($F$9:F32)/A32</f>
        <v>0</v>
      </c>
      <c r="I32" s="499">
        <f>SUM($G$9:G32)/A32</f>
        <v>0</v>
      </c>
      <c r="J32" s="443">
        <f t="shared" si="5"/>
        <v>584</v>
      </c>
      <c r="K32" s="459">
        <f t="shared" si="5"/>
        <v>584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2.5955555555555554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/>
      <c r="E33" s="499">
        <f t="shared" si="0"/>
        <v>0</v>
      </c>
      <c r="F33" s="586">
        <f t="shared" si="1"/>
        <v>0</v>
      </c>
      <c r="G33" s="1424">
        <f t="shared" si="1"/>
        <v>0</v>
      </c>
      <c r="H33" s="460">
        <f>SUM($F$9:F33)/A33</f>
        <v>0</v>
      </c>
      <c r="I33" s="499">
        <f>SUM($G$9:G33)/A33</f>
        <v>0</v>
      </c>
      <c r="J33" s="460">
        <f t="shared" si="5"/>
        <v>584</v>
      </c>
      <c r="K33" s="459">
        <f t="shared" si="5"/>
        <v>584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2.5955555555555554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/>
      <c r="E34" s="499">
        <f t="shared" si="0"/>
        <v>0</v>
      </c>
      <c r="F34" s="586">
        <f t="shared" si="1"/>
        <v>0</v>
      </c>
      <c r="G34" s="1424">
        <f t="shared" si="1"/>
        <v>0</v>
      </c>
      <c r="H34" s="498">
        <f>SUM($F$9:F34)/A34</f>
        <v>0</v>
      </c>
      <c r="I34" s="499">
        <f>SUM($G$9:G34)/A34</f>
        <v>0</v>
      </c>
      <c r="J34" s="443">
        <f t="shared" si="5"/>
        <v>584</v>
      </c>
      <c r="K34" s="459">
        <f t="shared" si="5"/>
        <v>584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2.5955555555555554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/>
      <c r="E35" s="499">
        <f t="shared" si="0"/>
        <v>0</v>
      </c>
      <c r="F35" s="586">
        <f t="shared" si="1"/>
        <v>0</v>
      </c>
      <c r="G35" s="1424">
        <f t="shared" si="1"/>
        <v>0</v>
      </c>
      <c r="H35" s="498">
        <f>SUM($F$9:F35)/A35</f>
        <v>0</v>
      </c>
      <c r="I35" s="499">
        <f>SUM($G$9:G35)/A35</f>
        <v>0</v>
      </c>
      <c r="J35" s="443">
        <f t="shared" si="5"/>
        <v>584</v>
      </c>
      <c r="K35" s="459">
        <f t="shared" si="5"/>
        <v>584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2.5955555555555554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/>
      <c r="E36" s="499">
        <f t="shared" si="0"/>
        <v>0</v>
      </c>
      <c r="F36" s="586">
        <f t="shared" si="1"/>
        <v>0</v>
      </c>
      <c r="G36" s="1424">
        <f t="shared" si="1"/>
        <v>0</v>
      </c>
      <c r="H36" s="498">
        <f>SUM($F$9:F36)/A36</f>
        <v>0</v>
      </c>
      <c r="I36" s="499">
        <f>SUM($G$9:G36)/A36</f>
        <v>0</v>
      </c>
      <c r="J36" s="443">
        <f t="shared" si="5"/>
        <v>584</v>
      </c>
      <c r="K36" s="459">
        <f t="shared" si="5"/>
        <v>584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2.5955555555555554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/>
      <c r="E37" s="499"/>
      <c r="F37" s="586">
        <f t="shared" si="1"/>
        <v>0</v>
      </c>
      <c r="G37" s="1424">
        <f t="shared" si="1"/>
        <v>0</v>
      </c>
      <c r="H37" s="498">
        <f>SUM($F$9:F37)/A37</f>
        <v>0</v>
      </c>
      <c r="I37" s="499">
        <f>SUM($G$9:G37)/A37</f>
        <v>0</v>
      </c>
      <c r="J37" s="443">
        <f t="shared" si="5"/>
        <v>584</v>
      </c>
      <c r="K37" s="459">
        <f t="shared" si="5"/>
        <v>584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2.5955555555555554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/>
      <c r="E38" s="499">
        <f t="shared" si="0"/>
        <v>0</v>
      </c>
      <c r="F38" s="586">
        <f t="shared" si="1"/>
        <v>0</v>
      </c>
      <c r="G38" s="1424">
        <f t="shared" si="1"/>
        <v>0</v>
      </c>
      <c r="H38" s="504">
        <f>SUM($F$9:F38)/A38</f>
        <v>0</v>
      </c>
      <c r="I38" s="499">
        <f>SUM($G$9:G38)/A38</f>
        <v>0</v>
      </c>
      <c r="J38" s="504">
        <f t="shared" si="5"/>
        <v>584</v>
      </c>
      <c r="K38" s="459">
        <f t="shared" si="5"/>
        <v>584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2.5955555555555554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/>
      <c r="E39" s="499">
        <f t="shared" si="0"/>
        <v>0</v>
      </c>
      <c r="F39" s="586">
        <f t="shared" si="1"/>
        <v>0</v>
      </c>
      <c r="G39" s="1424">
        <f t="shared" si="1"/>
        <v>0</v>
      </c>
      <c r="H39" s="498">
        <f>SUM($F$9:F39)/A39</f>
        <v>0</v>
      </c>
      <c r="I39" s="499">
        <f>SUM($G$9:G39)/A39</f>
        <v>0</v>
      </c>
      <c r="J39" s="443">
        <f t="shared" si="5"/>
        <v>584</v>
      </c>
      <c r="K39" s="459">
        <f t="shared" si="5"/>
        <v>584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2.5955555555555554</v>
      </c>
    </row>
    <row r="40" spans="1:19" s="374" customFormat="1" ht="12" customHeight="1">
      <c r="A40" s="1365" t="s">
        <v>29</v>
      </c>
      <c r="B40" s="1366"/>
      <c r="C40" s="1367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584</v>
      </c>
      <c r="K40" s="461">
        <f>K39</f>
        <v>584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1365" t="s">
        <v>15</v>
      </c>
      <c r="B41" s="1366"/>
      <c r="C41" s="1367"/>
      <c r="D41" s="388">
        <f>D8+D40</f>
        <v>584</v>
      </c>
      <c r="E41" s="388">
        <f>E8+E40</f>
        <v>584</v>
      </c>
      <c r="F41" s="389">
        <f>F40</f>
        <v>0</v>
      </c>
      <c r="G41" s="496">
        <f>G40</f>
        <v>0</v>
      </c>
      <c r="H41" s="389"/>
      <c r="I41" s="496"/>
      <c r="J41" s="389">
        <f>D41-F41</f>
        <v>584</v>
      </c>
      <c r="K41" s="389">
        <f>E41-G41</f>
        <v>584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828" priority="1" operator="lessThan">
      <formula>15</formula>
    </cfRule>
    <cfRule type="cellIs" dxfId="11827" priority="2" operator="greaterThan">
      <formula>20</formula>
    </cfRule>
    <cfRule type="cellIs" dxfId="11826" priority="3" operator="between">
      <formula>15</formula>
      <formula>20</formula>
    </cfRule>
    <cfRule type="cellIs" dxfId="11825" priority="4" operator="between">
      <formula>15</formula>
      <formula>20</formula>
    </cfRule>
    <cfRule type="cellIs" dxfId="11824" priority="5" operator="lessThan">
      <formula>15</formula>
    </cfRule>
    <cfRule type="cellIs" dxfId="11823" priority="6" operator="greaterThan">
      <formula>20</formula>
    </cfRule>
    <cfRule type="cellIs" dxfId="11822" priority="7" operator="between">
      <formula>15</formula>
      <formula>21</formula>
    </cfRule>
    <cfRule type="cellIs" dxfId="11821" priority="8" operator="lessThan">
      <formula>15</formula>
    </cfRule>
    <cfRule type="cellIs" dxfId="11820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23622047244094491"/>
  <pageSetup paperSize="8" orientation="landscape" horizontalDpi="4294967292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6.710937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7.25" customHeight="1">
      <c r="A4" s="1600" t="s">
        <v>33</v>
      </c>
      <c r="B4" s="1600"/>
      <c r="C4" s="316" t="s">
        <v>124</v>
      </c>
      <c r="D4" s="383"/>
      <c r="E4" s="383" t="s">
        <v>228</v>
      </c>
      <c r="F4" s="383" t="s">
        <v>229</v>
      </c>
      <c r="G4" s="383"/>
      <c r="I4" s="383" t="s">
        <v>120</v>
      </c>
      <c r="J4" s="318" t="s">
        <v>188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621"/>
      <c r="U6" s="621"/>
      <c r="V6" s="621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616">
        <f>J8</f>
        <v>0</v>
      </c>
      <c r="E8" s="617">
        <f>K8</f>
        <v>0</v>
      </c>
      <c r="F8" s="618"/>
      <c r="G8" s="617"/>
      <c r="H8" s="616"/>
      <c r="I8" s="617"/>
      <c r="J8" s="636">
        <f>K8-K8*N8</f>
        <v>0</v>
      </c>
      <c r="K8" s="636">
        <v>0</v>
      </c>
      <c r="L8" s="462"/>
      <c r="M8" s="463"/>
      <c r="N8" s="366">
        <v>1.7999999999999999E-2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10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0">E10-E10*N10</f>
        <v>0</v>
      </c>
      <c r="E10" s="499"/>
      <c r="F10" s="586">
        <f t="shared" ref="F10:G39" si="1">O10+Q10</f>
        <v>0</v>
      </c>
      <c r="G10" s="1424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ref="J10:J39" si="2">J9+D10-F10</f>
        <v>0</v>
      </c>
      <c r="K10" s="459">
        <f t="shared" ref="K10:K39" si="3">K9+E10-G10</f>
        <v>0</v>
      </c>
      <c r="L10" s="495" t="e">
        <f t="shared" ref="L10:L39" si="4">J10/H10</f>
        <v>#DIV/0!</v>
      </c>
      <c r="M10" s="464" t="e">
        <f t="shared" ref="M10:M39" si="5">K10/I10</f>
        <v>#DIV/0!</v>
      </c>
      <c r="N10" s="366"/>
      <c r="O10" s="446"/>
      <c r="P10" s="446"/>
      <c r="Q10" s="446"/>
      <c r="R10" s="446"/>
      <c r="S10" s="647">
        <f t="shared" ref="S10:S39" si="6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0"/>
        <v>0</v>
      </c>
      <c r="E11" s="499"/>
      <c r="F11" s="586">
        <f t="shared" si="1"/>
        <v>0</v>
      </c>
      <c r="G11" s="1424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2"/>
        <v>0</v>
      </c>
      <c r="K11" s="459">
        <f t="shared" si="3"/>
        <v>0</v>
      </c>
      <c r="L11" s="495" t="e">
        <f t="shared" si="4"/>
        <v>#DIV/0!</v>
      </c>
      <c r="M11" s="464" t="e">
        <f t="shared" si="5"/>
        <v>#DIV/0!</v>
      </c>
      <c r="N11" s="366"/>
      <c r="O11" s="446"/>
      <c r="P11" s="446"/>
      <c r="Q11" s="446"/>
      <c r="R11" s="446"/>
      <c r="S11" s="647">
        <f t="shared" si="6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0"/>
        <v>0</v>
      </c>
      <c r="E12" s="499"/>
      <c r="F12" s="586">
        <f t="shared" si="1"/>
        <v>0</v>
      </c>
      <c r="G12" s="1424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si="2"/>
        <v>0</v>
      </c>
      <c r="K12" s="459">
        <f t="shared" si="3"/>
        <v>0</v>
      </c>
      <c r="L12" s="495" t="e">
        <f t="shared" si="4"/>
        <v>#DIV/0!</v>
      </c>
      <c r="M12" s="464" t="e">
        <f t="shared" si="5"/>
        <v>#DIV/0!</v>
      </c>
      <c r="N12" s="366"/>
      <c r="O12" s="446"/>
      <c r="P12" s="446"/>
      <c r="Q12" s="446"/>
      <c r="R12" s="446"/>
      <c r="S12" s="647">
        <f t="shared" si="6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0"/>
        <v>0</v>
      </c>
      <c r="E13" s="499"/>
      <c r="F13" s="586">
        <f t="shared" si="1"/>
        <v>0</v>
      </c>
      <c r="G13" s="1424">
        <f t="shared" si="1"/>
        <v>0</v>
      </c>
      <c r="H13" s="504">
        <f>SUM($F$9:F13)/A13</f>
        <v>0</v>
      </c>
      <c r="I13" s="499">
        <f>SUM($G$9:G13)/A13</f>
        <v>0</v>
      </c>
      <c r="J13" s="504">
        <f t="shared" si="2"/>
        <v>0</v>
      </c>
      <c r="K13" s="459">
        <f t="shared" si="3"/>
        <v>0</v>
      </c>
      <c r="L13" s="505" t="e">
        <f t="shared" si="4"/>
        <v>#DIV/0!</v>
      </c>
      <c r="M13" s="464" t="e">
        <f t="shared" si="5"/>
        <v>#DIV/0!</v>
      </c>
      <c r="N13" s="366"/>
      <c r="O13" s="446"/>
      <c r="P13" s="446"/>
      <c r="Q13" s="446"/>
      <c r="R13" s="446"/>
      <c r="S13" s="647">
        <f t="shared" si="6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0"/>
        <v>0</v>
      </c>
      <c r="E14" s="499"/>
      <c r="F14" s="586">
        <f t="shared" si="1"/>
        <v>0</v>
      </c>
      <c r="G14" s="1424">
        <f t="shared" si="1"/>
        <v>0</v>
      </c>
      <c r="H14" s="498">
        <f>SUM($F$9:F14)/A14</f>
        <v>0</v>
      </c>
      <c r="I14" s="499">
        <f>SUM($G$9:G14)/A14</f>
        <v>0</v>
      </c>
      <c r="J14" s="443">
        <f t="shared" si="2"/>
        <v>0</v>
      </c>
      <c r="K14" s="459">
        <f t="shared" si="3"/>
        <v>0</v>
      </c>
      <c r="L14" s="495" t="e">
        <f t="shared" si="4"/>
        <v>#DIV/0!</v>
      </c>
      <c r="M14" s="464" t="e">
        <f t="shared" si="5"/>
        <v>#DIV/0!</v>
      </c>
      <c r="N14" s="366"/>
      <c r="O14" s="446"/>
      <c r="P14" s="446"/>
      <c r="Q14" s="446"/>
      <c r="R14" s="446"/>
      <c r="S14" s="647">
        <f t="shared" si="6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0"/>
        <v>0</v>
      </c>
      <c r="E15" s="499"/>
      <c r="F15" s="586">
        <f t="shared" si="1"/>
        <v>0</v>
      </c>
      <c r="G15" s="1424">
        <f t="shared" si="1"/>
        <v>0</v>
      </c>
      <c r="H15" s="498">
        <f>SUM($F$9:F15)/A15</f>
        <v>0</v>
      </c>
      <c r="I15" s="499">
        <f>SUM($G$9:G15)/A15</f>
        <v>0</v>
      </c>
      <c r="J15" s="443">
        <f t="shared" si="2"/>
        <v>0</v>
      </c>
      <c r="K15" s="459">
        <f t="shared" si="3"/>
        <v>0</v>
      </c>
      <c r="L15" s="495" t="e">
        <f t="shared" si="4"/>
        <v>#DIV/0!</v>
      </c>
      <c r="M15" s="464" t="e">
        <f t="shared" si="5"/>
        <v>#DIV/0!</v>
      </c>
      <c r="N15" s="366"/>
      <c r="O15" s="446"/>
      <c r="P15" s="446"/>
      <c r="Q15" s="446"/>
      <c r="R15" s="446"/>
      <c r="S15" s="647">
        <f t="shared" si="6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0"/>
        <v>0</v>
      </c>
      <c r="E16" s="499"/>
      <c r="F16" s="586">
        <f t="shared" si="1"/>
        <v>0</v>
      </c>
      <c r="G16" s="1424">
        <f t="shared" si="1"/>
        <v>0</v>
      </c>
      <c r="H16" s="498">
        <f>SUM($F$9:F16)/A16</f>
        <v>0</v>
      </c>
      <c r="I16" s="499">
        <f>SUM($G$9:G16)/A16</f>
        <v>0</v>
      </c>
      <c r="J16" s="443">
        <f t="shared" si="2"/>
        <v>0</v>
      </c>
      <c r="K16" s="459">
        <f t="shared" si="3"/>
        <v>0</v>
      </c>
      <c r="L16" s="495" t="e">
        <f t="shared" si="4"/>
        <v>#DIV/0!</v>
      </c>
      <c r="M16" s="464" t="e">
        <f t="shared" si="5"/>
        <v>#DIV/0!</v>
      </c>
      <c r="N16" s="366"/>
      <c r="O16" s="446"/>
      <c r="P16" s="446"/>
      <c r="Q16" s="446"/>
      <c r="R16" s="446"/>
      <c r="S16" s="647">
        <f t="shared" si="6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0"/>
        <v>0</v>
      </c>
      <c r="E17" s="499"/>
      <c r="F17" s="586">
        <f t="shared" si="1"/>
        <v>0</v>
      </c>
      <c r="G17" s="1424">
        <f t="shared" si="1"/>
        <v>0</v>
      </c>
      <c r="H17" s="498">
        <f>SUM($F$9:F17)/A17</f>
        <v>0</v>
      </c>
      <c r="I17" s="499">
        <f>SUM($G$9:G17)/A17</f>
        <v>0</v>
      </c>
      <c r="J17" s="443">
        <f t="shared" si="2"/>
        <v>0</v>
      </c>
      <c r="K17" s="459">
        <f t="shared" si="3"/>
        <v>0</v>
      </c>
      <c r="L17" s="495" t="e">
        <f t="shared" si="4"/>
        <v>#DIV/0!</v>
      </c>
      <c r="M17" s="464" t="e">
        <f t="shared" si="5"/>
        <v>#DIV/0!</v>
      </c>
      <c r="N17" s="366"/>
      <c r="O17" s="446"/>
      <c r="P17" s="446"/>
      <c r="Q17" s="446"/>
      <c r="R17" s="446"/>
      <c r="S17" s="647">
        <f t="shared" si="6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0"/>
        <v>0</v>
      </c>
      <c r="E18" s="499"/>
      <c r="F18" s="586">
        <f t="shared" si="1"/>
        <v>0</v>
      </c>
      <c r="G18" s="1424">
        <f t="shared" si="1"/>
        <v>0</v>
      </c>
      <c r="H18" s="504">
        <f>SUM($F$9:F18)/A18</f>
        <v>0</v>
      </c>
      <c r="I18" s="499">
        <f>SUM($G$9:G18)/A18</f>
        <v>0</v>
      </c>
      <c r="J18" s="504">
        <f t="shared" si="2"/>
        <v>0</v>
      </c>
      <c r="K18" s="459">
        <f t="shared" si="3"/>
        <v>0</v>
      </c>
      <c r="L18" s="505" t="e">
        <f t="shared" si="4"/>
        <v>#DIV/0!</v>
      </c>
      <c r="M18" s="464" t="e">
        <f t="shared" si="5"/>
        <v>#DIV/0!</v>
      </c>
      <c r="N18" s="366"/>
      <c r="O18" s="446"/>
      <c r="P18" s="446"/>
      <c r="Q18" s="446"/>
      <c r="R18" s="446"/>
      <c r="S18" s="647">
        <f t="shared" si="6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0"/>
        <v>0</v>
      </c>
      <c r="E19" s="499"/>
      <c r="F19" s="586">
        <f t="shared" si="1"/>
        <v>0</v>
      </c>
      <c r="G19" s="1424">
        <f t="shared" si="1"/>
        <v>0</v>
      </c>
      <c r="H19" s="498">
        <f>SUM($F$9:F19)/A19</f>
        <v>0</v>
      </c>
      <c r="I19" s="499">
        <f>SUM($G$9:G19)/A19</f>
        <v>0</v>
      </c>
      <c r="J19" s="443">
        <f t="shared" si="2"/>
        <v>0</v>
      </c>
      <c r="K19" s="459">
        <f t="shared" si="3"/>
        <v>0</v>
      </c>
      <c r="L19" s="495" t="e">
        <f t="shared" si="4"/>
        <v>#DIV/0!</v>
      </c>
      <c r="M19" s="464" t="e">
        <f t="shared" si="5"/>
        <v>#DIV/0!</v>
      </c>
      <c r="N19" s="366"/>
      <c r="O19" s="446"/>
      <c r="P19" s="446"/>
      <c r="Q19" s="446"/>
      <c r="R19" s="446"/>
      <c r="S19" s="647">
        <f t="shared" si="6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0"/>
        <v>0</v>
      </c>
      <c r="E20" s="499"/>
      <c r="F20" s="586">
        <f t="shared" si="1"/>
        <v>0</v>
      </c>
      <c r="G20" s="1424">
        <f t="shared" si="1"/>
        <v>0</v>
      </c>
      <c r="H20" s="498">
        <f>SUM($F$9:F20)/A20</f>
        <v>0</v>
      </c>
      <c r="I20" s="499">
        <f>SUM($G$9:G20)/A20</f>
        <v>0</v>
      </c>
      <c r="J20" s="443">
        <f t="shared" si="2"/>
        <v>0</v>
      </c>
      <c r="K20" s="459">
        <f t="shared" si="3"/>
        <v>0</v>
      </c>
      <c r="L20" s="495" t="e">
        <f t="shared" si="4"/>
        <v>#DIV/0!</v>
      </c>
      <c r="M20" s="464" t="e">
        <f t="shared" si="5"/>
        <v>#DIV/0!</v>
      </c>
      <c r="N20" s="366"/>
      <c r="O20" s="446"/>
      <c r="P20" s="446"/>
      <c r="Q20" s="446"/>
      <c r="R20" s="446"/>
      <c r="S20" s="647">
        <f t="shared" si="6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0"/>
        <v>0</v>
      </c>
      <c r="E21" s="499"/>
      <c r="F21" s="586">
        <f t="shared" si="1"/>
        <v>0</v>
      </c>
      <c r="G21" s="1424">
        <f t="shared" si="1"/>
        <v>0</v>
      </c>
      <c r="H21" s="498">
        <f>SUM($F$9:F21)/A21</f>
        <v>0</v>
      </c>
      <c r="I21" s="499">
        <f>SUM($G$9:G21)/A21</f>
        <v>0</v>
      </c>
      <c r="J21" s="443">
        <f t="shared" si="2"/>
        <v>0</v>
      </c>
      <c r="K21" s="459">
        <f t="shared" si="3"/>
        <v>0</v>
      </c>
      <c r="L21" s="495" t="e">
        <f t="shared" si="4"/>
        <v>#DIV/0!</v>
      </c>
      <c r="M21" s="464" t="e">
        <f t="shared" si="5"/>
        <v>#DIV/0!</v>
      </c>
      <c r="N21" s="366"/>
      <c r="O21" s="446"/>
      <c r="P21" s="446"/>
      <c r="Q21" s="446"/>
      <c r="R21" s="446"/>
      <c r="S21" s="647">
        <f t="shared" si="6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0"/>
        <v>0</v>
      </c>
      <c r="E22" s="499"/>
      <c r="F22" s="586">
        <f t="shared" si="1"/>
        <v>0</v>
      </c>
      <c r="G22" s="1424">
        <f t="shared" si="1"/>
        <v>0</v>
      </c>
      <c r="H22" s="498">
        <f>SUM($F$9:F22)/A22</f>
        <v>0</v>
      </c>
      <c r="I22" s="499">
        <f>SUM($G$9:G22)/A22</f>
        <v>0</v>
      </c>
      <c r="J22" s="443">
        <f t="shared" si="2"/>
        <v>0</v>
      </c>
      <c r="K22" s="459">
        <f t="shared" si="3"/>
        <v>0</v>
      </c>
      <c r="L22" s="495" t="e">
        <f t="shared" si="4"/>
        <v>#DIV/0!</v>
      </c>
      <c r="M22" s="464" t="e">
        <f t="shared" si="5"/>
        <v>#DIV/0!</v>
      </c>
      <c r="N22" s="366"/>
      <c r="O22" s="446"/>
      <c r="P22" s="446"/>
      <c r="Q22" s="446"/>
      <c r="R22" s="446"/>
      <c r="S22" s="647">
        <f t="shared" si="6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0"/>
        <v>0</v>
      </c>
      <c r="E23" s="499"/>
      <c r="F23" s="586">
        <f t="shared" si="1"/>
        <v>0</v>
      </c>
      <c r="G23" s="1424">
        <f t="shared" si="1"/>
        <v>0</v>
      </c>
      <c r="H23" s="504">
        <f>SUM($F$9:F23)/A23</f>
        <v>0</v>
      </c>
      <c r="I23" s="499">
        <f>SUM($G$9:G23)/A23</f>
        <v>0</v>
      </c>
      <c r="J23" s="504">
        <f t="shared" si="2"/>
        <v>0</v>
      </c>
      <c r="K23" s="459">
        <f t="shared" si="3"/>
        <v>0</v>
      </c>
      <c r="L23" s="505" t="e">
        <f t="shared" si="4"/>
        <v>#DIV/0!</v>
      </c>
      <c r="M23" s="464" t="e">
        <f t="shared" si="5"/>
        <v>#DIV/0!</v>
      </c>
      <c r="N23" s="366"/>
      <c r="O23" s="446"/>
      <c r="P23" s="446"/>
      <c r="Q23" s="446"/>
      <c r="R23" s="446"/>
      <c r="S23" s="647">
        <f t="shared" si="6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0"/>
        <v>0</v>
      </c>
      <c r="E24" s="499"/>
      <c r="F24" s="586">
        <f t="shared" si="1"/>
        <v>0</v>
      </c>
      <c r="G24" s="1424">
        <f t="shared" si="1"/>
        <v>0</v>
      </c>
      <c r="H24" s="498">
        <f>SUM($F$9:F24)/A24</f>
        <v>0</v>
      </c>
      <c r="I24" s="499">
        <f>SUM($G$9:G24)/A24</f>
        <v>0</v>
      </c>
      <c r="J24" s="443">
        <f t="shared" si="2"/>
        <v>0</v>
      </c>
      <c r="K24" s="459">
        <f t="shared" si="3"/>
        <v>0</v>
      </c>
      <c r="L24" s="495" t="e">
        <f t="shared" si="4"/>
        <v>#DIV/0!</v>
      </c>
      <c r="M24" s="464" t="e">
        <f t="shared" si="5"/>
        <v>#DIV/0!</v>
      </c>
      <c r="N24" s="366"/>
      <c r="O24" s="446"/>
      <c r="P24" s="446"/>
      <c r="Q24" s="446"/>
      <c r="R24" s="446"/>
      <c r="S24" s="647">
        <f t="shared" si="6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>
        <f t="shared" si="0"/>
        <v>0</v>
      </c>
      <c r="E25" s="499"/>
      <c r="F25" s="586">
        <f t="shared" si="1"/>
        <v>0</v>
      </c>
      <c r="G25" s="1424">
        <f t="shared" si="1"/>
        <v>0</v>
      </c>
      <c r="H25" s="498">
        <f>SUM($F$9:F25)/A25</f>
        <v>0</v>
      </c>
      <c r="I25" s="499">
        <f>SUM($G$9:G25)/A25</f>
        <v>0</v>
      </c>
      <c r="J25" s="443">
        <f t="shared" si="2"/>
        <v>0</v>
      </c>
      <c r="K25" s="459">
        <f t="shared" si="3"/>
        <v>0</v>
      </c>
      <c r="L25" s="495" t="e">
        <f t="shared" si="4"/>
        <v>#DIV/0!</v>
      </c>
      <c r="M25" s="464" t="e">
        <f t="shared" si="5"/>
        <v>#DIV/0!</v>
      </c>
      <c r="N25" s="366"/>
      <c r="O25" s="446"/>
      <c r="P25" s="446"/>
      <c r="Q25" s="446"/>
      <c r="R25" s="446"/>
      <c r="S25" s="647">
        <f t="shared" si="6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0"/>
        <v>0</v>
      </c>
      <c r="E26" s="499"/>
      <c r="F26" s="586">
        <f t="shared" si="1"/>
        <v>0</v>
      </c>
      <c r="G26" s="1424">
        <f t="shared" si="1"/>
        <v>0</v>
      </c>
      <c r="H26" s="498">
        <f>SUM($F$9:F26)/A26</f>
        <v>0</v>
      </c>
      <c r="I26" s="499">
        <f>SUM($G$9:G26)/A26</f>
        <v>0</v>
      </c>
      <c r="J26" s="443">
        <f t="shared" si="2"/>
        <v>0</v>
      </c>
      <c r="K26" s="459">
        <f t="shared" si="3"/>
        <v>0</v>
      </c>
      <c r="L26" s="495" t="e">
        <f t="shared" si="4"/>
        <v>#DIV/0!</v>
      </c>
      <c r="M26" s="464" t="e">
        <f t="shared" si="5"/>
        <v>#DIV/0!</v>
      </c>
      <c r="N26" s="366"/>
      <c r="O26" s="446"/>
      <c r="P26" s="446"/>
      <c r="Q26" s="446"/>
      <c r="R26" s="446"/>
      <c r="S26" s="647">
        <f t="shared" si="6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0"/>
        <v>0</v>
      </c>
      <c r="E27" s="499"/>
      <c r="F27" s="586">
        <f t="shared" si="1"/>
        <v>0</v>
      </c>
      <c r="G27" s="1424">
        <f t="shared" si="1"/>
        <v>0</v>
      </c>
      <c r="H27" s="498">
        <f>SUM($F$9:F27)/A27</f>
        <v>0</v>
      </c>
      <c r="I27" s="499">
        <f>SUM($G$9:G27)/A27</f>
        <v>0</v>
      </c>
      <c r="J27" s="443">
        <f t="shared" si="2"/>
        <v>0</v>
      </c>
      <c r="K27" s="459">
        <f t="shared" si="3"/>
        <v>0</v>
      </c>
      <c r="L27" s="495" t="e">
        <f t="shared" si="4"/>
        <v>#DIV/0!</v>
      </c>
      <c r="M27" s="464" t="e">
        <f t="shared" si="5"/>
        <v>#DIV/0!</v>
      </c>
      <c r="N27" s="366"/>
      <c r="O27" s="446"/>
      <c r="P27" s="446"/>
      <c r="Q27" s="446"/>
      <c r="R27" s="446"/>
      <c r="S27" s="647">
        <f t="shared" si="6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0"/>
        <v>0</v>
      </c>
      <c r="E28" s="499"/>
      <c r="F28" s="586">
        <f t="shared" si="1"/>
        <v>0</v>
      </c>
      <c r="G28" s="1424">
        <f t="shared" si="1"/>
        <v>0</v>
      </c>
      <c r="H28" s="504">
        <f>SUM($F$9:F28)/A28</f>
        <v>0</v>
      </c>
      <c r="I28" s="499">
        <f>SUM($G$9:G28)/A28</f>
        <v>0</v>
      </c>
      <c r="J28" s="504">
        <f t="shared" si="2"/>
        <v>0</v>
      </c>
      <c r="K28" s="459">
        <f t="shared" si="3"/>
        <v>0</v>
      </c>
      <c r="L28" s="505" t="e">
        <f t="shared" si="4"/>
        <v>#DIV/0!</v>
      </c>
      <c r="M28" s="464" t="e">
        <f t="shared" si="5"/>
        <v>#DIV/0!</v>
      </c>
      <c r="N28" s="366"/>
      <c r="O28" s="446"/>
      <c r="P28" s="446"/>
      <c r="Q28" s="446"/>
      <c r="R28" s="446"/>
      <c r="S28" s="647">
        <f t="shared" si="6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0"/>
        <v>0</v>
      </c>
      <c r="E29" s="499"/>
      <c r="F29" s="586">
        <f t="shared" si="1"/>
        <v>0</v>
      </c>
      <c r="G29" s="1424">
        <f t="shared" si="1"/>
        <v>0</v>
      </c>
      <c r="H29" s="498">
        <f>SUM($F$9:F29)/A29</f>
        <v>0</v>
      </c>
      <c r="I29" s="499">
        <f>SUM($G$9:G29)/A29</f>
        <v>0</v>
      </c>
      <c r="J29" s="443">
        <f t="shared" si="2"/>
        <v>0</v>
      </c>
      <c r="K29" s="459">
        <f t="shared" si="3"/>
        <v>0</v>
      </c>
      <c r="L29" s="495" t="e">
        <f t="shared" si="4"/>
        <v>#DIV/0!</v>
      </c>
      <c r="M29" s="464" t="e">
        <f t="shared" si="5"/>
        <v>#DIV/0!</v>
      </c>
      <c r="N29" s="366"/>
      <c r="O29" s="446"/>
      <c r="P29" s="446"/>
      <c r="Q29" s="446"/>
      <c r="R29" s="446"/>
      <c r="S29" s="647">
        <f t="shared" si="6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0"/>
        <v>0</v>
      </c>
      <c r="E30" s="499"/>
      <c r="F30" s="586">
        <f t="shared" si="1"/>
        <v>0</v>
      </c>
      <c r="G30" s="1424">
        <f t="shared" si="1"/>
        <v>0</v>
      </c>
      <c r="H30" s="498">
        <f>SUM($F$9:F30)/A30</f>
        <v>0</v>
      </c>
      <c r="I30" s="499">
        <f>SUM($G$9:G30)/A30</f>
        <v>0</v>
      </c>
      <c r="J30" s="443">
        <f t="shared" si="2"/>
        <v>0</v>
      </c>
      <c r="K30" s="459">
        <f t="shared" si="3"/>
        <v>0</v>
      </c>
      <c r="L30" s="495" t="e">
        <f t="shared" si="4"/>
        <v>#DIV/0!</v>
      </c>
      <c r="M30" s="464" t="e">
        <f t="shared" si="5"/>
        <v>#DIV/0!</v>
      </c>
      <c r="N30" s="366"/>
      <c r="O30" s="446"/>
      <c r="P30" s="446"/>
      <c r="Q30" s="446"/>
      <c r="R30" s="446"/>
      <c r="S30" s="647">
        <f t="shared" si="6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0"/>
        <v>0</v>
      </c>
      <c r="E31" s="499"/>
      <c r="F31" s="586">
        <f t="shared" si="1"/>
        <v>0</v>
      </c>
      <c r="G31" s="1424">
        <f t="shared" si="1"/>
        <v>0</v>
      </c>
      <c r="H31" s="498">
        <f>SUM($F$9:F31)/A31</f>
        <v>0</v>
      </c>
      <c r="I31" s="499">
        <f>SUM($G$9:G31)/A31</f>
        <v>0</v>
      </c>
      <c r="J31" s="443">
        <f t="shared" si="2"/>
        <v>0</v>
      </c>
      <c r="K31" s="459">
        <f t="shared" si="3"/>
        <v>0</v>
      </c>
      <c r="L31" s="495" t="e">
        <f t="shared" si="4"/>
        <v>#DIV/0!</v>
      </c>
      <c r="M31" s="464" t="e">
        <f t="shared" si="5"/>
        <v>#DIV/0!</v>
      </c>
      <c r="N31" s="366"/>
      <c r="O31" s="446"/>
      <c r="P31" s="446"/>
      <c r="Q31" s="446"/>
      <c r="R31" s="446"/>
      <c r="S31" s="647">
        <f t="shared" si="6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0"/>
        <v>0</v>
      </c>
      <c r="E32" s="499"/>
      <c r="F32" s="586">
        <f t="shared" si="1"/>
        <v>0</v>
      </c>
      <c r="G32" s="1424">
        <f t="shared" si="1"/>
        <v>0</v>
      </c>
      <c r="H32" s="498">
        <f>SUM($F$9:F32)/A32</f>
        <v>0</v>
      </c>
      <c r="I32" s="499">
        <f>SUM($G$9:G32)/A32</f>
        <v>0</v>
      </c>
      <c r="J32" s="443">
        <f t="shared" si="2"/>
        <v>0</v>
      </c>
      <c r="K32" s="459">
        <f t="shared" si="3"/>
        <v>0</v>
      </c>
      <c r="L32" s="495" t="e">
        <f t="shared" si="4"/>
        <v>#DIV/0!</v>
      </c>
      <c r="M32" s="464" t="e">
        <f t="shared" si="5"/>
        <v>#DIV/0!</v>
      </c>
      <c r="N32" s="366"/>
      <c r="O32" s="446"/>
      <c r="P32" s="446"/>
      <c r="Q32" s="446"/>
      <c r="R32" s="446"/>
      <c r="S32" s="647">
        <f t="shared" si="6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0"/>
        <v>0</v>
      </c>
      <c r="E33" s="499"/>
      <c r="F33" s="586">
        <f t="shared" si="1"/>
        <v>0</v>
      </c>
      <c r="G33" s="1424">
        <f t="shared" si="1"/>
        <v>0</v>
      </c>
      <c r="H33" s="460">
        <f>SUM($F$9:F33)/A33</f>
        <v>0</v>
      </c>
      <c r="I33" s="499">
        <f>SUM($G$9:G33)/A33</f>
        <v>0</v>
      </c>
      <c r="J33" s="460">
        <f t="shared" si="2"/>
        <v>0</v>
      </c>
      <c r="K33" s="459">
        <f t="shared" si="3"/>
        <v>0</v>
      </c>
      <c r="L33" s="506" t="e">
        <f t="shared" si="4"/>
        <v>#DIV/0!</v>
      </c>
      <c r="M33" s="464" t="e">
        <f t="shared" si="5"/>
        <v>#DIV/0!</v>
      </c>
      <c r="N33" s="366"/>
      <c r="O33" s="446"/>
      <c r="P33" s="446"/>
      <c r="Q33" s="446"/>
      <c r="R33" s="446"/>
      <c r="S33" s="647">
        <f t="shared" si="6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0"/>
        <v>0</v>
      </c>
      <c r="E34" s="499"/>
      <c r="F34" s="586">
        <f t="shared" si="1"/>
        <v>0</v>
      </c>
      <c r="G34" s="1424">
        <f t="shared" si="1"/>
        <v>0</v>
      </c>
      <c r="H34" s="498">
        <f>SUM($F$9:F34)/A34</f>
        <v>0</v>
      </c>
      <c r="I34" s="499">
        <f>SUM($G$9:G34)/A34</f>
        <v>0</v>
      </c>
      <c r="J34" s="443">
        <f t="shared" si="2"/>
        <v>0</v>
      </c>
      <c r="K34" s="459">
        <f t="shared" si="3"/>
        <v>0</v>
      </c>
      <c r="L34" s="495" t="e">
        <f t="shared" si="4"/>
        <v>#DIV/0!</v>
      </c>
      <c r="M34" s="464" t="e">
        <f t="shared" si="5"/>
        <v>#DIV/0!</v>
      </c>
      <c r="N34" s="366"/>
      <c r="O34" s="446"/>
      <c r="P34" s="446"/>
      <c r="Q34" s="446"/>
      <c r="R34" s="446"/>
      <c r="S34" s="647">
        <f t="shared" si="6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0"/>
        <v>0</v>
      </c>
      <c r="E35" s="499"/>
      <c r="F35" s="586">
        <f t="shared" si="1"/>
        <v>0</v>
      </c>
      <c r="G35" s="1424">
        <f t="shared" si="1"/>
        <v>0</v>
      </c>
      <c r="H35" s="498">
        <f>SUM($F$9:F35)/A35</f>
        <v>0</v>
      </c>
      <c r="I35" s="499">
        <f>SUM($G$9:G35)/A35</f>
        <v>0</v>
      </c>
      <c r="J35" s="443">
        <f t="shared" si="2"/>
        <v>0</v>
      </c>
      <c r="K35" s="459">
        <f t="shared" si="3"/>
        <v>0</v>
      </c>
      <c r="L35" s="495" t="e">
        <f t="shared" si="4"/>
        <v>#DIV/0!</v>
      </c>
      <c r="M35" s="464" t="e">
        <f t="shared" si="5"/>
        <v>#DIV/0!</v>
      </c>
      <c r="N35" s="366"/>
      <c r="O35" s="446"/>
      <c r="P35" s="446"/>
      <c r="Q35" s="446"/>
      <c r="R35" s="446"/>
      <c r="S35" s="647">
        <f t="shared" si="6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0"/>
        <v>0</v>
      </c>
      <c r="E36" s="499"/>
      <c r="F36" s="586">
        <f t="shared" si="1"/>
        <v>0</v>
      </c>
      <c r="G36" s="1424">
        <f t="shared" si="1"/>
        <v>0</v>
      </c>
      <c r="H36" s="498">
        <f>SUM($F$9:F36)/A36</f>
        <v>0</v>
      </c>
      <c r="I36" s="499">
        <f>SUM($G$9:G36)/A36</f>
        <v>0</v>
      </c>
      <c r="J36" s="443">
        <f t="shared" si="2"/>
        <v>0</v>
      </c>
      <c r="K36" s="459">
        <f t="shared" si="3"/>
        <v>0</v>
      </c>
      <c r="L36" s="495" t="e">
        <f t="shared" si="4"/>
        <v>#DIV/0!</v>
      </c>
      <c r="M36" s="464" t="e">
        <f t="shared" si="5"/>
        <v>#DIV/0!</v>
      </c>
      <c r="N36" s="366"/>
      <c r="O36" s="446"/>
      <c r="P36" s="446"/>
      <c r="Q36" s="446"/>
      <c r="R36" s="446"/>
      <c r="S36" s="647">
        <f t="shared" si="6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0"/>
        <v>0</v>
      </c>
      <c r="E37" s="499"/>
      <c r="F37" s="586">
        <f t="shared" si="1"/>
        <v>0</v>
      </c>
      <c r="G37" s="1424">
        <f t="shared" si="1"/>
        <v>0</v>
      </c>
      <c r="H37" s="498">
        <f>SUM($F$9:F37)/A37</f>
        <v>0</v>
      </c>
      <c r="I37" s="499">
        <f>SUM($G$9:G37)/A37</f>
        <v>0</v>
      </c>
      <c r="J37" s="443">
        <f t="shared" si="2"/>
        <v>0</v>
      </c>
      <c r="K37" s="459">
        <f t="shared" si="3"/>
        <v>0</v>
      </c>
      <c r="L37" s="495" t="e">
        <f t="shared" si="4"/>
        <v>#DIV/0!</v>
      </c>
      <c r="M37" s="464" t="e">
        <f t="shared" si="5"/>
        <v>#DIV/0!</v>
      </c>
      <c r="N37" s="366"/>
      <c r="O37" s="446"/>
      <c r="P37" s="446"/>
      <c r="Q37" s="446"/>
      <c r="R37" s="446"/>
      <c r="S37" s="647">
        <f t="shared" si="6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0"/>
        <v>0</v>
      </c>
      <c r="E38" s="499"/>
      <c r="F38" s="586">
        <f t="shared" si="1"/>
        <v>0</v>
      </c>
      <c r="G38" s="1424">
        <f t="shared" si="1"/>
        <v>0</v>
      </c>
      <c r="H38" s="504">
        <f>SUM($F$9:F38)/A38</f>
        <v>0</v>
      </c>
      <c r="I38" s="499">
        <f>SUM($G$9:G38)/A38</f>
        <v>0</v>
      </c>
      <c r="J38" s="504">
        <f t="shared" si="2"/>
        <v>0</v>
      </c>
      <c r="K38" s="459">
        <f t="shared" si="3"/>
        <v>0</v>
      </c>
      <c r="L38" s="505" t="e">
        <f t="shared" si="4"/>
        <v>#DIV/0!</v>
      </c>
      <c r="M38" s="464" t="e">
        <f t="shared" si="5"/>
        <v>#DIV/0!</v>
      </c>
      <c r="N38" s="366"/>
      <c r="O38" s="446"/>
      <c r="P38" s="446"/>
      <c r="Q38" s="446"/>
      <c r="R38" s="446"/>
      <c r="S38" s="647">
        <f t="shared" si="6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0"/>
        <v>0</v>
      </c>
      <c r="E39" s="499"/>
      <c r="F39" s="586">
        <f t="shared" si="1"/>
        <v>0</v>
      </c>
      <c r="G39" s="1424">
        <f t="shared" si="1"/>
        <v>0</v>
      </c>
      <c r="H39" s="498">
        <f>SUM($F$9:F39)/A39</f>
        <v>0</v>
      </c>
      <c r="I39" s="499">
        <f>SUM($G$9:G39)/A39</f>
        <v>0</v>
      </c>
      <c r="J39" s="443">
        <f t="shared" si="2"/>
        <v>0</v>
      </c>
      <c r="K39" s="459">
        <f t="shared" si="3"/>
        <v>0</v>
      </c>
      <c r="L39" s="495" t="e">
        <f t="shared" si="4"/>
        <v>#DIV/0!</v>
      </c>
      <c r="M39" s="464" t="e">
        <f t="shared" si="5"/>
        <v>#DIV/0!</v>
      </c>
      <c r="N39" s="366"/>
      <c r="O39" s="446"/>
      <c r="P39" s="446"/>
      <c r="Q39" s="446"/>
      <c r="R39" s="446"/>
      <c r="S39" s="647">
        <f t="shared" si="6"/>
        <v>0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643">
        <f>J39</f>
        <v>0</v>
      </c>
      <c r="K40" s="642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643">
        <f>D41-F41</f>
        <v>0</v>
      </c>
      <c r="K41" s="641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1819" priority="298" operator="lessThan">
      <formula>15</formula>
    </cfRule>
    <cfRule type="cellIs" dxfId="11818" priority="299" operator="greaterThan">
      <formula>20</formula>
    </cfRule>
    <cfRule type="cellIs" dxfId="11817" priority="300" operator="between">
      <formula>15</formula>
      <formula>20</formula>
    </cfRule>
    <cfRule type="cellIs" dxfId="11816" priority="301" operator="between">
      <formula>15</formula>
      <formula>20</formula>
    </cfRule>
    <cfRule type="cellIs" dxfId="11815" priority="302" operator="lessThan">
      <formula>15</formula>
    </cfRule>
    <cfRule type="cellIs" dxfId="11814" priority="303" operator="greaterThan">
      <formula>20</formula>
    </cfRule>
    <cfRule type="cellIs" dxfId="11813" priority="304" operator="between">
      <formula>15</formula>
      <formula>21</formula>
    </cfRule>
    <cfRule type="cellIs" dxfId="11812" priority="305" operator="lessThan">
      <formula>15</formula>
    </cfRule>
    <cfRule type="cellIs" dxfId="11811" priority="306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23622047244094491"/>
  <pageSetup paperSize="8" orientation="landscape" horizontalDpi="4294967292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7.28515625" style="143" customWidth="1"/>
    <col min="4" max="7" width="10.140625" style="142" customWidth="1"/>
    <col min="8" max="9" width="9.28515625" style="142" customWidth="1"/>
    <col min="10" max="10" width="11.5703125" style="142" customWidth="1"/>
    <col min="11" max="11" width="12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5.75" customHeight="1">
      <c r="A4" s="1600" t="s">
        <v>33</v>
      </c>
      <c r="B4" s="1600"/>
      <c r="C4" s="316" t="s">
        <v>201</v>
      </c>
      <c r="D4" s="383"/>
      <c r="E4" s="383" t="s">
        <v>228</v>
      </c>
      <c r="F4" s="383" t="s">
        <v>229</v>
      </c>
      <c r="G4" s="383"/>
      <c r="I4" s="383" t="s">
        <v>120</v>
      </c>
      <c r="J4" s="316" t="s">
        <v>289</v>
      </c>
      <c r="K4" s="319"/>
      <c r="L4" s="319"/>
      <c r="M4" s="319"/>
      <c r="O4" s="1422"/>
      <c r="P4" s="1422"/>
      <c r="Q4" s="1422"/>
      <c r="R4" s="1422"/>
      <c r="S4" s="143"/>
      <c r="T4" s="143"/>
      <c r="U4" s="143"/>
      <c r="V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  <c r="V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143"/>
      <c r="U6" s="143"/>
      <c r="V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3400</v>
      </c>
      <c r="E8" s="388">
        <f>K8</f>
        <v>3400</v>
      </c>
      <c r="F8" s="389"/>
      <c r="G8" s="388"/>
      <c r="H8" s="387"/>
      <c r="I8" s="388"/>
      <c r="J8" s="634">
        <f>K8-K8*N8</f>
        <v>3400</v>
      </c>
      <c r="K8" s="635">
        <v>3400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3840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SUM($G$8:G9)/A9</f>
        <v>0</v>
      </c>
      <c r="J9" s="443">
        <f t="shared" ref="J9:K24" si="0">J8+D9-F9</f>
        <v>3400</v>
      </c>
      <c r="K9" s="459">
        <f t="shared" si="0"/>
        <v>3400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0.88541666666666663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ref="D10:D39" si="2">E10-E10*N10</f>
        <v>0</v>
      </c>
      <c r="E10" s="499"/>
      <c r="F10" s="586">
        <f t="shared" ref="F10:G39" si="3">O10+Q10</f>
        <v>0</v>
      </c>
      <c r="G10" s="1424">
        <f t="shared" si="3"/>
        <v>0</v>
      </c>
      <c r="H10" s="498">
        <f>SUM($F$9:F10)/A10</f>
        <v>0</v>
      </c>
      <c r="I10" s="499">
        <f>SUM($G$8:G10)/A10</f>
        <v>0</v>
      </c>
      <c r="J10" s="443">
        <f t="shared" si="0"/>
        <v>3400</v>
      </c>
      <c r="K10" s="459">
        <f t="shared" si="0"/>
        <v>3400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0.88541666666666663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2"/>
        <v>0</v>
      </c>
      <c r="E11" s="499"/>
      <c r="F11" s="586">
        <f t="shared" si="3"/>
        <v>0</v>
      </c>
      <c r="G11" s="1424">
        <f t="shared" si="3"/>
        <v>0</v>
      </c>
      <c r="H11" s="498">
        <f>SUM($F$9:F11)/A11</f>
        <v>0</v>
      </c>
      <c r="I11" s="499">
        <f>SUM($G$8:G11)/A11</f>
        <v>0</v>
      </c>
      <c r="J11" s="443">
        <f t="shared" si="0"/>
        <v>3400</v>
      </c>
      <c r="K11" s="459">
        <f t="shared" si="0"/>
        <v>3400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0.88541666666666663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2"/>
        <v>0</v>
      </c>
      <c r="E12" s="499"/>
      <c r="F12" s="586">
        <f t="shared" si="3"/>
        <v>0</v>
      </c>
      <c r="G12" s="1424">
        <f t="shared" si="3"/>
        <v>0</v>
      </c>
      <c r="H12" s="498">
        <f>SUM($F$9:F12)/A12</f>
        <v>0</v>
      </c>
      <c r="I12" s="499">
        <f>SUM($G$8:G12)/A12</f>
        <v>0</v>
      </c>
      <c r="J12" s="443">
        <f t="shared" si="0"/>
        <v>3400</v>
      </c>
      <c r="K12" s="459">
        <f t="shared" si="0"/>
        <v>3400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0.88541666666666663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2"/>
        <v>0</v>
      </c>
      <c r="E13" s="499"/>
      <c r="F13" s="586">
        <f t="shared" si="3"/>
        <v>0</v>
      </c>
      <c r="G13" s="1424">
        <f t="shared" si="3"/>
        <v>0</v>
      </c>
      <c r="H13" s="709">
        <f>SUM($F$9:F13)/A13</f>
        <v>0</v>
      </c>
      <c r="I13" s="499">
        <f>SUM($G$8:G13)/A13</f>
        <v>0</v>
      </c>
      <c r="J13" s="504">
        <f t="shared" si="0"/>
        <v>3400</v>
      </c>
      <c r="K13" s="459">
        <f t="shared" si="0"/>
        <v>3400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0.88541666666666663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2"/>
        <v>0</v>
      </c>
      <c r="E14" s="499"/>
      <c r="F14" s="586">
        <f t="shared" si="3"/>
        <v>0</v>
      </c>
      <c r="G14" s="1424">
        <f t="shared" si="3"/>
        <v>0</v>
      </c>
      <c r="H14" s="498">
        <f>SUM($F$9:F14)/A14</f>
        <v>0</v>
      </c>
      <c r="I14" s="499">
        <f>SUM($G$8:G14)/A14</f>
        <v>0</v>
      </c>
      <c r="J14" s="443">
        <f t="shared" si="0"/>
        <v>3400</v>
      </c>
      <c r="K14" s="459">
        <f t="shared" si="0"/>
        <v>3400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0.88541666666666663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2"/>
        <v>0</v>
      </c>
      <c r="E15" s="499"/>
      <c r="F15" s="586">
        <f t="shared" si="3"/>
        <v>0</v>
      </c>
      <c r="G15" s="1424">
        <f t="shared" si="3"/>
        <v>0</v>
      </c>
      <c r="H15" s="498">
        <f>SUM($F$9:F15)/A15</f>
        <v>0</v>
      </c>
      <c r="I15" s="499">
        <f>SUM($G$8:G15)/A15</f>
        <v>0</v>
      </c>
      <c r="J15" s="443">
        <f t="shared" si="0"/>
        <v>3400</v>
      </c>
      <c r="K15" s="459">
        <f t="shared" si="0"/>
        <v>3400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0.88541666666666663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2"/>
        <v>0</v>
      </c>
      <c r="E16" s="499"/>
      <c r="F16" s="586">
        <f t="shared" si="3"/>
        <v>0</v>
      </c>
      <c r="G16" s="1424">
        <f t="shared" si="3"/>
        <v>0</v>
      </c>
      <c r="H16" s="498">
        <f>SUM($F$9:F16)/A16</f>
        <v>0</v>
      </c>
      <c r="I16" s="499">
        <f>SUM($G$8:G16)/A16</f>
        <v>0</v>
      </c>
      <c r="J16" s="443">
        <f t="shared" si="0"/>
        <v>3400</v>
      </c>
      <c r="K16" s="459">
        <f t="shared" si="0"/>
        <v>3400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0.88541666666666663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2"/>
        <v>0</v>
      </c>
      <c r="E17" s="499"/>
      <c r="F17" s="586">
        <f t="shared" si="3"/>
        <v>0</v>
      </c>
      <c r="G17" s="1424">
        <f t="shared" si="3"/>
        <v>0</v>
      </c>
      <c r="H17" s="498">
        <f>SUM($F$9:F17)/A17</f>
        <v>0</v>
      </c>
      <c r="I17" s="499">
        <f>SUM($G$8:G17)/A17</f>
        <v>0</v>
      </c>
      <c r="J17" s="443">
        <f t="shared" si="0"/>
        <v>3400</v>
      </c>
      <c r="K17" s="459">
        <f t="shared" si="0"/>
        <v>3400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0.88541666666666663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2"/>
        <v>0</v>
      </c>
      <c r="E18" s="499"/>
      <c r="F18" s="586">
        <f t="shared" si="3"/>
        <v>0</v>
      </c>
      <c r="G18" s="1424">
        <f t="shared" si="3"/>
        <v>0</v>
      </c>
      <c r="H18" s="709">
        <f>SUM($F$9:F18)/A18</f>
        <v>0</v>
      </c>
      <c r="I18" s="499">
        <f>SUM($G$8:G18)/A18</f>
        <v>0</v>
      </c>
      <c r="J18" s="504">
        <f t="shared" si="0"/>
        <v>3400</v>
      </c>
      <c r="K18" s="459">
        <f t="shared" si="0"/>
        <v>3400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0.88541666666666663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2"/>
        <v>0</v>
      </c>
      <c r="E19" s="499"/>
      <c r="F19" s="586">
        <f t="shared" si="3"/>
        <v>0</v>
      </c>
      <c r="G19" s="1424">
        <f t="shared" si="3"/>
        <v>0</v>
      </c>
      <c r="H19" s="498">
        <f>SUM($F$9:F19)/A19</f>
        <v>0</v>
      </c>
      <c r="I19" s="499">
        <f>SUM($G$8:G19)/A19</f>
        <v>0</v>
      </c>
      <c r="J19" s="443">
        <f t="shared" si="0"/>
        <v>3400</v>
      </c>
      <c r="K19" s="459">
        <f t="shared" si="0"/>
        <v>3400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0.88541666666666663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 t="shared" si="2"/>
        <v>0</v>
      </c>
      <c r="E20" s="499"/>
      <c r="F20" s="586">
        <f t="shared" si="3"/>
        <v>0</v>
      </c>
      <c r="G20" s="1424">
        <f t="shared" si="3"/>
        <v>0</v>
      </c>
      <c r="H20" s="498">
        <f>SUM($F$9:F20)/A20</f>
        <v>0</v>
      </c>
      <c r="I20" s="499">
        <f>SUM($G$8:G20)/A20</f>
        <v>0</v>
      </c>
      <c r="J20" s="443">
        <f t="shared" si="0"/>
        <v>3400</v>
      </c>
      <c r="K20" s="459">
        <f t="shared" si="0"/>
        <v>3400</v>
      </c>
      <c r="L20" s="495" t="e">
        <f t="shared" si="1"/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0.88541666666666663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si="2"/>
        <v>0</v>
      </c>
      <c r="E21" s="499"/>
      <c r="F21" s="586">
        <f t="shared" si="3"/>
        <v>0</v>
      </c>
      <c r="G21" s="1424">
        <f t="shared" si="3"/>
        <v>0</v>
      </c>
      <c r="H21" s="498">
        <f>SUM($F$9:F21)/A21</f>
        <v>0</v>
      </c>
      <c r="I21" s="499">
        <f>SUM($G$8:G21)/A21</f>
        <v>0</v>
      </c>
      <c r="J21" s="443">
        <f t="shared" si="0"/>
        <v>3400</v>
      </c>
      <c r="K21" s="459">
        <f>K20+E21-G21</f>
        <v>3400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0.88541666666666663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2"/>
        <v>0</v>
      </c>
      <c r="E22" s="499"/>
      <c r="F22" s="586">
        <f t="shared" si="3"/>
        <v>0</v>
      </c>
      <c r="G22" s="1424">
        <f t="shared" si="3"/>
        <v>0</v>
      </c>
      <c r="H22" s="498">
        <f>SUM($F$9:F22)/A22</f>
        <v>0</v>
      </c>
      <c r="I22" s="499">
        <f>SUM($G$8:G22)/A22</f>
        <v>0</v>
      </c>
      <c r="J22" s="443">
        <f t="shared" si="0"/>
        <v>3400</v>
      </c>
      <c r="K22" s="459">
        <f>K21+E22-G22</f>
        <v>3400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0.88541666666666663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2"/>
        <v>0</v>
      </c>
      <c r="E23" s="499"/>
      <c r="F23" s="586">
        <f t="shared" si="3"/>
        <v>0</v>
      </c>
      <c r="G23" s="1424">
        <f t="shared" si="3"/>
        <v>0</v>
      </c>
      <c r="H23" s="709">
        <f>SUM($F$9:F23)/A23</f>
        <v>0</v>
      </c>
      <c r="I23" s="499">
        <f>SUM($G$8:G23)/A23</f>
        <v>0</v>
      </c>
      <c r="J23" s="504">
        <f t="shared" si="0"/>
        <v>3400</v>
      </c>
      <c r="K23" s="459">
        <f t="shared" si="0"/>
        <v>3400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0.88541666666666663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2"/>
        <v>0</v>
      </c>
      <c r="E24" s="499"/>
      <c r="F24" s="586">
        <f t="shared" si="3"/>
        <v>0</v>
      </c>
      <c r="G24" s="1424">
        <f t="shared" si="3"/>
        <v>0</v>
      </c>
      <c r="H24" s="498">
        <f>SUM($F$9:F24)/A24</f>
        <v>0</v>
      </c>
      <c r="I24" s="499">
        <f>SUM($G$8:G24)/A24</f>
        <v>0</v>
      </c>
      <c r="J24" s="443">
        <f t="shared" si="0"/>
        <v>3400</v>
      </c>
      <c r="K24" s="459">
        <f>K23+E24-G24</f>
        <v>3400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0.88541666666666663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/>
      <c r="F25" s="586">
        <f t="shared" si="3"/>
        <v>0</v>
      </c>
      <c r="G25" s="1424">
        <f t="shared" si="3"/>
        <v>0</v>
      </c>
      <c r="H25" s="498">
        <f>SUM($F$9:F25)/A25</f>
        <v>0</v>
      </c>
      <c r="I25" s="499">
        <f>SUM($G$8:G25)/A25</f>
        <v>0</v>
      </c>
      <c r="J25" s="443">
        <f t="shared" ref="J25:K39" si="5">J24+D25-F25</f>
        <v>3400</v>
      </c>
      <c r="K25" s="459">
        <f>K24+E25-G25</f>
        <v>3400</v>
      </c>
      <c r="L25" s="495" t="e">
        <f t="shared" ref="L25:M39" si="6">J25/H25</f>
        <v>#DIV/0!</v>
      </c>
      <c r="M25" s="464" t="e">
        <f t="shared" si="6"/>
        <v>#DIV/0!</v>
      </c>
      <c r="N25" s="366"/>
      <c r="O25" s="446"/>
      <c r="P25" s="446"/>
      <c r="Q25" s="446"/>
      <c r="R25" s="446"/>
      <c r="S25" s="647">
        <f t="shared" si="4"/>
        <v>0.88541666666666663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2"/>
        <v>0</v>
      </c>
      <c r="E26" s="499"/>
      <c r="F26" s="586">
        <f t="shared" si="3"/>
        <v>0</v>
      </c>
      <c r="G26" s="1424">
        <f t="shared" si="3"/>
        <v>0</v>
      </c>
      <c r="H26" s="498">
        <f>SUM($F$9:F26)/A26</f>
        <v>0</v>
      </c>
      <c r="I26" s="499">
        <f>SUM($G$8:G26)/A26</f>
        <v>0</v>
      </c>
      <c r="J26" s="443">
        <f t="shared" si="5"/>
        <v>3400</v>
      </c>
      <c r="K26" s="459">
        <f>K25+E26-G26</f>
        <v>3400</v>
      </c>
      <c r="L26" s="495" t="e">
        <f t="shared" si="6"/>
        <v>#DIV/0!</v>
      </c>
      <c r="M26" s="464" t="e">
        <f t="shared" si="6"/>
        <v>#DIV/0!</v>
      </c>
      <c r="N26" s="366"/>
      <c r="O26" s="446"/>
      <c r="P26" s="446"/>
      <c r="Q26" s="446"/>
      <c r="R26" s="446"/>
      <c r="S26" s="647">
        <f t="shared" si="4"/>
        <v>0.88541666666666663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2"/>
        <v>0</v>
      </c>
      <c r="E27" s="499"/>
      <c r="F27" s="586">
        <f t="shared" si="3"/>
        <v>0</v>
      </c>
      <c r="G27" s="1424">
        <f t="shared" si="3"/>
        <v>0</v>
      </c>
      <c r="H27" s="498">
        <f>SUM($F$9:F27)/A27</f>
        <v>0</v>
      </c>
      <c r="I27" s="499">
        <f>SUM($G$8:G27)/A27</f>
        <v>0</v>
      </c>
      <c r="J27" s="443">
        <f t="shared" si="5"/>
        <v>3400</v>
      </c>
      <c r="K27" s="459">
        <f>K26+E27-G27</f>
        <v>3400</v>
      </c>
      <c r="L27" s="495" t="e">
        <f t="shared" si="6"/>
        <v>#DIV/0!</v>
      </c>
      <c r="M27" s="464" t="e">
        <f t="shared" si="6"/>
        <v>#DIV/0!</v>
      </c>
      <c r="N27" s="366"/>
      <c r="O27" s="446"/>
      <c r="P27" s="446"/>
      <c r="Q27" s="446"/>
      <c r="R27" s="446"/>
      <c r="S27" s="647">
        <f t="shared" si="4"/>
        <v>0.88541666666666663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2"/>
        <v>0</v>
      </c>
      <c r="E28" s="499"/>
      <c r="F28" s="586">
        <f t="shared" si="3"/>
        <v>0</v>
      </c>
      <c r="G28" s="1424">
        <f t="shared" si="3"/>
        <v>0</v>
      </c>
      <c r="H28" s="709">
        <f>SUM($F$9:F28)/A28</f>
        <v>0</v>
      </c>
      <c r="I28" s="499">
        <f>SUM($G$8:G28)/A28</f>
        <v>0</v>
      </c>
      <c r="J28" s="504">
        <f t="shared" si="5"/>
        <v>3400</v>
      </c>
      <c r="K28" s="459">
        <f t="shared" si="5"/>
        <v>3400</v>
      </c>
      <c r="L28" s="505" t="e">
        <f t="shared" si="6"/>
        <v>#DIV/0!</v>
      </c>
      <c r="M28" s="464" t="e">
        <f t="shared" si="6"/>
        <v>#DIV/0!</v>
      </c>
      <c r="N28" s="366"/>
      <c r="O28" s="446"/>
      <c r="P28" s="446"/>
      <c r="Q28" s="446"/>
      <c r="R28" s="446"/>
      <c r="S28" s="647">
        <f t="shared" si="4"/>
        <v>0.88541666666666663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2"/>
        <v>0</v>
      </c>
      <c r="E29" s="499"/>
      <c r="F29" s="586">
        <f t="shared" si="3"/>
        <v>0</v>
      </c>
      <c r="G29" s="1424">
        <f t="shared" si="3"/>
        <v>0</v>
      </c>
      <c r="H29" s="498">
        <f>SUM($F$9:F29)/A29</f>
        <v>0</v>
      </c>
      <c r="I29" s="499">
        <f>SUM($G$8:G29)/A29</f>
        <v>0</v>
      </c>
      <c r="J29" s="443">
        <f t="shared" si="5"/>
        <v>3400</v>
      </c>
      <c r="K29" s="459">
        <f t="shared" si="5"/>
        <v>3400</v>
      </c>
      <c r="L29" s="495" t="e">
        <f t="shared" si="6"/>
        <v>#DIV/0!</v>
      </c>
      <c r="M29" s="464" t="e">
        <f t="shared" si="6"/>
        <v>#DIV/0!</v>
      </c>
      <c r="N29" s="366"/>
      <c r="O29" s="446"/>
      <c r="P29" s="446"/>
      <c r="Q29" s="446"/>
      <c r="R29" s="446"/>
      <c r="S29" s="647">
        <f t="shared" si="4"/>
        <v>0.88541666666666663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2"/>
        <v>0</v>
      </c>
      <c r="E30" s="499"/>
      <c r="F30" s="586">
        <f t="shared" si="3"/>
        <v>0</v>
      </c>
      <c r="G30" s="1424">
        <f t="shared" si="3"/>
        <v>0</v>
      </c>
      <c r="H30" s="498">
        <f>SUM($F$9:F30)/A30</f>
        <v>0</v>
      </c>
      <c r="I30" s="499">
        <f>SUM($G$8:G30)/A30</f>
        <v>0</v>
      </c>
      <c r="J30" s="443">
        <f t="shared" si="5"/>
        <v>3400</v>
      </c>
      <c r="K30" s="459">
        <f t="shared" si="5"/>
        <v>3400</v>
      </c>
      <c r="L30" s="495" t="e">
        <f t="shared" si="6"/>
        <v>#DIV/0!</v>
      </c>
      <c r="M30" s="464" t="e">
        <f t="shared" si="6"/>
        <v>#DIV/0!</v>
      </c>
      <c r="N30" s="366"/>
      <c r="O30" s="446"/>
      <c r="P30" s="446"/>
      <c r="Q30" s="446"/>
      <c r="R30" s="446"/>
      <c r="S30" s="647">
        <f t="shared" si="4"/>
        <v>0.88541666666666663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2"/>
        <v>0</v>
      </c>
      <c r="E31" s="499"/>
      <c r="F31" s="586">
        <f t="shared" si="3"/>
        <v>0</v>
      </c>
      <c r="G31" s="1424">
        <f t="shared" si="3"/>
        <v>0</v>
      </c>
      <c r="H31" s="498">
        <f>SUM($F$9:F31)/A31</f>
        <v>0</v>
      </c>
      <c r="I31" s="499">
        <f>SUM($G$8:G31)/A31</f>
        <v>0</v>
      </c>
      <c r="J31" s="443">
        <f t="shared" si="5"/>
        <v>3400</v>
      </c>
      <c r="K31" s="459">
        <f t="shared" si="5"/>
        <v>3400</v>
      </c>
      <c r="L31" s="495" t="e">
        <f t="shared" si="6"/>
        <v>#DIV/0!</v>
      </c>
      <c r="M31" s="464" t="e">
        <f t="shared" si="6"/>
        <v>#DIV/0!</v>
      </c>
      <c r="N31" s="366"/>
      <c r="O31" s="446"/>
      <c r="P31" s="446"/>
      <c r="Q31" s="446"/>
      <c r="R31" s="446"/>
      <c r="S31" s="647">
        <f t="shared" si="4"/>
        <v>0.88541666666666663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104</v>
      </c>
      <c r="D32" s="502">
        <f t="shared" si="2"/>
        <v>0</v>
      </c>
      <c r="E32" s="499"/>
      <c r="F32" s="586">
        <f t="shared" si="3"/>
        <v>0</v>
      </c>
      <c r="G32" s="1424">
        <f t="shared" si="3"/>
        <v>0</v>
      </c>
      <c r="H32" s="498">
        <f>SUM($F$9:F32)/A32</f>
        <v>0</v>
      </c>
      <c r="I32" s="499">
        <f>SUM($G$8:G32)/A32</f>
        <v>0</v>
      </c>
      <c r="J32" s="443">
        <f t="shared" si="5"/>
        <v>3400</v>
      </c>
      <c r="K32" s="459">
        <f t="shared" si="5"/>
        <v>3400</v>
      </c>
      <c r="L32" s="495" t="e">
        <f t="shared" si="6"/>
        <v>#DIV/0!</v>
      </c>
      <c r="M32" s="464" t="e">
        <f t="shared" si="6"/>
        <v>#DIV/0!</v>
      </c>
      <c r="N32" s="366"/>
      <c r="O32" s="446"/>
      <c r="P32" s="446"/>
      <c r="Q32" s="446"/>
      <c r="R32" s="446"/>
      <c r="S32" s="647">
        <f t="shared" si="4"/>
        <v>0.88541666666666663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104</v>
      </c>
      <c r="D33" s="502">
        <f t="shared" si="2"/>
        <v>0</v>
      </c>
      <c r="E33" s="499"/>
      <c r="F33" s="586">
        <f t="shared" si="3"/>
        <v>0</v>
      </c>
      <c r="G33" s="1424">
        <f t="shared" si="3"/>
        <v>0</v>
      </c>
      <c r="H33" s="707">
        <f>SUM($F$9:F33)/A33</f>
        <v>0</v>
      </c>
      <c r="I33" s="499">
        <f>SUM($G$8:G33)/A33</f>
        <v>0</v>
      </c>
      <c r="J33" s="460">
        <f t="shared" si="5"/>
        <v>3400</v>
      </c>
      <c r="K33" s="459">
        <f t="shared" si="5"/>
        <v>3400</v>
      </c>
      <c r="L33" s="506" t="e">
        <f t="shared" si="6"/>
        <v>#DIV/0!</v>
      </c>
      <c r="M33" s="464" t="e">
        <f t="shared" si="6"/>
        <v>#DIV/0!</v>
      </c>
      <c r="N33" s="366"/>
      <c r="O33" s="446"/>
      <c r="P33" s="446"/>
      <c r="Q33" s="446"/>
      <c r="R33" s="446"/>
      <c r="S33" s="647">
        <f t="shared" si="4"/>
        <v>0.88541666666666663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502">
        <f t="shared" si="2"/>
        <v>0</v>
      </c>
      <c r="E34" s="499"/>
      <c r="F34" s="586">
        <f t="shared" si="3"/>
        <v>0</v>
      </c>
      <c r="G34" s="1424">
        <f t="shared" si="3"/>
        <v>0</v>
      </c>
      <c r="H34" s="498">
        <f>SUM($F$9:F34)/A34</f>
        <v>0</v>
      </c>
      <c r="I34" s="499">
        <f>SUM($G$8:G34)/A34</f>
        <v>0</v>
      </c>
      <c r="J34" s="443">
        <f t="shared" si="5"/>
        <v>3400</v>
      </c>
      <c r="K34" s="459">
        <f t="shared" si="5"/>
        <v>3400</v>
      </c>
      <c r="L34" s="495" t="e">
        <f t="shared" si="6"/>
        <v>#DIV/0!</v>
      </c>
      <c r="M34" s="464" t="e">
        <f t="shared" si="6"/>
        <v>#DIV/0!</v>
      </c>
      <c r="N34" s="366"/>
      <c r="O34" s="446"/>
      <c r="P34" s="446"/>
      <c r="Q34" s="446"/>
      <c r="R34" s="446"/>
      <c r="S34" s="647">
        <f t="shared" si="4"/>
        <v>0.88541666666666663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502">
        <f t="shared" si="2"/>
        <v>0</v>
      </c>
      <c r="E35" s="499"/>
      <c r="F35" s="586">
        <f t="shared" si="3"/>
        <v>0</v>
      </c>
      <c r="G35" s="1424">
        <f t="shared" si="3"/>
        <v>0</v>
      </c>
      <c r="H35" s="498">
        <f>SUM($F$9:F35)/A35</f>
        <v>0</v>
      </c>
      <c r="I35" s="499">
        <f>SUM($G$8:G35)/A35</f>
        <v>0</v>
      </c>
      <c r="J35" s="443">
        <f t="shared" si="5"/>
        <v>3400</v>
      </c>
      <c r="K35" s="459">
        <f t="shared" si="5"/>
        <v>3400</v>
      </c>
      <c r="L35" s="495" t="e">
        <f t="shared" si="6"/>
        <v>#DIV/0!</v>
      </c>
      <c r="M35" s="464" t="e">
        <f t="shared" si="6"/>
        <v>#DIV/0!</v>
      </c>
      <c r="N35" s="366"/>
      <c r="O35" s="446"/>
      <c r="P35" s="446"/>
      <c r="Q35" s="446"/>
      <c r="R35" s="446"/>
      <c r="S35" s="647">
        <f t="shared" si="4"/>
        <v>0.88541666666666663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104</v>
      </c>
      <c r="D36" s="502">
        <f t="shared" si="2"/>
        <v>0</v>
      </c>
      <c r="E36" s="499"/>
      <c r="F36" s="586">
        <f t="shared" si="3"/>
        <v>0</v>
      </c>
      <c r="G36" s="1424">
        <f t="shared" si="3"/>
        <v>0</v>
      </c>
      <c r="H36" s="498">
        <f>SUM($F$9:F36)/A36</f>
        <v>0</v>
      </c>
      <c r="I36" s="499">
        <f>SUM($G$8:G36)/A36</f>
        <v>0</v>
      </c>
      <c r="J36" s="443">
        <f t="shared" si="5"/>
        <v>3400</v>
      </c>
      <c r="K36" s="459">
        <f t="shared" si="5"/>
        <v>3400</v>
      </c>
      <c r="L36" s="495" t="e">
        <f t="shared" si="6"/>
        <v>#DIV/0!</v>
      </c>
      <c r="M36" s="464" t="e">
        <f t="shared" si="6"/>
        <v>#DIV/0!</v>
      </c>
      <c r="N36" s="366"/>
      <c r="O36" s="446"/>
      <c r="P36" s="446"/>
      <c r="Q36" s="446"/>
      <c r="R36" s="446"/>
      <c r="S36" s="647">
        <f t="shared" si="4"/>
        <v>0.88541666666666663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2"/>
        <v>0</v>
      </c>
      <c r="E37" s="499"/>
      <c r="F37" s="586">
        <f t="shared" si="3"/>
        <v>0</v>
      </c>
      <c r="G37" s="1424">
        <f t="shared" si="3"/>
        <v>0</v>
      </c>
      <c r="H37" s="498">
        <f>SUM($F$9:F37)/A37</f>
        <v>0</v>
      </c>
      <c r="I37" s="499">
        <f>SUM($G$8:G37)/A37</f>
        <v>0</v>
      </c>
      <c r="J37" s="443">
        <f t="shared" si="5"/>
        <v>3400</v>
      </c>
      <c r="K37" s="459">
        <f t="shared" si="5"/>
        <v>3400</v>
      </c>
      <c r="L37" s="495" t="e">
        <f t="shared" si="6"/>
        <v>#DIV/0!</v>
      </c>
      <c r="M37" s="464" t="e">
        <f t="shared" si="6"/>
        <v>#DIV/0!</v>
      </c>
      <c r="N37" s="366"/>
      <c r="O37" s="446"/>
      <c r="P37" s="446"/>
      <c r="Q37" s="446"/>
      <c r="R37" s="446"/>
      <c r="S37" s="647">
        <f t="shared" si="4"/>
        <v>0.88541666666666663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2"/>
        <v>0</v>
      </c>
      <c r="E38" s="499"/>
      <c r="F38" s="586">
        <f t="shared" si="3"/>
        <v>0</v>
      </c>
      <c r="G38" s="1424">
        <f t="shared" si="3"/>
        <v>0</v>
      </c>
      <c r="H38" s="709">
        <f>SUM($F$9:F38)/A38</f>
        <v>0</v>
      </c>
      <c r="I38" s="499">
        <f>SUM($G$8:G38)/A38</f>
        <v>0</v>
      </c>
      <c r="J38" s="504">
        <f t="shared" si="5"/>
        <v>3400</v>
      </c>
      <c r="K38" s="459">
        <f t="shared" si="5"/>
        <v>3400</v>
      </c>
      <c r="L38" s="505" t="e">
        <f t="shared" si="6"/>
        <v>#DIV/0!</v>
      </c>
      <c r="M38" s="464" t="e">
        <f t="shared" si="6"/>
        <v>#DIV/0!</v>
      </c>
      <c r="N38" s="366"/>
      <c r="O38" s="446"/>
      <c r="P38" s="446"/>
      <c r="Q38" s="446"/>
      <c r="R38" s="446"/>
      <c r="S38" s="647">
        <f t="shared" si="4"/>
        <v>0.88541666666666663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2"/>
        <v>0</v>
      </c>
      <c r="E39" s="499"/>
      <c r="F39" s="586">
        <f t="shared" si="3"/>
        <v>0</v>
      </c>
      <c r="G39" s="1424">
        <f t="shared" si="3"/>
        <v>0</v>
      </c>
      <c r="H39" s="498">
        <f>SUM($F$9:F39)/A39</f>
        <v>0</v>
      </c>
      <c r="I39" s="499">
        <f>SUM($G$8:G39)/A39</f>
        <v>0</v>
      </c>
      <c r="J39" s="443">
        <f t="shared" si="5"/>
        <v>3400</v>
      </c>
      <c r="K39" s="459">
        <f t="shared" si="5"/>
        <v>3400</v>
      </c>
      <c r="L39" s="495" t="e">
        <f t="shared" si="6"/>
        <v>#DIV/0!</v>
      </c>
      <c r="M39" s="464" t="e">
        <f t="shared" si="6"/>
        <v>#DIV/0!</v>
      </c>
      <c r="N39" s="366"/>
      <c r="O39" s="446"/>
      <c r="P39" s="446"/>
      <c r="Q39" s="446"/>
      <c r="R39" s="446"/>
      <c r="S39" s="647">
        <f t="shared" si="4"/>
        <v>0.88541666666666663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SUM(G8:G39)</f>
        <v>0</v>
      </c>
      <c r="H40" s="389"/>
      <c r="I40" s="496"/>
      <c r="J40" s="389">
        <f>J39</f>
        <v>3400</v>
      </c>
      <c r="K40" s="461">
        <f>K39</f>
        <v>3400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3400</v>
      </c>
      <c r="E41" s="388">
        <f>E8+E40</f>
        <v>3400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3400</v>
      </c>
      <c r="K41" s="389">
        <f>E41-G41</f>
        <v>3400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1810" priority="253" operator="lessThan">
      <formula>15</formula>
    </cfRule>
    <cfRule type="cellIs" dxfId="11809" priority="254" operator="greaterThan">
      <formula>20</formula>
    </cfRule>
    <cfRule type="cellIs" dxfId="11808" priority="255" operator="between">
      <formula>15</formula>
      <formula>20</formula>
    </cfRule>
    <cfRule type="cellIs" dxfId="11807" priority="256" operator="between">
      <formula>15</formula>
      <formula>20</formula>
    </cfRule>
    <cfRule type="cellIs" dxfId="11806" priority="257" operator="lessThan">
      <formula>15</formula>
    </cfRule>
    <cfRule type="cellIs" dxfId="11805" priority="258" operator="greaterThan">
      <formula>20</formula>
    </cfRule>
    <cfRule type="cellIs" dxfId="11804" priority="259" operator="between">
      <formula>15</formula>
      <formula>21</formula>
    </cfRule>
    <cfRule type="cellIs" dxfId="11803" priority="260" operator="lessThan">
      <formula>15</formula>
    </cfRule>
    <cfRule type="cellIs" dxfId="11802" priority="261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23622047244094491"/>
  <pageSetup paperSize="8" orientation="landscape" horizontalDpi="4294967292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49"/>
  <sheetViews>
    <sheetView workbookViewId="0">
      <pane ySplit="8" topLeftCell="A9" activePane="bottomLeft" state="frozen"/>
      <selection activeCell="D10" sqref="D10"/>
      <selection pane="bottomLeft" activeCell="K9" sqref="K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7.28515625" style="143" customWidth="1"/>
    <col min="4" max="7" width="10.140625" style="142" customWidth="1"/>
    <col min="8" max="9" width="9.28515625" style="142" customWidth="1"/>
    <col min="10" max="10" width="11.5703125" style="142" customWidth="1"/>
    <col min="11" max="11" width="12" style="142" customWidth="1"/>
    <col min="12" max="13" width="12" style="143" customWidth="1"/>
    <col min="14" max="14" width="6.42578125" style="143" customWidth="1"/>
    <col min="15" max="15" width="11.5703125" style="143" bestFit="1" customWidth="1"/>
    <col min="16" max="16" width="9.42578125" style="143" bestFit="1" customWidth="1"/>
    <col min="17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807" customFormat="1" ht="15.75" customHeight="1">
      <c r="A4" s="1600" t="s">
        <v>33</v>
      </c>
      <c r="B4" s="1600"/>
      <c r="C4" s="316" t="str">
        <f>J4</f>
        <v>MT616-QĐ</v>
      </c>
      <c r="D4" s="383"/>
      <c r="E4" s="383" t="s">
        <v>228</v>
      </c>
      <c r="F4" s="383" t="s">
        <v>229</v>
      </c>
      <c r="G4" s="383"/>
      <c r="I4" s="383" t="s">
        <v>120</v>
      </c>
      <c r="J4" s="316" t="s">
        <v>465</v>
      </c>
      <c r="K4" s="319"/>
      <c r="L4" s="319"/>
      <c r="M4" s="319"/>
      <c r="O4" s="143"/>
      <c r="P4" s="143"/>
      <c r="Q4" s="143"/>
      <c r="R4" s="143"/>
    </row>
    <row r="5" spans="1:25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O5" s="143"/>
      <c r="P5" s="143"/>
      <c r="Q5" s="143"/>
      <c r="R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  <c r="P6" s="143"/>
      <c r="Q6" s="143"/>
      <c r="R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/>
      <c r="G8" s="388"/>
      <c r="H8" s="387"/>
      <c r="I8" s="388"/>
      <c r="J8" s="634">
        <f>K8-K8*N8</f>
        <v>0</v>
      </c>
      <c r="K8" s="635">
        <v>0</v>
      </c>
      <c r="L8" s="462"/>
      <c r="M8" s="463"/>
      <c r="N8" s="366">
        <v>0</v>
      </c>
      <c r="O8" s="143">
        <v>0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>E9-E9*N9</f>
        <v>0</v>
      </c>
      <c r="E9" s="499"/>
      <c r="F9" s="446"/>
      <c r="G9" s="503"/>
      <c r="H9" s="498">
        <f>SUM($F$9:F9)/A9</f>
        <v>0</v>
      </c>
      <c r="I9" s="499">
        <f>SUM($G$8:G9)/A9</f>
        <v>0</v>
      </c>
      <c r="J9" s="443">
        <f t="shared" ref="J9:K24" si="0">J8+D9-F9</f>
        <v>0</v>
      </c>
      <c r="K9" s="459">
        <f t="shared" si="0"/>
        <v>0</v>
      </c>
      <c r="L9" s="495" t="e">
        <f t="shared" ref="L9:M24" si="1">J9/H9</f>
        <v>#DIV/0!</v>
      </c>
      <c r="M9" s="464" t="e">
        <f t="shared" si="1"/>
        <v>#DIV/0!</v>
      </c>
      <c r="N9" s="366"/>
      <c r="O9" s="647" t="e">
        <f>J9/$O$8</f>
        <v>#DIV/0!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ref="D10:D39" si="2">E10-E10*N10</f>
        <v>0</v>
      </c>
      <c r="E10" s="499"/>
      <c r="F10" s="446"/>
      <c r="G10" s="503"/>
      <c r="H10" s="498">
        <f>SUM($F$9:F10)/A10</f>
        <v>0</v>
      </c>
      <c r="I10" s="499">
        <f>SUM($G$8:G10)/A10</f>
        <v>0</v>
      </c>
      <c r="J10" s="443">
        <f t="shared" si="0"/>
        <v>0</v>
      </c>
      <c r="K10" s="459">
        <f t="shared" si="0"/>
        <v>0</v>
      </c>
      <c r="L10" s="495" t="e">
        <f t="shared" si="1"/>
        <v>#DIV/0!</v>
      </c>
      <c r="M10" s="464" t="e">
        <f t="shared" si="1"/>
        <v>#DIV/0!</v>
      </c>
      <c r="N10" s="366"/>
      <c r="O10" s="647" t="e">
        <f t="shared" ref="O10:O39" si="3">J10/$O$8</f>
        <v>#DIV/0!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2"/>
        <v>0</v>
      </c>
      <c r="E11" s="499"/>
      <c r="F11" s="446"/>
      <c r="G11" s="503"/>
      <c r="H11" s="498">
        <f>SUM($F$9:F11)/A11</f>
        <v>0</v>
      </c>
      <c r="I11" s="499">
        <f>SUM($G$8:G11)/A11</f>
        <v>0</v>
      </c>
      <c r="J11" s="443">
        <f t="shared" si="0"/>
        <v>0</v>
      </c>
      <c r="K11" s="459">
        <f t="shared" si="0"/>
        <v>0</v>
      </c>
      <c r="L11" s="495" t="e">
        <f t="shared" si="1"/>
        <v>#DIV/0!</v>
      </c>
      <c r="M11" s="464" t="e">
        <f t="shared" si="1"/>
        <v>#DIV/0!</v>
      </c>
      <c r="N11" s="366"/>
      <c r="O11" s="647" t="e">
        <f t="shared" si="3"/>
        <v>#DIV/0!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2"/>
        <v>0</v>
      </c>
      <c r="E12" s="499"/>
      <c r="F12" s="446"/>
      <c r="G12" s="503"/>
      <c r="H12" s="498">
        <f>SUM($F$9:F12)/A12</f>
        <v>0</v>
      </c>
      <c r="I12" s="499">
        <f>SUM($G$8:G12)/A12</f>
        <v>0</v>
      </c>
      <c r="J12" s="443">
        <f t="shared" si="0"/>
        <v>0</v>
      </c>
      <c r="K12" s="459">
        <f t="shared" si="0"/>
        <v>0</v>
      </c>
      <c r="L12" s="495" t="e">
        <f t="shared" si="1"/>
        <v>#DIV/0!</v>
      </c>
      <c r="M12" s="464" t="e">
        <f t="shared" si="1"/>
        <v>#DIV/0!</v>
      </c>
      <c r="N12" s="366"/>
      <c r="O12" s="647" t="e">
        <f t="shared" si="3"/>
        <v>#DIV/0!</v>
      </c>
    </row>
    <row r="13" spans="1:25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2"/>
        <v>0</v>
      </c>
      <c r="E13" s="499"/>
      <c r="F13" s="446"/>
      <c r="G13" s="503"/>
      <c r="H13" s="709">
        <f>SUM($F$9:F13)/A13</f>
        <v>0</v>
      </c>
      <c r="I13" s="499">
        <f>SUM($G$8:G13)/A13</f>
        <v>0</v>
      </c>
      <c r="J13" s="504">
        <f t="shared" si="0"/>
        <v>0</v>
      </c>
      <c r="K13" s="459">
        <f t="shared" si="0"/>
        <v>0</v>
      </c>
      <c r="L13" s="505" t="e">
        <f t="shared" si="1"/>
        <v>#DIV/0!</v>
      </c>
      <c r="M13" s="464" t="e">
        <f t="shared" si="1"/>
        <v>#DIV/0!</v>
      </c>
      <c r="N13" s="366"/>
      <c r="O13" s="647" t="e">
        <f t="shared" si="3"/>
        <v>#DIV/0!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2"/>
        <v>0</v>
      </c>
      <c r="E14" s="499"/>
      <c r="F14" s="446"/>
      <c r="G14" s="503"/>
      <c r="H14" s="498">
        <f>SUM($F$9:F14)/A14</f>
        <v>0</v>
      </c>
      <c r="I14" s="499">
        <f>SUM($G$8:G14)/A14</f>
        <v>0</v>
      </c>
      <c r="J14" s="443">
        <f t="shared" si="0"/>
        <v>0</v>
      </c>
      <c r="K14" s="459">
        <f t="shared" si="0"/>
        <v>0</v>
      </c>
      <c r="L14" s="495" t="e">
        <f t="shared" si="1"/>
        <v>#DIV/0!</v>
      </c>
      <c r="M14" s="464" t="e">
        <f t="shared" si="1"/>
        <v>#DIV/0!</v>
      </c>
      <c r="N14" s="366"/>
      <c r="O14" s="647" t="e">
        <f t="shared" si="3"/>
        <v>#DIV/0!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si="2"/>
        <v>0</v>
      </c>
      <c r="E15" s="499"/>
      <c r="F15" s="446"/>
      <c r="G15" s="503"/>
      <c r="H15" s="498">
        <f>SUM($F$9:F15)/A15</f>
        <v>0</v>
      </c>
      <c r="I15" s="499">
        <f>SUM($G$8:G15)/A15</f>
        <v>0</v>
      </c>
      <c r="J15" s="443">
        <f t="shared" si="0"/>
        <v>0</v>
      </c>
      <c r="K15" s="459">
        <f t="shared" si="0"/>
        <v>0</v>
      </c>
      <c r="L15" s="495" t="e">
        <f t="shared" si="1"/>
        <v>#DIV/0!</v>
      </c>
      <c r="M15" s="464" t="e">
        <f t="shared" si="1"/>
        <v>#DIV/0!</v>
      </c>
      <c r="N15" s="366"/>
      <c r="O15" s="647" t="e">
        <f t="shared" si="3"/>
        <v>#DIV/0!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2"/>
        <v>0</v>
      </c>
      <c r="E16" s="499"/>
      <c r="F16" s="446"/>
      <c r="G16" s="503"/>
      <c r="H16" s="498">
        <f>SUM($F$9:F16)/A16</f>
        <v>0</v>
      </c>
      <c r="I16" s="499">
        <f>SUM($G$8:G16)/A16</f>
        <v>0</v>
      </c>
      <c r="J16" s="443">
        <f t="shared" si="0"/>
        <v>0</v>
      </c>
      <c r="K16" s="459">
        <f t="shared" si="0"/>
        <v>0</v>
      </c>
      <c r="L16" s="495" t="e">
        <f t="shared" si="1"/>
        <v>#DIV/0!</v>
      </c>
      <c r="M16" s="464" t="e">
        <f t="shared" si="1"/>
        <v>#DIV/0!</v>
      </c>
      <c r="N16" s="366"/>
      <c r="O16" s="647" t="e">
        <f t="shared" si="3"/>
        <v>#DIV/0!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2"/>
        <v>0</v>
      </c>
      <c r="E17" s="499"/>
      <c r="F17" s="446"/>
      <c r="G17" s="503"/>
      <c r="H17" s="498">
        <f>SUM($F$9:F17)/A17</f>
        <v>0</v>
      </c>
      <c r="I17" s="499">
        <f>SUM($G$8:G17)/A17</f>
        <v>0</v>
      </c>
      <c r="J17" s="443">
        <f t="shared" si="0"/>
        <v>0</v>
      </c>
      <c r="K17" s="459">
        <f t="shared" si="0"/>
        <v>0</v>
      </c>
      <c r="L17" s="495" t="e">
        <f t="shared" si="1"/>
        <v>#DIV/0!</v>
      </c>
      <c r="M17" s="464" t="e">
        <f t="shared" si="1"/>
        <v>#DIV/0!</v>
      </c>
      <c r="N17" s="366"/>
      <c r="O17" s="647" t="e">
        <f t="shared" si="3"/>
        <v>#DIV/0!</v>
      </c>
    </row>
    <row r="18" spans="1:15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2"/>
        <v>0</v>
      </c>
      <c r="E18" s="499"/>
      <c r="F18" s="446"/>
      <c r="G18" s="503"/>
      <c r="H18" s="709">
        <f>SUM($F$9:F18)/A18</f>
        <v>0</v>
      </c>
      <c r="I18" s="499">
        <f>SUM($G$8:G18)/A18</f>
        <v>0</v>
      </c>
      <c r="J18" s="504">
        <f t="shared" si="0"/>
        <v>0</v>
      </c>
      <c r="K18" s="459">
        <f t="shared" si="0"/>
        <v>0</v>
      </c>
      <c r="L18" s="505" t="e">
        <f t="shared" si="1"/>
        <v>#DIV/0!</v>
      </c>
      <c r="M18" s="464" t="e">
        <f t="shared" si="1"/>
        <v>#DIV/0!</v>
      </c>
      <c r="N18" s="366"/>
      <c r="O18" s="647" t="e">
        <f t="shared" si="3"/>
        <v>#DIV/0!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2"/>
        <v>0</v>
      </c>
      <c r="E19" s="499"/>
      <c r="F19" s="446"/>
      <c r="G19" s="503"/>
      <c r="H19" s="498">
        <f>SUM($F$9:F19)/A19</f>
        <v>0</v>
      </c>
      <c r="I19" s="499">
        <f>SUM($G$8:G19)/A19</f>
        <v>0</v>
      </c>
      <c r="J19" s="443">
        <f t="shared" si="0"/>
        <v>0</v>
      </c>
      <c r="K19" s="459">
        <f t="shared" si="0"/>
        <v>0</v>
      </c>
      <c r="L19" s="495" t="e">
        <f t="shared" si="1"/>
        <v>#DIV/0!</v>
      </c>
      <c r="M19" s="464" t="e">
        <f t="shared" si="1"/>
        <v>#DIV/0!</v>
      </c>
      <c r="N19" s="366"/>
      <c r="O19" s="647" t="e">
        <f t="shared" si="3"/>
        <v>#DIV/0!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 t="shared" si="2"/>
        <v>0</v>
      </c>
      <c r="E20" s="499"/>
      <c r="F20" s="446"/>
      <c r="G20" s="503"/>
      <c r="H20" s="498">
        <f>SUM($F$9:F20)/A20</f>
        <v>0</v>
      </c>
      <c r="I20" s="499">
        <f>SUM($G$8:G20)/A20</f>
        <v>0</v>
      </c>
      <c r="J20" s="443">
        <f t="shared" si="0"/>
        <v>0</v>
      </c>
      <c r="K20" s="459">
        <f t="shared" si="0"/>
        <v>0</v>
      </c>
      <c r="L20" s="495" t="e">
        <f t="shared" si="1"/>
        <v>#DIV/0!</v>
      </c>
      <c r="M20" s="464" t="e">
        <f t="shared" si="1"/>
        <v>#DIV/0!</v>
      </c>
      <c r="N20" s="366"/>
      <c r="O20" s="647" t="e">
        <f t="shared" si="3"/>
        <v>#DIV/0!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si="2"/>
        <v>0</v>
      </c>
      <c r="E21" s="499"/>
      <c r="F21" s="446"/>
      <c r="G21" s="503"/>
      <c r="H21" s="498">
        <f>SUM($F$9:F21)/A21</f>
        <v>0</v>
      </c>
      <c r="I21" s="499">
        <f>SUM($G$8:G21)/A21</f>
        <v>0</v>
      </c>
      <c r="J21" s="443">
        <f t="shared" si="0"/>
        <v>0</v>
      </c>
      <c r="K21" s="459">
        <f>K20+E21-G21</f>
        <v>0</v>
      </c>
      <c r="L21" s="495" t="e">
        <f t="shared" si="1"/>
        <v>#DIV/0!</v>
      </c>
      <c r="M21" s="464" t="e">
        <f t="shared" si="1"/>
        <v>#DIV/0!</v>
      </c>
      <c r="N21" s="366"/>
      <c r="O21" s="647" t="e">
        <f t="shared" si="3"/>
        <v>#DIV/0!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2"/>
        <v>0</v>
      </c>
      <c r="E22" s="499"/>
      <c r="F22" s="446"/>
      <c r="G22" s="503"/>
      <c r="H22" s="498">
        <f>SUM($F$9:F22)/A22</f>
        <v>0</v>
      </c>
      <c r="I22" s="499">
        <f>SUM($G$8:G22)/A22</f>
        <v>0</v>
      </c>
      <c r="J22" s="443">
        <f t="shared" si="0"/>
        <v>0</v>
      </c>
      <c r="K22" s="459">
        <f>K21+E22-G22</f>
        <v>0</v>
      </c>
      <c r="L22" s="495" t="e">
        <f t="shared" si="1"/>
        <v>#DIV/0!</v>
      </c>
      <c r="M22" s="464" t="e">
        <f t="shared" si="1"/>
        <v>#DIV/0!</v>
      </c>
      <c r="N22" s="366"/>
      <c r="O22" s="647" t="e">
        <f t="shared" si="3"/>
        <v>#DIV/0!</v>
      </c>
    </row>
    <row r="23" spans="1:15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2"/>
        <v>0</v>
      </c>
      <c r="E23" s="499"/>
      <c r="F23" s="446"/>
      <c r="G23" s="503"/>
      <c r="H23" s="709">
        <f>SUM($F$9:F23)/A23</f>
        <v>0</v>
      </c>
      <c r="I23" s="499">
        <f>SUM($G$8:G23)/A23</f>
        <v>0</v>
      </c>
      <c r="J23" s="504">
        <f t="shared" si="0"/>
        <v>0</v>
      </c>
      <c r="K23" s="459">
        <f t="shared" si="0"/>
        <v>0</v>
      </c>
      <c r="L23" s="505" t="e">
        <f t="shared" si="1"/>
        <v>#DIV/0!</v>
      </c>
      <c r="M23" s="464" t="e">
        <f t="shared" si="1"/>
        <v>#DIV/0!</v>
      </c>
      <c r="N23" s="366"/>
      <c r="O23" s="647" t="e">
        <f t="shared" si="3"/>
        <v>#DIV/0!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2"/>
        <v>0</v>
      </c>
      <c r="E24" s="499"/>
      <c r="F24" s="446"/>
      <c r="G24" s="503"/>
      <c r="H24" s="498">
        <f>SUM($F$9:F24)/A24</f>
        <v>0</v>
      </c>
      <c r="I24" s="499">
        <f>SUM($G$8:G24)/A24</f>
        <v>0</v>
      </c>
      <c r="J24" s="443">
        <f t="shared" si="0"/>
        <v>0</v>
      </c>
      <c r="K24" s="459">
        <f>K23+E24-G24</f>
        <v>0</v>
      </c>
      <c r="L24" s="495" t="e">
        <f t="shared" si="1"/>
        <v>#DIV/0!</v>
      </c>
      <c r="M24" s="464" t="e">
        <f t="shared" si="1"/>
        <v>#DIV/0!</v>
      </c>
      <c r="N24" s="366"/>
      <c r="O24" s="647" t="e">
        <f t="shared" si="3"/>
        <v>#DIV/0!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/>
      <c r="F25" s="446"/>
      <c r="G25" s="503"/>
      <c r="H25" s="498">
        <f>SUM($F$9:F25)/A25</f>
        <v>0</v>
      </c>
      <c r="I25" s="499">
        <f>SUM($G$8:G25)/A25</f>
        <v>0</v>
      </c>
      <c r="J25" s="443">
        <f t="shared" ref="J25:K39" si="4">J24+D25-F25</f>
        <v>0</v>
      </c>
      <c r="K25" s="459">
        <f>K24+E25-G25</f>
        <v>0</v>
      </c>
      <c r="L25" s="495" t="e">
        <f t="shared" ref="L25:M39" si="5">J25/H25</f>
        <v>#DIV/0!</v>
      </c>
      <c r="M25" s="464" t="e">
        <f t="shared" si="5"/>
        <v>#DIV/0!</v>
      </c>
      <c r="N25" s="366"/>
      <c r="O25" s="647" t="e">
        <f t="shared" si="3"/>
        <v>#DIV/0!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2"/>
        <v>0</v>
      </c>
      <c r="E26" s="499"/>
      <c r="F26" s="446"/>
      <c r="G26" s="503"/>
      <c r="H26" s="498">
        <f>SUM($F$9:F26)/A26</f>
        <v>0</v>
      </c>
      <c r="I26" s="499">
        <f>SUM($G$8:G26)/A26</f>
        <v>0</v>
      </c>
      <c r="J26" s="443">
        <f t="shared" si="4"/>
        <v>0</v>
      </c>
      <c r="K26" s="459">
        <f>K25+E26-G26</f>
        <v>0</v>
      </c>
      <c r="L26" s="495" t="e">
        <f t="shared" si="5"/>
        <v>#DIV/0!</v>
      </c>
      <c r="M26" s="464" t="e">
        <f t="shared" si="5"/>
        <v>#DIV/0!</v>
      </c>
      <c r="N26" s="366"/>
      <c r="O26" s="647" t="e">
        <f t="shared" si="3"/>
        <v>#DIV/0!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2"/>
        <v>0</v>
      </c>
      <c r="E27" s="499"/>
      <c r="F27" s="446"/>
      <c r="G27" s="503"/>
      <c r="H27" s="498">
        <f>SUM($F$9:F27)/A27</f>
        <v>0</v>
      </c>
      <c r="I27" s="499">
        <f>SUM($G$8:G27)/A27</f>
        <v>0</v>
      </c>
      <c r="J27" s="443">
        <f t="shared" si="4"/>
        <v>0</v>
      </c>
      <c r="K27" s="459">
        <f>K26+E27-G27</f>
        <v>0</v>
      </c>
      <c r="L27" s="495" t="e">
        <f t="shared" si="5"/>
        <v>#DIV/0!</v>
      </c>
      <c r="M27" s="464" t="e">
        <f t="shared" si="5"/>
        <v>#DIV/0!</v>
      </c>
      <c r="N27" s="366"/>
      <c r="O27" s="647" t="e">
        <f t="shared" si="3"/>
        <v>#DIV/0!</v>
      </c>
    </row>
    <row r="28" spans="1:15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2"/>
        <v>0</v>
      </c>
      <c r="E28" s="499"/>
      <c r="F28" s="446"/>
      <c r="G28" s="503"/>
      <c r="H28" s="709">
        <f>SUM($F$9:F28)/A28</f>
        <v>0</v>
      </c>
      <c r="I28" s="499">
        <f>SUM($G$8:G28)/A28</f>
        <v>0</v>
      </c>
      <c r="J28" s="504">
        <f t="shared" si="4"/>
        <v>0</v>
      </c>
      <c r="K28" s="459">
        <f t="shared" si="4"/>
        <v>0</v>
      </c>
      <c r="L28" s="505" t="e">
        <f t="shared" si="5"/>
        <v>#DIV/0!</v>
      </c>
      <c r="M28" s="464" t="e">
        <f t="shared" si="5"/>
        <v>#DIV/0!</v>
      </c>
      <c r="N28" s="366"/>
      <c r="O28" s="647" t="e">
        <f t="shared" si="3"/>
        <v>#DIV/0!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2"/>
        <v>0</v>
      </c>
      <c r="E29" s="499"/>
      <c r="F29" s="446"/>
      <c r="G29" s="503"/>
      <c r="H29" s="498">
        <f>SUM($F$9:F29)/A29</f>
        <v>0</v>
      </c>
      <c r="I29" s="499">
        <f>SUM($G$8:G29)/A29</f>
        <v>0</v>
      </c>
      <c r="J29" s="443">
        <f t="shared" si="4"/>
        <v>0</v>
      </c>
      <c r="K29" s="459">
        <f t="shared" si="4"/>
        <v>0</v>
      </c>
      <c r="L29" s="495" t="e">
        <f t="shared" si="5"/>
        <v>#DIV/0!</v>
      </c>
      <c r="M29" s="464" t="e">
        <f t="shared" si="5"/>
        <v>#DIV/0!</v>
      </c>
      <c r="N29" s="366"/>
      <c r="O29" s="647" t="e">
        <f t="shared" si="3"/>
        <v>#DIV/0!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2"/>
        <v>0</v>
      </c>
      <c r="E30" s="499"/>
      <c r="F30" s="446"/>
      <c r="G30" s="503"/>
      <c r="H30" s="498">
        <f>SUM($F$9:F30)/A30</f>
        <v>0</v>
      </c>
      <c r="I30" s="499">
        <f>SUM($G$8:G30)/A30</f>
        <v>0</v>
      </c>
      <c r="J30" s="443">
        <f t="shared" si="4"/>
        <v>0</v>
      </c>
      <c r="K30" s="459">
        <f t="shared" si="4"/>
        <v>0</v>
      </c>
      <c r="L30" s="495" t="e">
        <f t="shared" si="5"/>
        <v>#DIV/0!</v>
      </c>
      <c r="M30" s="464" t="e">
        <f t="shared" si="5"/>
        <v>#DIV/0!</v>
      </c>
      <c r="N30" s="366"/>
      <c r="O30" s="647" t="e">
        <f t="shared" si="3"/>
        <v>#DIV/0!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2"/>
        <v>0</v>
      </c>
      <c r="E31" s="499"/>
      <c r="F31" s="446"/>
      <c r="G31" s="503"/>
      <c r="H31" s="498">
        <f>SUM($F$9:F31)/A31</f>
        <v>0</v>
      </c>
      <c r="I31" s="499">
        <f>SUM($G$8:G31)/A31</f>
        <v>0</v>
      </c>
      <c r="J31" s="443">
        <f t="shared" si="4"/>
        <v>0</v>
      </c>
      <c r="K31" s="459">
        <f t="shared" si="4"/>
        <v>0</v>
      </c>
      <c r="L31" s="495" t="e">
        <f t="shared" si="5"/>
        <v>#DIV/0!</v>
      </c>
      <c r="M31" s="464" t="e">
        <f t="shared" si="5"/>
        <v>#DIV/0!</v>
      </c>
      <c r="N31" s="366"/>
      <c r="O31" s="647" t="e">
        <f t="shared" si="3"/>
        <v>#DIV/0!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2"/>
        <v>0</v>
      </c>
      <c r="E32" s="499"/>
      <c r="F32" s="446"/>
      <c r="G32" s="503"/>
      <c r="H32" s="498">
        <f>SUM($F$9:F32)/A32</f>
        <v>0</v>
      </c>
      <c r="I32" s="499">
        <f>SUM($G$8:G32)/A32</f>
        <v>0</v>
      </c>
      <c r="J32" s="443">
        <f t="shared" si="4"/>
        <v>0</v>
      </c>
      <c r="K32" s="459">
        <f t="shared" si="4"/>
        <v>0</v>
      </c>
      <c r="L32" s="495" t="e">
        <f t="shared" si="5"/>
        <v>#DIV/0!</v>
      </c>
      <c r="M32" s="464" t="e">
        <f t="shared" si="5"/>
        <v>#DIV/0!</v>
      </c>
      <c r="N32" s="366"/>
      <c r="O32" s="647" t="e">
        <f t="shared" si="3"/>
        <v>#DIV/0!</v>
      </c>
    </row>
    <row r="33" spans="1:15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>
        <f t="shared" si="2"/>
        <v>0</v>
      </c>
      <c r="E33" s="499"/>
      <c r="F33" s="446"/>
      <c r="G33" s="503"/>
      <c r="H33" s="707">
        <f>SUM($F$9:F33)/A33</f>
        <v>0</v>
      </c>
      <c r="I33" s="499">
        <f>SUM($G$8:G33)/A33</f>
        <v>0</v>
      </c>
      <c r="J33" s="460">
        <f t="shared" si="4"/>
        <v>0</v>
      </c>
      <c r="K33" s="459">
        <f t="shared" si="4"/>
        <v>0</v>
      </c>
      <c r="L33" s="506" t="e">
        <f t="shared" si="5"/>
        <v>#DIV/0!</v>
      </c>
      <c r="M33" s="464" t="e">
        <f t="shared" si="5"/>
        <v>#DIV/0!</v>
      </c>
      <c r="N33" s="366"/>
      <c r="O33" s="647" t="e">
        <f t="shared" si="3"/>
        <v>#DIV/0!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2"/>
        <v>0</v>
      </c>
      <c r="E34" s="499"/>
      <c r="F34" s="446"/>
      <c r="G34" s="503"/>
      <c r="H34" s="498">
        <f>SUM($F$9:F34)/A34</f>
        <v>0</v>
      </c>
      <c r="I34" s="499">
        <f>SUM($G$8:G34)/A34</f>
        <v>0</v>
      </c>
      <c r="J34" s="443">
        <f t="shared" si="4"/>
        <v>0</v>
      </c>
      <c r="K34" s="459">
        <f t="shared" si="4"/>
        <v>0</v>
      </c>
      <c r="L34" s="495" t="e">
        <f t="shared" si="5"/>
        <v>#DIV/0!</v>
      </c>
      <c r="M34" s="464" t="e">
        <f t="shared" si="5"/>
        <v>#DIV/0!</v>
      </c>
      <c r="N34" s="366"/>
      <c r="O34" s="647" t="e">
        <f t="shared" si="3"/>
        <v>#DIV/0!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2"/>
        <v>0</v>
      </c>
      <c r="E35" s="499"/>
      <c r="F35" s="446"/>
      <c r="G35" s="503"/>
      <c r="H35" s="498">
        <f>SUM($F$9:F35)/A35</f>
        <v>0</v>
      </c>
      <c r="I35" s="499">
        <f>SUM($G$8:G35)/A35</f>
        <v>0</v>
      </c>
      <c r="J35" s="443">
        <f t="shared" si="4"/>
        <v>0</v>
      </c>
      <c r="K35" s="459">
        <f t="shared" si="4"/>
        <v>0</v>
      </c>
      <c r="L35" s="495" t="e">
        <f t="shared" si="5"/>
        <v>#DIV/0!</v>
      </c>
      <c r="M35" s="464" t="e">
        <f t="shared" si="5"/>
        <v>#DIV/0!</v>
      </c>
      <c r="N35" s="366"/>
      <c r="O35" s="647" t="e">
        <f t="shared" si="3"/>
        <v>#DIV/0!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>
        <f t="shared" si="2"/>
        <v>0</v>
      </c>
      <c r="E36" s="499"/>
      <c r="F36" s="446"/>
      <c r="G36" s="503"/>
      <c r="H36" s="498">
        <f>SUM($F$9:F36)/A36</f>
        <v>0</v>
      </c>
      <c r="I36" s="499">
        <f>SUM($G$8:G36)/A36</f>
        <v>0</v>
      </c>
      <c r="J36" s="443">
        <f t="shared" si="4"/>
        <v>0</v>
      </c>
      <c r="K36" s="459">
        <f t="shared" si="4"/>
        <v>0</v>
      </c>
      <c r="L36" s="495" t="e">
        <f t="shared" si="5"/>
        <v>#DIV/0!</v>
      </c>
      <c r="M36" s="464" t="e">
        <f t="shared" si="5"/>
        <v>#DIV/0!</v>
      </c>
      <c r="N36" s="366"/>
      <c r="O36" s="647" t="e">
        <f t="shared" si="3"/>
        <v>#DIV/0!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2"/>
        <v>0</v>
      </c>
      <c r="E37" s="499"/>
      <c r="F37" s="446"/>
      <c r="G37" s="503"/>
      <c r="H37" s="498">
        <f>SUM($F$9:F37)/A37</f>
        <v>0</v>
      </c>
      <c r="I37" s="499">
        <f>SUM($G$8:G37)/A37</f>
        <v>0</v>
      </c>
      <c r="J37" s="443">
        <f t="shared" si="4"/>
        <v>0</v>
      </c>
      <c r="K37" s="459">
        <f t="shared" si="4"/>
        <v>0</v>
      </c>
      <c r="L37" s="495" t="e">
        <f t="shared" si="5"/>
        <v>#DIV/0!</v>
      </c>
      <c r="M37" s="464" t="e">
        <f t="shared" si="5"/>
        <v>#DIV/0!</v>
      </c>
      <c r="N37" s="366"/>
      <c r="O37" s="647" t="e">
        <f t="shared" si="3"/>
        <v>#DIV/0!</v>
      </c>
    </row>
    <row r="38" spans="1:15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2"/>
        <v>0</v>
      </c>
      <c r="E38" s="499"/>
      <c r="F38" s="446"/>
      <c r="G38" s="503"/>
      <c r="H38" s="709">
        <f>SUM($F$9:F38)/A38</f>
        <v>0</v>
      </c>
      <c r="I38" s="499">
        <f>SUM($G$8:G38)/A38</f>
        <v>0</v>
      </c>
      <c r="J38" s="504">
        <f t="shared" si="4"/>
        <v>0</v>
      </c>
      <c r="K38" s="459">
        <f t="shared" si="4"/>
        <v>0</v>
      </c>
      <c r="L38" s="505" t="e">
        <f t="shared" si="5"/>
        <v>#DIV/0!</v>
      </c>
      <c r="M38" s="464" t="e">
        <f t="shared" si="5"/>
        <v>#DIV/0!</v>
      </c>
      <c r="N38" s="366"/>
      <c r="O38" s="647" t="e">
        <f t="shared" si="3"/>
        <v>#DIV/0!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2"/>
        <v>0</v>
      </c>
      <c r="E39" s="499"/>
      <c r="F39" s="446"/>
      <c r="G39" s="503"/>
      <c r="H39" s="498">
        <f>SUM($F$9:F39)/A39</f>
        <v>0</v>
      </c>
      <c r="I39" s="499">
        <f>SUM($G$8:G39)/A39</f>
        <v>0</v>
      </c>
      <c r="J39" s="443">
        <f t="shared" si="4"/>
        <v>0</v>
      </c>
      <c r="K39" s="459">
        <f t="shared" si="4"/>
        <v>0</v>
      </c>
      <c r="L39" s="495" t="e">
        <f t="shared" si="5"/>
        <v>#DIV/0!</v>
      </c>
      <c r="M39" s="464" t="e">
        <f t="shared" si="5"/>
        <v>#DIV/0!</v>
      </c>
      <c r="N39" s="366"/>
      <c r="O39" s="647" t="e">
        <f t="shared" si="3"/>
        <v>#DIV/0!</v>
      </c>
    </row>
    <row r="40" spans="1:15" s="374" customFormat="1" ht="12" customHeight="1">
      <c r="A40" s="808" t="s">
        <v>29</v>
      </c>
      <c r="B40" s="809"/>
      <c r="C40" s="810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SUM(G8:G39)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</row>
    <row r="41" spans="1:15" s="374" customFormat="1" ht="12" customHeight="1">
      <c r="A41" s="808" t="s">
        <v>15</v>
      </c>
      <c r="B41" s="809"/>
      <c r="C41" s="810"/>
      <c r="D41" s="388">
        <f>D8+D40</f>
        <v>0</v>
      </c>
      <c r="E41" s="388">
        <f>E8+E40</f>
        <v>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</row>
    <row r="42" spans="1:15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5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5">
      <c r="D47" s="143"/>
      <c r="E47" s="143"/>
      <c r="F47" s="143"/>
      <c r="G47" s="143"/>
      <c r="H47" s="143"/>
      <c r="I47" s="143"/>
      <c r="J47" s="143"/>
      <c r="K47" s="143"/>
    </row>
    <row r="48" spans="1:15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2"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801" priority="1" operator="lessThan">
      <formula>15</formula>
    </cfRule>
    <cfRule type="cellIs" dxfId="11800" priority="2" operator="greaterThan">
      <formula>20</formula>
    </cfRule>
    <cfRule type="cellIs" dxfId="11799" priority="3" operator="between">
      <formula>15</formula>
      <formula>20</formula>
    </cfRule>
    <cfRule type="cellIs" dxfId="11798" priority="4" operator="between">
      <formula>15</formula>
      <formula>20</formula>
    </cfRule>
    <cfRule type="cellIs" dxfId="11797" priority="5" operator="lessThan">
      <formula>15</formula>
    </cfRule>
    <cfRule type="cellIs" dxfId="11796" priority="6" operator="greaterThan">
      <formula>20</formula>
    </cfRule>
    <cfRule type="cellIs" dxfId="11795" priority="7" operator="between">
      <formula>15</formula>
      <formula>21</formula>
    </cfRule>
    <cfRule type="cellIs" dxfId="11794" priority="8" operator="lessThan">
      <formula>15</formula>
    </cfRule>
    <cfRule type="cellIs" dxfId="11793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23622047244094491"/>
  <pageSetup paperSize="8" orientation="landscape" horizontalDpi="4294967292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7.710937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  <c r="T3" s="324"/>
      <c r="U3" s="324"/>
      <c r="V3" s="324"/>
    </row>
    <row r="4" spans="1:29" s="376" customFormat="1" ht="16.5" customHeight="1">
      <c r="A4" s="1600" t="s">
        <v>33</v>
      </c>
      <c r="B4" s="1600"/>
      <c r="C4" s="316" t="s">
        <v>202</v>
      </c>
      <c r="D4" s="383"/>
      <c r="E4" s="383" t="s">
        <v>228</v>
      </c>
      <c r="F4" s="383" t="s">
        <v>229</v>
      </c>
      <c r="G4" s="383"/>
      <c r="I4" s="440" t="s">
        <v>120</v>
      </c>
      <c r="J4" s="316" t="s">
        <v>303</v>
      </c>
      <c r="K4" s="319"/>
      <c r="L4" s="319"/>
      <c r="M4" s="319"/>
      <c r="O4" s="1422"/>
      <c r="P4" s="1422"/>
      <c r="Q4" s="1422"/>
      <c r="R4" s="1422"/>
      <c r="S4" s="143"/>
      <c r="T4" s="324"/>
      <c r="U4" s="324"/>
      <c r="V4" s="324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100</v>
      </c>
      <c r="E8" s="388">
        <f>K8</f>
        <v>100</v>
      </c>
      <c r="F8" s="389"/>
      <c r="G8" s="388"/>
      <c r="H8" s="387"/>
      <c r="I8" s="388"/>
      <c r="J8" s="634">
        <f>K8-K8*N8</f>
        <v>100</v>
      </c>
      <c r="K8" s="634">
        <v>100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300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 t="shared" ref="D9:D14" si="0"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SUM($G$8:G9)/A9</f>
        <v>0</v>
      </c>
      <c r="J9" s="443">
        <f t="shared" ref="J9:K24" si="1">J8+D9-F9</f>
        <v>100</v>
      </c>
      <c r="K9" s="459">
        <f t="shared" si="1"/>
        <v>100</v>
      </c>
      <c r="L9" s="495" t="e">
        <f t="shared" ref="L9:M24" si="2">J9/H9</f>
        <v>#DIV/0!</v>
      </c>
      <c r="M9" s="464" t="e">
        <f t="shared" si="2"/>
        <v>#DIV/0!</v>
      </c>
      <c r="N9" s="366"/>
      <c r="O9" s="446"/>
      <c r="P9" s="446"/>
      <c r="Q9" s="446"/>
      <c r="R9" s="446"/>
      <c r="S9" s="647">
        <f>J9/$S$8</f>
        <v>0.33333333333333331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si="0"/>
        <v>0</v>
      </c>
      <c r="E10" s="499"/>
      <c r="F10" s="586">
        <f t="shared" ref="F10:G39" si="3">O10+Q10</f>
        <v>0</v>
      </c>
      <c r="G10" s="1424">
        <f t="shared" si="3"/>
        <v>0</v>
      </c>
      <c r="H10" s="498">
        <f>SUM($F$9:F10)/A10</f>
        <v>0</v>
      </c>
      <c r="I10" s="499">
        <f>SUM($G$8:G10)/A10</f>
        <v>0</v>
      </c>
      <c r="J10" s="443">
        <f t="shared" si="1"/>
        <v>100</v>
      </c>
      <c r="K10" s="459">
        <f t="shared" si="1"/>
        <v>100</v>
      </c>
      <c r="L10" s="495" t="e">
        <f t="shared" si="2"/>
        <v>#DIV/0!</v>
      </c>
      <c r="M10" s="464" t="e">
        <f t="shared" si="2"/>
        <v>#DIV/0!</v>
      </c>
      <c r="N10" s="366"/>
      <c r="O10" s="446"/>
      <c r="P10" s="446"/>
      <c r="Q10" s="446"/>
      <c r="R10" s="446"/>
      <c r="S10" s="647">
        <f t="shared" ref="S10:S39" si="4">J10/$S$8</f>
        <v>0.33333333333333331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0"/>
        <v>0</v>
      </c>
      <c r="E11" s="499"/>
      <c r="F11" s="586">
        <f t="shared" si="3"/>
        <v>0</v>
      </c>
      <c r="G11" s="1424">
        <f t="shared" si="3"/>
        <v>0</v>
      </c>
      <c r="H11" s="498">
        <f>SUM($F$9:F11)/A11</f>
        <v>0</v>
      </c>
      <c r="I11" s="499">
        <f>SUM($G$8:G11)/A11</f>
        <v>0</v>
      </c>
      <c r="J11" s="443">
        <f t="shared" si="1"/>
        <v>100</v>
      </c>
      <c r="K11" s="459">
        <f t="shared" si="1"/>
        <v>100</v>
      </c>
      <c r="L11" s="495" t="e">
        <f t="shared" si="2"/>
        <v>#DIV/0!</v>
      </c>
      <c r="M11" s="464" t="e">
        <f t="shared" si="2"/>
        <v>#DIV/0!</v>
      </c>
      <c r="N11" s="366"/>
      <c r="O11" s="446"/>
      <c r="P11" s="446"/>
      <c r="Q11" s="446"/>
      <c r="R11" s="446"/>
      <c r="S11" s="647">
        <f t="shared" si="4"/>
        <v>0.33333333333333331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0"/>
        <v>0</v>
      </c>
      <c r="E12" s="499"/>
      <c r="F12" s="586">
        <f t="shared" si="3"/>
        <v>0</v>
      </c>
      <c r="G12" s="1424">
        <f t="shared" si="3"/>
        <v>0</v>
      </c>
      <c r="H12" s="498">
        <f>SUM($F$9:F12)/A12</f>
        <v>0</v>
      </c>
      <c r="I12" s="499">
        <f>SUM($G$8:G12)/A12</f>
        <v>0</v>
      </c>
      <c r="J12" s="443">
        <f t="shared" si="1"/>
        <v>100</v>
      </c>
      <c r="K12" s="459">
        <f t="shared" si="1"/>
        <v>100</v>
      </c>
      <c r="L12" s="495" t="e">
        <f t="shared" si="2"/>
        <v>#DIV/0!</v>
      </c>
      <c r="M12" s="464" t="e">
        <f t="shared" si="2"/>
        <v>#DIV/0!</v>
      </c>
      <c r="N12" s="366"/>
      <c r="O12" s="446"/>
      <c r="P12" s="446"/>
      <c r="Q12" s="446"/>
      <c r="R12" s="446"/>
      <c r="S12" s="647">
        <f t="shared" si="4"/>
        <v>0.33333333333333331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0"/>
        <v>0</v>
      </c>
      <c r="E13" s="499"/>
      <c r="F13" s="586">
        <f t="shared" si="3"/>
        <v>0</v>
      </c>
      <c r="G13" s="1424">
        <f t="shared" si="3"/>
        <v>0</v>
      </c>
      <c r="H13" s="709">
        <f>SUM($F$9:F13)/A13</f>
        <v>0</v>
      </c>
      <c r="I13" s="499">
        <f>SUM($G$8:G13)/A13</f>
        <v>0</v>
      </c>
      <c r="J13" s="504">
        <f t="shared" si="1"/>
        <v>100</v>
      </c>
      <c r="K13" s="459">
        <f t="shared" si="1"/>
        <v>100</v>
      </c>
      <c r="L13" s="505" t="e">
        <f t="shared" si="2"/>
        <v>#DIV/0!</v>
      </c>
      <c r="M13" s="464" t="e">
        <f t="shared" si="2"/>
        <v>#DIV/0!</v>
      </c>
      <c r="N13" s="366"/>
      <c r="O13" s="446"/>
      <c r="P13" s="446"/>
      <c r="Q13" s="446"/>
      <c r="R13" s="446"/>
      <c r="S13" s="647">
        <f t="shared" si="4"/>
        <v>0.33333333333333331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0"/>
        <v>0</v>
      </c>
      <c r="E14" s="499"/>
      <c r="F14" s="586">
        <f t="shared" si="3"/>
        <v>0</v>
      </c>
      <c r="G14" s="1424">
        <f t="shared" si="3"/>
        <v>0</v>
      </c>
      <c r="H14" s="498">
        <f>SUM($F$9:F14)/A14</f>
        <v>0</v>
      </c>
      <c r="I14" s="499">
        <f>SUM($G$8:G14)/A14</f>
        <v>0</v>
      </c>
      <c r="J14" s="443">
        <f t="shared" si="1"/>
        <v>100</v>
      </c>
      <c r="K14" s="459">
        <f t="shared" si="1"/>
        <v>100</v>
      </c>
      <c r="L14" s="495" t="e">
        <f t="shared" si="2"/>
        <v>#DIV/0!</v>
      </c>
      <c r="M14" s="464" t="e">
        <f t="shared" si="2"/>
        <v>#DIV/0!</v>
      </c>
      <c r="N14" s="366"/>
      <c r="O14" s="446"/>
      <c r="P14" s="446"/>
      <c r="Q14" s="446"/>
      <c r="R14" s="446"/>
      <c r="S14" s="647">
        <f t="shared" si="4"/>
        <v>0.33333333333333331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ref="D15:D39" si="5">E15-E15*N15</f>
        <v>0</v>
      </c>
      <c r="E15" s="499"/>
      <c r="F15" s="586">
        <f t="shared" si="3"/>
        <v>0</v>
      </c>
      <c r="G15" s="1424">
        <f t="shared" si="3"/>
        <v>0</v>
      </c>
      <c r="H15" s="498">
        <f>SUM($F$9:F15)/A15</f>
        <v>0</v>
      </c>
      <c r="I15" s="499">
        <f>SUM($G$8:G15)/A15</f>
        <v>0</v>
      </c>
      <c r="J15" s="443">
        <f t="shared" si="1"/>
        <v>100</v>
      </c>
      <c r="K15" s="459">
        <f t="shared" si="1"/>
        <v>100</v>
      </c>
      <c r="L15" s="495" t="e">
        <f t="shared" si="2"/>
        <v>#DIV/0!</v>
      </c>
      <c r="M15" s="464" t="e">
        <f t="shared" si="2"/>
        <v>#DIV/0!</v>
      </c>
      <c r="N15" s="366"/>
      <c r="O15" s="446"/>
      <c r="P15" s="446"/>
      <c r="Q15" s="446"/>
      <c r="R15" s="446"/>
      <c r="S15" s="647">
        <f t="shared" si="4"/>
        <v>0.33333333333333331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5"/>
        <v>0</v>
      </c>
      <c r="E16" s="499"/>
      <c r="F16" s="586">
        <f t="shared" si="3"/>
        <v>0</v>
      </c>
      <c r="G16" s="1424">
        <f t="shared" si="3"/>
        <v>0</v>
      </c>
      <c r="H16" s="498">
        <f>SUM($F$9:F16)/A16</f>
        <v>0</v>
      </c>
      <c r="I16" s="499">
        <f>SUM($G$8:G16)/A16</f>
        <v>0</v>
      </c>
      <c r="J16" s="443">
        <f t="shared" si="1"/>
        <v>100</v>
      </c>
      <c r="K16" s="459">
        <f t="shared" si="1"/>
        <v>100</v>
      </c>
      <c r="L16" s="495" t="e">
        <f t="shared" si="2"/>
        <v>#DIV/0!</v>
      </c>
      <c r="M16" s="464" t="e">
        <f t="shared" si="2"/>
        <v>#DIV/0!</v>
      </c>
      <c r="N16" s="366"/>
      <c r="O16" s="446"/>
      <c r="P16" s="446"/>
      <c r="Q16" s="446"/>
      <c r="R16" s="446"/>
      <c r="S16" s="647">
        <f t="shared" si="4"/>
        <v>0.33333333333333331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5"/>
        <v>0</v>
      </c>
      <c r="E17" s="499"/>
      <c r="F17" s="586">
        <f t="shared" si="3"/>
        <v>0</v>
      </c>
      <c r="G17" s="1424">
        <f t="shared" si="3"/>
        <v>0</v>
      </c>
      <c r="H17" s="498">
        <f>SUM($F$9:F17)/A17</f>
        <v>0</v>
      </c>
      <c r="I17" s="499">
        <f>SUM($G$8:G17)/A17</f>
        <v>0</v>
      </c>
      <c r="J17" s="443">
        <f t="shared" si="1"/>
        <v>100</v>
      </c>
      <c r="K17" s="459">
        <f t="shared" si="1"/>
        <v>100</v>
      </c>
      <c r="L17" s="495" t="e">
        <f t="shared" si="2"/>
        <v>#DIV/0!</v>
      </c>
      <c r="M17" s="464" t="e">
        <f t="shared" si="2"/>
        <v>#DIV/0!</v>
      </c>
      <c r="N17" s="366"/>
      <c r="O17" s="446"/>
      <c r="P17" s="446"/>
      <c r="Q17" s="446"/>
      <c r="R17" s="446"/>
      <c r="S17" s="647">
        <f t="shared" si="4"/>
        <v>0.33333333333333331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5"/>
        <v>0</v>
      </c>
      <c r="E18" s="499"/>
      <c r="F18" s="586">
        <f t="shared" si="3"/>
        <v>0</v>
      </c>
      <c r="G18" s="1424">
        <f t="shared" si="3"/>
        <v>0</v>
      </c>
      <c r="H18" s="709">
        <f>SUM($F$9:F18)/A18</f>
        <v>0</v>
      </c>
      <c r="I18" s="499">
        <f>SUM($G$8:G18)/A18</f>
        <v>0</v>
      </c>
      <c r="J18" s="504">
        <f t="shared" si="1"/>
        <v>100</v>
      </c>
      <c r="K18" s="459">
        <f t="shared" si="1"/>
        <v>100</v>
      </c>
      <c r="L18" s="505" t="e">
        <f t="shared" si="2"/>
        <v>#DIV/0!</v>
      </c>
      <c r="M18" s="464" t="e">
        <f t="shared" si="2"/>
        <v>#DIV/0!</v>
      </c>
      <c r="N18" s="366"/>
      <c r="O18" s="446"/>
      <c r="P18" s="446"/>
      <c r="Q18" s="446"/>
      <c r="R18" s="446"/>
      <c r="S18" s="647">
        <f t="shared" si="4"/>
        <v>0.33333333333333331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5"/>
        <v>0</v>
      </c>
      <c r="E19" s="499"/>
      <c r="F19" s="586">
        <f t="shared" si="3"/>
        <v>0</v>
      </c>
      <c r="G19" s="1424">
        <f t="shared" si="3"/>
        <v>0</v>
      </c>
      <c r="H19" s="498">
        <f>SUM($F$9:F19)/A19</f>
        <v>0</v>
      </c>
      <c r="I19" s="499">
        <f>SUM($G$8:G19)/A19</f>
        <v>0</v>
      </c>
      <c r="J19" s="443">
        <f t="shared" si="1"/>
        <v>100</v>
      </c>
      <c r="K19" s="459">
        <f t="shared" si="1"/>
        <v>100</v>
      </c>
      <c r="L19" s="495" t="e">
        <f t="shared" si="2"/>
        <v>#DIV/0!</v>
      </c>
      <c r="M19" s="464" t="e">
        <f t="shared" si="2"/>
        <v>#DIV/0!</v>
      </c>
      <c r="N19" s="366"/>
      <c r="O19" s="446"/>
      <c r="P19" s="446"/>
      <c r="Q19" s="446"/>
      <c r="R19" s="446"/>
      <c r="S19" s="647">
        <f t="shared" si="4"/>
        <v>0.33333333333333331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 t="shared" si="5"/>
        <v>0</v>
      </c>
      <c r="E20" s="499"/>
      <c r="F20" s="586">
        <f t="shared" si="3"/>
        <v>0</v>
      </c>
      <c r="G20" s="1424">
        <f t="shared" si="3"/>
        <v>0</v>
      </c>
      <c r="H20" s="498">
        <f>SUM($F$9:F20)/A20</f>
        <v>0</v>
      </c>
      <c r="I20" s="499">
        <f>SUM($G$8:G20)/A20</f>
        <v>0</v>
      </c>
      <c r="J20" s="443">
        <f t="shared" si="1"/>
        <v>100</v>
      </c>
      <c r="K20" s="459">
        <f t="shared" si="1"/>
        <v>100</v>
      </c>
      <c r="L20" s="495" t="e">
        <f t="shared" si="2"/>
        <v>#DIV/0!</v>
      </c>
      <c r="M20" s="464" t="e">
        <f t="shared" si="2"/>
        <v>#DIV/0!</v>
      </c>
      <c r="N20" s="366"/>
      <c r="O20" s="446"/>
      <c r="P20" s="446"/>
      <c r="Q20" s="446"/>
      <c r="R20" s="446"/>
      <c r="S20" s="647">
        <f t="shared" si="4"/>
        <v>0.33333333333333331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si="5"/>
        <v>0</v>
      </c>
      <c r="E21" s="499"/>
      <c r="F21" s="586">
        <f t="shared" si="3"/>
        <v>0</v>
      </c>
      <c r="G21" s="1424">
        <f t="shared" si="3"/>
        <v>0</v>
      </c>
      <c r="H21" s="498">
        <f>SUM($F$9:F21)/A21</f>
        <v>0</v>
      </c>
      <c r="I21" s="499">
        <f>SUM($G$8:G21)/A21</f>
        <v>0</v>
      </c>
      <c r="J21" s="443">
        <f t="shared" si="1"/>
        <v>100</v>
      </c>
      <c r="K21" s="459">
        <f>K20+E21-G21</f>
        <v>100</v>
      </c>
      <c r="L21" s="495" t="e">
        <f t="shared" si="2"/>
        <v>#DIV/0!</v>
      </c>
      <c r="M21" s="464" t="e">
        <f t="shared" si="2"/>
        <v>#DIV/0!</v>
      </c>
      <c r="N21" s="366"/>
      <c r="O21" s="446"/>
      <c r="P21" s="446"/>
      <c r="Q21" s="446"/>
      <c r="R21" s="446"/>
      <c r="S21" s="647">
        <f t="shared" si="4"/>
        <v>0.33333333333333331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5"/>
        <v>0</v>
      </c>
      <c r="E22" s="499"/>
      <c r="F22" s="586">
        <f t="shared" si="3"/>
        <v>0</v>
      </c>
      <c r="G22" s="1424">
        <f t="shared" si="3"/>
        <v>0</v>
      </c>
      <c r="H22" s="498">
        <f>SUM($F$9:F22)/A22</f>
        <v>0</v>
      </c>
      <c r="I22" s="499">
        <f>SUM($G$8:G22)/A22</f>
        <v>0</v>
      </c>
      <c r="J22" s="443">
        <f t="shared" si="1"/>
        <v>100</v>
      </c>
      <c r="K22" s="459">
        <f>K21+E22-G22</f>
        <v>100</v>
      </c>
      <c r="L22" s="495" t="e">
        <f t="shared" si="2"/>
        <v>#DIV/0!</v>
      </c>
      <c r="M22" s="464" t="e">
        <f t="shared" si="2"/>
        <v>#DIV/0!</v>
      </c>
      <c r="N22" s="366"/>
      <c r="O22" s="446"/>
      <c r="P22" s="446"/>
      <c r="Q22" s="446"/>
      <c r="R22" s="446"/>
      <c r="S22" s="647">
        <f t="shared" si="4"/>
        <v>0.33333333333333331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5"/>
        <v>0</v>
      </c>
      <c r="E23" s="499"/>
      <c r="F23" s="586">
        <f t="shared" si="3"/>
        <v>0</v>
      </c>
      <c r="G23" s="1424">
        <f t="shared" si="3"/>
        <v>0</v>
      </c>
      <c r="H23" s="709">
        <f>SUM($F$9:F23)/A23</f>
        <v>0</v>
      </c>
      <c r="I23" s="499">
        <f>SUM($G$8:G23)/A23</f>
        <v>0</v>
      </c>
      <c r="J23" s="504">
        <f t="shared" si="1"/>
        <v>100</v>
      </c>
      <c r="K23" s="459">
        <f t="shared" si="1"/>
        <v>100</v>
      </c>
      <c r="L23" s="505" t="e">
        <f t="shared" si="2"/>
        <v>#DIV/0!</v>
      </c>
      <c r="M23" s="464" t="e">
        <f t="shared" si="2"/>
        <v>#DIV/0!</v>
      </c>
      <c r="N23" s="366"/>
      <c r="O23" s="446"/>
      <c r="P23" s="446"/>
      <c r="Q23" s="446"/>
      <c r="R23" s="446"/>
      <c r="S23" s="647">
        <f t="shared" si="4"/>
        <v>0.33333333333333331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5"/>
        <v>0</v>
      </c>
      <c r="E24" s="499"/>
      <c r="F24" s="586">
        <f t="shared" si="3"/>
        <v>0</v>
      </c>
      <c r="G24" s="1424">
        <f t="shared" si="3"/>
        <v>0</v>
      </c>
      <c r="H24" s="498">
        <f>SUM($F$9:F24)/A24</f>
        <v>0</v>
      </c>
      <c r="I24" s="499">
        <f>SUM($G$8:G24)/A24</f>
        <v>0</v>
      </c>
      <c r="J24" s="443">
        <f t="shared" si="1"/>
        <v>100</v>
      </c>
      <c r="K24" s="459">
        <f>K23+E24-G24</f>
        <v>100</v>
      </c>
      <c r="L24" s="495" t="e">
        <f t="shared" si="2"/>
        <v>#DIV/0!</v>
      </c>
      <c r="M24" s="464" t="e">
        <f t="shared" si="2"/>
        <v>#DIV/0!</v>
      </c>
      <c r="N24" s="366"/>
      <c r="O24" s="446"/>
      <c r="P24" s="446"/>
      <c r="Q24" s="446"/>
      <c r="R24" s="446"/>
      <c r="S24" s="647">
        <f t="shared" si="4"/>
        <v>0.33333333333333331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/>
      <c r="F25" s="586">
        <f t="shared" si="3"/>
        <v>0</v>
      </c>
      <c r="G25" s="1424">
        <f t="shared" si="3"/>
        <v>0</v>
      </c>
      <c r="H25" s="498">
        <f>SUM($F$9:F25)/A25</f>
        <v>0</v>
      </c>
      <c r="I25" s="499">
        <f>SUM($G$8:G25)/A25</f>
        <v>0</v>
      </c>
      <c r="J25" s="443">
        <f t="shared" ref="J25:K39" si="6">J24+D25-F25</f>
        <v>100</v>
      </c>
      <c r="K25" s="459">
        <f>K24+E25-G25</f>
        <v>100</v>
      </c>
      <c r="L25" s="495" t="e">
        <f t="shared" ref="L25:M39" si="7">J25/H25</f>
        <v>#DIV/0!</v>
      </c>
      <c r="M25" s="464" t="e">
        <f t="shared" si="7"/>
        <v>#DIV/0!</v>
      </c>
      <c r="N25" s="366"/>
      <c r="O25" s="446"/>
      <c r="P25" s="446"/>
      <c r="Q25" s="446"/>
      <c r="R25" s="446"/>
      <c r="S25" s="647">
        <f t="shared" si="4"/>
        <v>0.33333333333333331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5"/>
        <v>0</v>
      </c>
      <c r="E26" s="499"/>
      <c r="F26" s="586">
        <f t="shared" si="3"/>
        <v>0</v>
      </c>
      <c r="G26" s="1424">
        <f t="shared" si="3"/>
        <v>0</v>
      </c>
      <c r="H26" s="498">
        <f>SUM($F$9:F26)/A26</f>
        <v>0</v>
      </c>
      <c r="I26" s="499">
        <f>SUM($G$8:G26)/A26</f>
        <v>0</v>
      </c>
      <c r="J26" s="443">
        <f t="shared" si="6"/>
        <v>100</v>
      </c>
      <c r="K26" s="459">
        <f>K25+E26-G26</f>
        <v>100</v>
      </c>
      <c r="L26" s="495" t="e">
        <f t="shared" si="7"/>
        <v>#DIV/0!</v>
      </c>
      <c r="M26" s="464" t="e">
        <f t="shared" si="7"/>
        <v>#DIV/0!</v>
      </c>
      <c r="N26" s="366"/>
      <c r="O26" s="446"/>
      <c r="P26" s="446"/>
      <c r="Q26" s="446"/>
      <c r="R26" s="446"/>
      <c r="S26" s="647">
        <f t="shared" si="4"/>
        <v>0.33333333333333331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5"/>
        <v>0</v>
      </c>
      <c r="E27" s="499"/>
      <c r="F27" s="586">
        <f t="shared" si="3"/>
        <v>0</v>
      </c>
      <c r="G27" s="1424">
        <f t="shared" si="3"/>
        <v>0</v>
      </c>
      <c r="H27" s="498">
        <f>SUM($F$9:F27)/A27</f>
        <v>0</v>
      </c>
      <c r="I27" s="499">
        <f>SUM($G$8:G27)/A27</f>
        <v>0</v>
      </c>
      <c r="J27" s="443">
        <f t="shared" si="6"/>
        <v>100</v>
      </c>
      <c r="K27" s="459">
        <f>K26+E27-G27</f>
        <v>100</v>
      </c>
      <c r="L27" s="495" t="e">
        <f t="shared" si="7"/>
        <v>#DIV/0!</v>
      </c>
      <c r="M27" s="464" t="e">
        <f t="shared" si="7"/>
        <v>#DIV/0!</v>
      </c>
      <c r="N27" s="366"/>
      <c r="O27" s="446"/>
      <c r="P27" s="446"/>
      <c r="Q27" s="446"/>
      <c r="R27" s="446"/>
      <c r="S27" s="647">
        <f t="shared" si="4"/>
        <v>0.33333333333333331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5"/>
        <v>0</v>
      </c>
      <c r="E28" s="499"/>
      <c r="F28" s="586">
        <f t="shared" si="3"/>
        <v>0</v>
      </c>
      <c r="G28" s="1424">
        <f t="shared" si="3"/>
        <v>0</v>
      </c>
      <c r="H28" s="709">
        <f>SUM($F$9:F28)/A28</f>
        <v>0</v>
      </c>
      <c r="I28" s="499">
        <f>SUM($G$8:G28)/A28</f>
        <v>0</v>
      </c>
      <c r="J28" s="504">
        <f t="shared" si="6"/>
        <v>100</v>
      </c>
      <c r="K28" s="459">
        <f t="shared" si="6"/>
        <v>100</v>
      </c>
      <c r="L28" s="505" t="e">
        <f t="shared" si="7"/>
        <v>#DIV/0!</v>
      </c>
      <c r="M28" s="464" t="e">
        <f t="shared" si="7"/>
        <v>#DIV/0!</v>
      </c>
      <c r="N28" s="366"/>
      <c r="O28" s="446"/>
      <c r="P28" s="446"/>
      <c r="Q28" s="446"/>
      <c r="R28" s="446"/>
      <c r="S28" s="647">
        <f t="shared" si="4"/>
        <v>0.33333333333333331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5"/>
        <v>0</v>
      </c>
      <c r="E29" s="499"/>
      <c r="F29" s="586">
        <f t="shared" si="3"/>
        <v>0</v>
      </c>
      <c r="G29" s="1424">
        <f t="shared" si="3"/>
        <v>0</v>
      </c>
      <c r="H29" s="498">
        <f>SUM($F$9:F29)/A29</f>
        <v>0</v>
      </c>
      <c r="I29" s="499">
        <f>SUM($G$8:G29)/A29</f>
        <v>0</v>
      </c>
      <c r="J29" s="443">
        <f t="shared" si="6"/>
        <v>100</v>
      </c>
      <c r="K29" s="459">
        <f t="shared" si="6"/>
        <v>100</v>
      </c>
      <c r="L29" s="495" t="e">
        <f t="shared" si="7"/>
        <v>#DIV/0!</v>
      </c>
      <c r="M29" s="464" t="e">
        <f t="shared" si="7"/>
        <v>#DIV/0!</v>
      </c>
      <c r="N29" s="366"/>
      <c r="O29" s="446"/>
      <c r="P29" s="446"/>
      <c r="Q29" s="446"/>
      <c r="R29" s="446"/>
      <c r="S29" s="647">
        <f t="shared" si="4"/>
        <v>0.33333333333333331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5"/>
        <v>0</v>
      </c>
      <c r="E30" s="499"/>
      <c r="F30" s="586">
        <f t="shared" si="3"/>
        <v>0</v>
      </c>
      <c r="G30" s="1424">
        <f t="shared" si="3"/>
        <v>0</v>
      </c>
      <c r="H30" s="498">
        <f>SUM($F$9:F30)/A30</f>
        <v>0</v>
      </c>
      <c r="I30" s="499">
        <f>SUM($G$8:G30)/A30</f>
        <v>0</v>
      </c>
      <c r="J30" s="443">
        <f t="shared" si="6"/>
        <v>100</v>
      </c>
      <c r="K30" s="459">
        <f t="shared" si="6"/>
        <v>100</v>
      </c>
      <c r="L30" s="495" t="e">
        <f t="shared" si="7"/>
        <v>#DIV/0!</v>
      </c>
      <c r="M30" s="464" t="e">
        <f t="shared" si="7"/>
        <v>#DIV/0!</v>
      </c>
      <c r="N30" s="366"/>
      <c r="O30" s="446"/>
      <c r="P30" s="446"/>
      <c r="Q30" s="446"/>
      <c r="R30" s="446"/>
      <c r="S30" s="647">
        <f t="shared" si="4"/>
        <v>0.33333333333333331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5"/>
        <v>0</v>
      </c>
      <c r="E31" s="499"/>
      <c r="F31" s="586">
        <f t="shared" si="3"/>
        <v>0</v>
      </c>
      <c r="G31" s="1424">
        <f t="shared" si="3"/>
        <v>0</v>
      </c>
      <c r="H31" s="498">
        <f>SUM($F$9:F31)/A31</f>
        <v>0</v>
      </c>
      <c r="I31" s="499">
        <f>SUM($G$8:G31)/A31</f>
        <v>0</v>
      </c>
      <c r="J31" s="443">
        <f t="shared" si="6"/>
        <v>100</v>
      </c>
      <c r="K31" s="459">
        <f t="shared" si="6"/>
        <v>100</v>
      </c>
      <c r="L31" s="495" t="e">
        <f t="shared" si="7"/>
        <v>#DIV/0!</v>
      </c>
      <c r="M31" s="464" t="e">
        <f t="shared" si="7"/>
        <v>#DIV/0!</v>
      </c>
      <c r="N31" s="366"/>
      <c r="O31" s="446"/>
      <c r="P31" s="446"/>
      <c r="Q31" s="446"/>
      <c r="R31" s="446"/>
      <c r="S31" s="647">
        <f t="shared" si="4"/>
        <v>0.33333333333333331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5"/>
        <v>0</v>
      </c>
      <c r="E32" s="499"/>
      <c r="F32" s="586">
        <f t="shared" si="3"/>
        <v>0</v>
      </c>
      <c r="G32" s="1424">
        <f t="shared" si="3"/>
        <v>0</v>
      </c>
      <c r="H32" s="498">
        <f>SUM($F$9:F32)/A32</f>
        <v>0</v>
      </c>
      <c r="I32" s="499">
        <f>SUM($G$8:G32)/A32</f>
        <v>0</v>
      </c>
      <c r="J32" s="443">
        <f t="shared" si="6"/>
        <v>100</v>
      </c>
      <c r="K32" s="459">
        <f t="shared" si="6"/>
        <v>100</v>
      </c>
      <c r="L32" s="495" t="e">
        <f t="shared" si="7"/>
        <v>#DIV/0!</v>
      </c>
      <c r="M32" s="464" t="e">
        <f t="shared" si="7"/>
        <v>#DIV/0!</v>
      </c>
      <c r="N32" s="366"/>
      <c r="O32" s="446"/>
      <c r="P32" s="446"/>
      <c r="Q32" s="446"/>
      <c r="R32" s="446"/>
      <c r="S32" s="647">
        <f t="shared" si="4"/>
        <v>0.33333333333333331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>
        <f t="shared" si="5"/>
        <v>0</v>
      </c>
      <c r="E33" s="499"/>
      <c r="F33" s="586">
        <f t="shared" si="3"/>
        <v>0</v>
      </c>
      <c r="G33" s="1424">
        <f t="shared" si="3"/>
        <v>0</v>
      </c>
      <c r="H33" s="707">
        <f>SUM($F$9:F33)/A33</f>
        <v>0</v>
      </c>
      <c r="I33" s="499">
        <f>SUM($G$8:G33)/A33</f>
        <v>0</v>
      </c>
      <c r="J33" s="460">
        <f t="shared" si="6"/>
        <v>100</v>
      </c>
      <c r="K33" s="459">
        <f t="shared" si="6"/>
        <v>100</v>
      </c>
      <c r="L33" s="506" t="e">
        <f t="shared" si="7"/>
        <v>#DIV/0!</v>
      </c>
      <c r="M33" s="464" t="e">
        <f t="shared" si="7"/>
        <v>#DIV/0!</v>
      </c>
      <c r="N33" s="366"/>
      <c r="O33" s="446"/>
      <c r="P33" s="446"/>
      <c r="Q33" s="446"/>
      <c r="R33" s="446"/>
      <c r="S33" s="647">
        <f t="shared" si="4"/>
        <v>0.33333333333333331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5"/>
        <v>0</v>
      </c>
      <c r="E34" s="499"/>
      <c r="F34" s="586">
        <f t="shared" si="3"/>
        <v>0</v>
      </c>
      <c r="G34" s="1424">
        <f t="shared" si="3"/>
        <v>0</v>
      </c>
      <c r="H34" s="498">
        <f>SUM($F$9:F34)/A34</f>
        <v>0</v>
      </c>
      <c r="I34" s="499">
        <f>SUM($G$8:G34)/A34</f>
        <v>0</v>
      </c>
      <c r="J34" s="443">
        <f t="shared" si="6"/>
        <v>100</v>
      </c>
      <c r="K34" s="459">
        <f t="shared" si="6"/>
        <v>100</v>
      </c>
      <c r="L34" s="495" t="e">
        <f t="shared" si="7"/>
        <v>#DIV/0!</v>
      </c>
      <c r="M34" s="464" t="e">
        <f t="shared" si="7"/>
        <v>#DIV/0!</v>
      </c>
      <c r="N34" s="366"/>
      <c r="O34" s="446"/>
      <c r="P34" s="446"/>
      <c r="Q34" s="446"/>
      <c r="R34" s="446"/>
      <c r="S34" s="647">
        <f t="shared" si="4"/>
        <v>0.33333333333333331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5"/>
        <v>0</v>
      </c>
      <c r="E35" s="499"/>
      <c r="F35" s="586">
        <f t="shared" si="3"/>
        <v>0</v>
      </c>
      <c r="G35" s="1424">
        <f t="shared" si="3"/>
        <v>0</v>
      </c>
      <c r="H35" s="498">
        <f>SUM($F$9:F35)/A35</f>
        <v>0</v>
      </c>
      <c r="I35" s="499">
        <f>SUM($G$8:G35)/A35</f>
        <v>0</v>
      </c>
      <c r="J35" s="443">
        <f t="shared" si="6"/>
        <v>100</v>
      </c>
      <c r="K35" s="459">
        <f t="shared" si="6"/>
        <v>100</v>
      </c>
      <c r="L35" s="495" t="e">
        <f t="shared" si="7"/>
        <v>#DIV/0!</v>
      </c>
      <c r="M35" s="464" t="e">
        <f t="shared" si="7"/>
        <v>#DIV/0!</v>
      </c>
      <c r="N35" s="366"/>
      <c r="O35" s="446"/>
      <c r="P35" s="446"/>
      <c r="Q35" s="446"/>
      <c r="R35" s="446"/>
      <c r="S35" s="647">
        <f t="shared" si="4"/>
        <v>0.33333333333333331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>
        <f t="shared" si="5"/>
        <v>0</v>
      </c>
      <c r="E36" s="499"/>
      <c r="F36" s="586">
        <f t="shared" si="3"/>
        <v>0</v>
      </c>
      <c r="G36" s="1424">
        <f t="shared" si="3"/>
        <v>0</v>
      </c>
      <c r="H36" s="498">
        <f>SUM($F$9:F36)/A36</f>
        <v>0</v>
      </c>
      <c r="I36" s="499">
        <f>SUM($G$8:G36)/A36</f>
        <v>0</v>
      </c>
      <c r="J36" s="443">
        <f t="shared" si="6"/>
        <v>100</v>
      </c>
      <c r="K36" s="459">
        <f t="shared" si="6"/>
        <v>100</v>
      </c>
      <c r="L36" s="495" t="e">
        <f t="shared" si="7"/>
        <v>#DIV/0!</v>
      </c>
      <c r="M36" s="464" t="e">
        <f t="shared" si="7"/>
        <v>#DIV/0!</v>
      </c>
      <c r="N36" s="366"/>
      <c r="O36" s="446"/>
      <c r="P36" s="446"/>
      <c r="Q36" s="446"/>
      <c r="R36" s="446"/>
      <c r="S36" s="647">
        <f t="shared" si="4"/>
        <v>0.33333333333333331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5"/>
        <v>0</v>
      </c>
      <c r="E37" s="499"/>
      <c r="F37" s="586">
        <f t="shared" si="3"/>
        <v>0</v>
      </c>
      <c r="G37" s="1424">
        <f t="shared" si="3"/>
        <v>0</v>
      </c>
      <c r="H37" s="498">
        <f>SUM($F$9:F37)/A37</f>
        <v>0</v>
      </c>
      <c r="I37" s="499">
        <f>SUM($G$8:G37)/A37</f>
        <v>0</v>
      </c>
      <c r="J37" s="443">
        <f t="shared" si="6"/>
        <v>100</v>
      </c>
      <c r="K37" s="459">
        <f t="shared" si="6"/>
        <v>100</v>
      </c>
      <c r="L37" s="495" t="e">
        <f t="shared" si="7"/>
        <v>#DIV/0!</v>
      </c>
      <c r="M37" s="464" t="e">
        <f t="shared" si="7"/>
        <v>#DIV/0!</v>
      </c>
      <c r="N37" s="658"/>
      <c r="O37" s="446"/>
      <c r="P37" s="446"/>
      <c r="Q37" s="446"/>
      <c r="R37" s="446"/>
      <c r="S37" s="647">
        <f t="shared" si="4"/>
        <v>0.33333333333333331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5"/>
        <v>0</v>
      </c>
      <c r="E38" s="499"/>
      <c r="F38" s="586">
        <f t="shared" si="3"/>
        <v>0</v>
      </c>
      <c r="G38" s="1424">
        <f t="shared" si="3"/>
        <v>0</v>
      </c>
      <c r="H38" s="709">
        <f>SUM($F$9:F38)/A38</f>
        <v>0</v>
      </c>
      <c r="I38" s="499">
        <f>SUM($G$8:G38)/A38</f>
        <v>0</v>
      </c>
      <c r="J38" s="504">
        <f t="shared" si="6"/>
        <v>100</v>
      </c>
      <c r="K38" s="459">
        <f t="shared" si="6"/>
        <v>100</v>
      </c>
      <c r="L38" s="505" t="e">
        <f t="shared" si="7"/>
        <v>#DIV/0!</v>
      </c>
      <c r="M38" s="464" t="e">
        <f t="shared" si="7"/>
        <v>#DIV/0!</v>
      </c>
      <c r="N38" s="366"/>
      <c r="O38" s="446"/>
      <c r="P38" s="446"/>
      <c r="Q38" s="446"/>
      <c r="R38" s="446"/>
      <c r="S38" s="647">
        <f t="shared" si="4"/>
        <v>0.33333333333333331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5"/>
        <v>0</v>
      </c>
      <c r="E39" s="499"/>
      <c r="F39" s="586">
        <f t="shared" si="3"/>
        <v>0</v>
      </c>
      <c r="G39" s="1424">
        <f t="shared" si="3"/>
        <v>0</v>
      </c>
      <c r="H39" s="498">
        <f>SUM($F$9:F39)/A39</f>
        <v>0</v>
      </c>
      <c r="I39" s="499">
        <f>SUM($G$8:G39)/A39</f>
        <v>0</v>
      </c>
      <c r="J39" s="443">
        <f t="shared" si="6"/>
        <v>100</v>
      </c>
      <c r="K39" s="459">
        <f t="shared" si="6"/>
        <v>100</v>
      </c>
      <c r="L39" s="495" t="e">
        <f t="shared" si="7"/>
        <v>#DIV/0!</v>
      </c>
      <c r="M39" s="464" t="e">
        <f t="shared" si="7"/>
        <v>#DIV/0!</v>
      </c>
      <c r="N39" s="366"/>
      <c r="O39" s="446"/>
      <c r="P39" s="446"/>
      <c r="Q39" s="446"/>
      <c r="R39" s="446"/>
      <c r="S39" s="647">
        <f t="shared" si="4"/>
        <v>0.33333333333333331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100</v>
      </c>
      <c r="K40" s="461">
        <f>K39</f>
        <v>100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100</v>
      </c>
      <c r="E41" s="388">
        <f>E8+E40</f>
        <v>100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100</v>
      </c>
      <c r="K41" s="389">
        <f>E41-G41</f>
        <v>100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1792" priority="217" operator="lessThan">
      <formula>15</formula>
    </cfRule>
    <cfRule type="cellIs" dxfId="11791" priority="218" operator="greaterThan">
      <formula>20</formula>
    </cfRule>
    <cfRule type="cellIs" dxfId="11790" priority="219" operator="between">
      <formula>15</formula>
      <formula>20</formula>
    </cfRule>
    <cfRule type="cellIs" dxfId="11789" priority="220" operator="between">
      <formula>15</formula>
      <formula>20</formula>
    </cfRule>
    <cfRule type="cellIs" dxfId="11788" priority="221" operator="lessThan">
      <formula>15</formula>
    </cfRule>
    <cfRule type="cellIs" dxfId="11787" priority="222" operator="greaterThan">
      <formula>20</formula>
    </cfRule>
    <cfRule type="cellIs" dxfId="11786" priority="223" operator="between">
      <formula>15</formula>
      <formula>21</formula>
    </cfRule>
    <cfRule type="cellIs" dxfId="11785" priority="224" operator="lessThan">
      <formula>15</formula>
    </cfRule>
    <cfRule type="cellIs" dxfId="11784" priority="225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C49"/>
  <sheetViews>
    <sheetView workbookViewId="0">
      <pane ySplit="8" topLeftCell="A18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7.710937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">
        <v>200</v>
      </c>
      <c r="D4" s="383"/>
      <c r="E4" s="383" t="s">
        <v>228</v>
      </c>
      <c r="F4" s="383" t="s">
        <v>229</v>
      </c>
      <c r="G4" s="383"/>
      <c r="I4" s="383" t="s">
        <v>120</v>
      </c>
      <c r="J4" s="316" t="s">
        <v>291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760</v>
      </c>
      <c r="E8" s="388">
        <f>K8</f>
        <v>760</v>
      </c>
      <c r="F8" s="389"/>
      <c r="G8" s="388"/>
      <c r="H8" s="387"/>
      <c r="I8" s="388"/>
      <c r="J8" s="624">
        <f>K8-K8*N8</f>
        <v>760</v>
      </c>
      <c r="K8" s="624">
        <v>760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461.1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/>
      <c r="E9" s="499">
        <f>D9</f>
        <v>0</v>
      </c>
      <c r="F9" s="586">
        <f>O9+Q9</f>
        <v>0</v>
      </c>
      <c r="G9" s="1424">
        <f>P9+R9</f>
        <v>0</v>
      </c>
      <c r="H9" s="498">
        <f>SUM($F$9:F9)/A9</f>
        <v>0</v>
      </c>
      <c r="I9" s="499">
        <f>SUM($G$8:G9)/A9</f>
        <v>0</v>
      </c>
      <c r="J9" s="443">
        <f>J8+D9-F9</f>
        <v>760</v>
      </c>
      <c r="K9" s="459">
        <f t="shared" ref="J9:K24" si="0">K8+E9-G9</f>
        <v>760</v>
      </c>
      <c r="L9" s="495" t="e">
        <f t="shared" ref="L9:M24" si="1">J9/H9</f>
        <v>#DIV/0!</v>
      </c>
      <c r="M9" s="464" t="e">
        <f t="shared" si="1"/>
        <v>#DIV/0!</v>
      </c>
      <c r="N9" s="366"/>
      <c r="O9" s="446"/>
      <c r="P9" s="446"/>
      <c r="Q9" s="446"/>
      <c r="R9" s="446"/>
      <c r="S9" s="647">
        <f>J9/$S$8</f>
        <v>1.64823248752982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/>
      <c r="E10" s="499">
        <f t="shared" ref="E10:E39" si="2">D10</f>
        <v>0</v>
      </c>
      <c r="F10" s="586">
        <f t="shared" ref="F10:G39" si="3">O10+Q10</f>
        <v>0</v>
      </c>
      <c r="G10" s="1424">
        <f t="shared" si="3"/>
        <v>0</v>
      </c>
      <c r="H10" s="498">
        <f>SUM($F$9:F10)/A10</f>
        <v>0</v>
      </c>
      <c r="I10" s="499">
        <f>SUM($G$8:G10)/A10</f>
        <v>0</v>
      </c>
      <c r="J10" s="443">
        <f t="shared" si="0"/>
        <v>760</v>
      </c>
      <c r="K10" s="459">
        <f t="shared" si="0"/>
        <v>760</v>
      </c>
      <c r="L10" s="495" t="e">
        <f t="shared" si="1"/>
        <v>#DIV/0!</v>
      </c>
      <c r="M10" s="464" t="e">
        <f t="shared" si="1"/>
        <v>#DIV/0!</v>
      </c>
      <c r="N10" s="366"/>
      <c r="O10" s="446"/>
      <c r="P10" s="446"/>
      <c r="Q10" s="446"/>
      <c r="R10" s="446"/>
      <c r="S10" s="647">
        <f t="shared" ref="S10:S39" si="4">J10/$S$8</f>
        <v>1.64823248752982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/>
      <c r="E11" s="499">
        <f t="shared" si="2"/>
        <v>0</v>
      </c>
      <c r="F11" s="586">
        <f t="shared" si="3"/>
        <v>0</v>
      </c>
      <c r="G11" s="1424">
        <f t="shared" si="3"/>
        <v>0</v>
      </c>
      <c r="H11" s="498">
        <f>SUM($F$9:F11)/A11</f>
        <v>0</v>
      </c>
      <c r="I11" s="499">
        <f>SUM($G$8:G11)/A11</f>
        <v>0</v>
      </c>
      <c r="J11" s="443">
        <f t="shared" si="0"/>
        <v>760</v>
      </c>
      <c r="K11" s="459">
        <f t="shared" si="0"/>
        <v>760</v>
      </c>
      <c r="L11" s="495" t="e">
        <f t="shared" si="1"/>
        <v>#DIV/0!</v>
      </c>
      <c r="M11" s="464" t="e">
        <f t="shared" si="1"/>
        <v>#DIV/0!</v>
      </c>
      <c r="N11" s="366"/>
      <c r="O11" s="446"/>
      <c r="P11" s="446"/>
      <c r="Q11" s="446"/>
      <c r="R11" s="446"/>
      <c r="S11" s="647">
        <f t="shared" si="4"/>
        <v>1.64823248752982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/>
      <c r="E12" s="499">
        <f t="shared" si="2"/>
        <v>0</v>
      </c>
      <c r="F12" s="586">
        <f t="shared" si="3"/>
        <v>0</v>
      </c>
      <c r="G12" s="1424">
        <f t="shared" si="3"/>
        <v>0</v>
      </c>
      <c r="H12" s="498">
        <f>SUM($F$9:F12)/A12</f>
        <v>0</v>
      </c>
      <c r="I12" s="499">
        <f>SUM($G$8:G12)/A12</f>
        <v>0</v>
      </c>
      <c r="J12" s="443">
        <f t="shared" si="0"/>
        <v>760</v>
      </c>
      <c r="K12" s="459">
        <f t="shared" si="0"/>
        <v>760</v>
      </c>
      <c r="L12" s="495" t="e">
        <f t="shared" si="1"/>
        <v>#DIV/0!</v>
      </c>
      <c r="M12" s="464" t="e">
        <f t="shared" si="1"/>
        <v>#DIV/0!</v>
      </c>
      <c r="N12" s="366"/>
      <c r="O12" s="446"/>
      <c r="P12" s="446"/>
      <c r="Q12" s="446"/>
      <c r="R12" s="446"/>
      <c r="S12" s="647">
        <f t="shared" si="4"/>
        <v>1.64823248752982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/>
      <c r="E13" s="499">
        <f t="shared" si="2"/>
        <v>0</v>
      </c>
      <c r="F13" s="586">
        <f t="shared" si="3"/>
        <v>0</v>
      </c>
      <c r="G13" s="1424">
        <f t="shared" si="3"/>
        <v>0</v>
      </c>
      <c r="H13" s="709">
        <f>SUM($F$9:F13)/A13</f>
        <v>0</v>
      </c>
      <c r="I13" s="499">
        <f>SUM($G$8:G13)/A13</f>
        <v>0</v>
      </c>
      <c r="J13" s="504">
        <f t="shared" si="0"/>
        <v>760</v>
      </c>
      <c r="K13" s="459">
        <f>K12+E13-G13</f>
        <v>760</v>
      </c>
      <c r="L13" s="505" t="e">
        <f t="shared" si="1"/>
        <v>#DIV/0!</v>
      </c>
      <c r="M13" s="464" t="e">
        <f t="shared" si="1"/>
        <v>#DIV/0!</v>
      </c>
      <c r="N13" s="366"/>
      <c r="O13" s="446"/>
      <c r="P13" s="446"/>
      <c r="Q13" s="446"/>
      <c r="R13" s="446"/>
      <c r="S13" s="647">
        <f t="shared" si="4"/>
        <v>1.64823248752982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/>
      <c r="E14" s="499">
        <f t="shared" si="2"/>
        <v>0</v>
      </c>
      <c r="F14" s="586">
        <f t="shared" si="3"/>
        <v>0</v>
      </c>
      <c r="G14" s="1424">
        <f t="shared" si="3"/>
        <v>0</v>
      </c>
      <c r="H14" s="498">
        <f>SUM($F$9:F14)/A14</f>
        <v>0</v>
      </c>
      <c r="I14" s="499">
        <f>SUM($G$8:G14)/A14</f>
        <v>0</v>
      </c>
      <c r="J14" s="443">
        <f t="shared" si="0"/>
        <v>760</v>
      </c>
      <c r="K14" s="459">
        <f t="shared" si="0"/>
        <v>760</v>
      </c>
      <c r="L14" s="495" t="e">
        <f t="shared" si="1"/>
        <v>#DIV/0!</v>
      </c>
      <c r="M14" s="464" t="e">
        <f t="shared" si="1"/>
        <v>#DIV/0!</v>
      </c>
      <c r="N14" s="366"/>
      <c r="O14" s="446"/>
      <c r="P14" s="446"/>
      <c r="Q14" s="446"/>
      <c r="R14" s="446"/>
      <c r="S14" s="647">
        <f t="shared" si="4"/>
        <v>1.64823248752982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/>
      <c r="E15" s="499">
        <f t="shared" si="2"/>
        <v>0</v>
      </c>
      <c r="F15" s="586">
        <f t="shared" si="3"/>
        <v>0</v>
      </c>
      <c r="G15" s="1424">
        <f t="shared" si="3"/>
        <v>0</v>
      </c>
      <c r="H15" s="498">
        <f>SUM($F$9:F15)/A15</f>
        <v>0</v>
      </c>
      <c r="I15" s="499">
        <f>SUM($G$8:G15)/A15</f>
        <v>0</v>
      </c>
      <c r="J15" s="443">
        <f t="shared" si="0"/>
        <v>760</v>
      </c>
      <c r="K15" s="459">
        <f t="shared" si="0"/>
        <v>760</v>
      </c>
      <c r="L15" s="495" t="e">
        <f t="shared" si="1"/>
        <v>#DIV/0!</v>
      </c>
      <c r="M15" s="464" t="e">
        <f t="shared" si="1"/>
        <v>#DIV/0!</v>
      </c>
      <c r="N15" s="366"/>
      <c r="O15" s="446"/>
      <c r="P15" s="446"/>
      <c r="Q15" s="446"/>
      <c r="R15" s="446"/>
      <c r="S15" s="647">
        <f t="shared" si="4"/>
        <v>1.64823248752982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/>
      <c r="E16" s="499">
        <f t="shared" si="2"/>
        <v>0</v>
      </c>
      <c r="F16" s="586">
        <f t="shared" si="3"/>
        <v>0</v>
      </c>
      <c r="G16" s="1424">
        <f t="shared" si="3"/>
        <v>0</v>
      </c>
      <c r="H16" s="498">
        <f>SUM($F$9:F16)/A16</f>
        <v>0</v>
      </c>
      <c r="I16" s="499">
        <f>SUM($G$8:G16)/A16</f>
        <v>0</v>
      </c>
      <c r="J16" s="443">
        <f t="shared" si="0"/>
        <v>760</v>
      </c>
      <c r="K16" s="459">
        <f t="shared" si="0"/>
        <v>760</v>
      </c>
      <c r="L16" s="495" t="e">
        <f t="shared" si="1"/>
        <v>#DIV/0!</v>
      </c>
      <c r="M16" s="464" t="e">
        <f t="shared" si="1"/>
        <v>#DIV/0!</v>
      </c>
      <c r="N16" s="366"/>
      <c r="O16" s="446"/>
      <c r="P16" s="446"/>
      <c r="Q16" s="446"/>
      <c r="R16" s="446"/>
      <c r="S16" s="647">
        <f t="shared" si="4"/>
        <v>1.64823248752982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/>
      <c r="E17" s="499">
        <f t="shared" si="2"/>
        <v>0</v>
      </c>
      <c r="F17" s="586">
        <f t="shared" si="3"/>
        <v>0</v>
      </c>
      <c r="G17" s="1424">
        <f t="shared" si="3"/>
        <v>0</v>
      </c>
      <c r="H17" s="498">
        <f>SUM($F$9:F17)/A17</f>
        <v>0</v>
      </c>
      <c r="I17" s="499">
        <f>SUM($G$8:G17)/A17</f>
        <v>0</v>
      </c>
      <c r="J17" s="443">
        <f t="shared" si="0"/>
        <v>760</v>
      </c>
      <c r="K17" s="459">
        <f t="shared" si="0"/>
        <v>760</v>
      </c>
      <c r="L17" s="495" t="e">
        <f t="shared" si="1"/>
        <v>#DIV/0!</v>
      </c>
      <c r="M17" s="464" t="e">
        <f t="shared" si="1"/>
        <v>#DIV/0!</v>
      </c>
      <c r="N17" s="366"/>
      <c r="O17" s="446"/>
      <c r="P17" s="446"/>
      <c r="Q17" s="446"/>
      <c r="R17" s="446"/>
      <c r="S17" s="647">
        <f t="shared" si="4"/>
        <v>1.64823248752982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/>
      <c r="E18" s="499">
        <f t="shared" si="2"/>
        <v>0</v>
      </c>
      <c r="F18" s="586">
        <f t="shared" si="3"/>
        <v>0</v>
      </c>
      <c r="G18" s="1424">
        <f t="shared" si="3"/>
        <v>0</v>
      </c>
      <c r="H18" s="709">
        <f>SUM($F$9:F18)/A18</f>
        <v>0</v>
      </c>
      <c r="I18" s="499">
        <f>SUM($G$8:G18)/A18</f>
        <v>0</v>
      </c>
      <c r="J18" s="504">
        <f t="shared" si="0"/>
        <v>760</v>
      </c>
      <c r="K18" s="459">
        <f t="shared" si="0"/>
        <v>760</v>
      </c>
      <c r="L18" s="505" t="e">
        <f t="shared" si="1"/>
        <v>#DIV/0!</v>
      </c>
      <c r="M18" s="464" t="e">
        <f t="shared" si="1"/>
        <v>#DIV/0!</v>
      </c>
      <c r="N18" s="366"/>
      <c r="O18" s="446"/>
      <c r="P18" s="446"/>
      <c r="Q18" s="446"/>
      <c r="R18" s="446"/>
      <c r="S18" s="647">
        <f t="shared" si="4"/>
        <v>1.64823248752982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/>
      <c r="E19" s="499">
        <f t="shared" si="2"/>
        <v>0</v>
      </c>
      <c r="F19" s="586">
        <f t="shared" si="3"/>
        <v>0</v>
      </c>
      <c r="G19" s="1424">
        <f t="shared" si="3"/>
        <v>0</v>
      </c>
      <c r="H19" s="498">
        <f>SUM($F$9:F19)/A19</f>
        <v>0</v>
      </c>
      <c r="I19" s="499">
        <f>SUM($G$8:G19)/A19</f>
        <v>0</v>
      </c>
      <c r="J19" s="443">
        <f t="shared" si="0"/>
        <v>760</v>
      </c>
      <c r="K19" s="459">
        <f t="shared" si="0"/>
        <v>760</v>
      </c>
      <c r="L19" s="495" t="e">
        <f t="shared" si="1"/>
        <v>#DIV/0!</v>
      </c>
      <c r="M19" s="464" t="e">
        <f t="shared" si="1"/>
        <v>#DIV/0!</v>
      </c>
      <c r="N19" s="366"/>
      <c r="O19" s="446"/>
      <c r="P19" s="446"/>
      <c r="Q19" s="446"/>
      <c r="R19" s="446"/>
      <c r="S19" s="647">
        <f t="shared" si="4"/>
        <v>1.64823248752982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/>
      <c r="E20" s="499">
        <f t="shared" si="2"/>
        <v>0</v>
      </c>
      <c r="F20" s="586">
        <f t="shared" si="3"/>
        <v>0</v>
      </c>
      <c r="G20" s="1424">
        <f t="shared" si="3"/>
        <v>0</v>
      </c>
      <c r="H20" s="498">
        <f>SUM($F$9:F20)/A20</f>
        <v>0</v>
      </c>
      <c r="I20" s="499">
        <f>SUM($G$8:G20)/A20</f>
        <v>0</v>
      </c>
      <c r="J20" s="443">
        <f t="shared" si="0"/>
        <v>760</v>
      </c>
      <c r="K20" s="459">
        <f t="shared" si="0"/>
        <v>760</v>
      </c>
      <c r="L20" s="495" t="e">
        <f t="shared" si="1"/>
        <v>#DIV/0!</v>
      </c>
      <c r="M20" s="464" t="e">
        <f t="shared" si="1"/>
        <v>#DIV/0!</v>
      </c>
      <c r="N20" s="366"/>
      <c r="O20" s="446"/>
      <c r="P20" s="446"/>
      <c r="Q20" s="446"/>
      <c r="R20" s="446"/>
      <c r="S20" s="647">
        <f t="shared" si="4"/>
        <v>1.64823248752982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/>
      <c r="E21" s="499">
        <f t="shared" si="2"/>
        <v>0</v>
      </c>
      <c r="F21" s="586">
        <f t="shared" si="3"/>
        <v>0</v>
      </c>
      <c r="G21" s="1424">
        <f t="shared" si="3"/>
        <v>0</v>
      </c>
      <c r="H21" s="498">
        <f>SUM($F$9:F21)/A21</f>
        <v>0</v>
      </c>
      <c r="I21" s="499">
        <f>SUM($G$8:G21)/A21</f>
        <v>0</v>
      </c>
      <c r="J21" s="443">
        <f t="shared" si="0"/>
        <v>760</v>
      </c>
      <c r="K21" s="459">
        <f>K20+E21-G21</f>
        <v>760</v>
      </c>
      <c r="L21" s="495" t="e">
        <f t="shared" si="1"/>
        <v>#DIV/0!</v>
      </c>
      <c r="M21" s="464" t="e">
        <f t="shared" si="1"/>
        <v>#DIV/0!</v>
      </c>
      <c r="N21" s="366"/>
      <c r="O21" s="446"/>
      <c r="P21" s="446"/>
      <c r="Q21" s="446"/>
      <c r="R21" s="446"/>
      <c r="S21" s="647">
        <f t="shared" si="4"/>
        <v>1.64823248752982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/>
      <c r="E22" s="499">
        <f t="shared" si="2"/>
        <v>0</v>
      </c>
      <c r="F22" s="586">
        <f t="shared" si="3"/>
        <v>0</v>
      </c>
      <c r="G22" s="1424">
        <f t="shared" si="3"/>
        <v>0</v>
      </c>
      <c r="H22" s="498">
        <f>SUM($F$9:F22)/A22</f>
        <v>0</v>
      </c>
      <c r="I22" s="499">
        <f>SUM($G$8:G22)/A22</f>
        <v>0</v>
      </c>
      <c r="J22" s="443">
        <f t="shared" si="0"/>
        <v>760</v>
      </c>
      <c r="K22" s="459">
        <f>K21+E22-G22</f>
        <v>760</v>
      </c>
      <c r="L22" s="495" t="e">
        <f t="shared" si="1"/>
        <v>#DIV/0!</v>
      </c>
      <c r="M22" s="464" t="e">
        <f t="shared" si="1"/>
        <v>#DIV/0!</v>
      </c>
      <c r="N22" s="366"/>
      <c r="O22" s="446"/>
      <c r="P22" s="446"/>
      <c r="Q22" s="446"/>
      <c r="R22" s="446"/>
      <c r="S22" s="647">
        <f t="shared" si="4"/>
        <v>1.64823248752982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/>
      <c r="E23" s="499">
        <f t="shared" si="2"/>
        <v>0</v>
      </c>
      <c r="F23" s="586">
        <f t="shared" si="3"/>
        <v>0</v>
      </c>
      <c r="G23" s="1424">
        <f t="shared" si="3"/>
        <v>0</v>
      </c>
      <c r="H23" s="709">
        <f>SUM($F$9:F23)/A23</f>
        <v>0</v>
      </c>
      <c r="I23" s="499">
        <f>SUM($G$8:G23)/A23</f>
        <v>0</v>
      </c>
      <c r="J23" s="504">
        <f t="shared" si="0"/>
        <v>760</v>
      </c>
      <c r="K23" s="459">
        <f t="shared" si="0"/>
        <v>760</v>
      </c>
      <c r="L23" s="505" t="e">
        <f t="shared" si="1"/>
        <v>#DIV/0!</v>
      </c>
      <c r="M23" s="464" t="e">
        <f t="shared" si="1"/>
        <v>#DIV/0!</v>
      </c>
      <c r="N23" s="366"/>
      <c r="O23" s="446"/>
      <c r="P23" s="446"/>
      <c r="Q23" s="446"/>
      <c r="R23" s="446"/>
      <c r="S23" s="647">
        <f t="shared" si="4"/>
        <v>1.64823248752982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/>
      <c r="E24" s="499">
        <f t="shared" si="2"/>
        <v>0</v>
      </c>
      <c r="F24" s="586">
        <f t="shared" si="3"/>
        <v>0</v>
      </c>
      <c r="G24" s="1424">
        <f t="shared" si="3"/>
        <v>0</v>
      </c>
      <c r="H24" s="498">
        <f>SUM($F$9:F24)/A24</f>
        <v>0</v>
      </c>
      <c r="I24" s="499">
        <f>SUM($G$8:G24)/A24</f>
        <v>0</v>
      </c>
      <c r="J24" s="443">
        <f t="shared" si="0"/>
        <v>760</v>
      </c>
      <c r="K24" s="459">
        <f>K23+E24-G24</f>
        <v>760</v>
      </c>
      <c r="L24" s="495" t="e">
        <f t="shared" si="1"/>
        <v>#DIV/0!</v>
      </c>
      <c r="M24" s="464" t="e">
        <f t="shared" si="1"/>
        <v>#DIV/0!</v>
      </c>
      <c r="N24" s="366"/>
      <c r="O24" s="446"/>
      <c r="P24" s="446"/>
      <c r="Q24" s="446"/>
      <c r="R24" s="446"/>
      <c r="S24" s="647">
        <f t="shared" si="4"/>
        <v>1.64823248752982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>
        <f t="shared" si="2"/>
        <v>0</v>
      </c>
      <c r="F25" s="586">
        <f t="shared" si="3"/>
        <v>0</v>
      </c>
      <c r="G25" s="1424">
        <f t="shared" si="3"/>
        <v>0</v>
      </c>
      <c r="H25" s="498">
        <f>SUM($F$9:F25)/A25</f>
        <v>0</v>
      </c>
      <c r="I25" s="499">
        <f>SUM($G$8:G25)/A25</f>
        <v>0</v>
      </c>
      <c r="J25" s="443">
        <f t="shared" ref="J25:K39" si="5">J24+D25-F25</f>
        <v>760</v>
      </c>
      <c r="K25" s="459">
        <f>K24+E25-G25</f>
        <v>760</v>
      </c>
      <c r="L25" s="495" t="e">
        <f t="shared" ref="L25:M39" si="6">J25/H25</f>
        <v>#DIV/0!</v>
      </c>
      <c r="M25" s="464" t="e">
        <f t="shared" si="6"/>
        <v>#DIV/0!</v>
      </c>
      <c r="N25" s="366"/>
      <c r="O25" s="446"/>
      <c r="P25" s="446"/>
      <c r="Q25" s="446"/>
      <c r="R25" s="446"/>
      <c r="S25" s="647">
        <f t="shared" si="4"/>
        <v>1.64823248752982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/>
      <c r="E26" s="499">
        <f t="shared" si="2"/>
        <v>0</v>
      </c>
      <c r="F26" s="586">
        <f t="shared" si="3"/>
        <v>0</v>
      </c>
      <c r="G26" s="1424">
        <f t="shared" si="3"/>
        <v>0</v>
      </c>
      <c r="H26" s="498">
        <f>SUM($F$9:F26)/A26</f>
        <v>0</v>
      </c>
      <c r="I26" s="499">
        <f>SUM($G$8:G26)/A26</f>
        <v>0</v>
      </c>
      <c r="J26" s="443">
        <f t="shared" si="5"/>
        <v>760</v>
      </c>
      <c r="K26" s="459">
        <f>K25+E26-G26</f>
        <v>760</v>
      </c>
      <c r="L26" s="495" t="e">
        <f t="shared" si="6"/>
        <v>#DIV/0!</v>
      </c>
      <c r="M26" s="464" t="e">
        <f t="shared" si="6"/>
        <v>#DIV/0!</v>
      </c>
      <c r="N26" s="366"/>
      <c r="O26" s="446"/>
      <c r="P26" s="446"/>
      <c r="Q26" s="446"/>
      <c r="R26" s="446"/>
      <c r="S26" s="647">
        <f t="shared" si="4"/>
        <v>1.64823248752982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/>
      <c r="E27" s="499">
        <f t="shared" si="2"/>
        <v>0</v>
      </c>
      <c r="F27" s="586">
        <f t="shared" si="3"/>
        <v>0</v>
      </c>
      <c r="G27" s="1424">
        <f t="shared" si="3"/>
        <v>0</v>
      </c>
      <c r="H27" s="498">
        <f>SUM($F$9:F27)/A27</f>
        <v>0</v>
      </c>
      <c r="I27" s="499">
        <f>SUM($G$8:G27)/A27</f>
        <v>0</v>
      </c>
      <c r="J27" s="443">
        <f t="shared" si="5"/>
        <v>760</v>
      </c>
      <c r="K27" s="459">
        <f>K26+E27-G27</f>
        <v>760</v>
      </c>
      <c r="L27" s="495" t="e">
        <f t="shared" si="6"/>
        <v>#DIV/0!</v>
      </c>
      <c r="M27" s="464" t="e">
        <f t="shared" si="6"/>
        <v>#DIV/0!</v>
      </c>
      <c r="N27" s="366"/>
      <c r="O27" s="446"/>
      <c r="P27" s="446"/>
      <c r="Q27" s="446"/>
      <c r="R27" s="446"/>
      <c r="S27" s="647">
        <f t="shared" si="4"/>
        <v>1.64823248752982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/>
      <c r="E28" s="499">
        <f t="shared" si="2"/>
        <v>0</v>
      </c>
      <c r="F28" s="586">
        <f t="shared" si="3"/>
        <v>0</v>
      </c>
      <c r="G28" s="1424">
        <f t="shared" si="3"/>
        <v>0</v>
      </c>
      <c r="H28" s="709">
        <f>SUM($F$9:F28)/A28</f>
        <v>0</v>
      </c>
      <c r="I28" s="499">
        <f>SUM($G$8:G28)/A28</f>
        <v>0</v>
      </c>
      <c r="J28" s="504">
        <f t="shared" si="5"/>
        <v>760</v>
      </c>
      <c r="K28" s="459">
        <f t="shared" si="5"/>
        <v>760</v>
      </c>
      <c r="L28" s="505" t="e">
        <f t="shared" si="6"/>
        <v>#DIV/0!</v>
      </c>
      <c r="M28" s="464" t="e">
        <f t="shared" si="6"/>
        <v>#DIV/0!</v>
      </c>
      <c r="N28" s="366"/>
      <c r="O28" s="446"/>
      <c r="P28" s="446"/>
      <c r="Q28" s="446"/>
      <c r="R28" s="446"/>
      <c r="S28" s="647">
        <f t="shared" si="4"/>
        <v>1.64823248752982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/>
      <c r="E29" s="499">
        <f t="shared" si="2"/>
        <v>0</v>
      </c>
      <c r="F29" s="586">
        <f t="shared" si="3"/>
        <v>0</v>
      </c>
      <c r="G29" s="1424">
        <f t="shared" si="3"/>
        <v>0</v>
      </c>
      <c r="H29" s="498">
        <f>SUM($F$9:F29)/A29</f>
        <v>0</v>
      </c>
      <c r="I29" s="499">
        <f>SUM($G$8:G29)/A29</f>
        <v>0</v>
      </c>
      <c r="J29" s="443">
        <f t="shared" si="5"/>
        <v>760</v>
      </c>
      <c r="K29" s="459">
        <f t="shared" si="5"/>
        <v>760</v>
      </c>
      <c r="L29" s="495" t="e">
        <f t="shared" si="6"/>
        <v>#DIV/0!</v>
      </c>
      <c r="M29" s="464" t="e">
        <f t="shared" si="6"/>
        <v>#DIV/0!</v>
      </c>
      <c r="N29" s="366"/>
      <c r="O29" s="446"/>
      <c r="P29" s="446"/>
      <c r="Q29" s="446"/>
      <c r="R29" s="446"/>
      <c r="S29" s="647">
        <f t="shared" si="4"/>
        <v>1.64823248752982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/>
      <c r="E30" s="499">
        <f t="shared" si="2"/>
        <v>0</v>
      </c>
      <c r="F30" s="586">
        <f t="shared" si="3"/>
        <v>0</v>
      </c>
      <c r="G30" s="1424">
        <f t="shared" si="3"/>
        <v>0</v>
      </c>
      <c r="H30" s="498">
        <f>SUM($F$9:F30)/A30</f>
        <v>0</v>
      </c>
      <c r="I30" s="499">
        <f>SUM($G$8:G30)/A30</f>
        <v>0</v>
      </c>
      <c r="J30" s="443">
        <f t="shared" si="5"/>
        <v>760</v>
      </c>
      <c r="K30" s="459">
        <f t="shared" si="5"/>
        <v>760</v>
      </c>
      <c r="L30" s="495" t="e">
        <f t="shared" si="6"/>
        <v>#DIV/0!</v>
      </c>
      <c r="M30" s="464" t="e">
        <f t="shared" si="6"/>
        <v>#DIV/0!</v>
      </c>
      <c r="N30" s="366"/>
      <c r="O30" s="446"/>
      <c r="P30" s="446"/>
      <c r="Q30" s="446"/>
      <c r="R30" s="446"/>
      <c r="S30" s="647">
        <f t="shared" si="4"/>
        <v>1.64823248752982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/>
      <c r="E31" s="499">
        <f t="shared" si="2"/>
        <v>0</v>
      </c>
      <c r="F31" s="586">
        <f t="shared" si="3"/>
        <v>0</v>
      </c>
      <c r="G31" s="1424">
        <f t="shared" si="3"/>
        <v>0</v>
      </c>
      <c r="H31" s="498">
        <f>SUM($F$9:F31)/A31</f>
        <v>0</v>
      </c>
      <c r="I31" s="499">
        <f>SUM($G$8:G31)/A31</f>
        <v>0</v>
      </c>
      <c r="J31" s="443">
        <f t="shared" si="5"/>
        <v>760</v>
      </c>
      <c r="K31" s="459">
        <f t="shared" si="5"/>
        <v>760</v>
      </c>
      <c r="L31" s="495" t="e">
        <f t="shared" si="6"/>
        <v>#DIV/0!</v>
      </c>
      <c r="M31" s="464" t="e">
        <f t="shared" si="6"/>
        <v>#DIV/0!</v>
      </c>
      <c r="N31" s="366"/>
      <c r="O31" s="446"/>
      <c r="P31" s="446"/>
      <c r="Q31" s="446"/>
      <c r="R31" s="446"/>
      <c r="S31" s="647">
        <f t="shared" si="4"/>
        <v>1.64823248752982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/>
      <c r="E32" s="499">
        <f t="shared" si="2"/>
        <v>0</v>
      </c>
      <c r="F32" s="586">
        <f t="shared" si="3"/>
        <v>0</v>
      </c>
      <c r="G32" s="1424">
        <f t="shared" si="3"/>
        <v>0</v>
      </c>
      <c r="H32" s="498">
        <f>SUM($F$9:F32)/A32</f>
        <v>0</v>
      </c>
      <c r="I32" s="499">
        <f>SUM($G$8:G32)/A32</f>
        <v>0</v>
      </c>
      <c r="J32" s="443">
        <f t="shared" si="5"/>
        <v>760</v>
      </c>
      <c r="K32" s="459">
        <f t="shared" si="5"/>
        <v>760</v>
      </c>
      <c r="L32" s="495" t="e">
        <f t="shared" si="6"/>
        <v>#DIV/0!</v>
      </c>
      <c r="M32" s="464" t="e">
        <f t="shared" si="6"/>
        <v>#DIV/0!</v>
      </c>
      <c r="N32" s="366"/>
      <c r="O32" s="446"/>
      <c r="P32" s="446"/>
      <c r="Q32" s="446"/>
      <c r="R32" s="446"/>
      <c r="S32" s="647">
        <f t="shared" si="4"/>
        <v>1.64823248752982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/>
      <c r="E33" s="499">
        <f t="shared" si="2"/>
        <v>0</v>
      </c>
      <c r="F33" s="586">
        <f t="shared" si="3"/>
        <v>0</v>
      </c>
      <c r="G33" s="1424">
        <f t="shared" si="3"/>
        <v>0</v>
      </c>
      <c r="H33" s="707">
        <f>SUM($F$9:F33)/A33</f>
        <v>0</v>
      </c>
      <c r="I33" s="499">
        <f>SUM($G$8:G33)/A33</f>
        <v>0</v>
      </c>
      <c r="J33" s="460">
        <f t="shared" si="5"/>
        <v>760</v>
      </c>
      <c r="K33" s="459">
        <f t="shared" si="5"/>
        <v>760</v>
      </c>
      <c r="L33" s="506" t="e">
        <f t="shared" si="6"/>
        <v>#DIV/0!</v>
      </c>
      <c r="M33" s="464" t="e">
        <f t="shared" si="6"/>
        <v>#DIV/0!</v>
      </c>
      <c r="N33" s="366"/>
      <c r="O33" s="446"/>
      <c r="P33" s="446"/>
      <c r="Q33" s="446"/>
      <c r="R33" s="446"/>
      <c r="S33" s="647">
        <f t="shared" si="4"/>
        <v>1.64823248752982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/>
      <c r="E34" s="499">
        <f t="shared" si="2"/>
        <v>0</v>
      </c>
      <c r="F34" s="586">
        <f t="shared" si="3"/>
        <v>0</v>
      </c>
      <c r="G34" s="1424">
        <f t="shared" si="3"/>
        <v>0</v>
      </c>
      <c r="H34" s="498">
        <f>SUM($F$9:F34)/A34</f>
        <v>0</v>
      </c>
      <c r="I34" s="499">
        <f>SUM($G$8:G34)/A34</f>
        <v>0</v>
      </c>
      <c r="J34" s="443">
        <f t="shared" si="5"/>
        <v>760</v>
      </c>
      <c r="K34" s="459">
        <f t="shared" si="5"/>
        <v>760</v>
      </c>
      <c r="L34" s="495" t="e">
        <f t="shared" si="6"/>
        <v>#DIV/0!</v>
      </c>
      <c r="M34" s="464" t="e">
        <f t="shared" si="6"/>
        <v>#DIV/0!</v>
      </c>
      <c r="N34" s="366"/>
      <c r="O34" s="446"/>
      <c r="P34" s="446"/>
      <c r="Q34" s="446"/>
      <c r="R34" s="446"/>
      <c r="S34" s="647">
        <f t="shared" si="4"/>
        <v>1.64823248752982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/>
      <c r="E35" s="499">
        <f t="shared" si="2"/>
        <v>0</v>
      </c>
      <c r="F35" s="586">
        <f t="shared" si="3"/>
        <v>0</v>
      </c>
      <c r="G35" s="1424">
        <f t="shared" si="3"/>
        <v>0</v>
      </c>
      <c r="H35" s="498">
        <f>SUM($F$9:F35)/A35</f>
        <v>0</v>
      </c>
      <c r="I35" s="499">
        <f>SUM($G$8:G35)/A35</f>
        <v>0</v>
      </c>
      <c r="J35" s="443">
        <f t="shared" si="5"/>
        <v>760</v>
      </c>
      <c r="K35" s="459">
        <f t="shared" si="5"/>
        <v>760</v>
      </c>
      <c r="L35" s="495" t="e">
        <f t="shared" si="6"/>
        <v>#DIV/0!</v>
      </c>
      <c r="M35" s="464" t="e">
        <f t="shared" si="6"/>
        <v>#DIV/0!</v>
      </c>
      <c r="N35" s="366"/>
      <c r="O35" s="446"/>
      <c r="P35" s="446"/>
      <c r="Q35" s="446"/>
      <c r="R35" s="446"/>
      <c r="S35" s="647">
        <f t="shared" si="4"/>
        <v>1.64823248752982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/>
      <c r="E36" s="499">
        <f t="shared" si="2"/>
        <v>0</v>
      </c>
      <c r="F36" s="586">
        <f t="shared" si="3"/>
        <v>0</v>
      </c>
      <c r="G36" s="1424">
        <f t="shared" si="3"/>
        <v>0</v>
      </c>
      <c r="H36" s="498">
        <f>SUM($F$9:F36)/A36</f>
        <v>0</v>
      </c>
      <c r="I36" s="499">
        <f>SUM($G$8:G36)/A36</f>
        <v>0</v>
      </c>
      <c r="J36" s="443">
        <f t="shared" si="5"/>
        <v>760</v>
      </c>
      <c r="K36" s="459">
        <f t="shared" si="5"/>
        <v>760</v>
      </c>
      <c r="L36" s="495" t="e">
        <f t="shared" si="6"/>
        <v>#DIV/0!</v>
      </c>
      <c r="M36" s="464" t="e">
        <f t="shared" si="6"/>
        <v>#DIV/0!</v>
      </c>
      <c r="N36" s="366"/>
      <c r="O36" s="446"/>
      <c r="P36" s="446"/>
      <c r="Q36" s="446"/>
      <c r="R36" s="446"/>
      <c r="S36" s="647">
        <f t="shared" si="4"/>
        <v>1.64823248752982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/>
      <c r="E37" s="499">
        <f t="shared" si="2"/>
        <v>0</v>
      </c>
      <c r="F37" s="586">
        <f t="shared" si="3"/>
        <v>0</v>
      </c>
      <c r="G37" s="1424">
        <f t="shared" si="3"/>
        <v>0</v>
      </c>
      <c r="H37" s="498">
        <f>SUM($F$9:F37)/A37</f>
        <v>0</v>
      </c>
      <c r="I37" s="499">
        <f>SUM($G$8:G37)/A37</f>
        <v>0</v>
      </c>
      <c r="J37" s="443">
        <f t="shared" si="5"/>
        <v>760</v>
      </c>
      <c r="K37" s="459">
        <f t="shared" si="5"/>
        <v>760</v>
      </c>
      <c r="L37" s="495" t="e">
        <f t="shared" si="6"/>
        <v>#DIV/0!</v>
      </c>
      <c r="M37" s="464" t="e">
        <f t="shared" si="6"/>
        <v>#DIV/0!</v>
      </c>
      <c r="N37" s="366"/>
      <c r="O37" s="446"/>
      <c r="P37" s="446"/>
      <c r="Q37" s="446"/>
      <c r="R37" s="446"/>
      <c r="S37" s="647">
        <f t="shared" si="4"/>
        <v>1.64823248752982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/>
      <c r="E38" s="499">
        <f t="shared" si="2"/>
        <v>0</v>
      </c>
      <c r="F38" s="586">
        <f t="shared" si="3"/>
        <v>0</v>
      </c>
      <c r="G38" s="1424">
        <f t="shared" si="3"/>
        <v>0</v>
      </c>
      <c r="H38" s="709">
        <f>SUM($F$9:F38)/A38</f>
        <v>0</v>
      </c>
      <c r="I38" s="499">
        <f>SUM($G$8:G38)/A38</f>
        <v>0</v>
      </c>
      <c r="J38" s="504">
        <f t="shared" si="5"/>
        <v>760</v>
      </c>
      <c r="K38" s="459">
        <f t="shared" si="5"/>
        <v>760</v>
      </c>
      <c r="L38" s="505" t="e">
        <f t="shared" si="6"/>
        <v>#DIV/0!</v>
      </c>
      <c r="M38" s="464" t="e">
        <f t="shared" si="6"/>
        <v>#DIV/0!</v>
      </c>
      <c r="N38" s="366"/>
      <c r="O38" s="446"/>
      <c r="P38" s="446"/>
      <c r="Q38" s="446"/>
      <c r="R38" s="446"/>
      <c r="S38" s="647">
        <f t="shared" si="4"/>
        <v>1.64823248752982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/>
      <c r="E39" s="499">
        <f t="shared" si="2"/>
        <v>0</v>
      </c>
      <c r="F39" s="586">
        <f t="shared" si="3"/>
        <v>0</v>
      </c>
      <c r="G39" s="1424">
        <f t="shared" si="3"/>
        <v>0</v>
      </c>
      <c r="H39" s="498">
        <f>SUM($F$9:F39)/A39</f>
        <v>0</v>
      </c>
      <c r="I39" s="499">
        <f>SUM($G$8:G39)/A39</f>
        <v>0</v>
      </c>
      <c r="J39" s="443">
        <f t="shared" si="5"/>
        <v>760</v>
      </c>
      <c r="K39" s="459">
        <f t="shared" si="5"/>
        <v>760</v>
      </c>
      <c r="L39" s="495" t="e">
        <f t="shared" si="6"/>
        <v>#DIV/0!</v>
      </c>
      <c r="M39" s="464" t="e">
        <f t="shared" si="6"/>
        <v>#DIV/0!</v>
      </c>
      <c r="N39" s="366"/>
      <c r="O39" s="446"/>
      <c r="P39" s="446"/>
      <c r="Q39" s="446"/>
      <c r="R39" s="446"/>
      <c r="S39" s="647">
        <f t="shared" si="4"/>
        <v>1.64823248752982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760</v>
      </c>
      <c r="K40" s="461">
        <f>K39</f>
        <v>760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760</v>
      </c>
      <c r="E41" s="388">
        <f>E8+E40</f>
        <v>760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760</v>
      </c>
      <c r="K41" s="389">
        <f>E41-G41</f>
        <v>760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1783" priority="217" operator="lessThan">
      <formula>15</formula>
    </cfRule>
    <cfRule type="cellIs" dxfId="11782" priority="218" operator="greaterThan">
      <formula>20</formula>
    </cfRule>
    <cfRule type="cellIs" dxfId="11781" priority="219" operator="between">
      <formula>15</formula>
      <formula>20</formula>
    </cfRule>
    <cfRule type="cellIs" dxfId="11780" priority="220" operator="between">
      <formula>15</formula>
      <formula>20</formula>
    </cfRule>
    <cfRule type="cellIs" dxfId="11779" priority="221" operator="lessThan">
      <formula>15</formula>
    </cfRule>
    <cfRule type="cellIs" dxfId="11778" priority="222" operator="greaterThan">
      <formula>20</formula>
    </cfRule>
    <cfRule type="cellIs" dxfId="11777" priority="223" operator="between">
      <formula>15</formula>
      <formula>21</formula>
    </cfRule>
    <cfRule type="cellIs" dxfId="11776" priority="224" operator="lessThan">
      <formula>15</formula>
    </cfRule>
    <cfRule type="cellIs" dxfId="11775" priority="225" operator="greaterThan">
      <formula>21</formula>
    </cfRule>
  </conditionalFormatting>
  <conditionalFormatting sqref="M9:M39">
    <cfRule type="cellIs" dxfId="11774" priority="10" operator="lessThan">
      <formula>15</formula>
    </cfRule>
    <cfRule type="cellIs" dxfId="11773" priority="11" operator="greaterThan">
      <formula>20</formula>
    </cfRule>
    <cfRule type="cellIs" dxfId="11772" priority="12" operator="between">
      <formula>15</formula>
      <formula>20</formula>
    </cfRule>
    <cfRule type="cellIs" dxfId="11771" priority="13" operator="between">
      <formula>15</formula>
      <formula>20</formula>
    </cfRule>
    <cfRule type="cellIs" dxfId="11770" priority="14" operator="lessThan">
      <formula>15</formula>
    </cfRule>
    <cfRule type="cellIs" dxfId="11769" priority="15" operator="greaterThan">
      <formula>20</formula>
    </cfRule>
    <cfRule type="cellIs" dxfId="11768" priority="16" operator="between">
      <formula>15</formula>
      <formula>21</formula>
    </cfRule>
    <cfRule type="cellIs" dxfId="11767" priority="17" operator="lessThan">
      <formula>15</formula>
    </cfRule>
    <cfRule type="cellIs" dxfId="11766" priority="18" operator="greaterThan">
      <formula>21</formula>
    </cfRule>
  </conditionalFormatting>
  <conditionalFormatting sqref="M9:M39">
    <cfRule type="cellIs" dxfId="11765" priority="1" operator="lessThan">
      <formula>15</formula>
    </cfRule>
    <cfRule type="cellIs" dxfId="11764" priority="2" operator="greaterThan">
      <formula>20</formula>
    </cfRule>
    <cfRule type="cellIs" dxfId="11763" priority="3" operator="between">
      <formula>15</formula>
      <formula>20</formula>
    </cfRule>
    <cfRule type="cellIs" dxfId="11762" priority="4" operator="between">
      <formula>15</formula>
      <formula>20</formula>
    </cfRule>
    <cfRule type="cellIs" dxfId="11761" priority="5" operator="lessThan">
      <formula>15</formula>
    </cfRule>
    <cfRule type="cellIs" dxfId="11760" priority="6" operator="greaterThan">
      <formula>20</formula>
    </cfRule>
    <cfRule type="cellIs" dxfId="11759" priority="7" operator="between">
      <formula>15</formula>
      <formula>21</formula>
    </cfRule>
    <cfRule type="cellIs" dxfId="11758" priority="8" operator="lessThan">
      <formula>15</formula>
    </cfRule>
    <cfRule type="cellIs" dxfId="11757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C49"/>
  <sheetViews>
    <sheetView workbookViewId="0">
      <pane ySplit="8" topLeftCell="A21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7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8.75" customHeight="1">
      <c r="A4" s="1600" t="s">
        <v>33</v>
      </c>
      <c r="B4" s="1600"/>
      <c r="C4" s="316" t="s">
        <v>204</v>
      </c>
      <c r="D4" s="383"/>
      <c r="E4" s="383" t="s">
        <v>228</v>
      </c>
      <c r="F4" s="383" t="s">
        <v>229</v>
      </c>
      <c r="G4" s="383"/>
      <c r="I4" s="383" t="s">
        <v>114</v>
      </c>
      <c r="J4" s="316" t="s">
        <v>290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/>
      <c r="G8" s="388"/>
      <c r="H8" s="387"/>
      <c r="I8" s="388"/>
      <c r="J8" s="624">
        <f>K8-K8*N8</f>
        <v>0</v>
      </c>
      <c r="K8" s="624">
        <v>0</v>
      </c>
      <c r="L8" s="462"/>
      <c r="M8" s="463"/>
      <c r="N8" s="366">
        <v>0.22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1075.9000000000001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>
        <f t="shared" ref="D9:D14" si="0"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SUM($G$8:G9)/A9</f>
        <v>0</v>
      </c>
      <c r="J9" s="443">
        <f t="shared" ref="J9:K24" si="1">J8+D9-F9</f>
        <v>0</v>
      </c>
      <c r="K9" s="459">
        <f t="shared" si="1"/>
        <v>0</v>
      </c>
      <c r="L9" s="495" t="e">
        <f t="shared" ref="L9:M24" si="2">J9/H9</f>
        <v>#DIV/0!</v>
      </c>
      <c r="M9" s="464" t="e">
        <f t="shared" si="2"/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>
        <f t="shared" si="0"/>
        <v>0</v>
      </c>
      <c r="E10" s="499"/>
      <c r="F10" s="586">
        <f t="shared" ref="F10:G39" si="3">O10+Q10</f>
        <v>0</v>
      </c>
      <c r="G10" s="1424">
        <f t="shared" si="3"/>
        <v>0</v>
      </c>
      <c r="H10" s="498">
        <f>SUM($F$9:F10)/A10</f>
        <v>0</v>
      </c>
      <c r="I10" s="499">
        <f>SUM($G$8:G10)/A10</f>
        <v>0</v>
      </c>
      <c r="J10" s="443">
        <f t="shared" si="1"/>
        <v>0</v>
      </c>
      <c r="K10" s="459">
        <f t="shared" si="1"/>
        <v>0</v>
      </c>
      <c r="L10" s="495" t="e">
        <f t="shared" si="2"/>
        <v>#DIV/0!</v>
      </c>
      <c r="M10" s="464" t="e">
        <f t="shared" si="2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>
        <f t="shared" si="0"/>
        <v>0</v>
      </c>
      <c r="E11" s="499"/>
      <c r="F11" s="586">
        <f t="shared" si="3"/>
        <v>0</v>
      </c>
      <c r="G11" s="1424">
        <f t="shared" si="3"/>
        <v>0</v>
      </c>
      <c r="H11" s="498">
        <f>SUM($F$9:F11)/A11</f>
        <v>0</v>
      </c>
      <c r="I11" s="499">
        <f>SUM($G$8:G11)/A11</f>
        <v>0</v>
      </c>
      <c r="J11" s="443">
        <f t="shared" si="1"/>
        <v>0</v>
      </c>
      <c r="K11" s="459">
        <f t="shared" si="1"/>
        <v>0</v>
      </c>
      <c r="L11" s="495" t="e">
        <f t="shared" si="2"/>
        <v>#DIV/0!</v>
      </c>
      <c r="M11" s="464" t="e">
        <f t="shared" si="2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>
        <f t="shared" si="0"/>
        <v>0</v>
      </c>
      <c r="E12" s="499"/>
      <c r="F12" s="586">
        <f t="shared" si="3"/>
        <v>0</v>
      </c>
      <c r="G12" s="1424">
        <f t="shared" si="3"/>
        <v>0</v>
      </c>
      <c r="H12" s="498">
        <f>SUM($F$9:F12)/A12</f>
        <v>0</v>
      </c>
      <c r="I12" s="499">
        <f>SUM($G$8:G12)/A12</f>
        <v>0</v>
      </c>
      <c r="J12" s="443">
        <f t="shared" si="1"/>
        <v>0</v>
      </c>
      <c r="K12" s="459">
        <f t="shared" si="1"/>
        <v>0</v>
      </c>
      <c r="L12" s="495" t="e">
        <f t="shared" si="2"/>
        <v>#DIV/0!</v>
      </c>
      <c r="M12" s="464" t="e">
        <f t="shared" si="2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>
        <f t="shared" si="0"/>
        <v>0</v>
      </c>
      <c r="E13" s="499"/>
      <c r="F13" s="586">
        <f t="shared" si="3"/>
        <v>0</v>
      </c>
      <c r="G13" s="1424">
        <f t="shared" si="3"/>
        <v>0</v>
      </c>
      <c r="H13" s="709">
        <f>SUM($F$9:F13)/A13</f>
        <v>0</v>
      </c>
      <c r="I13" s="499">
        <f>SUM($G$8:G13)/A13</f>
        <v>0</v>
      </c>
      <c r="J13" s="504">
        <f t="shared" si="1"/>
        <v>0</v>
      </c>
      <c r="K13" s="459">
        <f t="shared" si="1"/>
        <v>0</v>
      </c>
      <c r="L13" s="505" t="e">
        <f t="shared" si="2"/>
        <v>#DIV/0!</v>
      </c>
      <c r="M13" s="464" t="e">
        <f t="shared" si="2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>
        <f t="shared" si="0"/>
        <v>0</v>
      </c>
      <c r="E14" s="499"/>
      <c r="F14" s="586">
        <f t="shared" si="3"/>
        <v>0</v>
      </c>
      <c r="G14" s="1424">
        <f t="shared" si="3"/>
        <v>0</v>
      </c>
      <c r="H14" s="498">
        <f>SUM($F$9:F14)/A14</f>
        <v>0</v>
      </c>
      <c r="I14" s="499">
        <f>SUM($G$8:G14)/A14</f>
        <v>0</v>
      </c>
      <c r="J14" s="443">
        <f t="shared" si="1"/>
        <v>0</v>
      </c>
      <c r="K14" s="459">
        <f t="shared" si="1"/>
        <v>0</v>
      </c>
      <c r="L14" s="495" t="e">
        <f t="shared" si="2"/>
        <v>#DIV/0!</v>
      </c>
      <c r="M14" s="464" t="e">
        <f t="shared" si="2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>
        <f t="shared" ref="D15:D39" si="5">E15-E15*N15</f>
        <v>0</v>
      </c>
      <c r="E15" s="499"/>
      <c r="F15" s="586">
        <f t="shared" si="3"/>
        <v>0</v>
      </c>
      <c r="G15" s="1424">
        <f t="shared" si="3"/>
        <v>0</v>
      </c>
      <c r="H15" s="498">
        <f>SUM($F$9:F15)/A15</f>
        <v>0</v>
      </c>
      <c r="I15" s="499">
        <f>SUM($G$8:G15)/A15</f>
        <v>0</v>
      </c>
      <c r="J15" s="443">
        <f t="shared" si="1"/>
        <v>0</v>
      </c>
      <c r="K15" s="459">
        <f t="shared" si="1"/>
        <v>0</v>
      </c>
      <c r="L15" s="495" t="e">
        <f t="shared" si="2"/>
        <v>#DIV/0!</v>
      </c>
      <c r="M15" s="464" t="e">
        <f t="shared" si="2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>
        <f t="shared" si="5"/>
        <v>0</v>
      </c>
      <c r="E16" s="499"/>
      <c r="F16" s="586">
        <f t="shared" si="3"/>
        <v>0</v>
      </c>
      <c r="G16" s="1424">
        <f t="shared" si="3"/>
        <v>0</v>
      </c>
      <c r="H16" s="498">
        <f>SUM($F$9:F16)/A16</f>
        <v>0</v>
      </c>
      <c r="I16" s="499">
        <f>SUM($G$8:G16)/A16</f>
        <v>0</v>
      </c>
      <c r="J16" s="443">
        <f t="shared" si="1"/>
        <v>0</v>
      </c>
      <c r="K16" s="459">
        <f t="shared" si="1"/>
        <v>0</v>
      </c>
      <c r="L16" s="495" t="e">
        <f t="shared" si="2"/>
        <v>#DIV/0!</v>
      </c>
      <c r="M16" s="464" t="e">
        <f t="shared" si="2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>
        <f t="shared" si="5"/>
        <v>0</v>
      </c>
      <c r="E17" s="499"/>
      <c r="F17" s="586">
        <f t="shared" si="3"/>
        <v>0</v>
      </c>
      <c r="G17" s="1424">
        <f t="shared" si="3"/>
        <v>0</v>
      </c>
      <c r="H17" s="498">
        <f>SUM($F$9:F17)/A17</f>
        <v>0</v>
      </c>
      <c r="I17" s="499">
        <f>SUM($G$8:G17)/A17</f>
        <v>0</v>
      </c>
      <c r="J17" s="443">
        <f t="shared" si="1"/>
        <v>0</v>
      </c>
      <c r="K17" s="459">
        <f t="shared" si="1"/>
        <v>0</v>
      </c>
      <c r="L17" s="495" t="e">
        <f t="shared" si="2"/>
        <v>#DIV/0!</v>
      </c>
      <c r="M17" s="464" t="e">
        <f t="shared" si="2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>
        <f t="shared" si="5"/>
        <v>0</v>
      </c>
      <c r="E18" s="499"/>
      <c r="F18" s="586">
        <f t="shared" si="3"/>
        <v>0</v>
      </c>
      <c r="G18" s="1424">
        <f t="shared" si="3"/>
        <v>0</v>
      </c>
      <c r="H18" s="709">
        <f>SUM($F$9:F18)/A18</f>
        <v>0</v>
      </c>
      <c r="I18" s="499">
        <f>SUM($G$8:G18)/A18</f>
        <v>0</v>
      </c>
      <c r="J18" s="504">
        <f t="shared" si="1"/>
        <v>0</v>
      </c>
      <c r="K18" s="459">
        <f t="shared" si="1"/>
        <v>0</v>
      </c>
      <c r="L18" s="505" t="e">
        <f t="shared" si="2"/>
        <v>#DIV/0!</v>
      </c>
      <c r="M18" s="464" t="e">
        <f t="shared" si="2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>
        <f t="shared" si="5"/>
        <v>0</v>
      </c>
      <c r="E19" s="499"/>
      <c r="F19" s="586">
        <f t="shared" si="3"/>
        <v>0</v>
      </c>
      <c r="G19" s="1424">
        <f t="shared" si="3"/>
        <v>0</v>
      </c>
      <c r="H19" s="498">
        <f>SUM($F$9:F19)/A19</f>
        <v>0</v>
      </c>
      <c r="I19" s="499">
        <f>SUM($G$8:G19)/A19</f>
        <v>0</v>
      </c>
      <c r="J19" s="443">
        <f t="shared" si="1"/>
        <v>0</v>
      </c>
      <c r="K19" s="459">
        <f t="shared" si="1"/>
        <v>0</v>
      </c>
      <c r="L19" s="495" t="e">
        <f t="shared" si="2"/>
        <v>#DIV/0!</v>
      </c>
      <c r="M19" s="464" t="e">
        <f t="shared" si="2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>
        <f t="shared" si="5"/>
        <v>0</v>
      </c>
      <c r="E20" s="499"/>
      <c r="F20" s="586">
        <f t="shared" si="3"/>
        <v>0</v>
      </c>
      <c r="G20" s="1424">
        <f t="shared" si="3"/>
        <v>0</v>
      </c>
      <c r="H20" s="498">
        <f>SUM($F$9:F20)/A20</f>
        <v>0</v>
      </c>
      <c r="I20" s="499">
        <f>SUM($G$8:G20)/A20</f>
        <v>0</v>
      </c>
      <c r="J20" s="443">
        <f t="shared" si="1"/>
        <v>0</v>
      </c>
      <c r="K20" s="459">
        <f t="shared" si="1"/>
        <v>0</v>
      </c>
      <c r="L20" s="495" t="e">
        <f t="shared" si="2"/>
        <v>#DIV/0!</v>
      </c>
      <c r="M20" s="464" t="e">
        <f t="shared" si="2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>
        <f t="shared" si="5"/>
        <v>0</v>
      </c>
      <c r="E21" s="499"/>
      <c r="F21" s="586">
        <f t="shared" si="3"/>
        <v>0</v>
      </c>
      <c r="G21" s="1424">
        <f t="shared" si="3"/>
        <v>0</v>
      </c>
      <c r="H21" s="498">
        <f>SUM($F$9:F21)/A21</f>
        <v>0</v>
      </c>
      <c r="I21" s="499">
        <f>SUM($G$8:G21)/A21</f>
        <v>0</v>
      </c>
      <c r="J21" s="443">
        <f t="shared" si="1"/>
        <v>0</v>
      </c>
      <c r="K21" s="459">
        <f>K20+E21-G21</f>
        <v>0</v>
      </c>
      <c r="L21" s="495" t="e">
        <f t="shared" si="2"/>
        <v>#DIV/0!</v>
      </c>
      <c r="M21" s="464" t="e">
        <f t="shared" si="2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>
        <f t="shared" si="5"/>
        <v>0</v>
      </c>
      <c r="E22" s="499"/>
      <c r="F22" s="586">
        <f t="shared" si="3"/>
        <v>0</v>
      </c>
      <c r="G22" s="1424">
        <f t="shared" si="3"/>
        <v>0</v>
      </c>
      <c r="H22" s="498">
        <f>SUM($F$9:F22)/A22</f>
        <v>0</v>
      </c>
      <c r="I22" s="499">
        <f>SUM($G$8:G22)/A22</f>
        <v>0</v>
      </c>
      <c r="J22" s="443">
        <f t="shared" si="1"/>
        <v>0</v>
      </c>
      <c r="K22" s="459">
        <f>K21+E22-G22</f>
        <v>0</v>
      </c>
      <c r="L22" s="495" t="e">
        <f t="shared" si="2"/>
        <v>#DIV/0!</v>
      </c>
      <c r="M22" s="464" t="e">
        <f t="shared" si="2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>
        <f t="shared" si="5"/>
        <v>0</v>
      </c>
      <c r="E23" s="499"/>
      <c r="F23" s="586">
        <f t="shared" si="3"/>
        <v>0</v>
      </c>
      <c r="G23" s="1424">
        <f t="shared" si="3"/>
        <v>0</v>
      </c>
      <c r="H23" s="709">
        <f>SUM($F$9:F23)/A23</f>
        <v>0</v>
      </c>
      <c r="I23" s="499">
        <f>SUM($G$8:G23)/A23</f>
        <v>0</v>
      </c>
      <c r="J23" s="504">
        <f t="shared" si="1"/>
        <v>0</v>
      </c>
      <c r="K23" s="459">
        <f t="shared" si="1"/>
        <v>0</v>
      </c>
      <c r="L23" s="505" t="e">
        <f t="shared" si="2"/>
        <v>#DIV/0!</v>
      </c>
      <c r="M23" s="464" t="e">
        <f t="shared" si="2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>
        <f t="shared" si="5"/>
        <v>0</v>
      </c>
      <c r="E24" s="499"/>
      <c r="F24" s="586">
        <f t="shared" si="3"/>
        <v>0</v>
      </c>
      <c r="G24" s="1424">
        <f t="shared" si="3"/>
        <v>0</v>
      </c>
      <c r="H24" s="498">
        <f>SUM($F$9:F24)/A24</f>
        <v>0</v>
      </c>
      <c r="I24" s="499">
        <f>SUM($G$8:G24)/A24</f>
        <v>0</v>
      </c>
      <c r="J24" s="443">
        <f t="shared" si="1"/>
        <v>0</v>
      </c>
      <c r="K24" s="459">
        <f>K23+E24-G24</f>
        <v>0</v>
      </c>
      <c r="L24" s="495" t="e">
        <f t="shared" si="2"/>
        <v>#DIV/0!</v>
      </c>
      <c r="M24" s="464" t="e">
        <f t="shared" si="2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/>
      <c r="F25" s="586">
        <f t="shared" si="3"/>
        <v>0</v>
      </c>
      <c r="G25" s="1424">
        <f t="shared" si="3"/>
        <v>0</v>
      </c>
      <c r="H25" s="498">
        <f>SUM($F$9:F25)/A25</f>
        <v>0</v>
      </c>
      <c r="I25" s="499">
        <f>SUM($G$8:G25)/A25</f>
        <v>0</v>
      </c>
      <c r="J25" s="443">
        <f t="shared" ref="J25:K39" si="6">J24+D25-F25</f>
        <v>0</v>
      </c>
      <c r="K25" s="459">
        <f>K24+E25-G25</f>
        <v>0</v>
      </c>
      <c r="L25" s="495" t="e">
        <f t="shared" ref="L25:M39" si="7">J25/H25</f>
        <v>#DIV/0!</v>
      </c>
      <c r="M25" s="464" t="e">
        <f t="shared" si="7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>
        <f t="shared" si="5"/>
        <v>0</v>
      </c>
      <c r="E26" s="499"/>
      <c r="F26" s="586">
        <f t="shared" si="3"/>
        <v>0</v>
      </c>
      <c r="G26" s="1424">
        <f t="shared" si="3"/>
        <v>0</v>
      </c>
      <c r="H26" s="498">
        <f>SUM($F$9:F26)/A26</f>
        <v>0</v>
      </c>
      <c r="I26" s="499">
        <f>SUM($G$8:G26)/A26</f>
        <v>0</v>
      </c>
      <c r="J26" s="443">
        <f t="shared" si="6"/>
        <v>0</v>
      </c>
      <c r="K26" s="459">
        <f>K25+E26-G26</f>
        <v>0</v>
      </c>
      <c r="L26" s="495" t="e">
        <f t="shared" si="7"/>
        <v>#DIV/0!</v>
      </c>
      <c r="M26" s="464" t="e">
        <f t="shared" si="7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>
        <f t="shared" si="5"/>
        <v>0</v>
      </c>
      <c r="E27" s="499"/>
      <c r="F27" s="586">
        <f t="shared" si="3"/>
        <v>0</v>
      </c>
      <c r="G27" s="1424">
        <f t="shared" si="3"/>
        <v>0</v>
      </c>
      <c r="H27" s="498">
        <f>SUM($F$9:F27)/A27</f>
        <v>0</v>
      </c>
      <c r="I27" s="499">
        <f>SUM($G$8:G27)/A27</f>
        <v>0</v>
      </c>
      <c r="J27" s="443">
        <f t="shared" si="6"/>
        <v>0</v>
      </c>
      <c r="K27" s="459">
        <f>K26+E27-G27</f>
        <v>0</v>
      </c>
      <c r="L27" s="495" t="e">
        <f t="shared" si="7"/>
        <v>#DIV/0!</v>
      </c>
      <c r="M27" s="464" t="e">
        <f t="shared" si="7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>
        <f t="shared" si="5"/>
        <v>0</v>
      </c>
      <c r="E28" s="499"/>
      <c r="F28" s="586">
        <f t="shared" si="3"/>
        <v>0</v>
      </c>
      <c r="G28" s="1424">
        <f t="shared" si="3"/>
        <v>0</v>
      </c>
      <c r="H28" s="709">
        <f>SUM($F$9:F28)/A28</f>
        <v>0</v>
      </c>
      <c r="I28" s="499">
        <f>SUM($G$8:G28)/A28</f>
        <v>0</v>
      </c>
      <c r="J28" s="504">
        <f t="shared" si="6"/>
        <v>0</v>
      </c>
      <c r="K28" s="459">
        <f t="shared" si="6"/>
        <v>0</v>
      </c>
      <c r="L28" s="505" t="e">
        <f t="shared" si="7"/>
        <v>#DIV/0!</v>
      </c>
      <c r="M28" s="464" t="e">
        <f t="shared" si="7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>
        <f t="shared" si="5"/>
        <v>0</v>
      </c>
      <c r="E29" s="499"/>
      <c r="F29" s="586">
        <f t="shared" si="3"/>
        <v>0</v>
      </c>
      <c r="G29" s="1424">
        <f t="shared" si="3"/>
        <v>0</v>
      </c>
      <c r="H29" s="498">
        <f>SUM($F$9:F29)/A29</f>
        <v>0</v>
      </c>
      <c r="I29" s="499">
        <f>SUM($G$8:G29)/A29</f>
        <v>0</v>
      </c>
      <c r="J29" s="443">
        <f t="shared" si="6"/>
        <v>0</v>
      </c>
      <c r="K29" s="459">
        <f t="shared" si="6"/>
        <v>0</v>
      </c>
      <c r="L29" s="495" t="e">
        <f t="shared" si="7"/>
        <v>#DIV/0!</v>
      </c>
      <c r="M29" s="464" t="e">
        <f t="shared" si="7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>
        <f t="shared" si="5"/>
        <v>0</v>
      </c>
      <c r="E30" s="499"/>
      <c r="F30" s="586">
        <f t="shared" si="3"/>
        <v>0</v>
      </c>
      <c r="G30" s="1424">
        <f t="shared" si="3"/>
        <v>0</v>
      </c>
      <c r="H30" s="498">
        <f>SUM($F$9:F30)/A30</f>
        <v>0</v>
      </c>
      <c r="I30" s="499">
        <f>SUM($G$8:G30)/A30</f>
        <v>0</v>
      </c>
      <c r="J30" s="443">
        <f t="shared" si="6"/>
        <v>0</v>
      </c>
      <c r="K30" s="459">
        <f t="shared" si="6"/>
        <v>0</v>
      </c>
      <c r="L30" s="495" t="e">
        <f t="shared" si="7"/>
        <v>#DIV/0!</v>
      </c>
      <c r="M30" s="464" t="e">
        <f t="shared" si="7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>
        <f t="shared" si="5"/>
        <v>0</v>
      </c>
      <c r="E31" s="499"/>
      <c r="F31" s="586">
        <f t="shared" si="3"/>
        <v>0</v>
      </c>
      <c r="G31" s="1424">
        <f t="shared" si="3"/>
        <v>0</v>
      </c>
      <c r="H31" s="498">
        <f>SUM($F$9:F31)/A31</f>
        <v>0</v>
      </c>
      <c r="I31" s="499">
        <f>SUM($G$8:G31)/A31</f>
        <v>0</v>
      </c>
      <c r="J31" s="443">
        <f t="shared" si="6"/>
        <v>0</v>
      </c>
      <c r="K31" s="459">
        <f t="shared" si="6"/>
        <v>0</v>
      </c>
      <c r="L31" s="495" t="e">
        <f t="shared" si="7"/>
        <v>#DIV/0!</v>
      </c>
      <c r="M31" s="464" t="e">
        <f t="shared" si="7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>
        <f t="shared" si="5"/>
        <v>0</v>
      </c>
      <c r="E32" s="499"/>
      <c r="F32" s="586">
        <f t="shared" si="3"/>
        <v>0</v>
      </c>
      <c r="G32" s="1424">
        <f t="shared" si="3"/>
        <v>0</v>
      </c>
      <c r="H32" s="498">
        <f>SUM($F$9:F32)/A32</f>
        <v>0</v>
      </c>
      <c r="I32" s="499">
        <f>SUM($G$8:G32)/A32</f>
        <v>0</v>
      </c>
      <c r="J32" s="443">
        <f t="shared" si="6"/>
        <v>0</v>
      </c>
      <c r="K32" s="459">
        <f t="shared" si="6"/>
        <v>0</v>
      </c>
      <c r="L32" s="495" t="e">
        <f t="shared" si="7"/>
        <v>#DIV/0!</v>
      </c>
      <c r="M32" s="464" t="e">
        <f t="shared" si="7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>
        <f t="shared" si="5"/>
        <v>0</v>
      </c>
      <c r="E33" s="499"/>
      <c r="F33" s="586">
        <f t="shared" si="3"/>
        <v>0</v>
      </c>
      <c r="G33" s="1424">
        <f t="shared" si="3"/>
        <v>0</v>
      </c>
      <c r="H33" s="707">
        <f>SUM($F$9:F33)/A33</f>
        <v>0</v>
      </c>
      <c r="I33" s="499">
        <f>SUM($G$8:G33)/A33</f>
        <v>0</v>
      </c>
      <c r="J33" s="460">
        <f t="shared" si="6"/>
        <v>0</v>
      </c>
      <c r="K33" s="459">
        <f t="shared" si="6"/>
        <v>0</v>
      </c>
      <c r="L33" s="506" t="e">
        <f t="shared" si="7"/>
        <v>#DIV/0!</v>
      </c>
      <c r="M33" s="464" t="e">
        <f t="shared" si="7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>
        <f t="shared" si="5"/>
        <v>0</v>
      </c>
      <c r="E34" s="499"/>
      <c r="F34" s="586">
        <f t="shared" si="3"/>
        <v>0</v>
      </c>
      <c r="G34" s="1424">
        <f t="shared" si="3"/>
        <v>0</v>
      </c>
      <c r="H34" s="498">
        <f>SUM($F$9:F34)/A34</f>
        <v>0</v>
      </c>
      <c r="I34" s="499">
        <f>SUM($G$8:G34)/A34</f>
        <v>0</v>
      </c>
      <c r="J34" s="443">
        <f t="shared" si="6"/>
        <v>0</v>
      </c>
      <c r="K34" s="459">
        <f t="shared" si="6"/>
        <v>0</v>
      </c>
      <c r="L34" s="495" t="e">
        <f t="shared" si="7"/>
        <v>#DIV/0!</v>
      </c>
      <c r="M34" s="464" t="e">
        <f t="shared" si="7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>
        <f t="shared" si="5"/>
        <v>0</v>
      </c>
      <c r="E35" s="499"/>
      <c r="F35" s="586">
        <f t="shared" si="3"/>
        <v>0</v>
      </c>
      <c r="G35" s="1424">
        <f t="shared" si="3"/>
        <v>0</v>
      </c>
      <c r="H35" s="498">
        <f>SUM($F$9:F35)/A35</f>
        <v>0</v>
      </c>
      <c r="I35" s="499">
        <f>SUM($G$8:G35)/A35</f>
        <v>0</v>
      </c>
      <c r="J35" s="443">
        <f t="shared" si="6"/>
        <v>0</v>
      </c>
      <c r="K35" s="459">
        <f t="shared" si="6"/>
        <v>0</v>
      </c>
      <c r="L35" s="495" t="e">
        <f t="shared" si="7"/>
        <v>#DIV/0!</v>
      </c>
      <c r="M35" s="464" t="e">
        <f t="shared" si="7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>
        <f t="shared" si="5"/>
        <v>0</v>
      </c>
      <c r="E36" s="499"/>
      <c r="F36" s="586">
        <f t="shared" si="3"/>
        <v>0</v>
      </c>
      <c r="G36" s="1424">
        <f t="shared" si="3"/>
        <v>0</v>
      </c>
      <c r="H36" s="498">
        <f>SUM($F$9:F36)/A36</f>
        <v>0</v>
      </c>
      <c r="I36" s="499">
        <f>SUM($G$8:G36)/A36</f>
        <v>0</v>
      </c>
      <c r="J36" s="443">
        <f t="shared" si="6"/>
        <v>0</v>
      </c>
      <c r="K36" s="459">
        <f t="shared" si="6"/>
        <v>0</v>
      </c>
      <c r="L36" s="495" t="e">
        <f t="shared" si="7"/>
        <v>#DIV/0!</v>
      </c>
      <c r="M36" s="464" t="e">
        <f t="shared" si="7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>
        <f t="shared" si="5"/>
        <v>0</v>
      </c>
      <c r="E37" s="499"/>
      <c r="F37" s="586">
        <f t="shared" si="3"/>
        <v>0</v>
      </c>
      <c r="G37" s="1424">
        <f t="shared" si="3"/>
        <v>0</v>
      </c>
      <c r="H37" s="498">
        <f>SUM($F$9:F37)/A37</f>
        <v>0</v>
      </c>
      <c r="I37" s="499">
        <f>SUM($G$8:G37)/A37</f>
        <v>0</v>
      </c>
      <c r="J37" s="443">
        <f t="shared" si="6"/>
        <v>0</v>
      </c>
      <c r="K37" s="459">
        <f t="shared" si="6"/>
        <v>0</v>
      </c>
      <c r="L37" s="495" t="e">
        <f t="shared" si="7"/>
        <v>#DIV/0!</v>
      </c>
      <c r="M37" s="464" t="e">
        <f t="shared" si="7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>
        <f t="shared" si="5"/>
        <v>0</v>
      </c>
      <c r="E38" s="499"/>
      <c r="F38" s="586">
        <f t="shared" si="3"/>
        <v>0</v>
      </c>
      <c r="G38" s="1424">
        <f t="shared" si="3"/>
        <v>0</v>
      </c>
      <c r="H38" s="709">
        <f>SUM($F$9:F38)/A38</f>
        <v>0</v>
      </c>
      <c r="I38" s="499">
        <f>SUM($G$8:G38)/A38</f>
        <v>0</v>
      </c>
      <c r="J38" s="504">
        <f t="shared" si="6"/>
        <v>0</v>
      </c>
      <c r="K38" s="459">
        <f t="shared" si="6"/>
        <v>0</v>
      </c>
      <c r="L38" s="505" t="e">
        <f t="shared" si="7"/>
        <v>#DIV/0!</v>
      </c>
      <c r="M38" s="464" t="e">
        <f t="shared" si="7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>
        <f t="shared" si="5"/>
        <v>0</v>
      </c>
      <c r="E39" s="499"/>
      <c r="F39" s="586">
        <f t="shared" si="3"/>
        <v>0</v>
      </c>
      <c r="G39" s="1424">
        <f t="shared" si="3"/>
        <v>0</v>
      </c>
      <c r="H39" s="498">
        <f>SUM($F$9:F39)/A39</f>
        <v>0</v>
      </c>
      <c r="I39" s="499">
        <f>SUM($G$8:G39)/A39</f>
        <v>0</v>
      </c>
      <c r="J39" s="443">
        <f t="shared" si="6"/>
        <v>0</v>
      </c>
      <c r="K39" s="459">
        <f t="shared" si="6"/>
        <v>0</v>
      </c>
      <c r="L39" s="495" t="e">
        <f t="shared" si="7"/>
        <v>#DIV/0!</v>
      </c>
      <c r="M39" s="464" t="e">
        <f t="shared" si="7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11756" priority="244" operator="lessThan">
      <formula>15</formula>
    </cfRule>
    <cfRule type="cellIs" dxfId="11755" priority="245" operator="greaterThan">
      <formula>20</formula>
    </cfRule>
    <cfRule type="cellIs" dxfId="11754" priority="246" operator="between">
      <formula>15</formula>
      <formula>20</formula>
    </cfRule>
    <cfRule type="cellIs" dxfId="11753" priority="247" operator="between">
      <formula>15</formula>
      <formula>20</formula>
    </cfRule>
    <cfRule type="cellIs" dxfId="11752" priority="248" operator="lessThan">
      <formula>15</formula>
    </cfRule>
    <cfRule type="cellIs" dxfId="11751" priority="249" operator="greaterThan">
      <formula>20</formula>
    </cfRule>
    <cfRule type="cellIs" dxfId="11750" priority="250" operator="between">
      <formula>15</formula>
      <formula>21</formula>
    </cfRule>
    <cfRule type="cellIs" dxfId="11749" priority="251" operator="lessThan">
      <formula>15</formula>
    </cfRule>
    <cfRule type="cellIs" dxfId="11748" priority="252" operator="greaterThan">
      <formula>21</formula>
    </cfRule>
  </conditionalFormatting>
  <conditionalFormatting sqref="M10:M40">
    <cfRule type="cellIs" dxfId="11747" priority="28" operator="lessThan">
      <formula>15</formula>
    </cfRule>
    <cfRule type="cellIs" dxfId="11746" priority="29" operator="greaterThan">
      <formula>20</formula>
    </cfRule>
    <cfRule type="cellIs" dxfId="11745" priority="30" operator="between">
      <formula>15</formula>
      <formula>20</formula>
    </cfRule>
    <cfRule type="cellIs" dxfId="11744" priority="31" operator="between">
      <formula>15</formula>
      <formula>20</formula>
    </cfRule>
    <cfRule type="cellIs" dxfId="11743" priority="32" operator="lessThan">
      <formula>15</formula>
    </cfRule>
    <cfRule type="cellIs" dxfId="11742" priority="33" operator="greaterThan">
      <formula>20</formula>
    </cfRule>
    <cfRule type="cellIs" dxfId="11741" priority="34" operator="between">
      <formula>15</formula>
      <formula>21</formula>
    </cfRule>
    <cfRule type="cellIs" dxfId="11740" priority="35" operator="lessThan">
      <formula>15</formula>
    </cfRule>
    <cfRule type="cellIs" dxfId="11739" priority="36" operator="greaterThan">
      <formula>21</formula>
    </cfRule>
  </conditionalFormatting>
  <conditionalFormatting sqref="M10:M40">
    <cfRule type="cellIs" dxfId="11738" priority="19" operator="lessThan">
      <formula>15</formula>
    </cfRule>
    <cfRule type="cellIs" dxfId="11737" priority="20" operator="greaterThan">
      <formula>20</formula>
    </cfRule>
    <cfRule type="cellIs" dxfId="11736" priority="21" operator="between">
      <formula>15</formula>
      <formula>20</formula>
    </cfRule>
    <cfRule type="cellIs" dxfId="11735" priority="22" operator="between">
      <formula>15</formula>
      <formula>20</formula>
    </cfRule>
    <cfRule type="cellIs" dxfId="11734" priority="23" operator="lessThan">
      <formula>15</formula>
    </cfRule>
    <cfRule type="cellIs" dxfId="11733" priority="24" operator="greaterThan">
      <formula>20</formula>
    </cfRule>
    <cfRule type="cellIs" dxfId="11732" priority="25" operator="between">
      <formula>15</formula>
      <formula>21</formula>
    </cfRule>
    <cfRule type="cellIs" dxfId="11731" priority="26" operator="lessThan">
      <formula>15</formula>
    </cfRule>
    <cfRule type="cellIs" dxfId="11730" priority="27" operator="greaterThan">
      <formula>21</formula>
    </cfRule>
  </conditionalFormatting>
  <conditionalFormatting sqref="M9:M39">
    <cfRule type="cellIs" dxfId="11729" priority="10" operator="lessThan">
      <formula>15</formula>
    </cfRule>
    <cfRule type="cellIs" dxfId="11728" priority="11" operator="greaterThan">
      <formula>20</formula>
    </cfRule>
    <cfRule type="cellIs" dxfId="11727" priority="12" operator="between">
      <formula>15</formula>
      <formula>20</formula>
    </cfRule>
    <cfRule type="cellIs" dxfId="11726" priority="13" operator="between">
      <formula>15</formula>
      <formula>20</formula>
    </cfRule>
    <cfRule type="cellIs" dxfId="11725" priority="14" operator="lessThan">
      <formula>15</formula>
    </cfRule>
    <cfRule type="cellIs" dxfId="11724" priority="15" operator="greaterThan">
      <formula>20</formula>
    </cfRule>
    <cfRule type="cellIs" dxfId="11723" priority="16" operator="between">
      <formula>15</formula>
      <formula>21</formula>
    </cfRule>
    <cfRule type="cellIs" dxfId="11722" priority="17" operator="lessThan">
      <formula>15</formula>
    </cfRule>
    <cfRule type="cellIs" dxfId="11721" priority="18" operator="greaterThan">
      <formula>21</formula>
    </cfRule>
  </conditionalFormatting>
  <conditionalFormatting sqref="M9:M39">
    <cfRule type="cellIs" dxfId="11720" priority="1" operator="lessThan">
      <formula>15</formula>
    </cfRule>
    <cfRule type="cellIs" dxfId="11719" priority="2" operator="greaterThan">
      <formula>20</formula>
    </cfRule>
    <cfRule type="cellIs" dxfId="11718" priority="3" operator="between">
      <formula>15</formula>
      <formula>20</formula>
    </cfRule>
    <cfRule type="cellIs" dxfId="11717" priority="4" operator="between">
      <formula>15</formula>
      <formula>20</formula>
    </cfRule>
    <cfRule type="cellIs" dxfId="11716" priority="5" operator="lessThan">
      <formula>15</formula>
    </cfRule>
    <cfRule type="cellIs" dxfId="11715" priority="6" operator="greaterThan">
      <formula>20</formula>
    </cfRule>
    <cfRule type="cellIs" dxfId="11714" priority="7" operator="between">
      <formula>15</formula>
      <formula>21</formula>
    </cfRule>
    <cfRule type="cellIs" dxfId="11713" priority="8" operator="lessThan">
      <formula>15</formula>
    </cfRule>
    <cfRule type="cellIs" dxfId="11712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C49"/>
  <sheetViews>
    <sheetView workbookViewId="0">
      <pane ySplit="8" topLeftCell="A9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5" customHeight="1">
      <c r="A4" s="1600" t="s">
        <v>33</v>
      </c>
      <c r="B4" s="1600"/>
      <c r="C4" s="316" t="s">
        <v>130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187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12132.5</v>
      </c>
      <c r="E8" s="388">
        <f>K8</f>
        <v>12132.5</v>
      </c>
      <c r="F8" s="389"/>
      <c r="G8" s="388"/>
      <c r="H8" s="387"/>
      <c r="I8" s="388"/>
      <c r="J8" s="624">
        <f>K8-K8*N8</f>
        <v>12132.5</v>
      </c>
      <c r="K8" s="624">
        <v>12132.5</v>
      </c>
      <c r="L8" s="462"/>
      <c r="M8" s="463"/>
      <c r="N8" s="366">
        <v>0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3001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/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 t="shared" ref="J9:K11" si="0">J8+D9-F9</f>
        <v>12132.5</v>
      </c>
      <c r="K9" s="459">
        <f t="shared" si="0"/>
        <v>12132.5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4.0428190603132288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/>
      <c r="E10" s="499"/>
      <c r="F10" s="586">
        <f t="shared" ref="F10:G39" si="1">O10+Q10</f>
        <v>0</v>
      </c>
      <c r="G10" s="1424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si="0"/>
        <v>12132.5</v>
      </c>
      <c r="K10" s="459">
        <f t="shared" si="0"/>
        <v>12132.5</v>
      </c>
      <c r="L10" s="495" t="e">
        <f t="shared" ref="L10:L39" si="2">J10/H10</f>
        <v>#DIV/0!</v>
      </c>
      <c r="M10" s="464" t="e">
        <f t="shared" ref="M10:M39" si="3">K10/I10</f>
        <v>#DIV/0!</v>
      </c>
      <c r="N10" s="366"/>
      <c r="O10" s="446"/>
      <c r="P10" s="446"/>
      <c r="Q10" s="446"/>
      <c r="R10" s="446"/>
      <c r="S10" s="647">
        <f t="shared" ref="S10:S39" si="4">J10/$S$8</f>
        <v>4.0428190603132288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/>
      <c r="E11" s="499"/>
      <c r="F11" s="586">
        <f t="shared" si="1"/>
        <v>0</v>
      </c>
      <c r="G11" s="1424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0"/>
        <v>12132.5</v>
      </c>
      <c r="K11" s="459">
        <f t="shared" si="0"/>
        <v>12132.5</v>
      </c>
      <c r="L11" s="495" t="e">
        <f t="shared" si="2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4.0428190603132288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/>
      <c r="E12" s="499"/>
      <c r="F12" s="586">
        <f t="shared" si="1"/>
        <v>0</v>
      </c>
      <c r="G12" s="1424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ref="J12:K27" si="5">J11+D12-F12</f>
        <v>12132.5</v>
      </c>
      <c r="K12" s="459">
        <f t="shared" si="5"/>
        <v>12132.5</v>
      </c>
      <c r="L12" s="495" t="e">
        <f t="shared" si="2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4.0428190603132288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/>
      <c r="E13" s="499"/>
      <c r="F13" s="586">
        <f t="shared" si="1"/>
        <v>0</v>
      </c>
      <c r="G13" s="1424">
        <f t="shared" si="1"/>
        <v>0</v>
      </c>
      <c r="H13" s="504">
        <f>SUM($F$9:F13)/A13</f>
        <v>0</v>
      </c>
      <c r="I13" s="499">
        <f>SUM($G$9:G13)/A13</f>
        <v>0</v>
      </c>
      <c r="J13" s="504">
        <f t="shared" si="5"/>
        <v>12132.5</v>
      </c>
      <c r="K13" s="459">
        <f t="shared" si="5"/>
        <v>12132.5</v>
      </c>
      <c r="L13" s="505" t="e">
        <f t="shared" si="2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4.0428190603132288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/>
      <c r="E14" s="499"/>
      <c r="F14" s="586">
        <f t="shared" si="1"/>
        <v>0</v>
      </c>
      <c r="G14" s="1424">
        <f t="shared" si="1"/>
        <v>0</v>
      </c>
      <c r="H14" s="498">
        <f>SUM($F$9:F14)/A14</f>
        <v>0</v>
      </c>
      <c r="I14" s="499">
        <f>SUM($G$9:G14)/A14</f>
        <v>0</v>
      </c>
      <c r="J14" s="443">
        <f t="shared" si="5"/>
        <v>12132.5</v>
      </c>
      <c r="K14" s="459">
        <f t="shared" si="5"/>
        <v>12132.5</v>
      </c>
      <c r="L14" s="495" t="e">
        <f t="shared" si="2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4.0428190603132288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/>
      <c r="E15" s="499"/>
      <c r="F15" s="586">
        <f t="shared" si="1"/>
        <v>0</v>
      </c>
      <c r="G15" s="1424">
        <f t="shared" si="1"/>
        <v>0</v>
      </c>
      <c r="H15" s="498">
        <f>SUM($F$9:F15)/A15</f>
        <v>0</v>
      </c>
      <c r="I15" s="499">
        <f>SUM($G$9:G15)/A15</f>
        <v>0</v>
      </c>
      <c r="J15" s="443">
        <f t="shared" si="5"/>
        <v>12132.5</v>
      </c>
      <c r="K15" s="459">
        <f t="shared" si="5"/>
        <v>12132.5</v>
      </c>
      <c r="L15" s="495" t="e">
        <f t="shared" si="2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4.0428190603132288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/>
      <c r="E16" s="499"/>
      <c r="F16" s="586">
        <f t="shared" si="1"/>
        <v>0</v>
      </c>
      <c r="G16" s="1424">
        <f t="shared" si="1"/>
        <v>0</v>
      </c>
      <c r="H16" s="498">
        <f>SUM($F$9:F16)/A16</f>
        <v>0</v>
      </c>
      <c r="I16" s="499">
        <f>SUM($G$9:G16)/A16</f>
        <v>0</v>
      </c>
      <c r="J16" s="443">
        <f t="shared" si="5"/>
        <v>12132.5</v>
      </c>
      <c r="K16" s="459">
        <f t="shared" si="5"/>
        <v>12132.5</v>
      </c>
      <c r="L16" s="495" t="e">
        <f t="shared" si="2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4.0428190603132288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/>
      <c r="E17" s="499"/>
      <c r="F17" s="586">
        <f t="shared" si="1"/>
        <v>0</v>
      </c>
      <c r="G17" s="1424">
        <f t="shared" si="1"/>
        <v>0</v>
      </c>
      <c r="H17" s="498">
        <f>SUM($F$9:F17)/A17</f>
        <v>0</v>
      </c>
      <c r="I17" s="499">
        <f>SUM($G$9:G17)/A17</f>
        <v>0</v>
      </c>
      <c r="J17" s="443">
        <f t="shared" si="5"/>
        <v>12132.5</v>
      </c>
      <c r="K17" s="459">
        <f t="shared" si="5"/>
        <v>12132.5</v>
      </c>
      <c r="L17" s="495" t="e">
        <f t="shared" si="2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4.0428190603132288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/>
      <c r="E18" s="499"/>
      <c r="F18" s="586">
        <f t="shared" si="1"/>
        <v>0</v>
      </c>
      <c r="G18" s="1424">
        <f t="shared" si="1"/>
        <v>0</v>
      </c>
      <c r="H18" s="504">
        <f>SUM($F$9:F18)/A18</f>
        <v>0</v>
      </c>
      <c r="I18" s="499">
        <f>SUM($G$9:G18)/A18</f>
        <v>0</v>
      </c>
      <c r="J18" s="504">
        <f t="shared" si="5"/>
        <v>12132.5</v>
      </c>
      <c r="K18" s="459">
        <f t="shared" si="5"/>
        <v>12132.5</v>
      </c>
      <c r="L18" s="505" t="e">
        <f t="shared" si="2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4.0428190603132288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/>
      <c r="E19" s="499"/>
      <c r="F19" s="586">
        <f t="shared" si="1"/>
        <v>0</v>
      </c>
      <c r="G19" s="1424">
        <f t="shared" si="1"/>
        <v>0</v>
      </c>
      <c r="H19" s="498">
        <f>SUM($F$9:F19)/A19</f>
        <v>0</v>
      </c>
      <c r="I19" s="499">
        <f>SUM($G$9:G19)/A19</f>
        <v>0</v>
      </c>
      <c r="J19" s="443">
        <f t="shared" si="5"/>
        <v>12132.5</v>
      </c>
      <c r="K19" s="459">
        <f t="shared" si="5"/>
        <v>12132.5</v>
      </c>
      <c r="L19" s="495" t="e">
        <f t="shared" si="2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4.0428190603132288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/>
      <c r="E20" s="499"/>
      <c r="F20" s="586">
        <f t="shared" si="1"/>
        <v>0</v>
      </c>
      <c r="G20" s="1424">
        <f t="shared" si="1"/>
        <v>0</v>
      </c>
      <c r="H20" s="498">
        <f>SUM($F$9:F20)/A20</f>
        <v>0</v>
      </c>
      <c r="I20" s="499">
        <f>SUM($G$9:G20)/A20</f>
        <v>0</v>
      </c>
      <c r="J20" s="443">
        <f t="shared" si="5"/>
        <v>12132.5</v>
      </c>
      <c r="K20" s="459">
        <f t="shared" si="5"/>
        <v>12132.5</v>
      </c>
      <c r="L20" s="495" t="e">
        <f t="shared" si="2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4.0428190603132288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/>
      <c r="E21" s="499"/>
      <c r="F21" s="586">
        <f t="shared" si="1"/>
        <v>0</v>
      </c>
      <c r="G21" s="1424">
        <f t="shared" si="1"/>
        <v>0</v>
      </c>
      <c r="H21" s="498">
        <f>SUM($F$9:F21)/A21</f>
        <v>0</v>
      </c>
      <c r="I21" s="499">
        <f>SUM($G$9:G21)/A21</f>
        <v>0</v>
      </c>
      <c r="J21" s="443">
        <f t="shared" si="5"/>
        <v>12132.5</v>
      </c>
      <c r="K21" s="459">
        <f>K20+E21-G21</f>
        <v>12132.5</v>
      </c>
      <c r="L21" s="495" t="e">
        <f t="shared" si="2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4.0428190603132288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/>
      <c r="E22" s="499"/>
      <c r="F22" s="586">
        <f t="shared" si="1"/>
        <v>0</v>
      </c>
      <c r="G22" s="1424">
        <f t="shared" si="1"/>
        <v>0</v>
      </c>
      <c r="H22" s="498">
        <f>SUM($F$9:F22)/A22</f>
        <v>0</v>
      </c>
      <c r="I22" s="499">
        <f>SUM($G$9:G22)/A22</f>
        <v>0</v>
      </c>
      <c r="J22" s="443">
        <f t="shared" si="5"/>
        <v>12132.5</v>
      </c>
      <c r="K22" s="459">
        <f>K21+E22-G22</f>
        <v>12132.5</v>
      </c>
      <c r="L22" s="495" t="e">
        <f t="shared" si="2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4.0428190603132288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/>
      <c r="E23" s="499"/>
      <c r="F23" s="586">
        <f t="shared" si="1"/>
        <v>0</v>
      </c>
      <c r="G23" s="1424">
        <f t="shared" si="1"/>
        <v>0</v>
      </c>
      <c r="H23" s="504">
        <f>SUM($F$9:F23)/A23</f>
        <v>0</v>
      </c>
      <c r="I23" s="499">
        <f>SUM($G$9:G23)/A23</f>
        <v>0</v>
      </c>
      <c r="J23" s="504">
        <f t="shared" si="5"/>
        <v>12132.5</v>
      </c>
      <c r="K23" s="459">
        <f t="shared" si="5"/>
        <v>12132.5</v>
      </c>
      <c r="L23" s="505" t="e">
        <f t="shared" si="2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4.0428190603132288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/>
      <c r="E24" s="499"/>
      <c r="F24" s="586">
        <f t="shared" si="1"/>
        <v>0</v>
      </c>
      <c r="G24" s="1424">
        <f t="shared" si="1"/>
        <v>0</v>
      </c>
      <c r="H24" s="498">
        <f>SUM($F$9:F24)/A24</f>
        <v>0</v>
      </c>
      <c r="I24" s="499">
        <f>SUM($G$9:G24)/A24</f>
        <v>0</v>
      </c>
      <c r="J24" s="443">
        <f t="shared" si="5"/>
        <v>12132.5</v>
      </c>
      <c r="K24" s="459">
        <f>K23+E24-G24</f>
        <v>12132.5</v>
      </c>
      <c r="L24" s="495" t="e">
        <f t="shared" si="2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4.0428190603132288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/>
      <c r="E25" s="499"/>
      <c r="F25" s="586">
        <f t="shared" si="1"/>
        <v>0</v>
      </c>
      <c r="G25" s="1424">
        <f t="shared" si="1"/>
        <v>0</v>
      </c>
      <c r="H25" s="498">
        <f>SUM($F$9:F25)/A25</f>
        <v>0</v>
      </c>
      <c r="I25" s="499">
        <f>SUM($G$9:G25)/A25</f>
        <v>0</v>
      </c>
      <c r="J25" s="443">
        <f t="shared" si="5"/>
        <v>12132.5</v>
      </c>
      <c r="K25" s="459">
        <f>K24+E25-G25</f>
        <v>12132.5</v>
      </c>
      <c r="L25" s="495" t="e">
        <f t="shared" si="2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4.0428190603132288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/>
      <c r="E26" s="499"/>
      <c r="F26" s="586">
        <f t="shared" si="1"/>
        <v>0</v>
      </c>
      <c r="G26" s="1424">
        <f t="shared" si="1"/>
        <v>0</v>
      </c>
      <c r="H26" s="498">
        <f>SUM($F$9:F26)/A26</f>
        <v>0</v>
      </c>
      <c r="I26" s="499">
        <f>SUM($G$9:G26)/A26</f>
        <v>0</v>
      </c>
      <c r="J26" s="443">
        <f t="shared" si="5"/>
        <v>12132.5</v>
      </c>
      <c r="K26" s="459">
        <f>K25+E26-G26</f>
        <v>12132.5</v>
      </c>
      <c r="L26" s="495" t="e">
        <f t="shared" si="2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4.0428190603132288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/>
      <c r="E27" s="499"/>
      <c r="F27" s="586">
        <f t="shared" si="1"/>
        <v>0</v>
      </c>
      <c r="G27" s="1424">
        <f t="shared" si="1"/>
        <v>0</v>
      </c>
      <c r="H27" s="498">
        <f>SUM($F$9:F27)/A27</f>
        <v>0</v>
      </c>
      <c r="I27" s="499">
        <f>SUM($G$9:G27)/A27</f>
        <v>0</v>
      </c>
      <c r="J27" s="443">
        <f t="shared" si="5"/>
        <v>12132.5</v>
      </c>
      <c r="K27" s="459">
        <f>K26+E27-G27</f>
        <v>12132.5</v>
      </c>
      <c r="L27" s="495" t="e">
        <f t="shared" si="2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4.0428190603132288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/>
      <c r="E28" s="499"/>
      <c r="F28" s="586">
        <f t="shared" si="1"/>
        <v>0</v>
      </c>
      <c r="G28" s="1424">
        <f t="shared" si="1"/>
        <v>0</v>
      </c>
      <c r="H28" s="504">
        <f>SUM($F$9:F28)/A28</f>
        <v>0</v>
      </c>
      <c r="I28" s="499">
        <f>SUM($G$9:G28)/A28</f>
        <v>0</v>
      </c>
      <c r="J28" s="504">
        <f t="shared" ref="J28:K39" si="6">J27+D28-F28</f>
        <v>12132.5</v>
      </c>
      <c r="K28" s="459">
        <f t="shared" si="6"/>
        <v>12132.5</v>
      </c>
      <c r="L28" s="505" t="e">
        <f t="shared" si="2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4.0428190603132288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/>
      <c r="E29" s="499"/>
      <c r="F29" s="586">
        <f t="shared" si="1"/>
        <v>0</v>
      </c>
      <c r="G29" s="1424">
        <f t="shared" si="1"/>
        <v>0</v>
      </c>
      <c r="H29" s="498">
        <f>SUM($F$9:F29)/A29</f>
        <v>0</v>
      </c>
      <c r="I29" s="499">
        <f>SUM($G$9:G29)/A29</f>
        <v>0</v>
      </c>
      <c r="J29" s="443">
        <f t="shared" si="6"/>
        <v>12132.5</v>
      </c>
      <c r="K29" s="459">
        <f t="shared" si="6"/>
        <v>12132.5</v>
      </c>
      <c r="L29" s="495" t="e">
        <f t="shared" si="2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4.0428190603132288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/>
      <c r="E30" s="499"/>
      <c r="F30" s="586">
        <f t="shared" si="1"/>
        <v>0</v>
      </c>
      <c r="G30" s="1424">
        <f t="shared" si="1"/>
        <v>0</v>
      </c>
      <c r="H30" s="498">
        <f>SUM($F$9:F30)/A30</f>
        <v>0</v>
      </c>
      <c r="I30" s="499">
        <f>SUM($G$9:G30)/A30</f>
        <v>0</v>
      </c>
      <c r="J30" s="443">
        <f t="shared" si="6"/>
        <v>12132.5</v>
      </c>
      <c r="K30" s="459">
        <f t="shared" si="6"/>
        <v>12132.5</v>
      </c>
      <c r="L30" s="495" t="e">
        <f t="shared" si="2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4.0428190603132288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/>
      <c r="E31" s="499"/>
      <c r="F31" s="586">
        <f t="shared" si="1"/>
        <v>0</v>
      </c>
      <c r="G31" s="1424">
        <f t="shared" si="1"/>
        <v>0</v>
      </c>
      <c r="H31" s="498">
        <f>SUM($F$9:F31)/A31</f>
        <v>0</v>
      </c>
      <c r="I31" s="499">
        <f>SUM($G$9:G31)/A31</f>
        <v>0</v>
      </c>
      <c r="J31" s="443">
        <f t="shared" si="6"/>
        <v>12132.5</v>
      </c>
      <c r="K31" s="459">
        <f t="shared" si="6"/>
        <v>12132.5</v>
      </c>
      <c r="L31" s="495" t="e">
        <f t="shared" si="2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4.0428190603132288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/>
      <c r="E32" s="499"/>
      <c r="F32" s="586">
        <f t="shared" si="1"/>
        <v>0</v>
      </c>
      <c r="G32" s="1424">
        <f t="shared" si="1"/>
        <v>0</v>
      </c>
      <c r="H32" s="498">
        <f>SUM($F$9:F32)/A32</f>
        <v>0</v>
      </c>
      <c r="I32" s="499">
        <f>SUM($G$9:G32)/A32</f>
        <v>0</v>
      </c>
      <c r="J32" s="443">
        <f t="shared" si="6"/>
        <v>12132.5</v>
      </c>
      <c r="K32" s="459">
        <f t="shared" si="6"/>
        <v>12132.5</v>
      </c>
      <c r="L32" s="495" t="e">
        <f t="shared" si="2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4.0428190603132288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/>
      <c r="E33" s="499"/>
      <c r="F33" s="586">
        <f t="shared" si="1"/>
        <v>0</v>
      </c>
      <c r="G33" s="1424">
        <f t="shared" si="1"/>
        <v>0</v>
      </c>
      <c r="H33" s="460">
        <f>SUM($F$9:F33)/A33</f>
        <v>0</v>
      </c>
      <c r="I33" s="499">
        <f>SUM($G$9:G33)/A33</f>
        <v>0</v>
      </c>
      <c r="J33" s="460">
        <f t="shared" si="6"/>
        <v>12132.5</v>
      </c>
      <c r="K33" s="459">
        <f t="shared" si="6"/>
        <v>12132.5</v>
      </c>
      <c r="L33" s="506" t="e">
        <f t="shared" si="2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4.0428190603132288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/>
      <c r="E34" s="499"/>
      <c r="F34" s="586">
        <f t="shared" si="1"/>
        <v>0</v>
      </c>
      <c r="G34" s="1424">
        <f t="shared" si="1"/>
        <v>0</v>
      </c>
      <c r="H34" s="498">
        <f>SUM($F$9:F34)/A34</f>
        <v>0</v>
      </c>
      <c r="I34" s="499">
        <f>SUM($G$9:G34)/A34</f>
        <v>0</v>
      </c>
      <c r="J34" s="443">
        <f t="shared" si="6"/>
        <v>12132.5</v>
      </c>
      <c r="K34" s="459">
        <f t="shared" si="6"/>
        <v>12132.5</v>
      </c>
      <c r="L34" s="495" t="e">
        <f t="shared" si="2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4.0428190603132288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/>
      <c r="E35" s="499"/>
      <c r="F35" s="586">
        <f t="shared" si="1"/>
        <v>0</v>
      </c>
      <c r="G35" s="1424">
        <f t="shared" si="1"/>
        <v>0</v>
      </c>
      <c r="H35" s="498">
        <f>SUM($F$9:F35)/A35</f>
        <v>0</v>
      </c>
      <c r="I35" s="499">
        <f>SUM($G$9:G35)/A35</f>
        <v>0</v>
      </c>
      <c r="J35" s="443">
        <f t="shared" si="6"/>
        <v>12132.5</v>
      </c>
      <c r="K35" s="459">
        <f t="shared" si="6"/>
        <v>12132.5</v>
      </c>
      <c r="L35" s="495" t="e">
        <f t="shared" si="2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4.0428190603132288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/>
      <c r="E36" s="499"/>
      <c r="F36" s="586">
        <f t="shared" si="1"/>
        <v>0</v>
      </c>
      <c r="G36" s="1424">
        <f t="shared" si="1"/>
        <v>0</v>
      </c>
      <c r="H36" s="498">
        <f>SUM($F$9:F36)/A36</f>
        <v>0</v>
      </c>
      <c r="I36" s="499">
        <f>SUM($G$9:G36)/A36</f>
        <v>0</v>
      </c>
      <c r="J36" s="443">
        <f t="shared" si="6"/>
        <v>12132.5</v>
      </c>
      <c r="K36" s="459">
        <f t="shared" si="6"/>
        <v>12132.5</v>
      </c>
      <c r="L36" s="495" t="e">
        <f t="shared" si="2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4.0428190603132288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/>
      <c r="E37" s="499"/>
      <c r="F37" s="586">
        <f t="shared" si="1"/>
        <v>0</v>
      </c>
      <c r="G37" s="1424">
        <f t="shared" si="1"/>
        <v>0</v>
      </c>
      <c r="H37" s="498">
        <f>SUM($F$9:F37)/A37</f>
        <v>0</v>
      </c>
      <c r="I37" s="499">
        <f>SUM($G$9:G37)/A37</f>
        <v>0</v>
      </c>
      <c r="J37" s="443">
        <f t="shared" si="6"/>
        <v>12132.5</v>
      </c>
      <c r="K37" s="459">
        <f t="shared" si="6"/>
        <v>12132.5</v>
      </c>
      <c r="L37" s="495" t="e">
        <f t="shared" si="2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4.0428190603132288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/>
      <c r="E38" s="499"/>
      <c r="F38" s="586">
        <f t="shared" si="1"/>
        <v>0</v>
      </c>
      <c r="G38" s="1424">
        <f t="shared" si="1"/>
        <v>0</v>
      </c>
      <c r="H38" s="504">
        <f>SUM($F$9:F38)/A38</f>
        <v>0</v>
      </c>
      <c r="I38" s="499">
        <f>SUM($G$9:G38)/A38</f>
        <v>0</v>
      </c>
      <c r="J38" s="504">
        <f t="shared" si="6"/>
        <v>12132.5</v>
      </c>
      <c r="K38" s="459">
        <f t="shared" si="6"/>
        <v>12132.5</v>
      </c>
      <c r="L38" s="505" t="e">
        <f t="shared" si="2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4.0428190603132288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/>
      <c r="E39" s="499"/>
      <c r="F39" s="586">
        <f t="shared" si="1"/>
        <v>0</v>
      </c>
      <c r="G39" s="1424">
        <f t="shared" si="1"/>
        <v>0</v>
      </c>
      <c r="H39" s="498">
        <f>SUM($F$9:F39)/A39</f>
        <v>0</v>
      </c>
      <c r="I39" s="499">
        <f>SUM($G$9:G39)/A39</f>
        <v>0</v>
      </c>
      <c r="J39" s="443">
        <f t="shared" si="6"/>
        <v>12132.5</v>
      </c>
      <c r="K39" s="459">
        <f t="shared" si="6"/>
        <v>12132.5</v>
      </c>
      <c r="L39" s="495" t="e">
        <f t="shared" si="2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4.0428190603132288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12132.5</v>
      </c>
      <c r="K40" s="461">
        <f>K39</f>
        <v>12132.5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12132.5</v>
      </c>
      <c r="E41" s="388">
        <f>E8+E40</f>
        <v>12132.5</v>
      </c>
      <c r="F41" s="389">
        <f>F40</f>
        <v>0</v>
      </c>
      <c r="G41" s="496">
        <f>G40</f>
        <v>0</v>
      </c>
      <c r="H41" s="389"/>
      <c r="I41" s="496"/>
      <c r="J41" s="389">
        <f>D41-F41</f>
        <v>12132.5</v>
      </c>
      <c r="K41" s="389">
        <f>E41-G41</f>
        <v>12132.5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A3:N3"/>
    <mergeCell ref="F6:G6"/>
    <mergeCell ref="H6:I6"/>
    <mergeCell ref="J6:K6"/>
    <mergeCell ref="D6:E6"/>
    <mergeCell ref="A6:A7"/>
    <mergeCell ref="B6:B7"/>
    <mergeCell ref="C6:C7"/>
    <mergeCell ref="N6:N7"/>
    <mergeCell ref="O6:P7"/>
    <mergeCell ref="Q6:R7"/>
    <mergeCell ref="A8:C8"/>
    <mergeCell ref="A4:B4"/>
    <mergeCell ref="L6:M6"/>
  </mergeCells>
  <conditionalFormatting sqref="M9:M39">
    <cfRule type="cellIs" dxfId="11711" priority="262" operator="lessThan">
      <formula>15</formula>
    </cfRule>
    <cfRule type="cellIs" dxfId="11710" priority="263" operator="greaterThan">
      <formula>20</formula>
    </cfRule>
    <cfRule type="cellIs" dxfId="11709" priority="264" operator="between">
      <formula>15</formula>
      <formula>20</formula>
    </cfRule>
    <cfRule type="cellIs" dxfId="11708" priority="265" operator="between">
      <formula>15</formula>
      <formula>20</formula>
    </cfRule>
    <cfRule type="cellIs" dxfId="11707" priority="266" operator="lessThan">
      <formula>15</formula>
    </cfRule>
    <cfRule type="cellIs" dxfId="11706" priority="267" operator="greaterThan">
      <formula>20</formula>
    </cfRule>
    <cfRule type="cellIs" dxfId="11705" priority="268" operator="between">
      <formula>15</formula>
      <formula>21</formula>
    </cfRule>
    <cfRule type="cellIs" dxfId="11704" priority="269" operator="lessThan">
      <formula>15</formula>
    </cfRule>
    <cfRule type="cellIs" dxfId="11703" priority="270" operator="greaterThan">
      <formula>21</formula>
    </cfRule>
  </conditionalFormatting>
  <conditionalFormatting sqref="M9:M39">
    <cfRule type="cellIs" dxfId="11702" priority="154" operator="lessThan">
      <formula>15</formula>
    </cfRule>
    <cfRule type="cellIs" dxfId="11701" priority="155" operator="greaterThan">
      <formula>20</formula>
    </cfRule>
    <cfRule type="cellIs" dxfId="11700" priority="156" operator="between">
      <formula>15</formula>
      <formula>20</formula>
    </cfRule>
    <cfRule type="cellIs" dxfId="11699" priority="157" operator="between">
      <formula>15</formula>
      <formula>20</formula>
    </cfRule>
    <cfRule type="cellIs" dxfId="11698" priority="158" operator="lessThan">
      <formula>15</formula>
    </cfRule>
    <cfRule type="cellIs" dxfId="11697" priority="159" operator="greaterThan">
      <formula>20</formula>
    </cfRule>
    <cfRule type="cellIs" dxfId="11696" priority="160" operator="between">
      <formula>15</formula>
      <formula>21</formula>
    </cfRule>
    <cfRule type="cellIs" dxfId="11695" priority="161" operator="lessThan">
      <formula>15</formula>
    </cfRule>
    <cfRule type="cellIs" dxfId="11694" priority="162" operator="greaterThan">
      <formula>21</formula>
    </cfRule>
  </conditionalFormatting>
  <conditionalFormatting sqref="M9:M39">
    <cfRule type="cellIs" dxfId="11693" priority="145" operator="lessThan">
      <formula>15</formula>
    </cfRule>
    <cfRule type="cellIs" dxfId="11692" priority="146" operator="greaterThan">
      <formula>20</formula>
    </cfRule>
    <cfRule type="cellIs" dxfId="11691" priority="147" operator="between">
      <formula>15</formula>
      <formula>20</formula>
    </cfRule>
    <cfRule type="cellIs" dxfId="11690" priority="148" operator="between">
      <formula>15</formula>
      <formula>20</formula>
    </cfRule>
    <cfRule type="cellIs" dxfId="11689" priority="149" operator="lessThan">
      <formula>15</formula>
    </cfRule>
    <cfRule type="cellIs" dxfId="11688" priority="150" operator="greaterThan">
      <formula>20</formula>
    </cfRule>
    <cfRule type="cellIs" dxfId="11687" priority="151" operator="between">
      <formula>15</formula>
      <formula>21</formula>
    </cfRule>
    <cfRule type="cellIs" dxfId="11686" priority="152" operator="lessThan">
      <formula>15</formula>
    </cfRule>
    <cfRule type="cellIs" dxfId="11685" priority="153" operator="greaterThan">
      <formula>21</formula>
    </cfRule>
  </conditionalFormatting>
  <conditionalFormatting sqref="M9:M39">
    <cfRule type="cellIs" dxfId="11684" priority="136" operator="lessThan">
      <formula>15</formula>
    </cfRule>
    <cfRule type="cellIs" dxfId="11683" priority="137" operator="greaterThan">
      <formula>20</formula>
    </cfRule>
    <cfRule type="cellIs" dxfId="11682" priority="138" operator="between">
      <formula>15</formula>
      <formula>20</formula>
    </cfRule>
    <cfRule type="cellIs" dxfId="11681" priority="139" operator="between">
      <formula>15</formula>
      <formula>20</formula>
    </cfRule>
    <cfRule type="cellIs" dxfId="11680" priority="140" operator="lessThan">
      <formula>15</formula>
    </cfRule>
    <cfRule type="cellIs" dxfId="11679" priority="141" operator="greaterThan">
      <formula>20</formula>
    </cfRule>
    <cfRule type="cellIs" dxfId="11678" priority="142" operator="between">
      <formula>15</formula>
      <formula>21</formula>
    </cfRule>
    <cfRule type="cellIs" dxfId="11677" priority="143" operator="lessThan">
      <formula>15</formula>
    </cfRule>
    <cfRule type="cellIs" dxfId="11676" priority="144" operator="greaterThan">
      <formula>21</formula>
    </cfRule>
  </conditionalFormatting>
  <conditionalFormatting sqref="M9:M39">
    <cfRule type="cellIs" dxfId="11675" priority="127" operator="lessThan">
      <formula>15</formula>
    </cfRule>
    <cfRule type="cellIs" dxfId="11674" priority="128" operator="greaterThan">
      <formula>20</formula>
    </cfRule>
    <cfRule type="cellIs" dxfId="11673" priority="129" operator="between">
      <formula>15</formula>
      <formula>20</formula>
    </cfRule>
    <cfRule type="cellIs" dxfId="11672" priority="130" operator="between">
      <formula>15</formula>
      <formula>20</formula>
    </cfRule>
    <cfRule type="cellIs" dxfId="11671" priority="131" operator="lessThan">
      <formula>15</formula>
    </cfRule>
    <cfRule type="cellIs" dxfId="11670" priority="132" operator="greaterThan">
      <formula>20</formula>
    </cfRule>
    <cfRule type="cellIs" dxfId="11669" priority="133" operator="between">
      <formula>15</formula>
      <formula>21</formula>
    </cfRule>
    <cfRule type="cellIs" dxfId="11668" priority="134" operator="lessThan">
      <formula>15</formula>
    </cfRule>
    <cfRule type="cellIs" dxfId="11667" priority="135" operator="greaterThan">
      <formula>21</formula>
    </cfRule>
  </conditionalFormatting>
  <conditionalFormatting sqref="M9:M39">
    <cfRule type="cellIs" dxfId="11666" priority="118" operator="lessThan">
      <formula>15</formula>
    </cfRule>
    <cfRule type="cellIs" dxfId="11665" priority="119" operator="greaterThan">
      <formula>20</formula>
    </cfRule>
    <cfRule type="cellIs" dxfId="11664" priority="120" operator="between">
      <formula>15</formula>
      <formula>20</formula>
    </cfRule>
    <cfRule type="cellIs" dxfId="11663" priority="121" operator="between">
      <formula>15</formula>
      <formula>20</formula>
    </cfRule>
    <cfRule type="cellIs" dxfId="11662" priority="122" operator="lessThan">
      <formula>15</formula>
    </cfRule>
    <cfRule type="cellIs" dxfId="11661" priority="123" operator="greaterThan">
      <formula>20</formula>
    </cfRule>
    <cfRule type="cellIs" dxfId="11660" priority="124" operator="between">
      <formula>15</formula>
      <formula>21</formula>
    </cfRule>
    <cfRule type="cellIs" dxfId="11659" priority="125" operator="lessThan">
      <formula>15</formula>
    </cfRule>
    <cfRule type="cellIs" dxfId="11658" priority="126" operator="greaterThan">
      <formula>21</formula>
    </cfRule>
  </conditionalFormatting>
  <conditionalFormatting sqref="M9:M39">
    <cfRule type="cellIs" dxfId="11657" priority="109" operator="lessThan">
      <formula>15</formula>
    </cfRule>
    <cfRule type="cellIs" dxfId="11656" priority="110" operator="greaterThan">
      <formula>20</formula>
    </cfRule>
    <cfRule type="cellIs" dxfId="11655" priority="111" operator="between">
      <formula>15</formula>
      <formula>20</formula>
    </cfRule>
    <cfRule type="cellIs" dxfId="11654" priority="112" operator="between">
      <formula>15</formula>
      <formula>20</formula>
    </cfRule>
    <cfRule type="cellIs" dxfId="11653" priority="113" operator="lessThan">
      <formula>15</formula>
    </cfRule>
    <cfRule type="cellIs" dxfId="11652" priority="114" operator="greaterThan">
      <formula>20</formula>
    </cfRule>
    <cfRule type="cellIs" dxfId="11651" priority="115" operator="between">
      <formula>15</formula>
      <formula>21</formula>
    </cfRule>
    <cfRule type="cellIs" dxfId="11650" priority="116" operator="lessThan">
      <formula>15</formula>
    </cfRule>
    <cfRule type="cellIs" dxfId="11649" priority="117" operator="greaterThan">
      <formula>21</formula>
    </cfRule>
  </conditionalFormatting>
  <conditionalFormatting sqref="M9:M39">
    <cfRule type="cellIs" dxfId="11648" priority="100" operator="lessThan">
      <formula>15</formula>
    </cfRule>
    <cfRule type="cellIs" dxfId="11647" priority="101" operator="greaterThan">
      <formula>20</formula>
    </cfRule>
    <cfRule type="cellIs" dxfId="11646" priority="102" operator="between">
      <formula>15</formula>
      <formula>20</formula>
    </cfRule>
    <cfRule type="cellIs" dxfId="11645" priority="103" operator="between">
      <formula>15</formula>
      <formula>20</formula>
    </cfRule>
    <cfRule type="cellIs" dxfId="11644" priority="104" operator="lessThan">
      <formula>15</formula>
    </cfRule>
    <cfRule type="cellIs" dxfId="11643" priority="105" operator="greaterThan">
      <formula>20</formula>
    </cfRule>
    <cfRule type="cellIs" dxfId="11642" priority="106" operator="between">
      <formula>15</formula>
      <formula>21</formula>
    </cfRule>
    <cfRule type="cellIs" dxfId="11641" priority="107" operator="lessThan">
      <formula>15</formula>
    </cfRule>
    <cfRule type="cellIs" dxfId="11640" priority="108" operator="greaterThan">
      <formula>21</formula>
    </cfRule>
  </conditionalFormatting>
  <conditionalFormatting sqref="M9:M39">
    <cfRule type="cellIs" dxfId="11639" priority="91" operator="lessThan">
      <formula>15</formula>
    </cfRule>
    <cfRule type="cellIs" dxfId="11638" priority="92" operator="greaterThan">
      <formula>20</formula>
    </cfRule>
    <cfRule type="cellIs" dxfId="11637" priority="93" operator="between">
      <formula>15</formula>
      <formula>20</formula>
    </cfRule>
    <cfRule type="cellIs" dxfId="11636" priority="94" operator="between">
      <formula>15</formula>
      <formula>20</formula>
    </cfRule>
    <cfRule type="cellIs" dxfId="11635" priority="95" operator="lessThan">
      <formula>15</formula>
    </cfRule>
    <cfRule type="cellIs" dxfId="11634" priority="96" operator="greaterThan">
      <formula>20</formula>
    </cfRule>
    <cfRule type="cellIs" dxfId="11633" priority="97" operator="between">
      <formula>15</formula>
      <formula>21</formula>
    </cfRule>
    <cfRule type="cellIs" dxfId="11632" priority="98" operator="lessThan">
      <formula>15</formula>
    </cfRule>
    <cfRule type="cellIs" dxfId="11631" priority="99" operator="greaterThan">
      <formula>21</formula>
    </cfRule>
  </conditionalFormatting>
  <conditionalFormatting sqref="M9:M39">
    <cfRule type="cellIs" dxfId="11630" priority="82" operator="lessThan">
      <formula>15</formula>
    </cfRule>
    <cfRule type="cellIs" dxfId="11629" priority="83" operator="greaterThan">
      <formula>20</formula>
    </cfRule>
    <cfRule type="cellIs" dxfId="11628" priority="84" operator="between">
      <formula>15</formula>
      <formula>20</formula>
    </cfRule>
    <cfRule type="cellIs" dxfId="11627" priority="85" operator="between">
      <formula>15</formula>
      <formula>20</formula>
    </cfRule>
    <cfRule type="cellIs" dxfId="11626" priority="86" operator="lessThan">
      <formula>15</formula>
    </cfRule>
    <cfRule type="cellIs" dxfId="11625" priority="87" operator="greaterThan">
      <formula>20</formula>
    </cfRule>
    <cfRule type="cellIs" dxfId="11624" priority="88" operator="between">
      <formula>15</formula>
      <formula>21</formula>
    </cfRule>
    <cfRule type="cellIs" dxfId="11623" priority="89" operator="lessThan">
      <formula>15</formula>
    </cfRule>
    <cfRule type="cellIs" dxfId="11622" priority="90" operator="greaterThan">
      <formula>21</formula>
    </cfRule>
  </conditionalFormatting>
  <conditionalFormatting sqref="M9:M39">
    <cfRule type="cellIs" dxfId="11621" priority="73" operator="lessThan">
      <formula>15</formula>
    </cfRule>
    <cfRule type="cellIs" dxfId="11620" priority="74" operator="greaterThan">
      <formula>20</formula>
    </cfRule>
    <cfRule type="cellIs" dxfId="11619" priority="75" operator="between">
      <formula>15</formula>
      <formula>20</formula>
    </cfRule>
    <cfRule type="cellIs" dxfId="11618" priority="76" operator="between">
      <formula>15</formula>
      <formula>20</formula>
    </cfRule>
    <cfRule type="cellIs" dxfId="11617" priority="77" operator="lessThan">
      <formula>15</formula>
    </cfRule>
    <cfRule type="cellIs" dxfId="11616" priority="78" operator="greaterThan">
      <formula>20</formula>
    </cfRule>
    <cfRule type="cellIs" dxfId="11615" priority="79" operator="between">
      <formula>15</formula>
      <formula>21</formula>
    </cfRule>
    <cfRule type="cellIs" dxfId="11614" priority="80" operator="lessThan">
      <formula>15</formula>
    </cfRule>
    <cfRule type="cellIs" dxfId="11613" priority="81" operator="greaterThan">
      <formula>21</formula>
    </cfRule>
  </conditionalFormatting>
  <conditionalFormatting sqref="M9:M39">
    <cfRule type="cellIs" dxfId="11612" priority="64" operator="lessThan">
      <formula>15</formula>
    </cfRule>
    <cfRule type="cellIs" dxfId="11611" priority="65" operator="greaterThan">
      <formula>20</formula>
    </cfRule>
    <cfRule type="cellIs" dxfId="11610" priority="66" operator="between">
      <formula>15</formula>
      <formula>20</formula>
    </cfRule>
    <cfRule type="cellIs" dxfId="11609" priority="67" operator="between">
      <formula>15</formula>
      <formula>20</formula>
    </cfRule>
    <cfRule type="cellIs" dxfId="11608" priority="68" operator="lessThan">
      <formula>15</formula>
    </cfRule>
    <cfRule type="cellIs" dxfId="11607" priority="69" operator="greaterThan">
      <formula>20</formula>
    </cfRule>
    <cfRule type="cellIs" dxfId="11606" priority="70" operator="between">
      <formula>15</formula>
      <formula>21</formula>
    </cfRule>
    <cfRule type="cellIs" dxfId="11605" priority="71" operator="lessThan">
      <formula>15</formula>
    </cfRule>
    <cfRule type="cellIs" dxfId="11604" priority="72" operator="greaterThan">
      <formula>21</formula>
    </cfRule>
  </conditionalFormatting>
  <conditionalFormatting sqref="M9:M39">
    <cfRule type="cellIs" dxfId="11603" priority="55" operator="lessThan">
      <formula>15</formula>
    </cfRule>
    <cfRule type="cellIs" dxfId="11602" priority="56" operator="greaterThan">
      <formula>20</formula>
    </cfRule>
    <cfRule type="cellIs" dxfId="11601" priority="57" operator="between">
      <formula>15</formula>
      <formula>20</formula>
    </cfRule>
    <cfRule type="cellIs" dxfId="11600" priority="58" operator="between">
      <formula>15</formula>
      <formula>20</formula>
    </cfRule>
    <cfRule type="cellIs" dxfId="11599" priority="59" operator="lessThan">
      <formula>15</formula>
    </cfRule>
    <cfRule type="cellIs" dxfId="11598" priority="60" operator="greaterThan">
      <formula>20</formula>
    </cfRule>
    <cfRule type="cellIs" dxfId="11597" priority="61" operator="between">
      <formula>15</formula>
      <formula>21</formula>
    </cfRule>
    <cfRule type="cellIs" dxfId="11596" priority="62" operator="lessThan">
      <formula>15</formula>
    </cfRule>
    <cfRule type="cellIs" dxfId="11595" priority="63" operator="greaterThan">
      <formula>21</formula>
    </cfRule>
  </conditionalFormatting>
  <conditionalFormatting sqref="M9:M39">
    <cfRule type="cellIs" dxfId="11594" priority="46" operator="lessThan">
      <formula>15</formula>
    </cfRule>
    <cfRule type="cellIs" dxfId="11593" priority="47" operator="greaterThan">
      <formula>20</formula>
    </cfRule>
    <cfRule type="cellIs" dxfId="11592" priority="48" operator="between">
      <formula>15</formula>
      <formula>20</formula>
    </cfRule>
    <cfRule type="cellIs" dxfId="11591" priority="49" operator="between">
      <formula>15</formula>
      <formula>20</formula>
    </cfRule>
    <cfRule type="cellIs" dxfId="11590" priority="50" operator="lessThan">
      <formula>15</formula>
    </cfRule>
    <cfRule type="cellIs" dxfId="11589" priority="51" operator="greaterThan">
      <formula>20</formula>
    </cfRule>
    <cfRule type="cellIs" dxfId="11588" priority="52" operator="between">
      <formula>15</formula>
      <formula>21</formula>
    </cfRule>
    <cfRule type="cellIs" dxfId="11587" priority="53" operator="lessThan">
      <formula>15</formula>
    </cfRule>
    <cfRule type="cellIs" dxfId="11586" priority="54" operator="greaterThan">
      <formula>21</formula>
    </cfRule>
  </conditionalFormatting>
  <conditionalFormatting sqref="M9:M39">
    <cfRule type="cellIs" dxfId="11585" priority="37" operator="lessThan">
      <formula>15</formula>
    </cfRule>
    <cfRule type="cellIs" dxfId="11584" priority="38" operator="greaterThan">
      <formula>20</formula>
    </cfRule>
    <cfRule type="cellIs" dxfId="11583" priority="39" operator="between">
      <formula>15</formula>
      <formula>20</formula>
    </cfRule>
    <cfRule type="cellIs" dxfId="11582" priority="40" operator="between">
      <formula>15</formula>
      <formula>20</formula>
    </cfRule>
    <cfRule type="cellIs" dxfId="11581" priority="41" operator="lessThan">
      <formula>15</formula>
    </cfRule>
    <cfRule type="cellIs" dxfId="11580" priority="42" operator="greaterThan">
      <formula>20</formula>
    </cfRule>
    <cfRule type="cellIs" dxfId="11579" priority="43" operator="between">
      <formula>15</formula>
      <formula>21</formula>
    </cfRule>
    <cfRule type="cellIs" dxfId="11578" priority="44" operator="lessThan">
      <formula>15</formula>
    </cfRule>
    <cfRule type="cellIs" dxfId="11577" priority="45" operator="greaterThan">
      <formula>21</formula>
    </cfRule>
  </conditionalFormatting>
  <conditionalFormatting sqref="M9:M39">
    <cfRule type="cellIs" dxfId="11576" priority="28" operator="lessThan">
      <formula>15</formula>
    </cfRule>
    <cfRule type="cellIs" dxfId="11575" priority="29" operator="greaterThan">
      <formula>20</formula>
    </cfRule>
    <cfRule type="cellIs" dxfId="11574" priority="30" operator="between">
      <formula>15</formula>
      <formula>20</formula>
    </cfRule>
    <cfRule type="cellIs" dxfId="11573" priority="31" operator="between">
      <formula>15</formula>
      <formula>20</formula>
    </cfRule>
    <cfRule type="cellIs" dxfId="11572" priority="32" operator="lessThan">
      <formula>15</formula>
    </cfRule>
    <cfRule type="cellIs" dxfId="11571" priority="33" operator="greaterThan">
      <formula>20</formula>
    </cfRule>
    <cfRule type="cellIs" dxfId="11570" priority="34" operator="between">
      <formula>15</formula>
      <formula>21</formula>
    </cfRule>
    <cfRule type="cellIs" dxfId="11569" priority="35" operator="lessThan">
      <formula>15</formula>
    </cfRule>
    <cfRule type="cellIs" dxfId="11568" priority="36" operator="greaterThan">
      <formula>21</formula>
    </cfRule>
  </conditionalFormatting>
  <conditionalFormatting sqref="M9:M39">
    <cfRule type="cellIs" dxfId="11567" priority="19" operator="lessThan">
      <formula>15</formula>
    </cfRule>
    <cfRule type="cellIs" dxfId="11566" priority="20" operator="greaterThan">
      <formula>20</formula>
    </cfRule>
    <cfRule type="cellIs" dxfId="11565" priority="21" operator="between">
      <formula>15</formula>
      <formula>20</formula>
    </cfRule>
    <cfRule type="cellIs" dxfId="11564" priority="22" operator="between">
      <formula>15</formula>
      <formula>20</formula>
    </cfRule>
    <cfRule type="cellIs" dxfId="11563" priority="23" operator="lessThan">
      <formula>15</formula>
    </cfRule>
    <cfRule type="cellIs" dxfId="11562" priority="24" operator="greaterThan">
      <formula>20</formula>
    </cfRule>
    <cfRule type="cellIs" dxfId="11561" priority="25" operator="between">
      <formula>15</formula>
      <formula>21</formula>
    </cfRule>
    <cfRule type="cellIs" dxfId="11560" priority="26" operator="lessThan">
      <formula>15</formula>
    </cfRule>
    <cfRule type="cellIs" dxfId="11559" priority="27" operator="greaterThan">
      <formula>21</formula>
    </cfRule>
  </conditionalFormatting>
  <conditionalFormatting sqref="M9:M39">
    <cfRule type="cellIs" dxfId="11558" priority="10" operator="lessThan">
      <formula>15</formula>
    </cfRule>
    <cfRule type="cellIs" dxfId="11557" priority="11" operator="greaterThan">
      <formula>20</formula>
    </cfRule>
    <cfRule type="cellIs" dxfId="11556" priority="12" operator="between">
      <formula>15</formula>
      <formula>20</formula>
    </cfRule>
    <cfRule type="cellIs" dxfId="11555" priority="13" operator="between">
      <formula>15</formula>
      <formula>20</formula>
    </cfRule>
    <cfRule type="cellIs" dxfId="11554" priority="14" operator="lessThan">
      <formula>15</formula>
    </cfRule>
    <cfRule type="cellIs" dxfId="11553" priority="15" operator="greaterThan">
      <formula>20</formula>
    </cfRule>
    <cfRule type="cellIs" dxfId="11552" priority="16" operator="between">
      <formula>15</formula>
      <formula>21</formula>
    </cfRule>
    <cfRule type="cellIs" dxfId="11551" priority="17" operator="lessThan">
      <formula>15</formula>
    </cfRule>
    <cfRule type="cellIs" dxfId="11550" priority="18" operator="greaterThan">
      <formula>21</formula>
    </cfRule>
  </conditionalFormatting>
  <conditionalFormatting sqref="M9:M39">
    <cfRule type="cellIs" dxfId="11549" priority="1" operator="lessThan">
      <formula>15</formula>
    </cfRule>
    <cfRule type="cellIs" dxfId="11548" priority="2" operator="greaterThan">
      <formula>20</formula>
    </cfRule>
    <cfRule type="cellIs" dxfId="11547" priority="3" operator="between">
      <formula>15</formula>
      <formula>20</formula>
    </cfRule>
    <cfRule type="cellIs" dxfId="11546" priority="4" operator="between">
      <formula>15</formula>
      <formula>20</formula>
    </cfRule>
    <cfRule type="cellIs" dxfId="11545" priority="5" operator="lessThan">
      <formula>15</formula>
    </cfRule>
    <cfRule type="cellIs" dxfId="11544" priority="6" operator="greaterThan">
      <formula>20</formula>
    </cfRule>
    <cfRule type="cellIs" dxfId="11543" priority="7" operator="between">
      <formula>15</formula>
      <formula>21</formula>
    </cfRule>
    <cfRule type="cellIs" dxfId="11542" priority="8" operator="lessThan">
      <formula>15</formula>
    </cfRule>
    <cfRule type="cellIs" dxfId="11541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C49"/>
  <sheetViews>
    <sheetView workbookViewId="0">
      <pane ySplit="8" topLeftCell="A9" activePane="bottomLeft" state="frozen"/>
      <selection pane="bottomLeft" activeCell="E11" sqref="E11:E17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8" width="11.285156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815" customFormat="1" ht="15" customHeight="1">
      <c r="A4" s="1600" t="s">
        <v>33</v>
      </c>
      <c r="B4" s="1600"/>
      <c r="C4" s="316" t="str">
        <f>J4</f>
        <v>MATT VM01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469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32438.741999999998</v>
      </c>
      <c r="E8" s="388">
        <f>K8</f>
        <v>32866</v>
      </c>
      <c r="F8" s="389"/>
      <c r="G8" s="388"/>
      <c r="H8" s="387"/>
      <c r="I8" s="388"/>
      <c r="J8" s="937">
        <f>K8-K8*N8</f>
        <v>32438.741999999998</v>
      </c>
      <c r="K8" s="937">
        <v>32866</v>
      </c>
      <c r="L8" s="462"/>
      <c r="M8" s="463"/>
      <c r="N8" s="366">
        <v>1.2999999999999999E-2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480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32438.741999999998</v>
      </c>
      <c r="K9" s="459">
        <f t="shared" si="0"/>
        <v>32866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67.58071249999999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0</v>
      </c>
      <c r="G10" s="1424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0"/>
        <v>32438.741999999998</v>
      </c>
      <c r="K10" s="459">
        <f t="shared" si="0"/>
        <v>32866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67.58071249999999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0"/>
        <v>32438.741999999998</v>
      </c>
      <c r="K11" s="459">
        <f t="shared" si="0"/>
        <v>32866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67.58071249999999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0</v>
      </c>
      <c r="G12" s="1424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0"/>
        <v>32438.741999999998</v>
      </c>
      <c r="K12" s="459">
        <f t="shared" si="0"/>
        <v>32866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67.58071249999999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0</v>
      </c>
      <c r="G13" s="1424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0"/>
        <v>32438.741999999998</v>
      </c>
      <c r="K13" s="459">
        <f t="shared" si="0"/>
        <v>32866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67.58071249999999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0</v>
      </c>
      <c r="G14" s="1424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0"/>
        <v>32438.741999999998</v>
      </c>
      <c r="K14" s="459">
        <f t="shared" si="0"/>
        <v>32866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67.58071249999999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0</v>
      </c>
      <c r="G15" s="1424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0"/>
        <v>32438.741999999998</v>
      </c>
      <c r="K15" s="459">
        <f t="shared" si="0"/>
        <v>32866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67.58071249999999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0</v>
      </c>
      <c r="G16" s="1424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0"/>
        <v>32438.741999999998</v>
      </c>
      <c r="K16" s="459">
        <f t="shared" si="0"/>
        <v>32866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67.58071249999999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0</v>
      </c>
      <c r="G17" s="1424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0"/>
        <v>32438.741999999998</v>
      </c>
      <c r="K17" s="459">
        <f t="shared" si="0"/>
        <v>32866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67.58071249999999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0</v>
      </c>
      <c r="G18" s="1424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0"/>
        <v>32438.741999999998</v>
      </c>
      <c r="K18" s="459">
        <f t="shared" si="0"/>
        <v>32866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67.58071249999999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0"/>
        <v>32438.741999999998</v>
      </c>
      <c r="K19" s="459">
        <f t="shared" si="0"/>
        <v>32866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67.58071249999999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0"/>
        <v>32438.741999999998</v>
      </c>
      <c r="K20" s="459">
        <f t="shared" si="0"/>
        <v>32866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67.58071249999999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0"/>
        <v>32438.741999999998</v>
      </c>
      <c r="K21" s="459">
        <f>K20+E21-G21</f>
        <v>32866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67.58071249999999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0"/>
        <v>32438.741999999998</v>
      </c>
      <c r="K22" s="459">
        <f>K21+E22-G22</f>
        <v>32866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67.58071249999999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0</v>
      </c>
      <c r="I23" s="499">
        <f>SUM($G$9:G23)/A23</f>
        <v>0</v>
      </c>
      <c r="J23" s="504">
        <f t="shared" si="0"/>
        <v>32438.741999999998</v>
      </c>
      <c r="K23" s="459">
        <f t="shared" si="0"/>
        <v>32866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67.58071249999999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1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0"/>
        <v>32438.741999999998</v>
      </c>
      <c r="K24" s="459">
        <f>K23+E24-G24</f>
        <v>32866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67.58071249999999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>
        <f t="shared" si="1"/>
        <v>0</v>
      </c>
      <c r="E25" s="499"/>
      <c r="F25" s="586">
        <f t="shared" si="2"/>
        <v>0</v>
      </c>
      <c r="G25" s="1424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5">J24+D25-F25</f>
        <v>32438.741999999998</v>
      </c>
      <c r="K25" s="459">
        <f>K24+E25-G25</f>
        <v>32866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67.58071249999999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5"/>
        <v>32438.741999999998</v>
      </c>
      <c r="K26" s="459">
        <f>K25+E26-G26</f>
        <v>32866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67.58071249999999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5"/>
        <v>32438.741999999998</v>
      </c>
      <c r="K27" s="459">
        <f>K26+E27-G27</f>
        <v>32866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67.58071249999999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5"/>
        <v>32438.741999999998</v>
      </c>
      <c r="K28" s="459">
        <f t="shared" si="5"/>
        <v>32866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67.58071249999999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5"/>
        <v>32438.741999999998</v>
      </c>
      <c r="K29" s="459">
        <f t="shared" si="5"/>
        <v>32866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67.58071249999999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5"/>
        <v>32438.741999999998</v>
      </c>
      <c r="K30" s="459">
        <f t="shared" si="5"/>
        <v>32866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67.58071249999999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5"/>
        <v>32438.741999999998</v>
      </c>
      <c r="K31" s="459">
        <f t="shared" si="5"/>
        <v>32866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67.58071249999999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5"/>
        <v>32438.741999999998</v>
      </c>
      <c r="K32" s="459">
        <f t="shared" si="5"/>
        <v>32866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67.58071249999999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5"/>
        <v>32438.741999999998</v>
      </c>
      <c r="K33" s="459">
        <f t="shared" si="5"/>
        <v>32866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67.58071249999999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5"/>
        <v>32438.741999999998</v>
      </c>
      <c r="K34" s="459">
        <f t="shared" si="5"/>
        <v>32866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67.58071249999999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5"/>
        <v>32438.741999999998</v>
      </c>
      <c r="K35" s="459">
        <f t="shared" si="5"/>
        <v>32866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67.58071249999999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5"/>
        <v>32438.741999999998</v>
      </c>
      <c r="K36" s="459">
        <f t="shared" si="5"/>
        <v>32866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67.58071249999999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5"/>
        <v>32438.741999999998</v>
      </c>
      <c r="K37" s="459">
        <f t="shared" si="5"/>
        <v>32866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67.58071249999999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5"/>
        <v>32438.741999999998</v>
      </c>
      <c r="K38" s="459">
        <f t="shared" si="5"/>
        <v>32866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67.58071249999999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5"/>
        <v>32438.741999999998</v>
      </c>
      <c r="K39" s="459">
        <f t="shared" si="5"/>
        <v>32866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67.58071249999999</v>
      </c>
    </row>
    <row r="40" spans="1:19" s="374" customFormat="1" ht="12" customHeight="1">
      <c r="A40" s="816" t="s">
        <v>29</v>
      </c>
      <c r="B40" s="817"/>
      <c r="C40" s="818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32438.741999999998</v>
      </c>
      <c r="K40" s="461">
        <f>K39</f>
        <v>32866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816" t="s">
        <v>15</v>
      </c>
      <c r="B41" s="817"/>
      <c r="C41" s="818"/>
      <c r="D41" s="388">
        <f>D8+D40</f>
        <v>32438.741999999998</v>
      </c>
      <c r="E41" s="388">
        <f>E8+E40</f>
        <v>32866</v>
      </c>
      <c r="F41" s="389">
        <f>F40</f>
        <v>0</v>
      </c>
      <c r="G41" s="496">
        <f>G40</f>
        <v>0</v>
      </c>
      <c r="H41" s="389"/>
      <c r="I41" s="496"/>
      <c r="J41" s="389">
        <f>D41-F41</f>
        <v>32438.741999999998</v>
      </c>
      <c r="K41" s="389">
        <f>E41-G41</f>
        <v>32866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540" priority="163" operator="lessThan">
      <formula>15</formula>
    </cfRule>
    <cfRule type="cellIs" dxfId="11539" priority="164" operator="greaterThan">
      <formula>20</formula>
    </cfRule>
    <cfRule type="cellIs" dxfId="11538" priority="165" operator="between">
      <formula>15</formula>
      <formula>20</formula>
    </cfRule>
    <cfRule type="cellIs" dxfId="11537" priority="166" operator="between">
      <formula>15</formula>
      <formula>20</formula>
    </cfRule>
    <cfRule type="cellIs" dxfId="11536" priority="167" operator="lessThan">
      <formula>15</formula>
    </cfRule>
    <cfRule type="cellIs" dxfId="11535" priority="168" operator="greaterThan">
      <formula>20</formula>
    </cfRule>
    <cfRule type="cellIs" dxfId="11534" priority="169" operator="between">
      <formula>15</formula>
      <formula>21</formula>
    </cfRule>
    <cfRule type="cellIs" dxfId="11533" priority="170" operator="lessThan">
      <formula>15</formula>
    </cfRule>
    <cfRule type="cellIs" dxfId="11532" priority="171" operator="greaterThan">
      <formula>21</formula>
    </cfRule>
  </conditionalFormatting>
  <conditionalFormatting sqref="M9:M39">
    <cfRule type="cellIs" dxfId="11531" priority="154" operator="lessThan">
      <formula>15</formula>
    </cfRule>
    <cfRule type="cellIs" dxfId="11530" priority="155" operator="greaterThan">
      <formula>20</formula>
    </cfRule>
    <cfRule type="cellIs" dxfId="11529" priority="156" operator="between">
      <formula>15</formula>
      <formula>20</formula>
    </cfRule>
    <cfRule type="cellIs" dxfId="11528" priority="157" operator="between">
      <formula>15</formula>
      <formula>20</formula>
    </cfRule>
    <cfRule type="cellIs" dxfId="11527" priority="158" operator="lessThan">
      <formula>15</formula>
    </cfRule>
    <cfRule type="cellIs" dxfId="11526" priority="159" operator="greaterThan">
      <formula>20</formula>
    </cfRule>
    <cfRule type="cellIs" dxfId="11525" priority="160" operator="between">
      <formula>15</formula>
      <formula>21</formula>
    </cfRule>
    <cfRule type="cellIs" dxfId="11524" priority="161" operator="lessThan">
      <formula>15</formula>
    </cfRule>
    <cfRule type="cellIs" dxfId="11523" priority="162" operator="greaterThan">
      <formula>21</formula>
    </cfRule>
  </conditionalFormatting>
  <conditionalFormatting sqref="M9:M39">
    <cfRule type="cellIs" dxfId="11522" priority="145" operator="lessThan">
      <formula>15</formula>
    </cfRule>
    <cfRule type="cellIs" dxfId="11521" priority="146" operator="greaterThan">
      <formula>20</formula>
    </cfRule>
    <cfRule type="cellIs" dxfId="11520" priority="147" operator="between">
      <formula>15</formula>
      <formula>20</formula>
    </cfRule>
    <cfRule type="cellIs" dxfId="11519" priority="148" operator="between">
      <formula>15</formula>
      <formula>20</formula>
    </cfRule>
    <cfRule type="cellIs" dxfId="11518" priority="149" operator="lessThan">
      <formula>15</formula>
    </cfRule>
    <cfRule type="cellIs" dxfId="11517" priority="150" operator="greaterThan">
      <formula>20</formula>
    </cfRule>
    <cfRule type="cellIs" dxfId="11516" priority="151" operator="between">
      <formula>15</formula>
      <formula>21</formula>
    </cfRule>
    <cfRule type="cellIs" dxfId="11515" priority="152" operator="lessThan">
      <formula>15</formula>
    </cfRule>
    <cfRule type="cellIs" dxfId="11514" priority="153" operator="greaterThan">
      <formula>21</formula>
    </cfRule>
  </conditionalFormatting>
  <conditionalFormatting sqref="M9:M39">
    <cfRule type="cellIs" dxfId="11513" priority="136" operator="lessThan">
      <formula>15</formula>
    </cfRule>
    <cfRule type="cellIs" dxfId="11512" priority="137" operator="greaterThan">
      <formula>20</formula>
    </cfRule>
    <cfRule type="cellIs" dxfId="11511" priority="138" operator="between">
      <formula>15</formula>
      <formula>20</formula>
    </cfRule>
    <cfRule type="cellIs" dxfId="11510" priority="139" operator="between">
      <formula>15</formula>
      <formula>20</formula>
    </cfRule>
    <cfRule type="cellIs" dxfId="11509" priority="140" operator="lessThan">
      <formula>15</formula>
    </cfRule>
    <cfRule type="cellIs" dxfId="11508" priority="141" operator="greaterThan">
      <formula>20</formula>
    </cfRule>
    <cfRule type="cellIs" dxfId="11507" priority="142" operator="between">
      <formula>15</formula>
      <formula>21</formula>
    </cfRule>
    <cfRule type="cellIs" dxfId="11506" priority="143" operator="lessThan">
      <formula>15</formula>
    </cfRule>
    <cfRule type="cellIs" dxfId="11505" priority="144" operator="greaterThan">
      <formula>21</formula>
    </cfRule>
  </conditionalFormatting>
  <conditionalFormatting sqref="M9:M39">
    <cfRule type="cellIs" dxfId="11504" priority="127" operator="lessThan">
      <formula>15</formula>
    </cfRule>
    <cfRule type="cellIs" dxfId="11503" priority="128" operator="greaterThan">
      <formula>20</formula>
    </cfRule>
    <cfRule type="cellIs" dxfId="11502" priority="129" operator="between">
      <formula>15</formula>
      <formula>20</formula>
    </cfRule>
    <cfRule type="cellIs" dxfId="11501" priority="130" operator="between">
      <formula>15</formula>
      <formula>20</formula>
    </cfRule>
    <cfRule type="cellIs" dxfId="11500" priority="131" operator="lessThan">
      <formula>15</formula>
    </cfRule>
    <cfRule type="cellIs" dxfId="11499" priority="132" operator="greaterThan">
      <formula>20</formula>
    </cfRule>
    <cfRule type="cellIs" dxfId="11498" priority="133" operator="between">
      <formula>15</formula>
      <formula>21</formula>
    </cfRule>
    <cfRule type="cellIs" dxfId="11497" priority="134" operator="lessThan">
      <formula>15</formula>
    </cfRule>
    <cfRule type="cellIs" dxfId="11496" priority="135" operator="greaterThan">
      <formula>21</formula>
    </cfRule>
  </conditionalFormatting>
  <conditionalFormatting sqref="M9:M39">
    <cfRule type="cellIs" dxfId="11495" priority="118" operator="lessThan">
      <formula>15</formula>
    </cfRule>
    <cfRule type="cellIs" dxfId="11494" priority="119" operator="greaterThan">
      <formula>20</formula>
    </cfRule>
    <cfRule type="cellIs" dxfId="11493" priority="120" operator="between">
      <formula>15</formula>
      <formula>20</formula>
    </cfRule>
    <cfRule type="cellIs" dxfId="11492" priority="121" operator="between">
      <formula>15</formula>
      <formula>20</formula>
    </cfRule>
    <cfRule type="cellIs" dxfId="11491" priority="122" operator="lessThan">
      <formula>15</formula>
    </cfRule>
    <cfRule type="cellIs" dxfId="11490" priority="123" operator="greaterThan">
      <formula>20</formula>
    </cfRule>
    <cfRule type="cellIs" dxfId="11489" priority="124" operator="between">
      <formula>15</formula>
      <formula>21</formula>
    </cfRule>
    <cfRule type="cellIs" dxfId="11488" priority="125" operator="lessThan">
      <formula>15</formula>
    </cfRule>
    <cfRule type="cellIs" dxfId="11487" priority="126" operator="greaterThan">
      <formula>21</formula>
    </cfRule>
  </conditionalFormatting>
  <conditionalFormatting sqref="M9:M39">
    <cfRule type="cellIs" dxfId="11486" priority="109" operator="lessThan">
      <formula>15</formula>
    </cfRule>
    <cfRule type="cellIs" dxfId="11485" priority="110" operator="greaterThan">
      <formula>20</formula>
    </cfRule>
    <cfRule type="cellIs" dxfId="11484" priority="111" operator="between">
      <formula>15</formula>
      <formula>20</formula>
    </cfRule>
    <cfRule type="cellIs" dxfId="11483" priority="112" operator="between">
      <formula>15</formula>
      <formula>20</formula>
    </cfRule>
    <cfRule type="cellIs" dxfId="11482" priority="113" operator="lessThan">
      <formula>15</formula>
    </cfRule>
    <cfRule type="cellIs" dxfId="11481" priority="114" operator="greaterThan">
      <formula>20</formula>
    </cfRule>
    <cfRule type="cellIs" dxfId="11480" priority="115" operator="between">
      <formula>15</formula>
      <formula>21</formula>
    </cfRule>
    <cfRule type="cellIs" dxfId="11479" priority="116" operator="lessThan">
      <formula>15</formula>
    </cfRule>
    <cfRule type="cellIs" dxfId="11478" priority="117" operator="greaterThan">
      <formula>21</formula>
    </cfRule>
  </conditionalFormatting>
  <conditionalFormatting sqref="M9:M39">
    <cfRule type="cellIs" dxfId="11477" priority="100" operator="lessThan">
      <formula>15</formula>
    </cfRule>
    <cfRule type="cellIs" dxfId="11476" priority="101" operator="greaterThan">
      <formula>20</formula>
    </cfRule>
    <cfRule type="cellIs" dxfId="11475" priority="102" operator="between">
      <formula>15</formula>
      <formula>20</formula>
    </cfRule>
    <cfRule type="cellIs" dxfId="11474" priority="103" operator="between">
      <formula>15</formula>
      <formula>20</formula>
    </cfRule>
    <cfRule type="cellIs" dxfId="11473" priority="104" operator="lessThan">
      <formula>15</formula>
    </cfRule>
    <cfRule type="cellIs" dxfId="11472" priority="105" operator="greaterThan">
      <formula>20</formula>
    </cfRule>
    <cfRule type="cellIs" dxfId="11471" priority="106" operator="between">
      <formula>15</formula>
      <formula>21</formula>
    </cfRule>
    <cfRule type="cellIs" dxfId="11470" priority="107" operator="lessThan">
      <formula>15</formula>
    </cfRule>
    <cfRule type="cellIs" dxfId="11469" priority="108" operator="greaterThan">
      <formula>21</formula>
    </cfRule>
  </conditionalFormatting>
  <conditionalFormatting sqref="M9:M39">
    <cfRule type="cellIs" dxfId="11468" priority="91" operator="lessThan">
      <formula>15</formula>
    </cfRule>
    <cfRule type="cellIs" dxfId="11467" priority="92" operator="greaterThan">
      <formula>20</formula>
    </cfRule>
    <cfRule type="cellIs" dxfId="11466" priority="93" operator="between">
      <formula>15</formula>
      <formula>20</formula>
    </cfRule>
    <cfRule type="cellIs" dxfId="11465" priority="94" operator="between">
      <formula>15</formula>
      <formula>20</formula>
    </cfRule>
    <cfRule type="cellIs" dxfId="11464" priority="95" operator="lessThan">
      <formula>15</formula>
    </cfRule>
    <cfRule type="cellIs" dxfId="11463" priority="96" operator="greaterThan">
      <formula>20</formula>
    </cfRule>
    <cfRule type="cellIs" dxfId="11462" priority="97" operator="between">
      <formula>15</formula>
      <formula>21</formula>
    </cfRule>
    <cfRule type="cellIs" dxfId="11461" priority="98" operator="lessThan">
      <formula>15</formula>
    </cfRule>
    <cfRule type="cellIs" dxfId="11460" priority="99" operator="greaterThan">
      <formula>21</formula>
    </cfRule>
  </conditionalFormatting>
  <conditionalFormatting sqref="M9:M39">
    <cfRule type="cellIs" dxfId="11459" priority="82" operator="lessThan">
      <formula>15</formula>
    </cfRule>
    <cfRule type="cellIs" dxfId="11458" priority="83" operator="greaterThan">
      <formula>20</formula>
    </cfRule>
    <cfRule type="cellIs" dxfId="11457" priority="84" operator="between">
      <formula>15</formula>
      <formula>20</formula>
    </cfRule>
    <cfRule type="cellIs" dxfId="11456" priority="85" operator="between">
      <formula>15</formula>
      <formula>20</formula>
    </cfRule>
    <cfRule type="cellIs" dxfId="11455" priority="86" operator="lessThan">
      <formula>15</formula>
    </cfRule>
    <cfRule type="cellIs" dxfId="11454" priority="87" operator="greaterThan">
      <formula>20</formula>
    </cfRule>
    <cfRule type="cellIs" dxfId="11453" priority="88" operator="between">
      <formula>15</formula>
      <formula>21</formula>
    </cfRule>
    <cfRule type="cellIs" dxfId="11452" priority="89" operator="lessThan">
      <formula>15</formula>
    </cfRule>
    <cfRule type="cellIs" dxfId="11451" priority="90" operator="greaterThan">
      <formula>21</formula>
    </cfRule>
  </conditionalFormatting>
  <conditionalFormatting sqref="M9:M39">
    <cfRule type="cellIs" dxfId="11450" priority="73" operator="lessThan">
      <formula>15</formula>
    </cfRule>
    <cfRule type="cellIs" dxfId="11449" priority="74" operator="greaterThan">
      <formula>20</formula>
    </cfRule>
    <cfRule type="cellIs" dxfId="11448" priority="75" operator="between">
      <formula>15</formula>
      <formula>20</formula>
    </cfRule>
    <cfRule type="cellIs" dxfId="11447" priority="76" operator="between">
      <formula>15</formula>
      <formula>20</formula>
    </cfRule>
    <cfRule type="cellIs" dxfId="11446" priority="77" operator="lessThan">
      <formula>15</formula>
    </cfRule>
    <cfRule type="cellIs" dxfId="11445" priority="78" operator="greaterThan">
      <formula>20</formula>
    </cfRule>
    <cfRule type="cellIs" dxfId="11444" priority="79" operator="between">
      <formula>15</formula>
      <formula>21</formula>
    </cfRule>
    <cfRule type="cellIs" dxfId="11443" priority="80" operator="lessThan">
      <formula>15</formula>
    </cfRule>
    <cfRule type="cellIs" dxfId="11442" priority="81" operator="greaterThan">
      <formula>21</formula>
    </cfRule>
  </conditionalFormatting>
  <conditionalFormatting sqref="M9:M39">
    <cfRule type="cellIs" dxfId="11441" priority="64" operator="lessThan">
      <formula>15</formula>
    </cfRule>
    <cfRule type="cellIs" dxfId="11440" priority="65" operator="greaterThan">
      <formula>20</formula>
    </cfRule>
    <cfRule type="cellIs" dxfId="11439" priority="66" operator="between">
      <formula>15</formula>
      <formula>20</formula>
    </cfRule>
    <cfRule type="cellIs" dxfId="11438" priority="67" operator="between">
      <formula>15</formula>
      <formula>20</formula>
    </cfRule>
    <cfRule type="cellIs" dxfId="11437" priority="68" operator="lessThan">
      <formula>15</formula>
    </cfRule>
    <cfRule type="cellIs" dxfId="11436" priority="69" operator="greaterThan">
      <formula>20</formula>
    </cfRule>
    <cfRule type="cellIs" dxfId="11435" priority="70" operator="between">
      <formula>15</formula>
      <formula>21</formula>
    </cfRule>
    <cfRule type="cellIs" dxfId="11434" priority="71" operator="lessThan">
      <formula>15</formula>
    </cfRule>
    <cfRule type="cellIs" dxfId="11433" priority="72" operator="greaterThan">
      <formula>21</formula>
    </cfRule>
  </conditionalFormatting>
  <conditionalFormatting sqref="M9:M39">
    <cfRule type="cellIs" dxfId="11432" priority="55" operator="lessThan">
      <formula>15</formula>
    </cfRule>
    <cfRule type="cellIs" dxfId="11431" priority="56" operator="greaterThan">
      <formula>20</formula>
    </cfRule>
    <cfRule type="cellIs" dxfId="11430" priority="57" operator="between">
      <formula>15</formula>
      <formula>20</formula>
    </cfRule>
    <cfRule type="cellIs" dxfId="11429" priority="58" operator="between">
      <formula>15</formula>
      <formula>20</formula>
    </cfRule>
    <cfRule type="cellIs" dxfId="11428" priority="59" operator="lessThan">
      <formula>15</formula>
    </cfRule>
    <cfRule type="cellIs" dxfId="11427" priority="60" operator="greaterThan">
      <formula>20</formula>
    </cfRule>
    <cfRule type="cellIs" dxfId="11426" priority="61" operator="between">
      <formula>15</formula>
      <formula>21</formula>
    </cfRule>
    <cfRule type="cellIs" dxfId="11425" priority="62" operator="lessThan">
      <formula>15</formula>
    </cfRule>
    <cfRule type="cellIs" dxfId="11424" priority="63" operator="greaterThan">
      <formula>21</formula>
    </cfRule>
  </conditionalFormatting>
  <conditionalFormatting sqref="M9:M39">
    <cfRule type="cellIs" dxfId="11423" priority="46" operator="lessThan">
      <formula>15</formula>
    </cfRule>
    <cfRule type="cellIs" dxfId="11422" priority="47" operator="greaterThan">
      <formula>20</formula>
    </cfRule>
    <cfRule type="cellIs" dxfId="11421" priority="48" operator="between">
      <formula>15</formula>
      <formula>20</formula>
    </cfRule>
    <cfRule type="cellIs" dxfId="11420" priority="49" operator="between">
      <formula>15</formula>
      <formula>20</formula>
    </cfRule>
    <cfRule type="cellIs" dxfId="11419" priority="50" operator="lessThan">
      <formula>15</formula>
    </cfRule>
    <cfRule type="cellIs" dxfId="11418" priority="51" operator="greaterThan">
      <formula>20</formula>
    </cfRule>
    <cfRule type="cellIs" dxfId="11417" priority="52" operator="between">
      <formula>15</formula>
      <formula>21</formula>
    </cfRule>
    <cfRule type="cellIs" dxfId="11416" priority="53" operator="lessThan">
      <formula>15</formula>
    </cfRule>
    <cfRule type="cellIs" dxfId="11415" priority="54" operator="greaterThan">
      <formula>21</formula>
    </cfRule>
  </conditionalFormatting>
  <conditionalFormatting sqref="M9:M39">
    <cfRule type="cellIs" dxfId="11414" priority="37" operator="lessThan">
      <formula>15</formula>
    </cfRule>
    <cfRule type="cellIs" dxfId="11413" priority="38" operator="greaterThan">
      <formula>20</formula>
    </cfRule>
    <cfRule type="cellIs" dxfId="11412" priority="39" operator="between">
      <formula>15</formula>
      <formula>20</formula>
    </cfRule>
    <cfRule type="cellIs" dxfId="11411" priority="40" operator="between">
      <formula>15</formula>
      <formula>20</formula>
    </cfRule>
    <cfRule type="cellIs" dxfId="11410" priority="41" operator="lessThan">
      <formula>15</formula>
    </cfRule>
    <cfRule type="cellIs" dxfId="11409" priority="42" operator="greaterThan">
      <formula>20</formula>
    </cfRule>
    <cfRule type="cellIs" dxfId="11408" priority="43" operator="between">
      <formula>15</formula>
      <formula>21</formula>
    </cfRule>
    <cfRule type="cellIs" dxfId="11407" priority="44" operator="lessThan">
      <formula>15</formula>
    </cfRule>
    <cfRule type="cellIs" dxfId="11406" priority="45" operator="greaterThan">
      <formula>21</formula>
    </cfRule>
  </conditionalFormatting>
  <conditionalFormatting sqref="M9:M39">
    <cfRule type="cellIs" dxfId="11405" priority="28" operator="lessThan">
      <formula>15</formula>
    </cfRule>
    <cfRule type="cellIs" dxfId="11404" priority="29" operator="greaterThan">
      <formula>20</formula>
    </cfRule>
    <cfRule type="cellIs" dxfId="11403" priority="30" operator="between">
      <formula>15</formula>
      <formula>20</formula>
    </cfRule>
    <cfRule type="cellIs" dxfId="11402" priority="31" operator="between">
      <formula>15</formula>
      <formula>20</formula>
    </cfRule>
    <cfRule type="cellIs" dxfId="11401" priority="32" operator="lessThan">
      <formula>15</formula>
    </cfRule>
    <cfRule type="cellIs" dxfId="11400" priority="33" operator="greaterThan">
      <formula>20</formula>
    </cfRule>
    <cfRule type="cellIs" dxfId="11399" priority="34" operator="between">
      <formula>15</formula>
      <formula>21</formula>
    </cfRule>
    <cfRule type="cellIs" dxfId="11398" priority="35" operator="lessThan">
      <formula>15</formula>
    </cfRule>
    <cfRule type="cellIs" dxfId="11397" priority="36" operator="greaterThan">
      <formula>21</formula>
    </cfRule>
  </conditionalFormatting>
  <conditionalFormatting sqref="M9:M39">
    <cfRule type="cellIs" dxfId="11396" priority="19" operator="lessThan">
      <formula>15</formula>
    </cfRule>
    <cfRule type="cellIs" dxfId="11395" priority="20" operator="greaterThan">
      <formula>20</formula>
    </cfRule>
    <cfRule type="cellIs" dxfId="11394" priority="21" operator="between">
      <formula>15</formula>
      <formula>20</formula>
    </cfRule>
    <cfRule type="cellIs" dxfId="11393" priority="22" operator="between">
      <formula>15</formula>
      <formula>20</formula>
    </cfRule>
    <cfRule type="cellIs" dxfId="11392" priority="23" operator="lessThan">
      <formula>15</formula>
    </cfRule>
    <cfRule type="cellIs" dxfId="11391" priority="24" operator="greaterThan">
      <formula>20</formula>
    </cfRule>
    <cfRule type="cellIs" dxfId="11390" priority="25" operator="between">
      <formula>15</formula>
      <formula>21</formula>
    </cfRule>
    <cfRule type="cellIs" dxfId="11389" priority="26" operator="lessThan">
      <formula>15</formula>
    </cfRule>
    <cfRule type="cellIs" dxfId="11388" priority="27" operator="greaterThan">
      <formula>21</formula>
    </cfRule>
  </conditionalFormatting>
  <conditionalFormatting sqref="M9:M39">
    <cfRule type="cellIs" dxfId="11387" priority="10" operator="lessThan">
      <formula>15</formula>
    </cfRule>
    <cfRule type="cellIs" dxfId="11386" priority="11" operator="greaterThan">
      <formula>20</formula>
    </cfRule>
    <cfRule type="cellIs" dxfId="11385" priority="12" operator="between">
      <formula>15</formula>
      <formula>20</formula>
    </cfRule>
    <cfRule type="cellIs" dxfId="11384" priority="13" operator="between">
      <formula>15</formula>
      <formula>20</formula>
    </cfRule>
    <cfRule type="cellIs" dxfId="11383" priority="14" operator="lessThan">
      <formula>15</formula>
    </cfRule>
    <cfRule type="cellIs" dxfId="11382" priority="15" operator="greaterThan">
      <formula>20</formula>
    </cfRule>
    <cfRule type="cellIs" dxfId="11381" priority="16" operator="between">
      <formula>15</formula>
      <formula>21</formula>
    </cfRule>
    <cfRule type="cellIs" dxfId="11380" priority="17" operator="lessThan">
      <formula>15</formula>
    </cfRule>
    <cfRule type="cellIs" dxfId="11379" priority="18" operator="greaterThan">
      <formula>21</formula>
    </cfRule>
  </conditionalFormatting>
  <conditionalFormatting sqref="M9:M39">
    <cfRule type="cellIs" dxfId="11378" priority="1" operator="lessThan">
      <formula>15</formula>
    </cfRule>
    <cfRule type="cellIs" dxfId="11377" priority="2" operator="greaterThan">
      <formula>20</formula>
    </cfRule>
    <cfRule type="cellIs" dxfId="11376" priority="3" operator="between">
      <formula>15</formula>
      <formula>20</formula>
    </cfRule>
    <cfRule type="cellIs" dxfId="11375" priority="4" operator="between">
      <formula>15</formula>
      <formula>20</formula>
    </cfRule>
    <cfRule type="cellIs" dxfId="11374" priority="5" operator="lessThan">
      <formula>15</formula>
    </cfRule>
    <cfRule type="cellIs" dxfId="11373" priority="6" operator="greaterThan">
      <formula>20</formula>
    </cfRule>
    <cfRule type="cellIs" dxfId="11372" priority="7" operator="between">
      <formula>15</formula>
      <formula>21</formula>
    </cfRule>
    <cfRule type="cellIs" dxfId="11371" priority="8" operator="lessThan">
      <formula>15</formula>
    </cfRule>
    <cfRule type="cellIs" dxfId="11370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C49"/>
  <sheetViews>
    <sheetView workbookViewId="0">
      <pane ySplit="8" topLeftCell="A21" activePane="bottomLeft" state="frozen"/>
      <selection pane="bottomLeft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8" width="11.285156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815" customFormat="1" ht="15" customHeight="1">
      <c r="A4" s="1600" t="s">
        <v>33</v>
      </c>
      <c r="B4" s="1600"/>
      <c r="C4" s="316" t="str">
        <f>J4</f>
        <v>MATT VM06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471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23608.26</v>
      </c>
      <c r="E8" s="388">
        <f>K8</f>
        <v>23895</v>
      </c>
      <c r="F8" s="389"/>
      <c r="G8" s="388"/>
      <c r="H8" s="387"/>
      <c r="I8" s="388"/>
      <c r="J8" s="937">
        <f>K8-K8*N8</f>
        <v>23608.26</v>
      </c>
      <c r="K8" s="937">
        <v>23895</v>
      </c>
      <c r="L8" s="462"/>
      <c r="M8" s="463"/>
      <c r="N8" s="366">
        <v>1.2E-2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1230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23608.26</v>
      </c>
      <c r="K9" s="459">
        <f t="shared" si="0"/>
        <v>23895</v>
      </c>
      <c r="L9" s="495" t="e">
        <f>J9/H9</f>
        <v>#DIV/0!</v>
      </c>
      <c r="M9" s="464" t="e">
        <f>K9/I9</f>
        <v>#DIV/0!</v>
      </c>
      <c r="N9" s="366"/>
      <c r="O9" s="366"/>
      <c r="P9" s="366"/>
      <c r="Q9" s="366"/>
      <c r="R9" s="366"/>
      <c r="S9" s="647">
        <f>J9/$S$8</f>
        <v>19.193707317073169</v>
      </c>
      <c r="T9" s="355"/>
      <c r="U9" s="355"/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0</v>
      </c>
      <c r="G10" s="1424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0"/>
        <v>23608.26</v>
      </c>
      <c r="K10" s="459">
        <f t="shared" si="0"/>
        <v>23895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366"/>
      <c r="P10" s="366"/>
      <c r="Q10" s="366"/>
      <c r="R10" s="366"/>
      <c r="S10" s="647">
        <f t="shared" ref="S10:S39" si="4">J10/$S$8</f>
        <v>19.193707317073169</v>
      </c>
      <c r="T10" s="305"/>
      <c r="U10" s="305"/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0"/>
        <v>23608.26</v>
      </c>
      <c r="K11" s="459">
        <f t="shared" si="0"/>
        <v>23895</v>
      </c>
      <c r="L11" s="495" t="e">
        <f t="shared" si="3"/>
        <v>#DIV/0!</v>
      </c>
      <c r="M11" s="464" t="e">
        <f t="shared" si="3"/>
        <v>#DIV/0!</v>
      </c>
      <c r="N11" s="366"/>
      <c r="O11" s="366"/>
      <c r="P11" s="366"/>
      <c r="Q11" s="366"/>
      <c r="R11" s="366"/>
      <c r="S11" s="647">
        <f t="shared" si="4"/>
        <v>19.193707317073169</v>
      </c>
      <c r="T11" s="355"/>
      <c r="U11" s="355"/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0</v>
      </c>
      <c r="G12" s="1424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0"/>
        <v>23608.26</v>
      </c>
      <c r="K12" s="459">
        <f t="shared" si="0"/>
        <v>23895</v>
      </c>
      <c r="L12" s="495" t="e">
        <f t="shared" si="3"/>
        <v>#DIV/0!</v>
      </c>
      <c r="M12" s="464" t="e">
        <f t="shared" si="3"/>
        <v>#DIV/0!</v>
      </c>
      <c r="N12" s="366"/>
      <c r="O12" s="366"/>
      <c r="P12" s="366"/>
      <c r="Q12" s="366"/>
      <c r="R12" s="366"/>
      <c r="S12" s="647">
        <f t="shared" si="4"/>
        <v>19.193707317073169</v>
      </c>
      <c r="T12" s="305"/>
      <c r="U12" s="305"/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0</v>
      </c>
      <c r="G13" s="1424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0"/>
        <v>23608.26</v>
      </c>
      <c r="K13" s="459">
        <f t="shared" si="0"/>
        <v>23895</v>
      </c>
      <c r="L13" s="505" t="e">
        <f t="shared" si="3"/>
        <v>#DIV/0!</v>
      </c>
      <c r="M13" s="464" t="e">
        <f t="shared" si="3"/>
        <v>#DIV/0!</v>
      </c>
      <c r="N13" s="366"/>
      <c r="O13" s="366"/>
      <c r="P13" s="366"/>
      <c r="Q13" s="366"/>
      <c r="R13" s="366"/>
      <c r="S13" s="647">
        <f t="shared" si="4"/>
        <v>19.193707317073169</v>
      </c>
      <c r="T13" s="355"/>
      <c r="U13" s="355"/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0</v>
      </c>
      <c r="G14" s="1424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0"/>
        <v>23608.26</v>
      </c>
      <c r="K14" s="459">
        <f t="shared" si="0"/>
        <v>23895</v>
      </c>
      <c r="L14" s="495" t="e">
        <f t="shared" si="3"/>
        <v>#DIV/0!</v>
      </c>
      <c r="M14" s="464" t="e">
        <f t="shared" si="3"/>
        <v>#DIV/0!</v>
      </c>
      <c r="N14" s="366"/>
      <c r="O14" s="366"/>
      <c r="P14" s="366"/>
      <c r="Q14" s="366"/>
      <c r="R14" s="366"/>
      <c r="S14" s="647">
        <f t="shared" si="4"/>
        <v>19.193707317073169</v>
      </c>
      <c r="T14" s="305"/>
      <c r="U14" s="305"/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0</v>
      </c>
      <c r="G15" s="1424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0"/>
        <v>23608.26</v>
      </c>
      <c r="K15" s="459">
        <f t="shared" si="0"/>
        <v>23895</v>
      </c>
      <c r="L15" s="495" t="e">
        <f t="shared" si="3"/>
        <v>#DIV/0!</v>
      </c>
      <c r="M15" s="464" t="e">
        <f t="shared" si="3"/>
        <v>#DIV/0!</v>
      </c>
      <c r="N15" s="366"/>
      <c r="O15" s="366"/>
      <c r="P15" s="366"/>
      <c r="Q15" s="366"/>
      <c r="R15" s="366"/>
      <c r="S15" s="647">
        <f t="shared" si="4"/>
        <v>19.193707317073169</v>
      </c>
      <c r="T15" s="355"/>
      <c r="U15" s="355"/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0</v>
      </c>
      <c r="G16" s="1424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0"/>
        <v>23608.26</v>
      </c>
      <c r="K16" s="459">
        <f t="shared" si="0"/>
        <v>23895</v>
      </c>
      <c r="L16" s="495" t="e">
        <f t="shared" si="3"/>
        <v>#DIV/0!</v>
      </c>
      <c r="M16" s="464" t="e">
        <f t="shared" si="3"/>
        <v>#DIV/0!</v>
      </c>
      <c r="N16" s="366"/>
      <c r="O16" s="366"/>
      <c r="P16" s="366"/>
      <c r="Q16" s="366"/>
      <c r="R16" s="366"/>
      <c r="S16" s="647">
        <f t="shared" si="4"/>
        <v>19.193707317073169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0</v>
      </c>
      <c r="G17" s="1424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0"/>
        <v>23608.26</v>
      </c>
      <c r="K17" s="459">
        <f t="shared" si="0"/>
        <v>23895</v>
      </c>
      <c r="L17" s="495" t="e">
        <f t="shared" si="3"/>
        <v>#DIV/0!</v>
      </c>
      <c r="M17" s="464" t="e">
        <f t="shared" si="3"/>
        <v>#DIV/0!</v>
      </c>
      <c r="N17" s="366"/>
      <c r="O17" s="366"/>
      <c r="P17" s="366"/>
      <c r="Q17" s="366"/>
      <c r="R17" s="366"/>
      <c r="S17" s="647">
        <f t="shared" si="4"/>
        <v>19.193707317073169</v>
      </c>
      <c r="T17" s="355"/>
      <c r="U17" s="355"/>
    </row>
    <row r="18" spans="1:21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0</v>
      </c>
      <c r="G18" s="1424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0"/>
        <v>23608.26</v>
      </c>
      <c r="K18" s="459">
        <f t="shared" si="0"/>
        <v>23895</v>
      </c>
      <c r="L18" s="505" t="e">
        <f t="shared" si="3"/>
        <v>#DIV/0!</v>
      </c>
      <c r="M18" s="464" t="e">
        <f t="shared" si="3"/>
        <v>#DIV/0!</v>
      </c>
      <c r="N18" s="366"/>
      <c r="O18" s="366"/>
      <c r="P18" s="366"/>
      <c r="Q18" s="366"/>
      <c r="R18" s="366"/>
      <c r="S18" s="647">
        <f t="shared" si="4"/>
        <v>19.193707317073169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0"/>
        <v>23608.26</v>
      </c>
      <c r="K19" s="459">
        <f t="shared" si="0"/>
        <v>23895</v>
      </c>
      <c r="L19" s="495" t="e">
        <f t="shared" si="3"/>
        <v>#DIV/0!</v>
      </c>
      <c r="M19" s="464" t="e">
        <f t="shared" si="3"/>
        <v>#DIV/0!</v>
      </c>
      <c r="N19" s="366"/>
      <c r="O19" s="366"/>
      <c r="P19" s="366"/>
      <c r="Q19" s="366"/>
      <c r="R19" s="366"/>
      <c r="S19" s="647">
        <f t="shared" si="4"/>
        <v>19.193707317073169</v>
      </c>
      <c r="T19" s="355"/>
      <c r="U19" s="355"/>
    </row>
    <row r="20" spans="1:21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0"/>
        <v>23608.26</v>
      </c>
      <c r="K20" s="459">
        <f t="shared" si="0"/>
        <v>23895</v>
      </c>
      <c r="L20" s="495" t="e">
        <f t="shared" si="3"/>
        <v>#DIV/0!</v>
      </c>
      <c r="M20" s="464" t="e">
        <f t="shared" si="3"/>
        <v>#DIV/0!</v>
      </c>
      <c r="N20" s="366"/>
      <c r="O20" s="366"/>
      <c r="P20" s="366"/>
      <c r="Q20" s="366"/>
      <c r="R20" s="366"/>
      <c r="S20" s="647">
        <f t="shared" si="4"/>
        <v>19.193707317073169</v>
      </c>
      <c r="T20" s="305"/>
      <c r="U20" s="305"/>
    </row>
    <row r="21" spans="1:21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0"/>
        <v>23608.26</v>
      </c>
      <c r="K21" s="459">
        <f>K20+E21-G21</f>
        <v>23895</v>
      </c>
      <c r="L21" s="495" t="e">
        <f t="shared" si="3"/>
        <v>#DIV/0!</v>
      </c>
      <c r="M21" s="464" t="e">
        <f t="shared" si="3"/>
        <v>#DIV/0!</v>
      </c>
      <c r="N21" s="366"/>
      <c r="O21" s="366"/>
      <c r="P21" s="366"/>
      <c r="Q21" s="366"/>
      <c r="R21" s="366"/>
      <c r="S21" s="647">
        <f t="shared" si="4"/>
        <v>19.193707317073169</v>
      </c>
      <c r="T21" s="355"/>
      <c r="U21" s="355"/>
    </row>
    <row r="22" spans="1:21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0"/>
        <v>23608.26</v>
      </c>
      <c r="K22" s="459">
        <f>K21+E22-G22</f>
        <v>23895</v>
      </c>
      <c r="L22" s="495" t="e">
        <f t="shared" si="3"/>
        <v>#DIV/0!</v>
      </c>
      <c r="M22" s="464" t="e">
        <f t="shared" si="3"/>
        <v>#DIV/0!</v>
      </c>
      <c r="N22" s="366"/>
      <c r="O22" s="366"/>
      <c r="P22" s="366"/>
      <c r="Q22" s="366"/>
      <c r="R22" s="366"/>
      <c r="S22" s="647">
        <f t="shared" si="4"/>
        <v>19.193707317073169</v>
      </c>
      <c r="T22" s="305"/>
      <c r="U22" s="305"/>
    </row>
    <row r="23" spans="1:21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0</v>
      </c>
      <c r="I23" s="499">
        <f>SUM($G$9:G23)/A23</f>
        <v>0</v>
      </c>
      <c r="J23" s="504">
        <f t="shared" si="0"/>
        <v>23608.26</v>
      </c>
      <c r="K23" s="459">
        <f t="shared" si="0"/>
        <v>23895</v>
      </c>
      <c r="L23" s="505" t="e">
        <f t="shared" si="3"/>
        <v>#DIV/0!</v>
      </c>
      <c r="M23" s="464" t="e">
        <f t="shared" si="3"/>
        <v>#DIV/0!</v>
      </c>
      <c r="N23" s="366"/>
      <c r="O23" s="366"/>
      <c r="P23" s="366"/>
      <c r="Q23" s="366"/>
      <c r="R23" s="366"/>
      <c r="S23" s="647">
        <f t="shared" si="4"/>
        <v>19.193707317073169</v>
      </c>
      <c r="T23" s="355"/>
      <c r="U23" s="355"/>
    </row>
    <row r="24" spans="1:21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ref="D24:D25" si="5">E24-E24*N24</f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0"/>
        <v>23608.26</v>
      </c>
      <c r="K24" s="459">
        <f>K23+E24-G24</f>
        <v>23895</v>
      </c>
      <c r="L24" s="495" t="e">
        <f t="shared" si="3"/>
        <v>#DIV/0!</v>
      </c>
      <c r="M24" s="464" t="e">
        <f t="shared" si="3"/>
        <v>#DIV/0!</v>
      </c>
      <c r="N24" s="366"/>
      <c r="O24" s="366"/>
      <c r="P24" s="366"/>
      <c r="Q24" s="366"/>
      <c r="R24" s="366"/>
      <c r="S24" s="647">
        <f t="shared" si="4"/>
        <v>19.193707317073169</v>
      </c>
      <c r="T24" s="305"/>
      <c r="U24" s="305"/>
    </row>
    <row r="25" spans="1:21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>
        <f t="shared" si="5"/>
        <v>0</v>
      </c>
      <c r="E25" s="499"/>
      <c r="F25" s="586">
        <f t="shared" si="2"/>
        <v>0</v>
      </c>
      <c r="G25" s="1424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6">J24+D25-F25</f>
        <v>23608.26</v>
      </c>
      <c r="K25" s="459">
        <f>K24+E25-G25</f>
        <v>23895</v>
      </c>
      <c r="L25" s="495" t="e">
        <f t="shared" si="3"/>
        <v>#DIV/0!</v>
      </c>
      <c r="M25" s="464" t="e">
        <f t="shared" si="3"/>
        <v>#DIV/0!</v>
      </c>
      <c r="N25" s="366"/>
      <c r="O25" s="366"/>
      <c r="P25" s="366"/>
      <c r="Q25" s="366"/>
      <c r="R25" s="366"/>
      <c r="S25" s="647">
        <f t="shared" si="4"/>
        <v>19.193707317073169</v>
      </c>
    </row>
    <row r="26" spans="1:21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6"/>
        <v>23608.26</v>
      </c>
      <c r="K26" s="459">
        <f>K25+E26-G26</f>
        <v>23895</v>
      </c>
      <c r="L26" s="495" t="e">
        <f t="shared" si="3"/>
        <v>#DIV/0!</v>
      </c>
      <c r="M26" s="464" t="e">
        <f t="shared" si="3"/>
        <v>#DIV/0!</v>
      </c>
      <c r="N26" s="366"/>
      <c r="O26" s="366"/>
      <c r="P26" s="366"/>
      <c r="Q26" s="366"/>
      <c r="R26" s="366"/>
      <c r="S26" s="647">
        <f t="shared" si="4"/>
        <v>19.193707317073169</v>
      </c>
    </row>
    <row r="27" spans="1:21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6"/>
        <v>23608.26</v>
      </c>
      <c r="K27" s="459">
        <f>K26+E27-G27</f>
        <v>23895</v>
      </c>
      <c r="L27" s="495" t="e">
        <f t="shared" si="3"/>
        <v>#DIV/0!</v>
      </c>
      <c r="M27" s="464" t="e">
        <f t="shared" si="3"/>
        <v>#DIV/0!</v>
      </c>
      <c r="N27" s="366"/>
      <c r="O27" s="366"/>
      <c r="P27" s="366"/>
      <c r="Q27" s="366"/>
      <c r="R27" s="366"/>
      <c r="S27" s="647">
        <f t="shared" si="4"/>
        <v>19.193707317073169</v>
      </c>
    </row>
    <row r="28" spans="1:21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6"/>
        <v>23608.26</v>
      </c>
      <c r="K28" s="459">
        <f t="shared" si="6"/>
        <v>23895</v>
      </c>
      <c r="L28" s="505" t="e">
        <f t="shared" si="3"/>
        <v>#DIV/0!</v>
      </c>
      <c r="M28" s="464" t="e">
        <f t="shared" si="3"/>
        <v>#DIV/0!</v>
      </c>
      <c r="N28" s="366"/>
      <c r="O28" s="366"/>
      <c r="P28" s="366"/>
      <c r="Q28" s="366"/>
      <c r="R28" s="366"/>
      <c r="S28" s="647">
        <f t="shared" si="4"/>
        <v>19.193707317073169</v>
      </c>
    </row>
    <row r="29" spans="1:21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6"/>
        <v>23608.26</v>
      </c>
      <c r="K29" s="459">
        <f t="shared" si="6"/>
        <v>23895</v>
      </c>
      <c r="L29" s="495" t="e">
        <f t="shared" si="3"/>
        <v>#DIV/0!</v>
      </c>
      <c r="M29" s="464" t="e">
        <f t="shared" si="3"/>
        <v>#DIV/0!</v>
      </c>
      <c r="N29" s="366"/>
      <c r="O29" s="366"/>
      <c r="P29" s="366"/>
      <c r="Q29" s="366"/>
      <c r="R29" s="366"/>
      <c r="S29" s="647">
        <f t="shared" si="4"/>
        <v>19.193707317073169</v>
      </c>
    </row>
    <row r="30" spans="1:21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6"/>
        <v>23608.26</v>
      </c>
      <c r="K30" s="459">
        <f t="shared" si="6"/>
        <v>23895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19.193707317073169</v>
      </c>
    </row>
    <row r="31" spans="1:21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6"/>
        <v>23608.26</v>
      </c>
      <c r="K31" s="459">
        <f t="shared" si="6"/>
        <v>23895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19.193707317073169</v>
      </c>
    </row>
    <row r="32" spans="1:21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6"/>
        <v>23608.26</v>
      </c>
      <c r="K32" s="459">
        <f t="shared" si="6"/>
        <v>23895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19.193707317073169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6"/>
        <v>23608.26</v>
      </c>
      <c r="K33" s="459">
        <f t="shared" si="6"/>
        <v>23895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19.193707317073169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6"/>
        <v>23608.26</v>
      </c>
      <c r="K34" s="459">
        <f t="shared" si="6"/>
        <v>23895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19.193707317073169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6"/>
        <v>23608.26</v>
      </c>
      <c r="K35" s="459">
        <f t="shared" si="6"/>
        <v>23895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19.193707317073169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6"/>
        <v>23608.26</v>
      </c>
      <c r="K36" s="459">
        <f t="shared" si="6"/>
        <v>23895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19.193707317073169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6"/>
        <v>23608.26</v>
      </c>
      <c r="K37" s="459">
        <f t="shared" si="6"/>
        <v>23895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19.193707317073169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6"/>
        <v>23608.26</v>
      </c>
      <c r="K38" s="459">
        <f t="shared" si="6"/>
        <v>23895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19.193707317073169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6"/>
        <v>23608.26</v>
      </c>
      <c r="K39" s="459">
        <f t="shared" si="6"/>
        <v>23895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19.193707317073169</v>
      </c>
    </row>
    <row r="40" spans="1:19" s="374" customFormat="1" ht="12" customHeight="1">
      <c r="A40" s="816" t="s">
        <v>29</v>
      </c>
      <c r="B40" s="817"/>
      <c r="C40" s="818"/>
      <c r="D40" s="388">
        <f>SUM(D9:D39)</f>
        <v>0</v>
      </c>
      <c r="E40" s="923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23608.26</v>
      </c>
      <c r="K40" s="461">
        <f>K39</f>
        <v>23895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816" t="s">
        <v>15</v>
      </c>
      <c r="B41" s="817"/>
      <c r="C41" s="818"/>
      <c r="D41" s="388">
        <f>D8+D40</f>
        <v>23608.26</v>
      </c>
      <c r="E41" s="388">
        <f>E8+E40</f>
        <v>23895</v>
      </c>
      <c r="F41" s="389">
        <f>F40</f>
        <v>0</v>
      </c>
      <c r="G41" s="496">
        <f>G40</f>
        <v>0</v>
      </c>
      <c r="H41" s="389"/>
      <c r="I41" s="496"/>
      <c r="J41" s="389">
        <f>D41-F41</f>
        <v>23608.26</v>
      </c>
      <c r="K41" s="389">
        <f>E41-G41</f>
        <v>23895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369" priority="163" operator="lessThan">
      <formula>15</formula>
    </cfRule>
    <cfRule type="cellIs" dxfId="11368" priority="164" operator="greaterThan">
      <formula>20</formula>
    </cfRule>
    <cfRule type="cellIs" dxfId="11367" priority="165" operator="between">
      <formula>15</formula>
      <formula>20</formula>
    </cfRule>
    <cfRule type="cellIs" dxfId="11366" priority="166" operator="between">
      <formula>15</formula>
      <formula>20</formula>
    </cfRule>
    <cfRule type="cellIs" dxfId="11365" priority="167" operator="lessThan">
      <formula>15</formula>
    </cfRule>
    <cfRule type="cellIs" dxfId="11364" priority="168" operator="greaterThan">
      <formula>20</formula>
    </cfRule>
    <cfRule type="cellIs" dxfId="11363" priority="169" operator="between">
      <formula>15</formula>
      <formula>21</formula>
    </cfRule>
    <cfRule type="cellIs" dxfId="11362" priority="170" operator="lessThan">
      <formula>15</formula>
    </cfRule>
    <cfRule type="cellIs" dxfId="11361" priority="171" operator="greaterThan">
      <formula>21</formula>
    </cfRule>
  </conditionalFormatting>
  <conditionalFormatting sqref="M9:M39">
    <cfRule type="cellIs" dxfId="11360" priority="154" operator="lessThan">
      <formula>15</formula>
    </cfRule>
    <cfRule type="cellIs" dxfId="11359" priority="155" operator="greaterThan">
      <formula>20</formula>
    </cfRule>
    <cfRule type="cellIs" dxfId="11358" priority="156" operator="between">
      <formula>15</formula>
      <formula>20</formula>
    </cfRule>
    <cfRule type="cellIs" dxfId="11357" priority="157" operator="between">
      <formula>15</formula>
      <formula>20</formula>
    </cfRule>
    <cfRule type="cellIs" dxfId="11356" priority="158" operator="lessThan">
      <formula>15</formula>
    </cfRule>
    <cfRule type="cellIs" dxfId="11355" priority="159" operator="greaterThan">
      <formula>20</formula>
    </cfRule>
    <cfRule type="cellIs" dxfId="11354" priority="160" operator="between">
      <formula>15</formula>
      <formula>21</formula>
    </cfRule>
    <cfRule type="cellIs" dxfId="11353" priority="161" operator="lessThan">
      <formula>15</formula>
    </cfRule>
    <cfRule type="cellIs" dxfId="11352" priority="162" operator="greaterThan">
      <formula>21</formula>
    </cfRule>
  </conditionalFormatting>
  <conditionalFormatting sqref="M9:M39">
    <cfRule type="cellIs" dxfId="11351" priority="145" operator="lessThan">
      <formula>15</formula>
    </cfRule>
    <cfRule type="cellIs" dxfId="11350" priority="146" operator="greaterThan">
      <formula>20</formula>
    </cfRule>
    <cfRule type="cellIs" dxfId="11349" priority="147" operator="between">
      <formula>15</formula>
      <formula>20</formula>
    </cfRule>
    <cfRule type="cellIs" dxfId="11348" priority="148" operator="between">
      <formula>15</formula>
      <formula>20</formula>
    </cfRule>
    <cfRule type="cellIs" dxfId="11347" priority="149" operator="lessThan">
      <formula>15</formula>
    </cfRule>
    <cfRule type="cellIs" dxfId="11346" priority="150" operator="greaterThan">
      <formula>20</formula>
    </cfRule>
    <cfRule type="cellIs" dxfId="11345" priority="151" operator="between">
      <formula>15</formula>
      <formula>21</formula>
    </cfRule>
    <cfRule type="cellIs" dxfId="11344" priority="152" operator="lessThan">
      <formula>15</formula>
    </cfRule>
    <cfRule type="cellIs" dxfId="11343" priority="153" operator="greaterThan">
      <formula>21</formula>
    </cfRule>
  </conditionalFormatting>
  <conditionalFormatting sqref="M9:M39">
    <cfRule type="cellIs" dxfId="11342" priority="136" operator="lessThan">
      <formula>15</formula>
    </cfRule>
    <cfRule type="cellIs" dxfId="11341" priority="137" operator="greaterThan">
      <formula>20</formula>
    </cfRule>
    <cfRule type="cellIs" dxfId="11340" priority="138" operator="between">
      <formula>15</formula>
      <formula>20</formula>
    </cfRule>
    <cfRule type="cellIs" dxfId="11339" priority="139" operator="between">
      <formula>15</formula>
      <formula>20</formula>
    </cfRule>
    <cfRule type="cellIs" dxfId="11338" priority="140" operator="lessThan">
      <formula>15</formula>
    </cfRule>
    <cfRule type="cellIs" dxfId="11337" priority="141" operator="greaterThan">
      <formula>20</formula>
    </cfRule>
    <cfRule type="cellIs" dxfId="11336" priority="142" operator="between">
      <formula>15</formula>
      <formula>21</formula>
    </cfRule>
    <cfRule type="cellIs" dxfId="11335" priority="143" operator="lessThan">
      <formula>15</formula>
    </cfRule>
    <cfRule type="cellIs" dxfId="11334" priority="144" operator="greaterThan">
      <formula>21</formula>
    </cfRule>
  </conditionalFormatting>
  <conditionalFormatting sqref="M9:M39">
    <cfRule type="cellIs" dxfId="11333" priority="127" operator="lessThan">
      <formula>15</formula>
    </cfRule>
    <cfRule type="cellIs" dxfId="11332" priority="128" operator="greaterThan">
      <formula>20</formula>
    </cfRule>
    <cfRule type="cellIs" dxfId="11331" priority="129" operator="between">
      <formula>15</formula>
      <formula>20</formula>
    </cfRule>
    <cfRule type="cellIs" dxfId="11330" priority="130" operator="between">
      <formula>15</formula>
      <formula>20</formula>
    </cfRule>
    <cfRule type="cellIs" dxfId="11329" priority="131" operator="lessThan">
      <formula>15</formula>
    </cfRule>
    <cfRule type="cellIs" dxfId="11328" priority="132" operator="greaterThan">
      <formula>20</formula>
    </cfRule>
    <cfRule type="cellIs" dxfId="11327" priority="133" operator="between">
      <formula>15</formula>
      <formula>21</formula>
    </cfRule>
    <cfRule type="cellIs" dxfId="11326" priority="134" operator="lessThan">
      <formula>15</formula>
    </cfRule>
    <cfRule type="cellIs" dxfId="11325" priority="135" operator="greaterThan">
      <formula>21</formula>
    </cfRule>
  </conditionalFormatting>
  <conditionalFormatting sqref="M9:M39">
    <cfRule type="cellIs" dxfId="11324" priority="118" operator="lessThan">
      <formula>15</formula>
    </cfRule>
    <cfRule type="cellIs" dxfId="11323" priority="119" operator="greaterThan">
      <formula>20</formula>
    </cfRule>
    <cfRule type="cellIs" dxfId="11322" priority="120" operator="between">
      <formula>15</formula>
      <formula>20</formula>
    </cfRule>
    <cfRule type="cellIs" dxfId="11321" priority="121" operator="between">
      <formula>15</formula>
      <formula>20</formula>
    </cfRule>
    <cfRule type="cellIs" dxfId="11320" priority="122" operator="lessThan">
      <formula>15</formula>
    </cfRule>
    <cfRule type="cellIs" dxfId="11319" priority="123" operator="greaterThan">
      <formula>20</formula>
    </cfRule>
    <cfRule type="cellIs" dxfId="11318" priority="124" operator="between">
      <formula>15</formula>
      <formula>21</formula>
    </cfRule>
    <cfRule type="cellIs" dxfId="11317" priority="125" operator="lessThan">
      <formula>15</formula>
    </cfRule>
    <cfRule type="cellIs" dxfId="11316" priority="126" operator="greaterThan">
      <formula>21</formula>
    </cfRule>
  </conditionalFormatting>
  <conditionalFormatting sqref="M9:M39">
    <cfRule type="cellIs" dxfId="11315" priority="109" operator="lessThan">
      <formula>15</formula>
    </cfRule>
    <cfRule type="cellIs" dxfId="11314" priority="110" operator="greaterThan">
      <formula>20</formula>
    </cfRule>
    <cfRule type="cellIs" dxfId="11313" priority="111" operator="between">
      <formula>15</formula>
      <formula>20</formula>
    </cfRule>
    <cfRule type="cellIs" dxfId="11312" priority="112" operator="between">
      <formula>15</formula>
      <formula>20</formula>
    </cfRule>
    <cfRule type="cellIs" dxfId="11311" priority="113" operator="lessThan">
      <formula>15</formula>
    </cfRule>
    <cfRule type="cellIs" dxfId="11310" priority="114" operator="greaterThan">
      <formula>20</formula>
    </cfRule>
    <cfRule type="cellIs" dxfId="11309" priority="115" operator="between">
      <formula>15</formula>
      <formula>21</formula>
    </cfRule>
    <cfRule type="cellIs" dxfId="11308" priority="116" operator="lessThan">
      <formula>15</formula>
    </cfRule>
    <cfRule type="cellIs" dxfId="11307" priority="117" operator="greaterThan">
      <formula>21</formula>
    </cfRule>
  </conditionalFormatting>
  <conditionalFormatting sqref="M9:M39">
    <cfRule type="cellIs" dxfId="11306" priority="100" operator="lessThan">
      <formula>15</formula>
    </cfRule>
    <cfRule type="cellIs" dxfId="11305" priority="101" operator="greaterThan">
      <formula>20</formula>
    </cfRule>
    <cfRule type="cellIs" dxfId="11304" priority="102" operator="between">
      <formula>15</formula>
      <formula>20</formula>
    </cfRule>
    <cfRule type="cellIs" dxfId="11303" priority="103" operator="between">
      <formula>15</formula>
      <formula>20</formula>
    </cfRule>
    <cfRule type="cellIs" dxfId="11302" priority="104" operator="lessThan">
      <formula>15</formula>
    </cfRule>
    <cfRule type="cellIs" dxfId="11301" priority="105" operator="greaterThan">
      <formula>20</formula>
    </cfRule>
    <cfRule type="cellIs" dxfId="11300" priority="106" operator="between">
      <formula>15</formula>
      <formula>21</formula>
    </cfRule>
    <cfRule type="cellIs" dxfId="11299" priority="107" operator="lessThan">
      <formula>15</formula>
    </cfRule>
    <cfRule type="cellIs" dxfId="11298" priority="108" operator="greaterThan">
      <formula>21</formula>
    </cfRule>
  </conditionalFormatting>
  <conditionalFormatting sqref="M9:M39">
    <cfRule type="cellIs" dxfId="11297" priority="91" operator="lessThan">
      <formula>15</formula>
    </cfRule>
    <cfRule type="cellIs" dxfId="11296" priority="92" operator="greaterThan">
      <formula>20</formula>
    </cfRule>
    <cfRule type="cellIs" dxfId="11295" priority="93" operator="between">
      <formula>15</formula>
      <formula>20</formula>
    </cfRule>
    <cfRule type="cellIs" dxfId="11294" priority="94" operator="between">
      <formula>15</formula>
      <formula>20</formula>
    </cfRule>
    <cfRule type="cellIs" dxfId="11293" priority="95" operator="lessThan">
      <formula>15</formula>
    </cfRule>
    <cfRule type="cellIs" dxfId="11292" priority="96" operator="greaterThan">
      <formula>20</formula>
    </cfRule>
    <cfRule type="cellIs" dxfId="11291" priority="97" operator="between">
      <formula>15</formula>
      <formula>21</formula>
    </cfRule>
    <cfRule type="cellIs" dxfId="11290" priority="98" operator="lessThan">
      <formula>15</formula>
    </cfRule>
    <cfRule type="cellIs" dxfId="11289" priority="99" operator="greaterThan">
      <formula>21</formula>
    </cfRule>
  </conditionalFormatting>
  <conditionalFormatting sqref="M9:M39">
    <cfRule type="cellIs" dxfId="11288" priority="82" operator="lessThan">
      <formula>15</formula>
    </cfRule>
    <cfRule type="cellIs" dxfId="11287" priority="83" operator="greaterThan">
      <formula>20</formula>
    </cfRule>
    <cfRule type="cellIs" dxfId="11286" priority="84" operator="between">
      <formula>15</formula>
      <formula>20</formula>
    </cfRule>
    <cfRule type="cellIs" dxfId="11285" priority="85" operator="between">
      <formula>15</formula>
      <formula>20</formula>
    </cfRule>
    <cfRule type="cellIs" dxfId="11284" priority="86" operator="lessThan">
      <formula>15</formula>
    </cfRule>
    <cfRule type="cellIs" dxfId="11283" priority="87" operator="greaterThan">
      <formula>20</formula>
    </cfRule>
    <cfRule type="cellIs" dxfId="11282" priority="88" operator="between">
      <formula>15</formula>
      <formula>21</formula>
    </cfRule>
    <cfRule type="cellIs" dxfId="11281" priority="89" operator="lessThan">
      <formula>15</formula>
    </cfRule>
    <cfRule type="cellIs" dxfId="11280" priority="90" operator="greaterThan">
      <formula>21</formula>
    </cfRule>
  </conditionalFormatting>
  <conditionalFormatting sqref="M9:M39">
    <cfRule type="cellIs" dxfId="11279" priority="73" operator="lessThan">
      <formula>15</formula>
    </cfRule>
    <cfRule type="cellIs" dxfId="11278" priority="74" operator="greaterThan">
      <formula>20</formula>
    </cfRule>
    <cfRule type="cellIs" dxfId="11277" priority="75" operator="between">
      <formula>15</formula>
      <formula>20</formula>
    </cfRule>
    <cfRule type="cellIs" dxfId="11276" priority="76" operator="between">
      <formula>15</formula>
      <formula>20</formula>
    </cfRule>
    <cfRule type="cellIs" dxfId="11275" priority="77" operator="lessThan">
      <formula>15</formula>
    </cfRule>
    <cfRule type="cellIs" dxfId="11274" priority="78" operator="greaterThan">
      <formula>20</formula>
    </cfRule>
    <cfRule type="cellIs" dxfId="11273" priority="79" operator="between">
      <formula>15</formula>
      <formula>21</formula>
    </cfRule>
    <cfRule type="cellIs" dxfId="11272" priority="80" operator="lessThan">
      <formula>15</formula>
    </cfRule>
    <cfRule type="cellIs" dxfId="11271" priority="81" operator="greaterThan">
      <formula>21</formula>
    </cfRule>
  </conditionalFormatting>
  <conditionalFormatting sqref="M9:M39">
    <cfRule type="cellIs" dxfId="11270" priority="64" operator="lessThan">
      <formula>15</formula>
    </cfRule>
    <cfRule type="cellIs" dxfId="11269" priority="65" operator="greaterThan">
      <formula>20</formula>
    </cfRule>
    <cfRule type="cellIs" dxfId="11268" priority="66" operator="between">
      <formula>15</formula>
      <formula>20</formula>
    </cfRule>
    <cfRule type="cellIs" dxfId="11267" priority="67" operator="between">
      <formula>15</formula>
      <formula>20</formula>
    </cfRule>
    <cfRule type="cellIs" dxfId="11266" priority="68" operator="lessThan">
      <formula>15</formula>
    </cfRule>
    <cfRule type="cellIs" dxfId="11265" priority="69" operator="greaterThan">
      <formula>20</formula>
    </cfRule>
    <cfRule type="cellIs" dxfId="11264" priority="70" operator="between">
      <formula>15</formula>
      <formula>21</formula>
    </cfRule>
    <cfRule type="cellIs" dxfId="11263" priority="71" operator="lessThan">
      <formula>15</formula>
    </cfRule>
    <cfRule type="cellIs" dxfId="11262" priority="72" operator="greaterThan">
      <formula>21</formula>
    </cfRule>
  </conditionalFormatting>
  <conditionalFormatting sqref="M9:M39">
    <cfRule type="cellIs" dxfId="11261" priority="55" operator="lessThan">
      <formula>15</formula>
    </cfRule>
    <cfRule type="cellIs" dxfId="11260" priority="56" operator="greaterThan">
      <formula>20</formula>
    </cfRule>
    <cfRule type="cellIs" dxfId="11259" priority="57" operator="between">
      <formula>15</formula>
      <formula>20</formula>
    </cfRule>
    <cfRule type="cellIs" dxfId="11258" priority="58" operator="between">
      <formula>15</formula>
      <formula>20</formula>
    </cfRule>
    <cfRule type="cellIs" dxfId="11257" priority="59" operator="lessThan">
      <formula>15</formula>
    </cfRule>
    <cfRule type="cellIs" dxfId="11256" priority="60" operator="greaterThan">
      <formula>20</formula>
    </cfRule>
    <cfRule type="cellIs" dxfId="11255" priority="61" operator="between">
      <formula>15</formula>
      <formula>21</formula>
    </cfRule>
    <cfRule type="cellIs" dxfId="11254" priority="62" operator="lessThan">
      <formula>15</formula>
    </cfRule>
    <cfRule type="cellIs" dxfId="11253" priority="63" operator="greaterThan">
      <formula>21</formula>
    </cfRule>
  </conditionalFormatting>
  <conditionalFormatting sqref="M9:M39">
    <cfRule type="cellIs" dxfId="11252" priority="46" operator="lessThan">
      <formula>15</formula>
    </cfRule>
    <cfRule type="cellIs" dxfId="11251" priority="47" operator="greaterThan">
      <formula>20</formula>
    </cfRule>
    <cfRule type="cellIs" dxfId="11250" priority="48" operator="between">
      <formula>15</formula>
      <formula>20</formula>
    </cfRule>
    <cfRule type="cellIs" dxfId="11249" priority="49" operator="between">
      <formula>15</formula>
      <formula>20</formula>
    </cfRule>
    <cfRule type="cellIs" dxfId="11248" priority="50" operator="lessThan">
      <formula>15</formula>
    </cfRule>
    <cfRule type="cellIs" dxfId="11247" priority="51" operator="greaterThan">
      <formula>20</formula>
    </cfRule>
    <cfRule type="cellIs" dxfId="11246" priority="52" operator="between">
      <formula>15</formula>
      <formula>21</formula>
    </cfRule>
    <cfRule type="cellIs" dxfId="11245" priority="53" operator="lessThan">
      <formula>15</formula>
    </cfRule>
    <cfRule type="cellIs" dxfId="11244" priority="54" operator="greaterThan">
      <formula>21</formula>
    </cfRule>
  </conditionalFormatting>
  <conditionalFormatting sqref="M9:M39">
    <cfRule type="cellIs" dxfId="11243" priority="37" operator="lessThan">
      <formula>15</formula>
    </cfRule>
    <cfRule type="cellIs" dxfId="11242" priority="38" operator="greaterThan">
      <formula>20</formula>
    </cfRule>
    <cfRule type="cellIs" dxfId="11241" priority="39" operator="between">
      <formula>15</formula>
      <formula>20</formula>
    </cfRule>
    <cfRule type="cellIs" dxfId="11240" priority="40" operator="between">
      <formula>15</formula>
      <formula>20</formula>
    </cfRule>
    <cfRule type="cellIs" dxfId="11239" priority="41" operator="lessThan">
      <formula>15</formula>
    </cfRule>
    <cfRule type="cellIs" dxfId="11238" priority="42" operator="greaterThan">
      <formula>20</formula>
    </cfRule>
    <cfRule type="cellIs" dxfId="11237" priority="43" operator="between">
      <formula>15</formula>
      <formula>21</formula>
    </cfRule>
    <cfRule type="cellIs" dxfId="11236" priority="44" operator="lessThan">
      <formula>15</formula>
    </cfRule>
    <cfRule type="cellIs" dxfId="11235" priority="45" operator="greaterThan">
      <formula>21</formula>
    </cfRule>
  </conditionalFormatting>
  <conditionalFormatting sqref="M9:M39">
    <cfRule type="cellIs" dxfId="11234" priority="28" operator="lessThan">
      <formula>15</formula>
    </cfRule>
    <cfRule type="cellIs" dxfId="11233" priority="29" operator="greaterThan">
      <formula>20</formula>
    </cfRule>
    <cfRule type="cellIs" dxfId="11232" priority="30" operator="between">
      <formula>15</formula>
      <formula>20</formula>
    </cfRule>
    <cfRule type="cellIs" dxfId="11231" priority="31" operator="between">
      <formula>15</formula>
      <formula>20</formula>
    </cfRule>
    <cfRule type="cellIs" dxfId="11230" priority="32" operator="lessThan">
      <formula>15</formula>
    </cfRule>
    <cfRule type="cellIs" dxfId="11229" priority="33" operator="greaterThan">
      <formula>20</formula>
    </cfRule>
    <cfRule type="cellIs" dxfId="11228" priority="34" operator="between">
      <formula>15</formula>
      <formula>21</formula>
    </cfRule>
    <cfRule type="cellIs" dxfId="11227" priority="35" operator="lessThan">
      <formula>15</formula>
    </cfRule>
    <cfRule type="cellIs" dxfId="11226" priority="36" operator="greaterThan">
      <formula>21</formula>
    </cfRule>
  </conditionalFormatting>
  <conditionalFormatting sqref="M9:M39">
    <cfRule type="cellIs" dxfId="11225" priority="19" operator="lessThan">
      <formula>15</formula>
    </cfRule>
    <cfRule type="cellIs" dxfId="11224" priority="20" operator="greaterThan">
      <formula>20</formula>
    </cfRule>
    <cfRule type="cellIs" dxfId="11223" priority="21" operator="between">
      <formula>15</formula>
      <formula>20</formula>
    </cfRule>
    <cfRule type="cellIs" dxfId="11222" priority="22" operator="between">
      <formula>15</formula>
      <formula>20</formula>
    </cfRule>
    <cfRule type="cellIs" dxfId="11221" priority="23" operator="lessThan">
      <formula>15</formula>
    </cfRule>
    <cfRule type="cellIs" dxfId="11220" priority="24" operator="greaterThan">
      <formula>20</formula>
    </cfRule>
    <cfRule type="cellIs" dxfId="11219" priority="25" operator="between">
      <formula>15</formula>
      <formula>21</formula>
    </cfRule>
    <cfRule type="cellIs" dxfId="11218" priority="26" operator="lessThan">
      <formula>15</formula>
    </cfRule>
    <cfRule type="cellIs" dxfId="11217" priority="27" operator="greaterThan">
      <formula>21</formula>
    </cfRule>
  </conditionalFormatting>
  <conditionalFormatting sqref="M9:M39">
    <cfRule type="cellIs" dxfId="11216" priority="10" operator="lessThan">
      <formula>15</formula>
    </cfRule>
    <cfRule type="cellIs" dxfId="11215" priority="11" operator="greaterThan">
      <formula>20</formula>
    </cfRule>
    <cfRule type="cellIs" dxfId="11214" priority="12" operator="between">
      <formula>15</formula>
      <formula>20</formula>
    </cfRule>
    <cfRule type="cellIs" dxfId="11213" priority="13" operator="between">
      <formula>15</formula>
      <formula>20</formula>
    </cfRule>
    <cfRule type="cellIs" dxfId="11212" priority="14" operator="lessThan">
      <formula>15</formula>
    </cfRule>
    <cfRule type="cellIs" dxfId="11211" priority="15" operator="greaterThan">
      <formula>20</formula>
    </cfRule>
    <cfRule type="cellIs" dxfId="11210" priority="16" operator="between">
      <formula>15</formula>
      <formula>21</formula>
    </cfRule>
    <cfRule type="cellIs" dxfId="11209" priority="17" operator="lessThan">
      <formula>15</formula>
    </cfRule>
    <cfRule type="cellIs" dxfId="11208" priority="18" operator="greaterThan">
      <formula>21</formula>
    </cfRule>
  </conditionalFormatting>
  <conditionalFormatting sqref="M9:M39">
    <cfRule type="cellIs" dxfId="11207" priority="1" operator="lessThan">
      <formula>15</formula>
    </cfRule>
    <cfRule type="cellIs" dxfId="11206" priority="2" operator="greaterThan">
      <formula>20</formula>
    </cfRule>
    <cfRule type="cellIs" dxfId="11205" priority="3" operator="between">
      <formula>15</formula>
      <formula>20</formula>
    </cfRule>
    <cfRule type="cellIs" dxfId="11204" priority="4" operator="between">
      <formula>15</formula>
      <formula>20</formula>
    </cfRule>
    <cfRule type="cellIs" dxfId="11203" priority="5" operator="lessThan">
      <formula>15</formula>
    </cfRule>
    <cfRule type="cellIs" dxfId="11202" priority="6" operator="greaterThan">
      <formula>20</formula>
    </cfRule>
    <cfRule type="cellIs" dxfId="11201" priority="7" operator="between">
      <formula>15</formula>
      <formula>21</formula>
    </cfRule>
    <cfRule type="cellIs" dxfId="11200" priority="8" operator="lessThan">
      <formula>15</formula>
    </cfRule>
    <cfRule type="cellIs" dxfId="11199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C49"/>
  <sheetViews>
    <sheetView workbookViewId="0">
      <pane ySplit="8" topLeftCell="A15" activePane="bottomLeft" state="frozen"/>
      <selection pane="bottomLeft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973" customFormat="1" ht="15" customHeight="1">
      <c r="A4" s="1600" t="s">
        <v>33</v>
      </c>
      <c r="B4" s="1600"/>
      <c r="C4" s="316" t="str">
        <f>J4</f>
        <v>MATT VFM41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773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/>
      <c r="G8" s="388"/>
      <c r="H8" s="387"/>
      <c r="I8" s="388"/>
      <c r="J8" s="937">
        <f>K8-K8*N8</f>
        <v>0</v>
      </c>
      <c r="K8" s="937">
        <v>0</v>
      </c>
      <c r="L8" s="462"/>
      <c r="M8" s="463"/>
      <c r="N8" s="366">
        <v>7.0000000000000001E-3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1755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0</v>
      </c>
      <c r="K9" s="459">
        <f t="shared" si="0"/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0</v>
      </c>
      <c r="G10" s="1424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0"/>
        <v>0</v>
      </c>
      <c r="K10" s="459">
        <f t="shared" si="0"/>
        <v>0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0"/>
        <v>0</v>
      </c>
      <c r="K11" s="459">
        <f t="shared" si="0"/>
        <v>0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0</v>
      </c>
      <c r="G12" s="1424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0"/>
        <v>0</v>
      </c>
      <c r="K12" s="459">
        <f t="shared" si="0"/>
        <v>0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0</v>
      </c>
      <c r="G13" s="1424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0"/>
        <v>0</v>
      </c>
      <c r="K13" s="459">
        <f t="shared" si="0"/>
        <v>0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0</v>
      </c>
      <c r="G14" s="1424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0"/>
        <v>0</v>
      </c>
      <c r="K14" s="459">
        <f t="shared" si="0"/>
        <v>0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0</v>
      </c>
      <c r="G15" s="1424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0"/>
        <v>0</v>
      </c>
      <c r="K15" s="459">
        <f t="shared" si="0"/>
        <v>0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0</v>
      </c>
      <c r="G16" s="1424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0"/>
        <v>0</v>
      </c>
      <c r="K16" s="459">
        <f t="shared" si="0"/>
        <v>0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0</v>
      </c>
      <c r="G17" s="1424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0"/>
        <v>0</v>
      </c>
      <c r="K17" s="459">
        <f t="shared" si="0"/>
        <v>0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0</v>
      </c>
      <c r="G18" s="1424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0"/>
        <v>0</v>
      </c>
      <c r="K18" s="459">
        <f t="shared" si="0"/>
        <v>0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0"/>
        <v>0</v>
      </c>
      <c r="K19" s="459">
        <f t="shared" si="0"/>
        <v>0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0"/>
        <v>0</v>
      </c>
      <c r="K20" s="459">
        <f t="shared" si="0"/>
        <v>0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0"/>
        <v>0</v>
      </c>
      <c r="K21" s="459">
        <f>K20+E21-G21</f>
        <v>0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0"/>
        <v>0</v>
      </c>
      <c r="K22" s="459">
        <f>K21+E22-G22</f>
        <v>0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0</v>
      </c>
      <c r="I23" s="499">
        <f>SUM($G$9:G23)/A23</f>
        <v>0</v>
      </c>
      <c r="J23" s="504">
        <f t="shared" si="0"/>
        <v>0</v>
      </c>
      <c r="K23" s="459">
        <f t="shared" si="0"/>
        <v>0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1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0"/>
        <v>0</v>
      </c>
      <c r="K24" s="459">
        <f>K23+E24-G24</f>
        <v>0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/>
      <c r="E25" s="499"/>
      <c r="F25" s="586">
        <f t="shared" si="2"/>
        <v>0</v>
      </c>
      <c r="G25" s="1424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5">J24+D25-F25</f>
        <v>0</v>
      </c>
      <c r="K25" s="459">
        <f>K24+E25-G25</f>
        <v>0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5"/>
        <v>0</v>
      </c>
      <c r="K26" s="459">
        <f>K25+E26-G26</f>
        <v>0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5"/>
        <v>0</v>
      </c>
      <c r="K27" s="459">
        <f>K26+E27-G27</f>
        <v>0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5"/>
        <v>0</v>
      </c>
      <c r="K28" s="459">
        <f t="shared" si="5"/>
        <v>0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5"/>
        <v>0</v>
      </c>
      <c r="K29" s="459">
        <f t="shared" si="5"/>
        <v>0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5"/>
        <v>0</v>
      </c>
      <c r="K30" s="459">
        <f t="shared" si="5"/>
        <v>0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5"/>
        <v>0</v>
      </c>
      <c r="K31" s="459">
        <f t="shared" si="5"/>
        <v>0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5"/>
        <v>0</v>
      </c>
      <c r="K32" s="459">
        <f t="shared" si="5"/>
        <v>0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5"/>
        <v>0</v>
      </c>
      <c r="K33" s="459">
        <f t="shared" si="5"/>
        <v>0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5"/>
        <v>0</v>
      </c>
      <c r="K34" s="459">
        <f t="shared" si="5"/>
        <v>0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5"/>
        <v>0</v>
      </c>
      <c r="K35" s="459">
        <f t="shared" si="5"/>
        <v>0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5"/>
        <v>0</v>
      </c>
      <c r="K36" s="459">
        <f t="shared" si="5"/>
        <v>0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5"/>
        <v>0</v>
      </c>
      <c r="K37" s="459">
        <f t="shared" si="5"/>
        <v>0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5"/>
        <v>0</v>
      </c>
      <c r="K38" s="459">
        <f t="shared" si="5"/>
        <v>0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5"/>
        <v>0</v>
      </c>
      <c r="K39" s="459">
        <f t="shared" si="5"/>
        <v>0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974" t="s">
        <v>29</v>
      </c>
      <c r="B40" s="975"/>
      <c r="C40" s="976"/>
      <c r="D40" s="388">
        <f>SUM(D9:D39)</f>
        <v>0</v>
      </c>
      <c r="E40" s="923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974" t="s">
        <v>15</v>
      </c>
      <c r="B41" s="975"/>
      <c r="C41" s="976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198" priority="163" operator="lessThan">
      <formula>15</formula>
    </cfRule>
    <cfRule type="cellIs" dxfId="11197" priority="164" operator="greaterThan">
      <formula>20</formula>
    </cfRule>
    <cfRule type="cellIs" dxfId="11196" priority="165" operator="between">
      <formula>15</formula>
      <formula>20</formula>
    </cfRule>
    <cfRule type="cellIs" dxfId="11195" priority="166" operator="between">
      <formula>15</formula>
      <formula>20</formula>
    </cfRule>
    <cfRule type="cellIs" dxfId="11194" priority="167" operator="lessThan">
      <formula>15</formula>
    </cfRule>
    <cfRule type="cellIs" dxfId="11193" priority="168" operator="greaterThan">
      <formula>20</formula>
    </cfRule>
    <cfRule type="cellIs" dxfId="11192" priority="169" operator="between">
      <formula>15</formula>
      <formula>21</formula>
    </cfRule>
    <cfRule type="cellIs" dxfId="11191" priority="170" operator="lessThan">
      <formula>15</formula>
    </cfRule>
    <cfRule type="cellIs" dxfId="11190" priority="171" operator="greaterThan">
      <formula>21</formula>
    </cfRule>
  </conditionalFormatting>
  <conditionalFormatting sqref="M9:M39">
    <cfRule type="cellIs" dxfId="11189" priority="154" operator="lessThan">
      <formula>15</formula>
    </cfRule>
    <cfRule type="cellIs" dxfId="11188" priority="155" operator="greaterThan">
      <formula>20</formula>
    </cfRule>
    <cfRule type="cellIs" dxfId="11187" priority="156" operator="between">
      <formula>15</formula>
      <formula>20</formula>
    </cfRule>
    <cfRule type="cellIs" dxfId="11186" priority="157" operator="between">
      <formula>15</formula>
      <formula>20</formula>
    </cfRule>
    <cfRule type="cellIs" dxfId="11185" priority="158" operator="lessThan">
      <formula>15</formula>
    </cfRule>
    <cfRule type="cellIs" dxfId="11184" priority="159" operator="greaterThan">
      <formula>20</formula>
    </cfRule>
    <cfRule type="cellIs" dxfId="11183" priority="160" operator="between">
      <formula>15</formula>
      <formula>21</formula>
    </cfRule>
    <cfRule type="cellIs" dxfId="11182" priority="161" operator="lessThan">
      <formula>15</formula>
    </cfRule>
    <cfRule type="cellIs" dxfId="11181" priority="162" operator="greaterThan">
      <formula>21</formula>
    </cfRule>
  </conditionalFormatting>
  <conditionalFormatting sqref="M9:M39">
    <cfRule type="cellIs" dxfId="11180" priority="145" operator="lessThan">
      <formula>15</formula>
    </cfRule>
    <cfRule type="cellIs" dxfId="11179" priority="146" operator="greaterThan">
      <formula>20</formula>
    </cfRule>
    <cfRule type="cellIs" dxfId="11178" priority="147" operator="between">
      <formula>15</formula>
      <formula>20</formula>
    </cfRule>
    <cfRule type="cellIs" dxfId="11177" priority="148" operator="between">
      <formula>15</formula>
      <formula>20</formula>
    </cfRule>
    <cfRule type="cellIs" dxfId="11176" priority="149" operator="lessThan">
      <formula>15</formula>
    </cfRule>
    <cfRule type="cellIs" dxfId="11175" priority="150" operator="greaterThan">
      <formula>20</formula>
    </cfRule>
    <cfRule type="cellIs" dxfId="11174" priority="151" operator="between">
      <formula>15</formula>
      <formula>21</formula>
    </cfRule>
    <cfRule type="cellIs" dxfId="11173" priority="152" operator="lessThan">
      <formula>15</formula>
    </cfRule>
    <cfRule type="cellIs" dxfId="11172" priority="153" operator="greaterThan">
      <formula>21</formula>
    </cfRule>
  </conditionalFormatting>
  <conditionalFormatting sqref="M9:M39">
    <cfRule type="cellIs" dxfId="11171" priority="136" operator="lessThan">
      <formula>15</formula>
    </cfRule>
    <cfRule type="cellIs" dxfId="11170" priority="137" operator="greaterThan">
      <formula>20</formula>
    </cfRule>
    <cfRule type="cellIs" dxfId="11169" priority="138" operator="between">
      <formula>15</formula>
      <formula>20</formula>
    </cfRule>
    <cfRule type="cellIs" dxfId="11168" priority="139" operator="between">
      <formula>15</formula>
      <formula>20</formula>
    </cfRule>
    <cfRule type="cellIs" dxfId="11167" priority="140" operator="lessThan">
      <formula>15</formula>
    </cfRule>
    <cfRule type="cellIs" dxfId="11166" priority="141" operator="greaterThan">
      <formula>20</formula>
    </cfRule>
    <cfRule type="cellIs" dxfId="11165" priority="142" operator="between">
      <formula>15</formula>
      <formula>21</formula>
    </cfRule>
    <cfRule type="cellIs" dxfId="11164" priority="143" operator="lessThan">
      <formula>15</formula>
    </cfRule>
    <cfRule type="cellIs" dxfId="11163" priority="144" operator="greaterThan">
      <formula>21</formula>
    </cfRule>
  </conditionalFormatting>
  <conditionalFormatting sqref="M9:M39">
    <cfRule type="cellIs" dxfId="11162" priority="127" operator="lessThan">
      <formula>15</formula>
    </cfRule>
    <cfRule type="cellIs" dxfId="11161" priority="128" operator="greaterThan">
      <formula>20</formula>
    </cfRule>
    <cfRule type="cellIs" dxfId="11160" priority="129" operator="between">
      <formula>15</formula>
      <formula>20</formula>
    </cfRule>
    <cfRule type="cellIs" dxfId="11159" priority="130" operator="between">
      <formula>15</formula>
      <formula>20</formula>
    </cfRule>
    <cfRule type="cellIs" dxfId="11158" priority="131" operator="lessThan">
      <formula>15</formula>
    </cfRule>
    <cfRule type="cellIs" dxfId="11157" priority="132" operator="greaterThan">
      <formula>20</formula>
    </cfRule>
    <cfRule type="cellIs" dxfId="11156" priority="133" operator="between">
      <formula>15</formula>
      <formula>21</formula>
    </cfRule>
    <cfRule type="cellIs" dxfId="11155" priority="134" operator="lessThan">
      <formula>15</formula>
    </cfRule>
    <cfRule type="cellIs" dxfId="11154" priority="135" operator="greaterThan">
      <formula>21</formula>
    </cfRule>
  </conditionalFormatting>
  <conditionalFormatting sqref="M9:M39">
    <cfRule type="cellIs" dxfId="11153" priority="118" operator="lessThan">
      <formula>15</formula>
    </cfRule>
    <cfRule type="cellIs" dxfId="11152" priority="119" operator="greaterThan">
      <formula>20</formula>
    </cfRule>
    <cfRule type="cellIs" dxfId="11151" priority="120" operator="between">
      <formula>15</formula>
      <formula>20</formula>
    </cfRule>
    <cfRule type="cellIs" dxfId="11150" priority="121" operator="between">
      <formula>15</formula>
      <formula>20</formula>
    </cfRule>
    <cfRule type="cellIs" dxfId="11149" priority="122" operator="lessThan">
      <formula>15</formula>
    </cfRule>
    <cfRule type="cellIs" dxfId="11148" priority="123" operator="greaterThan">
      <formula>20</formula>
    </cfRule>
    <cfRule type="cellIs" dxfId="11147" priority="124" operator="between">
      <formula>15</formula>
      <formula>21</formula>
    </cfRule>
    <cfRule type="cellIs" dxfId="11146" priority="125" operator="lessThan">
      <formula>15</formula>
    </cfRule>
    <cfRule type="cellIs" dxfId="11145" priority="126" operator="greaterThan">
      <formula>21</formula>
    </cfRule>
  </conditionalFormatting>
  <conditionalFormatting sqref="M9:M39">
    <cfRule type="cellIs" dxfId="11144" priority="109" operator="lessThan">
      <formula>15</formula>
    </cfRule>
    <cfRule type="cellIs" dxfId="11143" priority="110" operator="greaterThan">
      <formula>20</formula>
    </cfRule>
    <cfRule type="cellIs" dxfId="11142" priority="111" operator="between">
      <formula>15</formula>
      <formula>20</formula>
    </cfRule>
    <cfRule type="cellIs" dxfId="11141" priority="112" operator="between">
      <formula>15</formula>
      <formula>20</formula>
    </cfRule>
    <cfRule type="cellIs" dxfId="11140" priority="113" operator="lessThan">
      <formula>15</formula>
    </cfRule>
    <cfRule type="cellIs" dxfId="11139" priority="114" operator="greaterThan">
      <formula>20</formula>
    </cfRule>
    <cfRule type="cellIs" dxfId="11138" priority="115" operator="between">
      <formula>15</formula>
      <formula>21</formula>
    </cfRule>
    <cfRule type="cellIs" dxfId="11137" priority="116" operator="lessThan">
      <formula>15</formula>
    </cfRule>
    <cfRule type="cellIs" dxfId="11136" priority="117" operator="greaterThan">
      <formula>21</formula>
    </cfRule>
  </conditionalFormatting>
  <conditionalFormatting sqref="M9:M39">
    <cfRule type="cellIs" dxfId="11135" priority="100" operator="lessThan">
      <formula>15</formula>
    </cfRule>
    <cfRule type="cellIs" dxfId="11134" priority="101" operator="greaterThan">
      <formula>20</formula>
    </cfRule>
    <cfRule type="cellIs" dxfId="11133" priority="102" operator="between">
      <formula>15</formula>
      <formula>20</formula>
    </cfRule>
    <cfRule type="cellIs" dxfId="11132" priority="103" operator="between">
      <formula>15</formula>
      <formula>20</formula>
    </cfRule>
    <cfRule type="cellIs" dxfId="11131" priority="104" operator="lessThan">
      <formula>15</formula>
    </cfRule>
    <cfRule type="cellIs" dxfId="11130" priority="105" operator="greaterThan">
      <formula>20</formula>
    </cfRule>
    <cfRule type="cellIs" dxfId="11129" priority="106" operator="between">
      <formula>15</formula>
      <formula>21</formula>
    </cfRule>
    <cfRule type="cellIs" dxfId="11128" priority="107" operator="lessThan">
      <formula>15</formula>
    </cfRule>
    <cfRule type="cellIs" dxfId="11127" priority="108" operator="greaterThan">
      <formula>21</formula>
    </cfRule>
  </conditionalFormatting>
  <conditionalFormatting sqref="M9:M39">
    <cfRule type="cellIs" dxfId="11126" priority="91" operator="lessThan">
      <formula>15</formula>
    </cfRule>
    <cfRule type="cellIs" dxfId="11125" priority="92" operator="greaterThan">
      <formula>20</formula>
    </cfRule>
    <cfRule type="cellIs" dxfId="11124" priority="93" operator="between">
      <formula>15</formula>
      <formula>20</formula>
    </cfRule>
    <cfRule type="cellIs" dxfId="11123" priority="94" operator="between">
      <formula>15</formula>
      <formula>20</formula>
    </cfRule>
    <cfRule type="cellIs" dxfId="11122" priority="95" operator="lessThan">
      <formula>15</formula>
    </cfRule>
    <cfRule type="cellIs" dxfId="11121" priority="96" operator="greaterThan">
      <formula>20</formula>
    </cfRule>
    <cfRule type="cellIs" dxfId="11120" priority="97" operator="between">
      <formula>15</formula>
      <formula>21</formula>
    </cfRule>
    <cfRule type="cellIs" dxfId="11119" priority="98" operator="lessThan">
      <formula>15</formula>
    </cfRule>
    <cfRule type="cellIs" dxfId="11118" priority="99" operator="greaterThan">
      <formula>21</formula>
    </cfRule>
  </conditionalFormatting>
  <conditionalFormatting sqref="M9:M39">
    <cfRule type="cellIs" dxfId="11117" priority="82" operator="lessThan">
      <formula>15</formula>
    </cfRule>
    <cfRule type="cellIs" dxfId="11116" priority="83" operator="greaterThan">
      <formula>20</formula>
    </cfRule>
    <cfRule type="cellIs" dxfId="11115" priority="84" operator="between">
      <formula>15</formula>
      <formula>20</formula>
    </cfRule>
    <cfRule type="cellIs" dxfId="11114" priority="85" operator="between">
      <formula>15</formula>
      <formula>20</formula>
    </cfRule>
    <cfRule type="cellIs" dxfId="11113" priority="86" operator="lessThan">
      <formula>15</formula>
    </cfRule>
    <cfRule type="cellIs" dxfId="11112" priority="87" operator="greaterThan">
      <formula>20</formula>
    </cfRule>
    <cfRule type="cellIs" dxfId="11111" priority="88" operator="between">
      <formula>15</formula>
      <formula>21</formula>
    </cfRule>
    <cfRule type="cellIs" dxfId="11110" priority="89" operator="lessThan">
      <formula>15</formula>
    </cfRule>
    <cfRule type="cellIs" dxfId="11109" priority="90" operator="greaterThan">
      <formula>21</formula>
    </cfRule>
  </conditionalFormatting>
  <conditionalFormatting sqref="M9:M39">
    <cfRule type="cellIs" dxfId="11108" priority="73" operator="lessThan">
      <formula>15</formula>
    </cfRule>
    <cfRule type="cellIs" dxfId="11107" priority="74" operator="greaterThan">
      <formula>20</formula>
    </cfRule>
    <cfRule type="cellIs" dxfId="11106" priority="75" operator="between">
      <formula>15</formula>
      <formula>20</formula>
    </cfRule>
    <cfRule type="cellIs" dxfId="11105" priority="76" operator="between">
      <formula>15</formula>
      <formula>20</formula>
    </cfRule>
    <cfRule type="cellIs" dxfId="11104" priority="77" operator="lessThan">
      <formula>15</formula>
    </cfRule>
    <cfRule type="cellIs" dxfId="11103" priority="78" operator="greaterThan">
      <formula>20</formula>
    </cfRule>
    <cfRule type="cellIs" dxfId="11102" priority="79" operator="between">
      <formula>15</formula>
      <formula>21</formula>
    </cfRule>
    <cfRule type="cellIs" dxfId="11101" priority="80" operator="lessThan">
      <formula>15</formula>
    </cfRule>
    <cfRule type="cellIs" dxfId="11100" priority="81" operator="greaterThan">
      <formula>21</formula>
    </cfRule>
  </conditionalFormatting>
  <conditionalFormatting sqref="M9:M39">
    <cfRule type="cellIs" dxfId="11099" priority="64" operator="lessThan">
      <formula>15</formula>
    </cfRule>
    <cfRule type="cellIs" dxfId="11098" priority="65" operator="greaterThan">
      <formula>20</formula>
    </cfRule>
    <cfRule type="cellIs" dxfId="11097" priority="66" operator="between">
      <formula>15</formula>
      <formula>20</formula>
    </cfRule>
    <cfRule type="cellIs" dxfId="11096" priority="67" operator="between">
      <formula>15</formula>
      <formula>20</formula>
    </cfRule>
    <cfRule type="cellIs" dxfId="11095" priority="68" operator="lessThan">
      <formula>15</formula>
    </cfRule>
    <cfRule type="cellIs" dxfId="11094" priority="69" operator="greaterThan">
      <formula>20</formula>
    </cfRule>
    <cfRule type="cellIs" dxfId="11093" priority="70" operator="between">
      <formula>15</formula>
      <formula>21</formula>
    </cfRule>
    <cfRule type="cellIs" dxfId="11092" priority="71" operator="lessThan">
      <formula>15</formula>
    </cfRule>
    <cfRule type="cellIs" dxfId="11091" priority="72" operator="greaterThan">
      <formula>21</formula>
    </cfRule>
  </conditionalFormatting>
  <conditionalFormatting sqref="M9:M39">
    <cfRule type="cellIs" dxfId="11090" priority="55" operator="lessThan">
      <formula>15</formula>
    </cfRule>
    <cfRule type="cellIs" dxfId="11089" priority="56" operator="greaterThan">
      <formula>20</formula>
    </cfRule>
    <cfRule type="cellIs" dxfId="11088" priority="57" operator="between">
      <formula>15</formula>
      <formula>20</formula>
    </cfRule>
    <cfRule type="cellIs" dxfId="11087" priority="58" operator="between">
      <formula>15</formula>
      <formula>20</formula>
    </cfRule>
    <cfRule type="cellIs" dxfId="11086" priority="59" operator="lessThan">
      <formula>15</formula>
    </cfRule>
    <cfRule type="cellIs" dxfId="11085" priority="60" operator="greaterThan">
      <formula>20</formula>
    </cfRule>
    <cfRule type="cellIs" dxfId="11084" priority="61" operator="between">
      <formula>15</formula>
      <formula>21</formula>
    </cfRule>
    <cfRule type="cellIs" dxfId="11083" priority="62" operator="lessThan">
      <formula>15</formula>
    </cfRule>
    <cfRule type="cellIs" dxfId="11082" priority="63" operator="greaterThan">
      <formula>21</formula>
    </cfRule>
  </conditionalFormatting>
  <conditionalFormatting sqref="M9:M39">
    <cfRule type="cellIs" dxfId="11081" priority="46" operator="lessThan">
      <formula>15</formula>
    </cfRule>
    <cfRule type="cellIs" dxfId="11080" priority="47" operator="greaterThan">
      <formula>20</formula>
    </cfRule>
    <cfRule type="cellIs" dxfId="11079" priority="48" operator="between">
      <formula>15</formula>
      <formula>20</formula>
    </cfRule>
    <cfRule type="cellIs" dxfId="11078" priority="49" operator="between">
      <formula>15</formula>
      <formula>20</formula>
    </cfRule>
    <cfRule type="cellIs" dxfId="11077" priority="50" operator="lessThan">
      <formula>15</formula>
    </cfRule>
    <cfRule type="cellIs" dxfId="11076" priority="51" operator="greaterThan">
      <formula>20</formula>
    </cfRule>
    <cfRule type="cellIs" dxfId="11075" priority="52" operator="between">
      <formula>15</formula>
      <formula>21</formula>
    </cfRule>
    <cfRule type="cellIs" dxfId="11074" priority="53" operator="lessThan">
      <formula>15</formula>
    </cfRule>
    <cfRule type="cellIs" dxfId="11073" priority="54" operator="greaterThan">
      <formula>21</formula>
    </cfRule>
  </conditionalFormatting>
  <conditionalFormatting sqref="M9:M39">
    <cfRule type="cellIs" dxfId="11072" priority="37" operator="lessThan">
      <formula>15</formula>
    </cfRule>
    <cfRule type="cellIs" dxfId="11071" priority="38" operator="greaterThan">
      <formula>20</formula>
    </cfRule>
    <cfRule type="cellIs" dxfId="11070" priority="39" operator="between">
      <formula>15</formula>
      <formula>20</formula>
    </cfRule>
    <cfRule type="cellIs" dxfId="11069" priority="40" operator="between">
      <formula>15</formula>
      <formula>20</formula>
    </cfRule>
    <cfRule type="cellIs" dxfId="11068" priority="41" operator="lessThan">
      <formula>15</formula>
    </cfRule>
    <cfRule type="cellIs" dxfId="11067" priority="42" operator="greaterThan">
      <formula>20</formula>
    </cfRule>
    <cfRule type="cellIs" dxfId="11066" priority="43" operator="between">
      <formula>15</formula>
      <formula>21</formula>
    </cfRule>
    <cfRule type="cellIs" dxfId="11065" priority="44" operator="lessThan">
      <formula>15</formula>
    </cfRule>
    <cfRule type="cellIs" dxfId="11064" priority="45" operator="greaterThan">
      <formula>21</formula>
    </cfRule>
  </conditionalFormatting>
  <conditionalFormatting sqref="M9:M39">
    <cfRule type="cellIs" dxfId="11063" priority="28" operator="lessThan">
      <formula>15</formula>
    </cfRule>
    <cfRule type="cellIs" dxfId="11062" priority="29" operator="greaterThan">
      <formula>20</formula>
    </cfRule>
    <cfRule type="cellIs" dxfId="11061" priority="30" operator="between">
      <formula>15</formula>
      <formula>20</formula>
    </cfRule>
    <cfRule type="cellIs" dxfId="11060" priority="31" operator="between">
      <formula>15</formula>
      <formula>20</formula>
    </cfRule>
    <cfRule type="cellIs" dxfId="11059" priority="32" operator="lessThan">
      <formula>15</formula>
    </cfRule>
    <cfRule type="cellIs" dxfId="11058" priority="33" operator="greaterThan">
      <formula>20</formula>
    </cfRule>
    <cfRule type="cellIs" dxfId="11057" priority="34" operator="between">
      <formula>15</formula>
      <formula>21</formula>
    </cfRule>
    <cfRule type="cellIs" dxfId="11056" priority="35" operator="lessThan">
      <formula>15</formula>
    </cfRule>
    <cfRule type="cellIs" dxfId="11055" priority="36" operator="greaterThan">
      <formula>21</formula>
    </cfRule>
  </conditionalFormatting>
  <conditionalFormatting sqref="M9:M39">
    <cfRule type="cellIs" dxfId="11054" priority="19" operator="lessThan">
      <formula>15</formula>
    </cfRule>
    <cfRule type="cellIs" dxfId="11053" priority="20" operator="greaterThan">
      <formula>20</formula>
    </cfRule>
    <cfRule type="cellIs" dxfId="11052" priority="21" operator="between">
      <formula>15</formula>
      <formula>20</formula>
    </cfRule>
    <cfRule type="cellIs" dxfId="11051" priority="22" operator="between">
      <formula>15</formula>
      <formula>20</formula>
    </cfRule>
    <cfRule type="cellIs" dxfId="11050" priority="23" operator="lessThan">
      <formula>15</formula>
    </cfRule>
    <cfRule type="cellIs" dxfId="11049" priority="24" operator="greaterThan">
      <formula>20</formula>
    </cfRule>
    <cfRule type="cellIs" dxfId="11048" priority="25" operator="between">
      <formula>15</formula>
      <formula>21</formula>
    </cfRule>
    <cfRule type="cellIs" dxfId="11047" priority="26" operator="lessThan">
      <formula>15</formula>
    </cfRule>
    <cfRule type="cellIs" dxfId="11046" priority="27" operator="greaterThan">
      <formula>21</formula>
    </cfRule>
  </conditionalFormatting>
  <conditionalFormatting sqref="M9:M39">
    <cfRule type="cellIs" dxfId="11045" priority="10" operator="lessThan">
      <formula>15</formula>
    </cfRule>
    <cfRule type="cellIs" dxfId="11044" priority="11" operator="greaterThan">
      <formula>20</formula>
    </cfRule>
    <cfRule type="cellIs" dxfId="11043" priority="12" operator="between">
      <formula>15</formula>
      <formula>20</formula>
    </cfRule>
    <cfRule type="cellIs" dxfId="11042" priority="13" operator="between">
      <formula>15</formula>
      <formula>20</formula>
    </cfRule>
    <cfRule type="cellIs" dxfId="11041" priority="14" operator="lessThan">
      <formula>15</formula>
    </cfRule>
    <cfRule type="cellIs" dxfId="11040" priority="15" operator="greaterThan">
      <formula>20</formula>
    </cfRule>
    <cfRule type="cellIs" dxfId="11039" priority="16" operator="between">
      <formula>15</formula>
      <formula>21</formula>
    </cfRule>
    <cfRule type="cellIs" dxfId="11038" priority="17" operator="lessThan">
      <formula>15</formula>
    </cfRule>
    <cfRule type="cellIs" dxfId="11037" priority="18" operator="greaterThan">
      <formula>21</formula>
    </cfRule>
  </conditionalFormatting>
  <conditionalFormatting sqref="M9:M39">
    <cfRule type="cellIs" dxfId="11036" priority="1" operator="lessThan">
      <formula>15</formula>
    </cfRule>
    <cfRule type="cellIs" dxfId="11035" priority="2" operator="greaterThan">
      <formula>20</formula>
    </cfRule>
    <cfRule type="cellIs" dxfId="11034" priority="3" operator="between">
      <formula>15</formula>
      <formula>20</formula>
    </cfRule>
    <cfRule type="cellIs" dxfId="11033" priority="4" operator="between">
      <formula>15</formula>
      <formula>20</formula>
    </cfRule>
    <cfRule type="cellIs" dxfId="11032" priority="5" operator="lessThan">
      <formula>15</formula>
    </cfRule>
    <cfRule type="cellIs" dxfId="11031" priority="6" operator="greaterThan">
      <formula>20</formula>
    </cfRule>
    <cfRule type="cellIs" dxfId="11030" priority="7" operator="between">
      <formula>15</formula>
      <formula>21</formula>
    </cfRule>
    <cfRule type="cellIs" dxfId="11029" priority="8" operator="lessThan">
      <formula>15</formula>
    </cfRule>
    <cfRule type="cellIs" dxfId="11028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C49"/>
  <sheetViews>
    <sheetView workbookViewId="0">
      <pane ySplit="8" topLeftCell="A9" activePane="bottomLeft" state="frozen"/>
      <selection pane="bottomLeft" activeCell="E10" sqref="E10:E1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8" width="8.42578125" style="143" customWidth="1"/>
    <col min="19" max="19" width="11.5703125" style="143" bestFit="1" customWidth="1"/>
    <col min="20" max="20" width="11.42578125" style="143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243" customFormat="1" ht="15" customHeight="1">
      <c r="A4" s="1600" t="s">
        <v>33</v>
      </c>
      <c r="B4" s="1600"/>
      <c r="C4" s="316" t="str">
        <f>J4</f>
        <v>FRIT FV150/521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1041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30113.919000000002</v>
      </c>
      <c r="E8" s="388">
        <f>K8</f>
        <v>31467</v>
      </c>
      <c r="F8" s="389"/>
      <c r="G8" s="388"/>
      <c r="H8" s="387"/>
      <c r="I8" s="388"/>
      <c r="J8" s="937">
        <f>K8-K8*N8</f>
        <v>30113.919000000002</v>
      </c>
      <c r="K8" s="937">
        <v>31467</v>
      </c>
      <c r="L8" s="462"/>
      <c r="M8" s="463"/>
      <c r="N8" s="366">
        <v>4.2999999999999997E-2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1845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30113.919000000002</v>
      </c>
      <c r="K9" s="459">
        <f t="shared" si="0"/>
        <v>31467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16.321907317073173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0</v>
      </c>
      <c r="G10" s="1424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0"/>
        <v>30113.919000000002</v>
      </c>
      <c r="K10" s="459">
        <f t="shared" si="0"/>
        <v>31467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16.321907317073173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0"/>
        <v>30113.919000000002</v>
      </c>
      <c r="K11" s="459">
        <f t="shared" si="0"/>
        <v>31467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16.321907317073173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0</v>
      </c>
      <c r="G12" s="1424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0"/>
        <v>30113.919000000002</v>
      </c>
      <c r="K12" s="459">
        <f t="shared" si="0"/>
        <v>31467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16.321907317073173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0</v>
      </c>
      <c r="G13" s="1424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0"/>
        <v>30113.919000000002</v>
      </c>
      <c r="K13" s="459">
        <f t="shared" si="0"/>
        <v>31467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16.321907317073173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0</v>
      </c>
      <c r="G14" s="1424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0"/>
        <v>30113.919000000002</v>
      </c>
      <c r="K14" s="459">
        <f t="shared" si="0"/>
        <v>31467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16.321907317073173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0</v>
      </c>
      <c r="G15" s="1424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0"/>
        <v>30113.919000000002</v>
      </c>
      <c r="K15" s="459">
        <f t="shared" si="0"/>
        <v>31467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16.321907317073173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0</v>
      </c>
      <c r="G16" s="1424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0"/>
        <v>30113.919000000002</v>
      </c>
      <c r="K16" s="459">
        <f t="shared" si="0"/>
        <v>31467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16.321907317073173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0</v>
      </c>
      <c r="G17" s="1424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0"/>
        <v>30113.919000000002</v>
      </c>
      <c r="K17" s="459">
        <f t="shared" si="0"/>
        <v>31467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16.321907317073173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0</v>
      </c>
      <c r="G18" s="1424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0"/>
        <v>30113.919000000002</v>
      </c>
      <c r="K18" s="459">
        <f t="shared" si="0"/>
        <v>31467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16.321907317073173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0"/>
        <v>30113.919000000002</v>
      </c>
      <c r="K19" s="459">
        <f t="shared" si="0"/>
        <v>31467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16.321907317073173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0"/>
        <v>30113.919000000002</v>
      </c>
      <c r="K20" s="459">
        <f t="shared" si="0"/>
        <v>31467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16.321907317073173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0"/>
        <v>30113.919000000002</v>
      </c>
      <c r="K21" s="459">
        <f>K20+E21-G21</f>
        <v>31467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16.321907317073173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0"/>
        <v>30113.919000000002</v>
      </c>
      <c r="K22" s="459">
        <f>K21+E22-G22</f>
        <v>31467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16.321907317073173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0</v>
      </c>
      <c r="I23" s="499">
        <f>SUM($G$9:G23)/A23</f>
        <v>0</v>
      </c>
      <c r="J23" s="504">
        <f t="shared" si="0"/>
        <v>30113.919000000002</v>
      </c>
      <c r="K23" s="459">
        <f t="shared" si="0"/>
        <v>31467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16.321907317073173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1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0"/>
        <v>30113.919000000002</v>
      </c>
      <c r="K24" s="459">
        <f>K23+E24-G24</f>
        <v>31467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16.321907317073173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/>
      <c r="E25" s="499"/>
      <c r="F25" s="586">
        <f t="shared" si="2"/>
        <v>0</v>
      </c>
      <c r="G25" s="1424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5">J24+D25-F25</f>
        <v>30113.919000000002</v>
      </c>
      <c r="K25" s="459">
        <f>K24+E25-G25</f>
        <v>31467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16.321907317073173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5"/>
        <v>30113.919000000002</v>
      </c>
      <c r="K26" s="459">
        <f>K25+E26-G26</f>
        <v>31467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16.321907317073173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5"/>
        <v>30113.919000000002</v>
      </c>
      <c r="K27" s="459">
        <f>K26+E27-G27</f>
        <v>31467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16.321907317073173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5"/>
        <v>30113.919000000002</v>
      </c>
      <c r="K28" s="459">
        <f t="shared" si="5"/>
        <v>31467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16.321907317073173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5"/>
        <v>30113.919000000002</v>
      </c>
      <c r="K29" s="459">
        <f t="shared" si="5"/>
        <v>31467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16.321907317073173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5"/>
        <v>30113.919000000002</v>
      </c>
      <c r="K30" s="459">
        <f t="shared" si="5"/>
        <v>31467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16.321907317073173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5"/>
        <v>30113.919000000002</v>
      </c>
      <c r="K31" s="459">
        <f t="shared" si="5"/>
        <v>31467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16.321907317073173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5"/>
        <v>30113.919000000002</v>
      </c>
      <c r="K32" s="459">
        <f t="shared" si="5"/>
        <v>31467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16.321907317073173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5"/>
        <v>30113.919000000002</v>
      </c>
      <c r="K33" s="459">
        <f t="shared" si="5"/>
        <v>31467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16.321907317073173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5"/>
        <v>30113.919000000002</v>
      </c>
      <c r="K34" s="459">
        <f t="shared" si="5"/>
        <v>31467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16.321907317073173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5"/>
        <v>30113.919000000002</v>
      </c>
      <c r="K35" s="459">
        <f t="shared" si="5"/>
        <v>31467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16.321907317073173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5"/>
        <v>30113.919000000002</v>
      </c>
      <c r="K36" s="459">
        <f t="shared" si="5"/>
        <v>31467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16.321907317073173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5"/>
        <v>30113.919000000002</v>
      </c>
      <c r="K37" s="459">
        <f t="shared" si="5"/>
        <v>31467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16.321907317073173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5"/>
        <v>30113.919000000002</v>
      </c>
      <c r="K38" s="459">
        <f t="shared" si="5"/>
        <v>31467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16.321907317073173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5"/>
        <v>30113.919000000002</v>
      </c>
      <c r="K39" s="459">
        <f t="shared" si="5"/>
        <v>31467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16.321907317073173</v>
      </c>
    </row>
    <row r="40" spans="1:19" s="374" customFormat="1" ht="12" customHeight="1">
      <c r="A40" s="1244" t="s">
        <v>29</v>
      </c>
      <c r="B40" s="1245"/>
      <c r="C40" s="1246"/>
      <c r="D40" s="388">
        <f>SUM(D9:D39)</f>
        <v>0</v>
      </c>
      <c r="E40" s="923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30113.919000000002</v>
      </c>
      <c r="K40" s="461">
        <f>K39</f>
        <v>31467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1244" t="s">
        <v>15</v>
      </c>
      <c r="B41" s="1245"/>
      <c r="C41" s="1246"/>
      <c r="D41" s="388">
        <f>D8+D40</f>
        <v>30113.919000000002</v>
      </c>
      <c r="E41" s="388">
        <f>E8+E40</f>
        <v>31467</v>
      </c>
      <c r="F41" s="389">
        <f>F40</f>
        <v>0</v>
      </c>
      <c r="G41" s="496">
        <f>G40</f>
        <v>0</v>
      </c>
      <c r="H41" s="389"/>
      <c r="I41" s="496"/>
      <c r="J41" s="389">
        <f>D41-F41</f>
        <v>30113.919000000002</v>
      </c>
      <c r="K41" s="389">
        <f>E41-G41</f>
        <v>31467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1027" priority="163" operator="lessThan">
      <formula>15</formula>
    </cfRule>
    <cfRule type="cellIs" dxfId="11026" priority="164" operator="greaterThan">
      <formula>20</formula>
    </cfRule>
    <cfRule type="cellIs" dxfId="11025" priority="165" operator="between">
      <formula>15</formula>
      <formula>20</formula>
    </cfRule>
    <cfRule type="cellIs" dxfId="11024" priority="166" operator="between">
      <formula>15</formula>
      <formula>20</formula>
    </cfRule>
    <cfRule type="cellIs" dxfId="11023" priority="167" operator="lessThan">
      <formula>15</formula>
    </cfRule>
    <cfRule type="cellIs" dxfId="11022" priority="168" operator="greaterThan">
      <formula>20</formula>
    </cfRule>
    <cfRule type="cellIs" dxfId="11021" priority="169" operator="between">
      <formula>15</formula>
      <formula>21</formula>
    </cfRule>
    <cfRule type="cellIs" dxfId="11020" priority="170" operator="lessThan">
      <formula>15</formula>
    </cfRule>
    <cfRule type="cellIs" dxfId="11019" priority="171" operator="greaterThan">
      <formula>21</formula>
    </cfRule>
  </conditionalFormatting>
  <conditionalFormatting sqref="M9:M39">
    <cfRule type="cellIs" dxfId="11018" priority="154" operator="lessThan">
      <formula>15</formula>
    </cfRule>
    <cfRule type="cellIs" dxfId="11017" priority="155" operator="greaterThan">
      <formula>20</formula>
    </cfRule>
    <cfRule type="cellIs" dxfId="11016" priority="156" operator="between">
      <formula>15</formula>
      <formula>20</formula>
    </cfRule>
    <cfRule type="cellIs" dxfId="11015" priority="157" operator="between">
      <formula>15</formula>
      <formula>20</formula>
    </cfRule>
    <cfRule type="cellIs" dxfId="11014" priority="158" operator="lessThan">
      <formula>15</formula>
    </cfRule>
    <cfRule type="cellIs" dxfId="11013" priority="159" operator="greaterThan">
      <formula>20</formula>
    </cfRule>
    <cfRule type="cellIs" dxfId="11012" priority="160" operator="between">
      <formula>15</formula>
      <formula>21</formula>
    </cfRule>
    <cfRule type="cellIs" dxfId="11011" priority="161" operator="lessThan">
      <formula>15</formula>
    </cfRule>
    <cfRule type="cellIs" dxfId="11010" priority="162" operator="greaterThan">
      <formula>21</formula>
    </cfRule>
  </conditionalFormatting>
  <conditionalFormatting sqref="M9:M39">
    <cfRule type="cellIs" dxfId="11009" priority="145" operator="lessThan">
      <formula>15</formula>
    </cfRule>
    <cfRule type="cellIs" dxfId="11008" priority="146" operator="greaterThan">
      <formula>20</formula>
    </cfRule>
    <cfRule type="cellIs" dxfId="11007" priority="147" operator="between">
      <formula>15</formula>
      <formula>20</formula>
    </cfRule>
    <cfRule type="cellIs" dxfId="11006" priority="148" operator="between">
      <formula>15</formula>
      <formula>20</formula>
    </cfRule>
    <cfRule type="cellIs" dxfId="11005" priority="149" operator="lessThan">
      <formula>15</formula>
    </cfRule>
    <cfRule type="cellIs" dxfId="11004" priority="150" operator="greaterThan">
      <formula>20</formula>
    </cfRule>
    <cfRule type="cellIs" dxfId="11003" priority="151" operator="between">
      <formula>15</formula>
      <formula>21</formula>
    </cfRule>
    <cfRule type="cellIs" dxfId="11002" priority="152" operator="lessThan">
      <formula>15</formula>
    </cfRule>
    <cfRule type="cellIs" dxfId="11001" priority="153" operator="greaterThan">
      <formula>21</formula>
    </cfRule>
  </conditionalFormatting>
  <conditionalFormatting sqref="M9:M39">
    <cfRule type="cellIs" dxfId="11000" priority="136" operator="lessThan">
      <formula>15</formula>
    </cfRule>
    <cfRule type="cellIs" dxfId="10999" priority="137" operator="greaterThan">
      <formula>20</formula>
    </cfRule>
    <cfRule type="cellIs" dxfId="10998" priority="138" operator="between">
      <formula>15</formula>
      <formula>20</formula>
    </cfRule>
    <cfRule type="cellIs" dxfId="10997" priority="139" operator="between">
      <formula>15</formula>
      <formula>20</formula>
    </cfRule>
    <cfRule type="cellIs" dxfId="10996" priority="140" operator="lessThan">
      <formula>15</formula>
    </cfRule>
    <cfRule type="cellIs" dxfId="10995" priority="141" operator="greaterThan">
      <formula>20</formula>
    </cfRule>
    <cfRule type="cellIs" dxfId="10994" priority="142" operator="between">
      <formula>15</formula>
      <formula>21</formula>
    </cfRule>
    <cfRule type="cellIs" dxfId="10993" priority="143" operator="lessThan">
      <formula>15</formula>
    </cfRule>
    <cfRule type="cellIs" dxfId="10992" priority="144" operator="greaterThan">
      <formula>21</formula>
    </cfRule>
  </conditionalFormatting>
  <conditionalFormatting sqref="M9:M39">
    <cfRule type="cellIs" dxfId="10991" priority="127" operator="lessThan">
      <formula>15</formula>
    </cfRule>
    <cfRule type="cellIs" dxfId="10990" priority="128" operator="greaterThan">
      <formula>20</formula>
    </cfRule>
    <cfRule type="cellIs" dxfId="10989" priority="129" operator="between">
      <formula>15</formula>
      <formula>20</formula>
    </cfRule>
    <cfRule type="cellIs" dxfId="10988" priority="130" operator="between">
      <formula>15</formula>
      <formula>20</formula>
    </cfRule>
    <cfRule type="cellIs" dxfId="10987" priority="131" operator="lessThan">
      <formula>15</formula>
    </cfRule>
    <cfRule type="cellIs" dxfId="10986" priority="132" operator="greaterThan">
      <formula>20</formula>
    </cfRule>
    <cfRule type="cellIs" dxfId="10985" priority="133" operator="between">
      <formula>15</formula>
      <formula>21</formula>
    </cfRule>
    <cfRule type="cellIs" dxfId="10984" priority="134" operator="lessThan">
      <formula>15</formula>
    </cfRule>
    <cfRule type="cellIs" dxfId="10983" priority="135" operator="greaterThan">
      <formula>21</formula>
    </cfRule>
  </conditionalFormatting>
  <conditionalFormatting sqref="M9:M39">
    <cfRule type="cellIs" dxfId="10982" priority="118" operator="lessThan">
      <formula>15</formula>
    </cfRule>
    <cfRule type="cellIs" dxfId="10981" priority="119" operator="greaterThan">
      <formula>20</formula>
    </cfRule>
    <cfRule type="cellIs" dxfId="10980" priority="120" operator="between">
      <formula>15</formula>
      <formula>20</formula>
    </cfRule>
    <cfRule type="cellIs" dxfId="10979" priority="121" operator="between">
      <formula>15</formula>
      <formula>20</formula>
    </cfRule>
    <cfRule type="cellIs" dxfId="10978" priority="122" operator="lessThan">
      <formula>15</formula>
    </cfRule>
    <cfRule type="cellIs" dxfId="10977" priority="123" operator="greaterThan">
      <formula>20</formula>
    </cfRule>
    <cfRule type="cellIs" dxfId="10976" priority="124" operator="between">
      <formula>15</formula>
      <formula>21</formula>
    </cfRule>
    <cfRule type="cellIs" dxfId="10975" priority="125" operator="lessThan">
      <formula>15</formula>
    </cfRule>
    <cfRule type="cellIs" dxfId="10974" priority="126" operator="greaterThan">
      <formula>21</formula>
    </cfRule>
  </conditionalFormatting>
  <conditionalFormatting sqref="M9:M39">
    <cfRule type="cellIs" dxfId="10973" priority="109" operator="lessThan">
      <formula>15</formula>
    </cfRule>
    <cfRule type="cellIs" dxfId="10972" priority="110" operator="greaterThan">
      <formula>20</formula>
    </cfRule>
    <cfRule type="cellIs" dxfId="10971" priority="111" operator="between">
      <formula>15</formula>
      <formula>20</formula>
    </cfRule>
    <cfRule type="cellIs" dxfId="10970" priority="112" operator="between">
      <formula>15</formula>
      <formula>20</formula>
    </cfRule>
    <cfRule type="cellIs" dxfId="10969" priority="113" operator="lessThan">
      <formula>15</formula>
    </cfRule>
    <cfRule type="cellIs" dxfId="10968" priority="114" operator="greaterThan">
      <formula>20</formula>
    </cfRule>
    <cfRule type="cellIs" dxfId="10967" priority="115" operator="between">
      <formula>15</formula>
      <formula>21</formula>
    </cfRule>
    <cfRule type="cellIs" dxfId="10966" priority="116" operator="lessThan">
      <formula>15</formula>
    </cfRule>
    <cfRule type="cellIs" dxfId="10965" priority="117" operator="greaterThan">
      <formula>21</formula>
    </cfRule>
  </conditionalFormatting>
  <conditionalFormatting sqref="M9:M39">
    <cfRule type="cellIs" dxfId="10964" priority="100" operator="lessThan">
      <formula>15</formula>
    </cfRule>
    <cfRule type="cellIs" dxfId="10963" priority="101" operator="greaterThan">
      <formula>20</formula>
    </cfRule>
    <cfRule type="cellIs" dxfId="10962" priority="102" operator="between">
      <formula>15</formula>
      <formula>20</formula>
    </cfRule>
    <cfRule type="cellIs" dxfId="10961" priority="103" operator="between">
      <formula>15</formula>
      <formula>20</formula>
    </cfRule>
    <cfRule type="cellIs" dxfId="10960" priority="104" operator="lessThan">
      <formula>15</formula>
    </cfRule>
    <cfRule type="cellIs" dxfId="10959" priority="105" operator="greaterThan">
      <formula>20</formula>
    </cfRule>
    <cfRule type="cellIs" dxfId="10958" priority="106" operator="between">
      <formula>15</formula>
      <formula>21</formula>
    </cfRule>
    <cfRule type="cellIs" dxfId="10957" priority="107" operator="lessThan">
      <formula>15</formula>
    </cfRule>
    <cfRule type="cellIs" dxfId="10956" priority="108" operator="greaterThan">
      <formula>21</formula>
    </cfRule>
  </conditionalFormatting>
  <conditionalFormatting sqref="M9:M39">
    <cfRule type="cellIs" dxfId="10955" priority="91" operator="lessThan">
      <formula>15</formula>
    </cfRule>
    <cfRule type="cellIs" dxfId="10954" priority="92" operator="greaterThan">
      <formula>20</formula>
    </cfRule>
    <cfRule type="cellIs" dxfId="10953" priority="93" operator="between">
      <formula>15</formula>
      <formula>20</formula>
    </cfRule>
    <cfRule type="cellIs" dxfId="10952" priority="94" operator="between">
      <formula>15</formula>
      <formula>20</formula>
    </cfRule>
    <cfRule type="cellIs" dxfId="10951" priority="95" operator="lessThan">
      <formula>15</formula>
    </cfRule>
    <cfRule type="cellIs" dxfId="10950" priority="96" operator="greaterThan">
      <formula>20</formula>
    </cfRule>
    <cfRule type="cellIs" dxfId="10949" priority="97" operator="between">
      <formula>15</formula>
      <formula>21</formula>
    </cfRule>
    <cfRule type="cellIs" dxfId="10948" priority="98" operator="lessThan">
      <formula>15</formula>
    </cfRule>
    <cfRule type="cellIs" dxfId="10947" priority="99" operator="greaterThan">
      <formula>21</formula>
    </cfRule>
  </conditionalFormatting>
  <conditionalFormatting sqref="M9:M39">
    <cfRule type="cellIs" dxfId="10946" priority="82" operator="lessThan">
      <formula>15</formula>
    </cfRule>
    <cfRule type="cellIs" dxfId="10945" priority="83" operator="greaterThan">
      <formula>20</formula>
    </cfRule>
    <cfRule type="cellIs" dxfId="10944" priority="84" operator="between">
      <formula>15</formula>
      <formula>20</formula>
    </cfRule>
    <cfRule type="cellIs" dxfId="10943" priority="85" operator="between">
      <formula>15</formula>
      <formula>20</formula>
    </cfRule>
    <cfRule type="cellIs" dxfId="10942" priority="86" operator="lessThan">
      <formula>15</formula>
    </cfRule>
    <cfRule type="cellIs" dxfId="10941" priority="87" operator="greaterThan">
      <formula>20</formula>
    </cfRule>
    <cfRule type="cellIs" dxfId="10940" priority="88" operator="between">
      <formula>15</formula>
      <formula>21</formula>
    </cfRule>
    <cfRule type="cellIs" dxfId="10939" priority="89" operator="lessThan">
      <formula>15</formula>
    </cfRule>
    <cfRule type="cellIs" dxfId="10938" priority="90" operator="greaterThan">
      <formula>21</formula>
    </cfRule>
  </conditionalFormatting>
  <conditionalFormatting sqref="M9:M39">
    <cfRule type="cellIs" dxfId="10937" priority="73" operator="lessThan">
      <formula>15</formula>
    </cfRule>
    <cfRule type="cellIs" dxfId="10936" priority="74" operator="greaterThan">
      <formula>20</formula>
    </cfRule>
    <cfRule type="cellIs" dxfId="10935" priority="75" operator="between">
      <formula>15</formula>
      <formula>20</formula>
    </cfRule>
    <cfRule type="cellIs" dxfId="10934" priority="76" operator="between">
      <formula>15</formula>
      <formula>20</formula>
    </cfRule>
    <cfRule type="cellIs" dxfId="10933" priority="77" operator="lessThan">
      <formula>15</formula>
    </cfRule>
    <cfRule type="cellIs" dxfId="10932" priority="78" operator="greaterThan">
      <formula>20</formula>
    </cfRule>
    <cfRule type="cellIs" dxfId="10931" priority="79" operator="between">
      <formula>15</formula>
      <formula>21</formula>
    </cfRule>
    <cfRule type="cellIs" dxfId="10930" priority="80" operator="lessThan">
      <formula>15</formula>
    </cfRule>
    <cfRule type="cellIs" dxfId="10929" priority="81" operator="greaterThan">
      <formula>21</formula>
    </cfRule>
  </conditionalFormatting>
  <conditionalFormatting sqref="M9:M39">
    <cfRule type="cellIs" dxfId="10928" priority="64" operator="lessThan">
      <formula>15</formula>
    </cfRule>
    <cfRule type="cellIs" dxfId="10927" priority="65" operator="greaterThan">
      <formula>20</formula>
    </cfRule>
    <cfRule type="cellIs" dxfId="10926" priority="66" operator="between">
      <formula>15</formula>
      <formula>20</formula>
    </cfRule>
    <cfRule type="cellIs" dxfId="10925" priority="67" operator="between">
      <formula>15</formula>
      <formula>20</formula>
    </cfRule>
    <cfRule type="cellIs" dxfId="10924" priority="68" operator="lessThan">
      <formula>15</formula>
    </cfRule>
    <cfRule type="cellIs" dxfId="10923" priority="69" operator="greaterThan">
      <formula>20</formula>
    </cfRule>
    <cfRule type="cellIs" dxfId="10922" priority="70" operator="between">
      <formula>15</formula>
      <formula>21</formula>
    </cfRule>
    <cfRule type="cellIs" dxfId="10921" priority="71" operator="lessThan">
      <formula>15</formula>
    </cfRule>
    <cfRule type="cellIs" dxfId="10920" priority="72" operator="greaterThan">
      <formula>21</formula>
    </cfRule>
  </conditionalFormatting>
  <conditionalFormatting sqref="M9:M39">
    <cfRule type="cellIs" dxfId="10919" priority="55" operator="lessThan">
      <formula>15</formula>
    </cfRule>
    <cfRule type="cellIs" dxfId="10918" priority="56" operator="greaterThan">
      <formula>20</formula>
    </cfRule>
    <cfRule type="cellIs" dxfId="10917" priority="57" operator="between">
      <formula>15</formula>
      <formula>20</formula>
    </cfRule>
    <cfRule type="cellIs" dxfId="10916" priority="58" operator="between">
      <formula>15</formula>
      <formula>20</formula>
    </cfRule>
    <cfRule type="cellIs" dxfId="10915" priority="59" operator="lessThan">
      <formula>15</formula>
    </cfRule>
    <cfRule type="cellIs" dxfId="10914" priority="60" operator="greaterThan">
      <formula>20</formula>
    </cfRule>
    <cfRule type="cellIs" dxfId="10913" priority="61" operator="between">
      <formula>15</formula>
      <formula>21</formula>
    </cfRule>
    <cfRule type="cellIs" dxfId="10912" priority="62" operator="lessThan">
      <formula>15</formula>
    </cfRule>
    <cfRule type="cellIs" dxfId="10911" priority="63" operator="greaterThan">
      <formula>21</formula>
    </cfRule>
  </conditionalFormatting>
  <conditionalFormatting sqref="M9:M39">
    <cfRule type="cellIs" dxfId="10910" priority="46" operator="lessThan">
      <formula>15</formula>
    </cfRule>
    <cfRule type="cellIs" dxfId="10909" priority="47" operator="greaterThan">
      <formula>20</formula>
    </cfRule>
    <cfRule type="cellIs" dxfId="10908" priority="48" operator="between">
      <formula>15</formula>
      <formula>20</formula>
    </cfRule>
    <cfRule type="cellIs" dxfId="10907" priority="49" operator="between">
      <formula>15</formula>
      <formula>20</formula>
    </cfRule>
    <cfRule type="cellIs" dxfId="10906" priority="50" operator="lessThan">
      <formula>15</formula>
    </cfRule>
    <cfRule type="cellIs" dxfId="10905" priority="51" operator="greaterThan">
      <formula>20</formula>
    </cfRule>
    <cfRule type="cellIs" dxfId="10904" priority="52" operator="between">
      <formula>15</formula>
      <formula>21</formula>
    </cfRule>
    <cfRule type="cellIs" dxfId="10903" priority="53" operator="lessThan">
      <formula>15</formula>
    </cfRule>
    <cfRule type="cellIs" dxfId="10902" priority="54" operator="greaterThan">
      <formula>21</formula>
    </cfRule>
  </conditionalFormatting>
  <conditionalFormatting sqref="M9:M39">
    <cfRule type="cellIs" dxfId="10901" priority="37" operator="lessThan">
      <formula>15</formula>
    </cfRule>
    <cfRule type="cellIs" dxfId="10900" priority="38" operator="greaterThan">
      <formula>20</formula>
    </cfRule>
    <cfRule type="cellIs" dxfId="10899" priority="39" operator="between">
      <formula>15</formula>
      <formula>20</formula>
    </cfRule>
    <cfRule type="cellIs" dxfId="10898" priority="40" operator="between">
      <formula>15</formula>
      <formula>20</formula>
    </cfRule>
    <cfRule type="cellIs" dxfId="10897" priority="41" operator="lessThan">
      <formula>15</formula>
    </cfRule>
    <cfRule type="cellIs" dxfId="10896" priority="42" operator="greaterThan">
      <formula>20</formula>
    </cfRule>
    <cfRule type="cellIs" dxfId="10895" priority="43" operator="between">
      <formula>15</formula>
      <formula>21</formula>
    </cfRule>
    <cfRule type="cellIs" dxfId="10894" priority="44" operator="lessThan">
      <formula>15</formula>
    </cfRule>
    <cfRule type="cellIs" dxfId="10893" priority="45" operator="greaterThan">
      <formula>21</formula>
    </cfRule>
  </conditionalFormatting>
  <conditionalFormatting sqref="M9:M39">
    <cfRule type="cellIs" dxfId="10892" priority="28" operator="lessThan">
      <formula>15</formula>
    </cfRule>
    <cfRule type="cellIs" dxfId="10891" priority="29" operator="greaterThan">
      <formula>20</formula>
    </cfRule>
    <cfRule type="cellIs" dxfId="10890" priority="30" operator="between">
      <formula>15</formula>
      <formula>20</formula>
    </cfRule>
    <cfRule type="cellIs" dxfId="10889" priority="31" operator="between">
      <formula>15</formula>
      <formula>20</formula>
    </cfRule>
    <cfRule type="cellIs" dxfId="10888" priority="32" operator="lessThan">
      <formula>15</formula>
    </cfRule>
    <cfRule type="cellIs" dxfId="10887" priority="33" operator="greaterThan">
      <formula>20</formula>
    </cfRule>
    <cfRule type="cellIs" dxfId="10886" priority="34" operator="between">
      <formula>15</formula>
      <formula>21</formula>
    </cfRule>
    <cfRule type="cellIs" dxfId="10885" priority="35" operator="lessThan">
      <formula>15</formula>
    </cfRule>
    <cfRule type="cellIs" dxfId="10884" priority="36" operator="greaterThan">
      <formula>21</formula>
    </cfRule>
  </conditionalFormatting>
  <conditionalFormatting sqref="M9:M39">
    <cfRule type="cellIs" dxfId="10883" priority="19" operator="lessThan">
      <formula>15</formula>
    </cfRule>
    <cfRule type="cellIs" dxfId="10882" priority="20" operator="greaterThan">
      <formula>20</formula>
    </cfRule>
    <cfRule type="cellIs" dxfId="10881" priority="21" operator="between">
      <formula>15</formula>
      <formula>20</formula>
    </cfRule>
    <cfRule type="cellIs" dxfId="10880" priority="22" operator="between">
      <formula>15</formula>
      <formula>20</formula>
    </cfRule>
    <cfRule type="cellIs" dxfId="10879" priority="23" operator="lessThan">
      <formula>15</formula>
    </cfRule>
    <cfRule type="cellIs" dxfId="10878" priority="24" operator="greaterThan">
      <formula>20</formula>
    </cfRule>
    <cfRule type="cellIs" dxfId="10877" priority="25" operator="between">
      <formula>15</formula>
      <formula>21</formula>
    </cfRule>
    <cfRule type="cellIs" dxfId="10876" priority="26" operator="lessThan">
      <formula>15</formula>
    </cfRule>
    <cfRule type="cellIs" dxfId="10875" priority="27" operator="greaterThan">
      <formula>21</formula>
    </cfRule>
  </conditionalFormatting>
  <conditionalFormatting sqref="M9:M39">
    <cfRule type="cellIs" dxfId="10874" priority="10" operator="lessThan">
      <formula>15</formula>
    </cfRule>
    <cfRule type="cellIs" dxfId="10873" priority="11" operator="greaterThan">
      <formula>20</formula>
    </cfRule>
    <cfRule type="cellIs" dxfId="10872" priority="12" operator="between">
      <formula>15</formula>
      <formula>20</formula>
    </cfRule>
    <cfRule type="cellIs" dxfId="10871" priority="13" operator="between">
      <formula>15</formula>
      <formula>20</formula>
    </cfRule>
    <cfRule type="cellIs" dxfId="10870" priority="14" operator="lessThan">
      <formula>15</formula>
    </cfRule>
    <cfRule type="cellIs" dxfId="10869" priority="15" operator="greaterThan">
      <formula>20</formula>
    </cfRule>
    <cfRule type="cellIs" dxfId="10868" priority="16" operator="between">
      <formula>15</formula>
      <formula>21</formula>
    </cfRule>
    <cfRule type="cellIs" dxfId="10867" priority="17" operator="lessThan">
      <formula>15</formula>
    </cfRule>
    <cfRule type="cellIs" dxfId="10866" priority="18" operator="greaterThan">
      <formula>21</formula>
    </cfRule>
  </conditionalFormatting>
  <conditionalFormatting sqref="M9:M39">
    <cfRule type="cellIs" dxfId="10865" priority="1" operator="lessThan">
      <formula>15</formula>
    </cfRule>
    <cfRule type="cellIs" dxfId="10864" priority="2" operator="greaterThan">
      <formula>20</formula>
    </cfRule>
    <cfRule type="cellIs" dxfId="10863" priority="3" operator="between">
      <formula>15</formula>
      <formula>20</formula>
    </cfRule>
    <cfRule type="cellIs" dxfId="10862" priority="4" operator="between">
      <formula>15</formula>
      <formula>20</formula>
    </cfRule>
    <cfRule type="cellIs" dxfId="10861" priority="5" operator="lessThan">
      <formula>15</formula>
    </cfRule>
    <cfRule type="cellIs" dxfId="10860" priority="6" operator="greaterThan">
      <formula>20</formula>
    </cfRule>
    <cfRule type="cellIs" dxfId="10859" priority="7" operator="between">
      <formula>15</formula>
      <formula>21</formula>
    </cfRule>
    <cfRule type="cellIs" dxfId="10858" priority="8" operator="lessThan">
      <formula>15</formula>
    </cfRule>
    <cfRule type="cellIs" dxfId="10857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49"/>
  <sheetViews>
    <sheetView workbookViewId="0">
      <pane ySplit="8" topLeftCell="A15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4" width="10.140625" style="142" customWidth="1"/>
    <col min="5" max="5" width="11.140625" style="142" customWidth="1"/>
    <col min="6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7" width="11.7109375" style="143" customWidth="1"/>
    <col min="18" max="18" width="11.140625" style="143" customWidth="1"/>
    <col min="19" max="19" width="11.5703125" style="143" bestFit="1" customWidth="1"/>
    <col min="20" max="20" width="12.85546875" style="143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979" customFormat="1" ht="15" customHeight="1">
      <c r="A4" s="1600" t="s">
        <v>33</v>
      </c>
      <c r="B4" s="1600"/>
      <c r="C4" s="316" t="str">
        <f>J4</f>
        <v>FIT FO118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781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89964.479999999996</v>
      </c>
      <c r="E8" s="388">
        <f>K8</f>
        <v>90690</v>
      </c>
      <c r="F8" s="389"/>
      <c r="G8" s="388"/>
      <c r="H8" s="387"/>
      <c r="I8" s="388"/>
      <c r="J8" s="937">
        <f>K8-K8*N8</f>
        <v>89964.479999999996</v>
      </c>
      <c r="K8" s="937">
        <v>90690</v>
      </c>
      <c r="L8" s="462"/>
      <c r="M8" s="463"/>
      <c r="N8" s="366">
        <v>8.0000000000000002E-3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3240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3240</v>
      </c>
      <c r="G9" s="1424">
        <f>P9+R9</f>
        <v>3299</v>
      </c>
      <c r="H9" s="498">
        <f>SUM($F$9:F9)/A9</f>
        <v>3240</v>
      </c>
      <c r="I9" s="499">
        <f>SUM($G$9:G9)/A9</f>
        <v>3299</v>
      </c>
      <c r="J9" s="443">
        <f t="shared" ref="J9:K24" si="0">J8+D9-F9</f>
        <v>86724.479999999996</v>
      </c>
      <c r="K9" s="459">
        <f t="shared" si="0"/>
        <v>87391</v>
      </c>
      <c r="L9" s="495">
        <f>J9/H9</f>
        <v>26.766814814814815</v>
      </c>
      <c r="M9" s="464">
        <f>K9/I9</f>
        <v>26.490148529857532</v>
      </c>
      <c r="N9" s="366"/>
      <c r="O9" s="586">
        <v>2025</v>
      </c>
      <c r="P9" s="586">
        <v>2062</v>
      </c>
      <c r="Q9" s="586">
        <v>1215</v>
      </c>
      <c r="R9" s="586">
        <v>1237</v>
      </c>
      <c r="S9" s="647">
        <f>J9/$S$8</f>
        <v>26.766814814814815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2025</v>
      </c>
      <c r="G10" s="1424">
        <f t="shared" si="2"/>
        <v>2062</v>
      </c>
      <c r="H10" s="498">
        <f>SUM($F$9:F10)/A10</f>
        <v>2632.5</v>
      </c>
      <c r="I10" s="499">
        <f>SUM($G$9:G10)/A10</f>
        <v>2680.5</v>
      </c>
      <c r="J10" s="443">
        <f t="shared" si="0"/>
        <v>84699.48</v>
      </c>
      <c r="K10" s="459">
        <f t="shared" si="0"/>
        <v>85329</v>
      </c>
      <c r="L10" s="495">
        <f t="shared" ref="L10:M39" si="3">J10/H10</f>
        <v>32.174541310541308</v>
      </c>
      <c r="M10" s="464">
        <f t="shared" si="3"/>
        <v>31.83324006715165</v>
      </c>
      <c r="N10" s="366"/>
      <c r="O10" s="586">
        <v>2025</v>
      </c>
      <c r="P10" s="586">
        <v>2062</v>
      </c>
      <c r="Q10" s="586"/>
      <c r="R10" s="586"/>
      <c r="S10" s="647">
        <f t="shared" ref="S10:S39" si="4">J10/$S$8</f>
        <v>26.141814814814815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2430</v>
      </c>
      <c r="G11" s="1424">
        <f t="shared" si="2"/>
        <v>2474</v>
      </c>
      <c r="H11" s="498">
        <f>SUM($F$9:F11)/A11</f>
        <v>2565</v>
      </c>
      <c r="I11" s="499">
        <f>SUM($G$9:G11)/A11</f>
        <v>2611.6666666666665</v>
      </c>
      <c r="J11" s="443">
        <f t="shared" si="0"/>
        <v>82269.48</v>
      </c>
      <c r="K11" s="459">
        <f t="shared" si="0"/>
        <v>82855</v>
      </c>
      <c r="L11" s="495">
        <f t="shared" si="3"/>
        <v>32.073871345029239</v>
      </c>
      <c r="M11" s="464">
        <f t="shared" si="3"/>
        <v>31.724952137843015</v>
      </c>
      <c r="N11" s="366"/>
      <c r="O11" s="586">
        <v>1215</v>
      </c>
      <c r="P11" s="586">
        <v>1237</v>
      </c>
      <c r="Q11" s="586">
        <v>1215</v>
      </c>
      <c r="R11" s="586">
        <v>1237</v>
      </c>
      <c r="S11" s="647">
        <f t="shared" si="4"/>
        <v>25.391814814814815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3240</v>
      </c>
      <c r="G12" s="1424">
        <f t="shared" si="2"/>
        <v>3299</v>
      </c>
      <c r="H12" s="498">
        <f>SUM($F$9:F12)/A12</f>
        <v>2733.75</v>
      </c>
      <c r="I12" s="499">
        <f>SUM($G$9:G12)/A12</f>
        <v>2783.5</v>
      </c>
      <c r="J12" s="443">
        <f t="shared" si="0"/>
        <v>79029.48</v>
      </c>
      <c r="K12" s="459">
        <f t="shared" si="0"/>
        <v>79556</v>
      </c>
      <c r="L12" s="495">
        <f t="shared" si="3"/>
        <v>28.908817558299038</v>
      </c>
      <c r="M12" s="464">
        <f t="shared" si="3"/>
        <v>28.581282557930663</v>
      </c>
      <c r="N12" s="366"/>
      <c r="O12" s="586">
        <v>2025</v>
      </c>
      <c r="P12" s="586">
        <v>2062</v>
      </c>
      <c r="Q12" s="586">
        <v>1215</v>
      </c>
      <c r="R12" s="586">
        <v>1237</v>
      </c>
      <c r="S12" s="647">
        <f t="shared" si="4"/>
        <v>24.391814814814815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2430</v>
      </c>
      <c r="G13" s="1424">
        <f t="shared" si="2"/>
        <v>2474</v>
      </c>
      <c r="H13" s="504">
        <f>SUM($F$9:F13)/A13</f>
        <v>2673</v>
      </c>
      <c r="I13" s="499">
        <f>SUM($G$9:G13)/A13</f>
        <v>2721.6</v>
      </c>
      <c r="J13" s="504">
        <f t="shared" si="0"/>
        <v>76599.48</v>
      </c>
      <c r="K13" s="459">
        <f t="shared" si="0"/>
        <v>77082</v>
      </c>
      <c r="L13" s="505">
        <f t="shared" si="3"/>
        <v>28.656745230078563</v>
      </c>
      <c r="M13" s="464">
        <f t="shared" si="3"/>
        <v>28.322310405643741</v>
      </c>
      <c r="N13" s="366"/>
      <c r="O13" s="586">
        <v>1215</v>
      </c>
      <c r="P13" s="586">
        <v>1237</v>
      </c>
      <c r="Q13" s="586">
        <v>1215</v>
      </c>
      <c r="R13" s="586">
        <v>1237</v>
      </c>
      <c r="S13" s="647">
        <f t="shared" si="4"/>
        <v>23.641814814814815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3240</v>
      </c>
      <c r="G14" s="1424">
        <f t="shared" si="2"/>
        <v>3299</v>
      </c>
      <c r="H14" s="498">
        <f>SUM($F$9:F14)/A14</f>
        <v>2767.5</v>
      </c>
      <c r="I14" s="499">
        <f>SUM($G$9:G14)/A14</f>
        <v>2817.8333333333335</v>
      </c>
      <c r="J14" s="443">
        <f t="shared" si="0"/>
        <v>73359.48</v>
      </c>
      <c r="K14" s="459">
        <f t="shared" si="0"/>
        <v>73783</v>
      </c>
      <c r="L14" s="495">
        <f t="shared" si="3"/>
        <v>26.507490514905147</v>
      </c>
      <c r="M14" s="464">
        <f t="shared" si="3"/>
        <v>26.184302359969241</v>
      </c>
      <c r="N14" s="366"/>
      <c r="O14" s="586">
        <v>2025</v>
      </c>
      <c r="P14" s="586">
        <v>2062</v>
      </c>
      <c r="Q14" s="586">
        <v>1215</v>
      </c>
      <c r="R14" s="586">
        <v>1237</v>
      </c>
      <c r="S14" s="647">
        <f t="shared" si="4"/>
        <v>22.641814814814815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3240</v>
      </c>
      <c r="G15" s="1424">
        <f t="shared" si="2"/>
        <v>3299</v>
      </c>
      <c r="H15" s="498">
        <f>SUM($F$9:F15)/A15</f>
        <v>2835</v>
      </c>
      <c r="I15" s="499">
        <f>SUM($G$9:G15)/A15</f>
        <v>2886.5714285714284</v>
      </c>
      <c r="J15" s="443">
        <f t="shared" si="0"/>
        <v>70119.48</v>
      </c>
      <c r="K15" s="459">
        <f t="shared" si="0"/>
        <v>70484</v>
      </c>
      <c r="L15" s="495">
        <f t="shared" si="3"/>
        <v>24.733502645502643</v>
      </c>
      <c r="M15" s="464">
        <f t="shared" si="3"/>
        <v>24.417895674552113</v>
      </c>
      <c r="N15" s="366"/>
      <c r="O15" s="586">
        <v>2025</v>
      </c>
      <c r="P15" s="586">
        <v>2062</v>
      </c>
      <c r="Q15" s="586">
        <v>1215</v>
      </c>
      <c r="R15" s="586">
        <v>1237</v>
      </c>
      <c r="S15" s="647">
        <f t="shared" si="4"/>
        <v>21.641814814814815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3240</v>
      </c>
      <c r="G16" s="1424">
        <f t="shared" si="2"/>
        <v>3299</v>
      </c>
      <c r="H16" s="498">
        <f>SUM($F$9:F16)/A16</f>
        <v>2885.625</v>
      </c>
      <c r="I16" s="499">
        <f>SUM($G$9:G16)/A16</f>
        <v>2938.125</v>
      </c>
      <c r="J16" s="443">
        <f t="shared" si="0"/>
        <v>66879.48</v>
      </c>
      <c r="K16" s="459">
        <f t="shared" si="0"/>
        <v>67185</v>
      </c>
      <c r="L16" s="495">
        <f t="shared" si="3"/>
        <v>23.17677452891488</v>
      </c>
      <c r="M16" s="464">
        <f t="shared" si="3"/>
        <v>22.866624122527121</v>
      </c>
      <c r="N16" s="366"/>
      <c r="O16" s="586">
        <v>2025</v>
      </c>
      <c r="P16" s="586">
        <v>2062</v>
      </c>
      <c r="Q16" s="586">
        <v>1215</v>
      </c>
      <c r="R16" s="586">
        <v>1237</v>
      </c>
      <c r="S16" s="647">
        <f t="shared" si="4"/>
        <v>20.641814814814815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2430</v>
      </c>
      <c r="G17" s="1424">
        <f t="shared" si="2"/>
        <v>2474</v>
      </c>
      <c r="H17" s="498">
        <f>SUM($F$9:F17)/A17</f>
        <v>2835</v>
      </c>
      <c r="I17" s="499">
        <f>SUM($G$9:G17)/A17</f>
        <v>2886.5555555555557</v>
      </c>
      <c r="J17" s="443">
        <f t="shared" si="0"/>
        <v>64449.479999999996</v>
      </c>
      <c r="K17" s="459">
        <f t="shared" si="0"/>
        <v>64711</v>
      </c>
      <c r="L17" s="495">
        <f t="shared" si="3"/>
        <v>22.733502645502643</v>
      </c>
      <c r="M17" s="464">
        <f t="shared" si="3"/>
        <v>22.418068439893759</v>
      </c>
      <c r="N17" s="366"/>
      <c r="O17" s="586">
        <v>1215</v>
      </c>
      <c r="P17" s="586">
        <v>1237</v>
      </c>
      <c r="Q17" s="586">
        <v>1215</v>
      </c>
      <c r="R17" s="586">
        <v>1237</v>
      </c>
      <c r="S17" s="647">
        <f t="shared" si="4"/>
        <v>19.891814814814815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3240</v>
      </c>
      <c r="G18" s="1424">
        <f t="shared" si="2"/>
        <v>3299</v>
      </c>
      <c r="H18" s="504">
        <f>SUM($F$9:F18)/A18</f>
        <v>2875.5</v>
      </c>
      <c r="I18" s="499">
        <f>SUM($G$9:G18)/A18</f>
        <v>2927.8</v>
      </c>
      <c r="J18" s="504">
        <f t="shared" si="0"/>
        <v>61209.479999999996</v>
      </c>
      <c r="K18" s="459">
        <f t="shared" si="0"/>
        <v>61412</v>
      </c>
      <c r="L18" s="505">
        <f t="shared" si="3"/>
        <v>21.28655190401669</v>
      </c>
      <c r="M18" s="464">
        <f t="shared" si="3"/>
        <v>20.975476466971788</v>
      </c>
      <c r="N18" s="366"/>
      <c r="O18" s="586">
        <v>2025</v>
      </c>
      <c r="P18" s="586">
        <v>2062</v>
      </c>
      <c r="Q18" s="586">
        <v>1215</v>
      </c>
      <c r="R18" s="586">
        <v>1237</v>
      </c>
      <c r="S18" s="647">
        <f t="shared" si="4"/>
        <v>18.891814814814815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3990</v>
      </c>
      <c r="G19" s="1424">
        <f t="shared" si="2"/>
        <v>4069</v>
      </c>
      <c r="H19" s="498">
        <f>SUM($F$9:F19)/A19</f>
        <v>2976.818181818182</v>
      </c>
      <c r="I19" s="499">
        <f>SUM($G$9:G19)/A19</f>
        <v>3031.5454545454545</v>
      </c>
      <c r="J19" s="443">
        <f t="shared" si="0"/>
        <v>57219.479999999996</v>
      </c>
      <c r="K19" s="459">
        <f t="shared" si="0"/>
        <v>57343</v>
      </c>
      <c r="L19" s="495">
        <f t="shared" si="3"/>
        <v>19.221691250572604</v>
      </c>
      <c r="M19" s="464">
        <f t="shared" si="3"/>
        <v>18.915434671784567</v>
      </c>
      <c r="N19" s="366"/>
      <c r="O19" s="586">
        <v>2025</v>
      </c>
      <c r="P19" s="586">
        <v>2062</v>
      </c>
      <c r="Q19" s="586">
        <f>1215+750</f>
        <v>1965</v>
      </c>
      <c r="R19" s="586">
        <f>1237+770</f>
        <v>2007</v>
      </c>
      <c r="S19" s="647">
        <f t="shared" si="4"/>
        <v>17.66033333333333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1"/>
        <v>0</v>
      </c>
      <c r="E20" s="499"/>
      <c r="F20" s="586">
        <f t="shared" si="2"/>
        <v>3240</v>
      </c>
      <c r="G20" s="1424">
        <f t="shared" si="2"/>
        <v>3299</v>
      </c>
      <c r="H20" s="498">
        <f>SUM($F$9:F20)/A20</f>
        <v>2998.75</v>
      </c>
      <c r="I20" s="499">
        <f>SUM($G$9:G20)/A20</f>
        <v>3053.8333333333335</v>
      </c>
      <c r="J20" s="443">
        <f t="shared" si="0"/>
        <v>53979.479999999996</v>
      </c>
      <c r="K20" s="459">
        <f t="shared" si="0"/>
        <v>54044</v>
      </c>
      <c r="L20" s="495">
        <f t="shared" si="3"/>
        <v>18.00066027511463</v>
      </c>
      <c r="M20" s="464">
        <f t="shared" si="3"/>
        <v>17.697102002947116</v>
      </c>
      <c r="N20" s="366"/>
      <c r="O20" s="586">
        <v>1215</v>
      </c>
      <c r="P20" s="586">
        <v>1237</v>
      </c>
      <c r="Q20" s="586">
        <f>2025</f>
        <v>2025</v>
      </c>
      <c r="R20" s="586">
        <f>2062</f>
        <v>2062</v>
      </c>
      <c r="S20" s="647">
        <f t="shared" si="4"/>
        <v>16.66033333333333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28000</v>
      </c>
      <c r="E21" s="499">
        <v>28000</v>
      </c>
      <c r="F21" s="586">
        <f t="shared" si="2"/>
        <v>3240</v>
      </c>
      <c r="G21" s="1424">
        <f t="shared" si="2"/>
        <v>3299</v>
      </c>
      <c r="H21" s="498">
        <f>SUM($F$9:F21)/A21</f>
        <v>3017.3076923076924</v>
      </c>
      <c r="I21" s="499">
        <f>SUM($G$9:G21)/A21</f>
        <v>3072.6923076923076</v>
      </c>
      <c r="J21" s="443">
        <f t="shared" si="0"/>
        <v>78739.48</v>
      </c>
      <c r="K21" s="459">
        <f>K20+E21-G21</f>
        <v>78745</v>
      </c>
      <c r="L21" s="495">
        <f t="shared" si="3"/>
        <v>26.095939834289354</v>
      </c>
      <c r="M21" s="464">
        <f t="shared" si="3"/>
        <v>25.627362623607461</v>
      </c>
      <c r="N21" s="366"/>
      <c r="O21" s="586">
        <v>2025</v>
      </c>
      <c r="P21" s="586">
        <v>2062</v>
      </c>
      <c r="Q21" s="586">
        <v>1215</v>
      </c>
      <c r="R21" s="586">
        <v>1237</v>
      </c>
      <c r="S21" s="647">
        <f t="shared" si="4"/>
        <v>24.302308641975308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4050</v>
      </c>
      <c r="G22" s="1424">
        <f t="shared" si="2"/>
        <v>4124</v>
      </c>
      <c r="H22" s="498">
        <f>SUM($F$9:F22)/A22</f>
        <v>3091.0714285714284</v>
      </c>
      <c r="I22" s="499">
        <f>SUM($G$9:G22)/A22</f>
        <v>3147.7857142857142</v>
      </c>
      <c r="J22" s="443">
        <f t="shared" si="0"/>
        <v>74689.48</v>
      </c>
      <c r="K22" s="459">
        <f>K21+E22-G22</f>
        <v>74621</v>
      </c>
      <c r="L22" s="495">
        <f t="shared" si="3"/>
        <v>24.162974465626807</v>
      </c>
      <c r="M22" s="464">
        <f t="shared" si="3"/>
        <v>23.70587033969457</v>
      </c>
      <c r="N22" s="366"/>
      <c r="O22" s="586">
        <v>2025</v>
      </c>
      <c r="P22" s="586">
        <v>2062</v>
      </c>
      <c r="Q22" s="586">
        <v>2025</v>
      </c>
      <c r="R22" s="586">
        <v>2062</v>
      </c>
      <c r="S22" s="647">
        <f t="shared" si="4"/>
        <v>23.052308641975308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3240</v>
      </c>
      <c r="G23" s="1424">
        <f t="shared" si="2"/>
        <v>3299</v>
      </c>
      <c r="H23" s="504">
        <f>SUM($F$9:F23)/A23</f>
        <v>3101</v>
      </c>
      <c r="I23" s="499">
        <f>SUM($G$9:G23)/A23</f>
        <v>3157.8666666666668</v>
      </c>
      <c r="J23" s="504">
        <f t="shared" si="0"/>
        <v>71449.48</v>
      </c>
      <c r="K23" s="459">
        <f t="shared" si="0"/>
        <v>71322</v>
      </c>
      <c r="L23" s="505">
        <f t="shared" si="3"/>
        <v>23.040786842953885</v>
      </c>
      <c r="M23" s="464">
        <f t="shared" si="3"/>
        <v>22.585500760006756</v>
      </c>
      <c r="N23" s="366"/>
      <c r="O23" s="586">
        <v>1215</v>
      </c>
      <c r="P23" s="586">
        <v>1237</v>
      </c>
      <c r="Q23" s="586">
        <v>2025</v>
      </c>
      <c r="R23" s="586">
        <v>2062</v>
      </c>
      <c r="S23" s="647">
        <f t="shared" si="4"/>
        <v>22.052308641975308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1"/>
        <v>0</v>
      </c>
      <c r="E24" s="499"/>
      <c r="F24" s="586">
        <f t="shared" si="2"/>
        <v>4050</v>
      </c>
      <c r="G24" s="1424">
        <f t="shared" si="2"/>
        <v>4124</v>
      </c>
      <c r="H24" s="498">
        <f>SUM($F$9:F24)/A24</f>
        <v>3160.3125</v>
      </c>
      <c r="I24" s="499">
        <f>SUM($G$9:G24)/A24</f>
        <v>3218.25</v>
      </c>
      <c r="J24" s="443">
        <f t="shared" si="0"/>
        <v>67399.48</v>
      </c>
      <c r="K24" s="459">
        <f>K23+E24-G24</f>
        <v>67198</v>
      </c>
      <c r="L24" s="495">
        <f t="shared" si="3"/>
        <v>21.326840304558488</v>
      </c>
      <c r="M24" s="464">
        <f t="shared" si="3"/>
        <v>20.880292084207255</v>
      </c>
      <c r="N24" s="366"/>
      <c r="O24" s="586">
        <v>2025</v>
      </c>
      <c r="P24" s="586">
        <v>2062</v>
      </c>
      <c r="Q24" s="586">
        <v>2025</v>
      </c>
      <c r="R24" s="586">
        <v>2062</v>
      </c>
      <c r="S24" s="647">
        <f t="shared" si="4"/>
        <v>20.802308641975308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>
        <f t="shared" si="1"/>
        <v>0</v>
      </c>
      <c r="E25" s="499"/>
      <c r="F25" s="586">
        <f t="shared" si="2"/>
        <v>3240</v>
      </c>
      <c r="G25" s="1424">
        <f t="shared" si="2"/>
        <v>3299</v>
      </c>
      <c r="H25" s="498">
        <f>SUM($F$9:F25)/A25</f>
        <v>3165</v>
      </c>
      <c r="I25" s="499">
        <f>SUM($G$9:G25)/A25</f>
        <v>3223</v>
      </c>
      <c r="J25" s="443">
        <f t="shared" ref="J25:K39" si="5">J24+D25-F25</f>
        <v>64159.479999999996</v>
      </c>
      <c r="K25" s="459">
        <f>K24+E25-G25</f>
        <v>63899</v>
      </c>
      <c r="L25" s="495">
        <f t="shared" si="3"/>
        <v>20.271557661927329</v>
      </c>
      <c r="M25" s="464">
        <f t="shared" si="3"/>
        <v>19.8259385665529</v>
      </c>
      <c r="N25" s="366"/>
      <c r="O25" s="586">
        <v>1215</v>
      </c>
      <c r="P25" s="586">
        <v>1237</v>
      </c>
      <c r="Q25" s="586">
        <v>2025</v>
      </c>
      <c r="R25" s="586">
        <v>2062</v>
      </c>
      <c r="S25" s="647">
        <f t="shared" si="4"/>
        <v>19.802308641975308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2989.1666666666665</v>
      </c>
      <c r="I26" s="499">
        <f>SUM($G$9:G26)/A26</f>
        <v>3043.9444444444443</v>
      </c>
      <c r="J26" s="443">
        <f t="shared" si="5"/>
        <v>64159.479999999996</v>
      </c>
      <c r="K26" s="459">
        <f>K25+E26-G26</f>
        <v>63899</v>
      </c>
      <c r="L26" s="495">
        <f t="shared" si="3"/>
        <v>21.464002230275998</v>
      </c>
      <c r="M26" s="464">
        <f t="shared" si="3"/>
        <v>20.992170246938368</v>
      </c>
      <c r="N26" s="366"/>
      <c r="O26" s="586"/>
      <c r="P26" s="586"/>
      <c r="Q26" s="586"/>
      <c r="R26" s="586"/>
      <c r="S26" s="647">
        <f t="shared" si="4"/>
        <v>19.802308641975308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2831.8421052631579</v>
      </c>
      <c r="I27" s="499">
        <f>SUM($G$9:G27)/A27</f>
        <v>2883.7368421052633</v>
      </c>
      <c r="J27" s="443">
        <f t="shared" si="5"/>
        <v>64159.479999999996</v>
      </c>
      <c r="K27" s="459">
        <f>K26+E27-G27</f>
        <v>63899</v>
      </c>
      <c r="L27" s="495">
        <f t="shared" si="3"/>
        <v>22.65644679862466</v>
      </c>
      <c r="M27" s="464">
        <f t="shared" si="3"/>
        <v>22.15840192732383</v>
      </c>
      <c r="N27" s="366"/>
      <c r="O27" s="586"/>
      <c r="P27" s="586"/>
      <c r="Q27" s="586"/>
      <c r="R27" s="586"/>
      <c r="S27" s="647">
        <f t="shared" si="4"/>
        <v>19.802308641975308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2690.25</v>
      </c>
      <c r="I28" s="499">
        <f>SUM($G$9:G28)/A28</f>
        <v>2739.55</v>
      </c>
      <c r="J28" s="504">
        <f t="shared" si="5"/>
        <v>64159.479999999996</v>
      </c>
      <c r="K28" s="459">
        <f t="shared" si="5"/>
        <v>63899</v>
      </c>
      <c r="L28" s="505">
        <f t="shared" si="3"/>
        <v>23.848891366973326</v>
      </c>
      <c r="M28" s="464">
        <f t="shared" si="3"/>
        <v>23.324633607709295</v>
      </c>
      <c r="N28" s="366"/>
      <c r="O28" s="586"/>
      <c r="P28" s="586"/>
      <c r="Q28" s="586"/>
      <c r="R28" s="586"/>
      <c r="S28" s="647">
        <f t="shared" si="4"/>
        <v>19.802308641975308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2562.1428571428573</v>
      </c>
      <c r="I29" s="499">
        <f>SUM($G$9:G29)/A29</f>
        <v>2609.0952380952381</v>
      </c>
      <c r="J29" s="443">
        <f t="shared" si="5"/>
        <v>64159.479999999996</v>
      </c>
      <c r="K29" s="459">
        <f t="shared" si="5"/>
        <v>63899</v>
      </c>
      <c r="L29" s="495">
        <f t="shared" si="3"/>
        <v>25.041335935321992</v>
      </c>
      <c r="M29" s="464">
        <f t="shared" si="3"/>
        <v>24.49086528809476</v>
      </c>
      <c r="N29" s="366"/>
      <c r="O29" s="586"/>
      <c r="P29" s="586"/>
      <c r="Q29" s="586"/>
      <c r="R29" s="586"/>
      <c r="S29" s="647">
        <f t="shared" si="4"/>
        <v>19.802308641975308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2445.681818181818</v>
      </c>
      <c r="I30" s="499">
        <f>SUM($G$9:G30)/A30</f>
        <v>2490.5</v>
      </c>
      <c r="J30" s="443">
        <f t="shared" si="5"/>
        <v>64159.479999999996</v>
      </c>
      <c r="K30" s="459">
        <f t="shared" si="5"/>
        <v>63899</v>
      </c>
      <c r="L30" s="495">
        <f t="shared" si="3"/>
        <v>26.233780503670662</v>
      </c>
      <c r="M30" s="464">
        <f t="shared" si="3"/>
        <v>25.657096968480225</v>
      </c>
      <c r="N30" s="366"/>
      <c r="O30" s="586"/>
      <c r="P30" s="586"/>
      <c r="Q30" s="586"/>
      <c r="R30" s="586"/>
      <c r="S30" s="647">
        <f t="shared" si="4"/>
        <v>19.802308641975308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2339.3478260869565</v>
      </c>
      <c r="I31" s="499">
        <f>SUM($G$9:G31)/A31</f>
        <v>2382.217391304348</v>
      </c>
      <c r="J31" s="443">
        <f t="shared" si="5"/>
        <v>64159.479999999996</v>
      </c>
      <c r="K31" s="459">
        <f t="shared" si="5"/>
        <v>63899</v>
      </c>
      <c r="L31" s="495">
        <f t="shared" si="3"/>
        <v>27.426225072019328</v>
      </c>
      <c r="M31" s="464">
        <f t="shared" si="3"/>
        <v>26.823328648865687</v>
      </c>
      <c r="N31" s="366"/>
      <c r="O31" s="586"/>
      <c r="P31" s="586"/>
      <c r="Q31" s="586"/>
      <c r="R31" s="586"/>
      <c r="S31" s="647">
        <f t="shared" si="4"/>
        <v>19.802308641975308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2241.875</v>
      </c>
      <c r="I32" s="499">
        <f>SUM($G$9:G32)/A32</f>
        <v>2282.9583333333335</v>
      </c>
      <c r="J32" s="443">
        <f t="shared" si="5"/>
        <v>64159.479999999996</v>
      </c>
      <c r="K32" s="459">
        <f t="shared" si="5"/>
        <v>63899</v>
      </c>
      <c r="L32" s="495">
        <f t="shared" si="3"/>
        <v>28.618669640367994</v>
      </c>
      <c r="M32" s="464">
        <f t="shared" si="3"/>
        <v>27.989560329251152</v>
      </c>
      <c r="N32" s="366"/>
      <c r="O32" s="586"/>
      <c r="P32" s="586"/>
      <c r="Q32" s="586"/>
      <c r="R32" s="586"/>
      <c r="S32" s="647">
        <f t="shared" si="4"/>
        <v>19.802308641975308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2152.1999999999998</v>
      </c>
      <c r="I33" s="499">
        <f>SUM($G$9:G33)/A33</f>
        <v>2191.64</v>
      </c>
      <c r="J33" s="460">
        <f t="shared" si="5"/>
        <v>64159.479999999996</v>
      </c>
      <c r="K33" s="459">
        <f t="shared" si="5"/>
        <v>63899</v>
      </c>
      <c r="L33" s="506">
        <f t="shared" si="3"/>
        <v>29.811114208716663</v>
      </c>
      <c r="M33" s="464">
        <f t="shared" si="3"/>
        <v>29.15579200963662</v>
      </c>
      <c r="N33" s="366"/>
      <c r="O33" s="586"/>
      <c r="P33" s="586"/>
      <c r="Q33" s="586"/>
      <c r="R33" s="586"/>
      <c r="S33" s="647">
        <f t="shared" si="4"/>
        <v>19.802308641975308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2069.4230769230771</v>
      </c>
      <c r="I34" s="499">
        <f>SUM($G$9:G34)/A34</f>
        <v>2107.3461538461538</v>
      </c>
      <c r="J34" s="443">
        <f t="shared" si="5"/>
        <v>64159.479999999996</v>
      </c>
      <c r="K34" s="459">
        <f t="shared" si="5"/>
        <v>63899</v>
      </c>
      <c r="L34" s="495">
        <f t="shared" si="3"/>
        <v>31.003558777065322</v>
      </c>
      <c r="M34" s="464">
        <f t="shared" si="3"/>
        <v>30.322023690022085</v>
      </c>
      <c r="N34" s="366"/>
      <c r="O34" s="586"/>
      <c r="P34" s="586"/>
      <c r="Q34" s="586"/>
      <c r="R34" s="586"/>
      <c r="S34" s="647">
        <f t="shared" si="4"/>
        <v>19.802308641975308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1992.7777777777778</v>
      </c>
      <c r="I35" s="499">
        <f>SUM($G$9:G35)/A35</f>
        <v>2029.2962962962963</v>
      </c>
      <c r="J35" s="443">
        <f t="shared" si="5"/>
        <v>64159.479999999996</v>
      </c>
      <c r="K35" s="459">
        <f t="shared" si="5"/>
        <v>63899</v>
      </c>
      <c r="L35" s="495">
        <f t="shared" si="3"/>
        <v>32.196003345413992</v>
      </c>
      <c r="M35" s="464">
        <f t="shared" si="3"/>
        <v>31.488255370407547</v>
      </c>
      <c r="N35" s="366"/>
      <c r="O35" s="586"/>
      <c r="P35" s="586"/>
      <c r="Q35" s="586"/>
      <c r="R35" s="586"/>
      <c r="S35" s="647">
        <f t="shared" si="4"/>
        <v>19.802308641975308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1921.6071428571429</v>
      </c>
      <c r="I36" s="499">
        <f>SUM($G$9:G36)/A36</f>
        <v>1956.8214285714287</v>
      </c>
      <c r="J36" s="443">
        <f t="shared" si="5"/>
        <v>64159.479999999996</v>
      </c>
      <c r="K36" s="459">
        <f t="shared" si="5"/>
        <v>63899</v>
      </c>
      <c r="L36" s="495">
        <f t="shared" si="3"/>
        <v>33.388447913762661</v>
      </c>
      <c r="M36" s="464">
        <f t="shared" si="3"/>
        <v>32.654487050793009</v>
      </c>
      <c r="N36" s="366"/>
      <c r="O36" s="586"/>
      <c r="P36" s="586"/>
      <c r="Q36" s="586"/>
      <c r="R36" s="586"/>
      <c r="S36" s="647">
        <f t="shared" si="4"/>
        <v>19.802308641975308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1855.344827586207</v>
      </c>
      <c r="I37" s="499">
        <f>SUM($G$9:G37)/A37</f>
        <v>1889.344827586207</v>
      </c>
      <c r="J37" s="443">
        <f t="shared" si="5"/>
        <v>64159.479999999996</v>
      </c>
      <c r="K37" s="459">
        <f t="shared" si="5"/>
        <v>63899</v>
      </c>
      <c r="L37" s="495">
        <f t="shared" si="3"/>
        <v>34.580892482111324</v>
      </c>
      <c r="M37" s="464">
        <f t="shared" si="3"/>
        <v>33.820718731178474</v>
      </c>
      <c r="N37" s="366"/>
      <c r="O37" s="586"/>
      <c r="P37" s="586"/>
      <c r="Q37" s="586"/>
      <c r="R37" s="586"/>
      <c r="S37" s="647">
        <f t="shared" si="4"/>
        <v>19.802308641975308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1793.5</v>
      </c>
      <c r="I38" s="499">
        <f>SUM($G$9:G38)/A38</f>
        <v>1826.3666666666666</v>
      </c>
      <c r="J38" s="504">
        <f t="shared" si="5"/>
        <v>64159.479999999996</v>
      </c>
      <c r="K38" s="459">
        <f t="shared" si="5"/>
        <v>63899</v>
      </c>
      <c r="L38" s="505">
        <f t="shared" si="3"/>
        <v>35.773337050459993</v>
      </c>
      <c r="M38" s="464">
        <f t="shared" si="3"/>
        <v>34.986950411563946</v>
      </c>
      <c r="N38" s="366"/>
      <c r="O38" s="586"/>
      <c r="P38" s="586"/>
      <c r="Q38" s="586"/>
      <c r="R38" s="586"/>
      <c r="S38" s="647">
        <f t="shared" si="4"/>
        <v>19.802308641975308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1735.6451612903227</v>
      </c>
      <c r="I39" s="499">
        <f>SUM($G$9:G39)/A39</f>
        <v>1767.4516129032259</v>
      </c>
      <c r="J39" s="443">
        <f t="shared" si="5"/>
        <v>64159.479999999996</v>
      </c>
      <c r="K39" s="459">
        <f t="shared" si="5"/>
        <v>63899</v>
      </c>
      <c r="L39" s="495">
        <f t="shared" si="3"/>
        <v>36.965781618808656</v>
      </c>
      <c r="M39" s="464">
        <f t="shared" si="3"/>
        <v>36.153182091949404</v>
      </c>
      <c r="N39" s="366"/>
      <c r="O39" s="586"/>
      <c r="P39" s="586"/>
      <c r="Q39" s="586"/>
      <c r="R39" s="586"/>
      <c r="S39" s="647">
        <f t="shared" si="4"/>
        <v>19.802308641975308</v>
      </c>
    </row>
    <row r="40" spans="1:19" s="374" customFormat="1" ht="12" customHeight="1">
      <c r="A40" s="980" t="s">
        <v>29</v>
      </c>
      <c r="B40" s="981"/>
      <c r="C40" s="982"/>
      <c r="D40" s="388">
        <f>SUM(D9:D39)</f>
        <v>28000</v>
      </c>
      <c r="E40" s="923">
        <f>SUM(E9:E39)</f>
        <v>28000</v>
      </c>
      <c r="F40" s="389">
        <f>SUM(F9:F39)</f>
        <v>53805</v>
      </c>
      <c r="G40" s="496">
        <f>SUM(G9:G39)</f>
        <v>54791</v>
      </c>
      <c r="H40" s="389"/>
      <c r="I40" s="496"/>
      <c r="J40" s="389">
        <f>J39</f>
        <v>64159.479999999996</v>
      </c>
      <c r="K40" s="461">
        <f>K39</f>
        <v>63899</v>
      </c>
      <c r="L40" s="464"/>
      <c r="M40" s="464"/>
      <c r="N40" s="366"/>
      <c r="O40" s="389">
        <f>SUM(O9:O39)</f>
        <v>29565</v>
      </c>
      <c r="P40" s="496">
        <f>SUM(P9:P39)</f>
        <v>30104</v>
      </c>
      <c r="Q40" s="389">
        <f>SUM(Q9:Q39)</f>
        <v>24240</v>
      </c>
      <c r="R40" s="496">
        <f>SUM(R9:R39)</f>
        <v>24687</v>
      </c>
    </row>
    <row r="41" spans="1:19" s="374" customFormat="1" ht="12" customHeight="1">
      <c r="A41" s="980" t="s">
        <v>15</v>
      </c>
      <c r="B41" s="981"/>
      <c r="C41" s="982"/>
      <c r="D41" s="388">
        <f>D8+D40</f>
        <v>117964.48</v>
      </c>
      <c r="E41" s="388">
        <f>E8+E40</f>
        <v>118690</v>
      </c>
      <c r="F41" s="389">
        <f>F40</f>
        <v>53805</v>
      </c>
      <c r="G41" s="496">
        <f>G40</f>
        <v>54791</v>
      </c>
      <c r="H41" s="389"/>
      <c r="I41" s="496"/>
      <c r="J41" s="389">
        <f>D41-F41</f>
        <v>64159.479999999996</v>
      </c>
      <c r="K41" s="389">
        <f>E41-G41</f>
        <v>63899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0856" priority="163" operator="lessThan">
      <formula>15</formula>
    </cfRule>
    <cfRule type="cellIs" dxfId="10855" priority="164" operator="greaterThan">
      <formula>20</formula>
    </cfRule>
    <cfRule type="cellIs" dxfId="10854" priority="165" operator="between">
      <formula>15</formula>
      <formula>20</formula>
    </cfRule>
    <cfRule type="cellIs" dxfId="10853" priority="166" operator="between">
      <formula>15</formula>
      <formula>20</formula>
    </cfRule>
    <cfRule type="cellIs" dxfId="10852" priority="167" operator="lessThan">
      <formula>15</formula>
    </cfRule>
    <cfRule type="cellIs" dxfId="10851" priority="168" operator="greaterThan">
      <formula>20</formula>
    </cfRule>
    <cfRule type="cellIs" dxfId="10850" priority="169" operator="between">
      <formula>15</formula>
      <formula>21</formula>
    </cfRule>
    <cfRule type="cellIs" dxfId="10849" priority="170" operator="lessThan">
      <formula>15</formula>
    </cfRule>
    <cfRule type="cellIs" dxfId="10848" priority="171" operator="greaterThan">
      <formula>21</formula>
    </cfRule>
  </conditionalFormatting>
  <conditionalFormatting sqref="M9:M39">
    <cfRule type="cellIs" dxfId="10847" priority="154" operator="lessThan">
      <formula>15</formula>
    </cfRule>
    <cfRule type="cellIs" dxfId="10846" priority="155" operator="greaterThan">
      <formula>20</formula>
    </cfRule>
    <cfRule type="cellIs" dxfId="10845" priority="156" operator="between">
      <formula>15</formula>
      <formula>20</formula>
    </cfRule>
    <cfRule type="cellIs" dxfId="10844" priority="157" operator="between">
      <formula>15</formula>
      <formula>20</formula>
    </cfRule>
    <cfRule type="cellIs" dxfId="10843" priority="158" operator="lessThan">
      <formula>15</formula>
    </cfRule>
    <cfRule type="cellIs" dxfId="10842" priority="159" operator="greaterThan">
      <formula>20</formula>
    </cfRule>
    <cfRule type="cellIs" dxfId="10841" priority="160" operator="between">
      <formula>15</formula>
      <formula>21</formula>
    </cfRule>
    <cfRule type="cellIs" dxfId="10840" priority="161" operator="lessThan">
      <formula>15</formula>
    </cfRule>
    <cfRule type="cellIs" dxfId="10839" priority="162" operator="greaterThan">
      <formula>21</formula>
    </cfRule>
  </conditionalFormatting>
  <conditionalFormatting sqref="M9:M39">
    <cfRule type="cellIs" dxfId="10838" priority="145" operator="lessThan">
      <formula>15</formula>
    </cfRule>
    <cfRule type="cellIs" dxfId="10837" priority="146" operator="greaterThan">
      <formula>20</formula>
    </cfRule>
    <cfRule type="cellIs" dxfId="10836" priority="147" operator="between">
      <formula>15</formula>
      <formula>20</formula>
    </cfRule>
    <cfRule type="cellIs" dxfId="10835" priority="148" operator="between">
      <formula>15</formula>
      <formula>20</formula>
    </cfRule>
    <cfRule type="cellIs" dxfId="10834" priority="149" operator="lessThan">
      <formula>15</formula>
    </cfRule>
    <cfRule type="cellIs" dxfId="10833" priority="150" operator="greaterThan">
      <formula>20</formula>
    </cfRule>
    <cfRule type="cellIs" dxfId="10832" priority="151" operator="between">
      <formula>15</formula>
      <formula>21</formula>
    </cfRule>
    <cfRule type="cellIs" dxfId="10831" priority="152" operator="lessThan">
      <formula>15</formula>
    </cfRule>
    <cfRule type="cellIs" dxfId="10830" priority="153" operator="greaterThan">
      <formula>21</formula>
    </cfRule>
  </conditionalFormatting>
  <conditionalFormatting sqref="M9:M39">
    <cfRule type="cellIs" dxfId="10829" priority="136" operator="lessThan">
      <formula>15</formula>
    </cfRule>
    <cfRule type="cellIs" dxfId="10828" priority="137" operator="greaterThan">
      <formula>20</formula>
    </cfRule>
    <cfRule type="cellIs" dxfId="10827" priority="138" operator="between">
      <formula>15</formula>
      <formula>20</formula>
    </cfRule>
    <cfRule type="cellIs" dxfId="10826" priority="139" operator="between">
      <formula>15</formula>
      <formula>20</formula>
    </cfRule>
    <cfRule type="cellIs" dxfId="10825" priority="140" operator="lessThan">
      <formula>15</formula>
    </cfRule>
    <cfRule type="cellIs" dxfId="10824" priority="141" operator="greaterThan">
      <formula>20</formula>
    </cfRule>
    <cfRule type="cellIs" dxfId="10823" priority="142" operator="between">
      <formula>15</formula>
      <formula>21</formula>
    </cfRule>
    <cfRule type="cellIs" dxfId="10822" priority="143" operator="lessThan">
      <formula>15</formula>
    </cfRule>
    <cfRule type="cellIs" dxfId="10821" priority="144" operator="greaterThan">
      <formula>21</formula>
    </cfRule>
  </conditionalFormatting>
  <conditionalFormatting sqref="M9:M39">
    <cfRule type="cellIs" dxfId="10820" priority="127" operator="lessThan">
      <formula>15</formula>
    </cfRule>
    <cfRule type="cellIs" dxfId="10819" priority="128" operator="greaterThan">
      <formula>20</formula>
    </cfRule>
    <cfRule type="cellIs" dxfId="10818" priority="129" operator="between">
      <formula>15</formula>
      <formula>20</formula>
    </cfRule>
    <cfRule type="cellIs" dxfId="10817" priority="130" operator="between">
      <formula>15</formula>
      <formula>20</formula>
    </cfRule>
    <cfRule type="cellIs" dxfId="10816" priority="131" operator="lessThan">
      <formula>15</formula>
    </cfRule>
    <cfRule type="cellIs" dxfId="10815" priority="132" operator="greaterThan">
      <formula>20</formula>
    </cfRule>
    <cfRule type="cellIs" dxfId="10814" priority="133" operator="between">
      <formula>15</formula>
      <formula>21</formula>
    </cfRule>
    <cfRule type="cellIs" dxfId="10813" priority="134" operator="lessThan">
      <formula>15</formula>
    </cfRule>
    <cfRule type="cellIs" dxfId="10812" priority="135" operator="greaterThan">
      <formula>21</formula>
    </cfRule>
  </conditionalFormatting>
  <conditionalFormatting sqref="M9:M39">
    <cfRule type="cellIs" dxfId="10811" priority="118" operator="lessThan">
      <formula>15</formula>
    </cfRule>
    <cfRule type="cellIs" dxfId="10810" priority="119" operator="greaterThan">
      <formula>20</formula>
    </cfRule>
    <cfRule type="cellIs" dxfId="10809" priority="120" operator="between">
      <formula>15</formula>
      <formula>20</formula>
    </cfRule>
    <cfRule type="cellIs" dxfId="10808" priority="121" operator="between">
      <formula>15</formula>
      <formula>20</formula>
    </cfRule>
    <cfRule type="cellIs" dxfId="10807" priority="122" operator="lessThan">
      <formula>15</formula>
    </cfRule>
    <cfRule type="cellIs" dxfId="10806" priority="123" operator="greaterThan">
      <formula>20</formula>
    </cfRule>
    <cfRule type="cellIs" dxfId="10805" priority="124" operator="between">
      <formula>15</formula>
      <formula>21</formula>
    </cfRule>
    <cfRule type="cellIs" dxfId="10804" priority="125" operator="lessThan">
      <formula>15</formula>
    </cfRule>
    <cfRule type="cellIs" dxfId="10803" priority="126" operator="greaterThan">
      <formula>21</formula>
    </cfRule>
  </conditionalFormatting>
  <conditionalFormatting sqref="M9:M39">
    <cfRule type="cellIs" dxfId="10802" priority="109" operator="lessThan">
      <formula>15</formula>
    </cfRule>
    <cfRule type="cellIs" dxfId="10801" priority="110" operator="greaterThan">
      <formula>20</formula>
    </cfRule>
    <cfRule type="cellIs" dxfId="10800" priority="111" operator="between">
      <formula>15</formula>
      <formula>20</formula>
    </cfRule>
    <cfRule type="cellIs" dxfId="10799" priority="112" operator="between">
      <formula>15</formula>
      <formula>20</formula>
    </cfRule>
    <cfRule type="cellIs" dxfId="10798" priority="113" operator="lessThan">
      <formula>15</formula>
    </cfRule>
    <cfRule type="cellIs" dxfId="10797" priority="114" operator="greaterThan">
      <formula>20</formula>
    </cfRule>
    <cfRule type="cellIs" dxfId="10796" priority="115" operator="between">
      <formula>15</formula>
      <formula>21</formula>
    </cfRule>
    <cfRule type="cellIs" dxfId="10795" priority="116" operator="lessThan">
      <formula>15</formula>
    </cfRule>
    <cfRule type="cellIs" dxfId="10794" priority="117" operator="greaterThan">
      <formula>21</formula>
    </cfRule>
  </conditionalFormatting>
  <conditionalFormatting sqref="M9:M39">
    <cfRule type="cellIs" dxfId="10793" priority="100" operator="lessThan">
      <formula>15</formula>
    </cfRule>
    <cfRule type="cellIs" dxfId="10792" priority="101" operator="greaterThan">
      <formula>20</formula>
    </cfRule>
    <cfRule type="cellIs" dxfId="10791" priority="102" operator="between">
      <formula>15</formula>
      <formula>20</formula>
    </cfRule>
    <cfRule type="cellIs" dxfId="10790" priority="103" operator="between">
      <formula>15</formula>
      <formula>20</formula>
    </cfRule>
    <cfRule type="cellIs" dxfId="10789" priority="104" operator="lessThan">
      <formula>15</formula>
    </cfRule>
    <cfRule type="cellIs" dxfId="10788" priority="105" operator="greaterThan">
      <formula>20</formula>
    </cfRule>
    <cfRule type="cellIs" dxfId="10787" priority="106" operator="between">
      <formula>15</formula>
      <formula>21</formula>
    </cfRule>
    <cfRule type="cellIs" dxfId="10786" priority="107" operator="lessThan">
      <formula>15</formula>
    </cfRule>
    <cfRule type="cellIs" dxfId="10785" priority="108" operator="greaterThan">
      <formula>21</formula>
    </cfRule>
  </conditionalFormatting>
  <conditionalFormatting sqref="M9:M39">
    <cfRule type="cellIs" dxfId="10784" priority="91" operator="lessThan">
      <formula>15</formula>
    </cfRule>
    <cfRule type="cellIs" dxfId="10783" priority="92" operator="greaterThan">
      <formula>20</formula>
    </cfRule>
    <cfRule type="cellIs" dxfId="10782" priority="93" operator="between">
      <formula>15</formula>
      <formula>20</formula>
    </cfRule>
    <cfRule type="cellIs" dxfId="10781" priority="94" operator="between">
      <formula>15</formula>
      <formula>20</formula>
    </cfRule>
    <cfRule type="cellIs" dxfId="10780" priority="95" operator="lessThan">
      <formula>15</formula>
    </cfRule>
    <cfRule type="cellIs" dxfId="10779" priority="96" operator="greaterThan">
      <formula>20</formula>
    </cfRule>
    <cfRule type="cellIs" dxfId="10778" priority="97" operator="between">
      <formula>15</formula>
      <formula>21</formula>
    </cfRule>
    <cfRule type="cellIs" dxfId="10777" priority="98" operator="lessThan">
      <formula>15</formula>
    </cfRule>
    <cfRule type="cellIs" dxfId="10776" priority="99" operator="greaterThan">
      <formula>21</formula>
    </cfRule>
  </conditionalFormatting>
  <conditionalFormatting sqref="M9:M39">
    <cfRule type="cellIs" dxfId="10775" priority="82" operator="lessThan">
      <formula>15</formula>
    </cfRule>
    <cfRule type="cellIs" dxfId="10774" priority="83" operator="greaterThan">
      <formula>20</formula>
    </cfRule>
    <cfRule type="cellIs" dxfId="10773" priority="84" operator="between">
      <formula>15</formula>
      <formula>20</formula>
    </cfRule>
    <cfRule type="cellIs" dxfId="10772" priority="85" operator="between">
      <formula>15</formula>
      <formula>20</formula>
    </cfRule>
    <cfRule type="cellIs" dxfId="10771" priority="86" operator="lessThan">
      <formula>15</formula>
    </cfRule>
    <cfRule type="cellIs" dxfId="10770" priority="87" operator="greaterThan">
      <formula>20</formula>
    </cfRule>
    <cfRule type="cellIs" dxfId="10769" priority="88" operator="between">
      <formula>15</formula>
      <formula>21</formula>
    </cfRule>
    <cfRule type="cellIs" dxfId="10768" priority="89" operator="lessThan">
      <formula>15</formula>
    </cfRule>
    <cfRule type="cellIs" dxfId="10767" priority="90" operator="greaterThan">
      <formula>21</formula>
    </cfRule>
  </conditionalFormatting>
  <conditionalFormatting sqref="M9:M39">
    <cfRule type="cellIs" dxfId="10766" priority="73" operator="lessThan">
      <formula>15</formula>
    </cfRule>
    <cfRule type="cellIs" dxfId="10765" priority="74" operator="greaterThan">
      <formula>20</formula>
    </cfRule>
    <cfRule type="cellIs" dxfId="10764" priority="75" operator="between">
      <formula>15</formula>
      <formula>20</formula>
    </cfRule>
    <cfRule type="cellIs" dxfId="10763" priority="76" operator="between">
      <formula>15</formula>
      <formula>20</formula>
    </cfRule>
    <cfRule type="cellIs" dxfId="10762" priority="77" operator="lessThan">
      <formula>15</formula>
    </cfRule>
    <cfRule type="cellIs" dxfId="10761" priority="78" operator="greaterThan">
      <formula>20</formula>
    </cfRule>
    <cfRule type="cellIs" dxfId="10760" priority="79" operator="between">
      <formula>15</formula>
      <formula>21</formula>
    </cfRule>
    <cfRule type="cellIs" dxfId="10759" priority="80" operator="lessThan">
      <formula>15</formula>
    </cfRule>
    <cfRule type="cellIs" dxfId="10758" priority="81" operator="greaterThan">
      <formula>21</formula>
    </cfRule>
  </conditionalFormatting>
  <conditionalFormatting sqref="M9:M39">
    <cfRule type="cellIs" dxfId="10757" priority="64" operator="lessThan">
      <formula>15</formula>
    </cfRule>
    <cfRule type="cellIs" dxfId="10756" priority="65" operator="greaterThan">
      <formula>20</formula>
    </cfRule>
    <cfRule type="cellIs" dxfId="10755" priority="66" operator="between">
      <formula>15</formula>
      <formula>20</formula>
    </cfRule>
    <cfRule type="cellIs" dxfId="10754" priority="67" operator="between">
      <formula>15</formula>
      <formula>20</formula>
    </cfRule>
    <cfRule type="cellIs" dxfId="10753" priority="68" operator="lessThan">
      <formula>15</formula>
    </cfRule>
    <cfRule type="cellIs" dxfId="10752" priority="69" operator="greaterThan">
      <formula>20</formula>
    </cfRule>
    <cfRule type="cellIs" dxfId="10751" priority="70" operator="between">
      <formula>15</formula>
      <formula>21</formula>
    </cfRule>
    <cfRule type="cellIs" dxfId="10750" priority="71" operator="lessThan">
      <formula>15</formula>
    </cfRule>
    <cfRule type="cellIs" dxfId="10749" priority="72" operator="greaterThan">
      <formula>21</formula>
    </cfRule>
  </conditionalFormatting>
  <conditionalFormatting sqref="M9:M39">
    <cfRule type="cellIs" dxfId="10748" priority="55" operator="lessThan">
      <formula>15</formula>
    </cfRule>
    <cfRule type="cellIs" dxfId="10747" priority="56" operator="greaterThan">
      <formula>20</formula>
    </cfRule>
    <cfRule type="cellIs" dxfId="10746" priority="57" operator="between">
      <formula>15</formula>
      <formula>20</formula>
    </cfRule>
    <cfRule type="cellIs" dxfId="10745" priority="58" operator="between">
      <formula>15</formula>
      <formula>20</formula>
    </cfRule>
    <cfRule type="cellIs" dxfId="10744" priority="59" operator="lessThan">
      <formula>15</formula>
    </cfRule>
    <cfRule type="cellIs" dxfId="10743" priority="60" operator="greaterThan">
      <formula>20</formula>
    </cfRule>
    <cfRule type="cellIs" dxfId="10742" priority="61" operator="between">
      <formula>15</formula>
      <formula>21</formula>
    </cfRule>
    <cfRule type="cellIs" dxfId="10741" priority="62" operator="lessThan">
      <formula>15</formula>
    </cfRule>
    <cfRule type="cellIs" dxfId="10740" priority="63" operator="greaterThan">
      <formula>21</formula>
    </cfRule>
  </conditionalFormatting>
  <conditionalFormatting sqref="M9:M39">
    <cfRule type="cellIs" dxfId="10739" priority="46" operator="lessThan">
      <formula>15</formula>
    </cfRule>
    <cfRule type="cellIs" dxfId="10738" priority="47" operator="greaterThan">
      <formula>20</formula>
    </cfRule>
    <cfRule type="cellIs" dxfId="10737" priority="48" operator="between">
      <formula>15</formula>
      <formula>20</formula>
    </cfRule>
    <cfRule type="cellIs" dxfId="10736" priority="49" operator="between">
      <formula>15</formula>
      <formula>20</formula>
    </cfRule>
    <cfRule type="cellIs" dxfId="10735" priority="50" operator="lessThan">
      <formula>15</formula>
    </cfRule>
    <cfRule type="cellIs" dxfId="10734" priority="51" operator="greaterThan">
      <formula>20</formula>
    </cfRule>
    <cfRule type="cellIs" dxfId="10733" priority="52" operator="between">
      <formula>15</formula>
      <formula>21</formula>
    </cfRule>
    <cfRule type="cellIs" dxfId="10732" priority="53" operator="lessThan">
      <formula>15</formula>
    </cfRule>
    <cfRule type="cellIs" dxfId="10731" priority="54" operator="greaterThan">
      <formula>21</formula>
    </cfRule>
  </conditionalFormatting>
  <conditionalFormatting sqref="M9:M39">
    <cfRule type="cellIs" dxfId="10730" priority="37" operator="lessThan">
      <formula>15</formula>
    </cfRule>
    <cfRule type="cellIs" dxfId="10729" priority="38" operator="greaterThan">
      <formula>20</formula>
    </cfRule>
    <cfRule type="cellIs" dxfId="10728" priority="39" operator="between">
      <formula>15</formula>
      <formula>20</formula>
    </cfRule>
    <cfRule type="cellIs" dxfId="10727" priority="40" operator="between">
      <formula>15</formula>
      <formula>20</formula>
    </cfRule>
    <cfRule type="cellIs" dxfId="10726" priority="41" operator="lessThan">
      <formula>15</formula>
    </cfRule>
    <cfRule type="cellIs" dxfId="10725" priority="42" operator="greaterThan">
      <formula>20</formula>
    </cfRule>
    <cfRule type="cellIs" dxfId="10724" priority="43" operator="between">
      <formula>15</formula>
      <formula>21</formula>
    </cfRule>
    <cfRule type="cellIs" dxfId="10723" priority="44" operator="lessThan">
      <formula>15</formula>
    </cfRule>
    <cfRule type="cellIs" dxfId="10722" priority="45" operator="greaterThan">
      <formula>21</formula>
    </cfRule>
  </conditionalFormatting>
  <conditionalFormatting sqref="M9:M39">
    <cfRule type="cellIs" dxfId="10721" priority="28" operator="lessThan">
      <formula>15</formula>
    </cfRule>
    <cfRule type="cellIs" dxfId="10720" priority="29" operator="greaterThan">
      <formula>20</formula>
    </cfRule>
    <cfRule type="cellIs" dxfId="10719" priority="30" operator="between">
      <formula>15</formula>
      <formula>20</formula>
    </cfRule>
    <cfRule type="cellIs" dxfId="10718" priority="31" operator="between">
      <formula>15</formula>
      <formula>20</formula>
    </cfRule>
    <cfRule type="cellIs" dxfId="10717" priority="32" operator="lessThan">
      <formula>15</formula>
    </cfRule>
    <cfRule type="cellIs" dxfId="10716" priority="33" operator="greaterThan">
      <formula>20</formula>
    </cfRule>
    <cfRule type="cellIs" dxfId="10715" priority="34" operator="between">
      <formula>15</formula>
      <formula>21</formula>
    </cfRule>
    <cfRule type="cellIs" dxfId="10714" priority="35" operator="lessThan">
      <formula>15</formula>
    </cfRule>
    <cfRule type="cellIs" dxfId="10713" priority="36" operator="greaterThan">
      <formula>21</formula>
    </cfRule>
  </conditionalFormatting>
  <conditionalFormatting sqref="M9:M39">
    <cfRule type="cellIs" dxfId="10712" priority="19" operator="lessThan">
      <formula>15</formula>
    </cfRule>
    <cfRule type="cellIs" dxfId="10711" priority="20" operator="greaterThan">
      <formula>20</formula>
    </cfRule>
    <cfRule type="cellIs" dxfId="10710" priority="21" operator="between">
      <formula>15</formula>
      <formula>20</formula>
    </cfRule>
    <cfRule type="cellIs" dxfId="10709" priority="22" operator="between">
      <formula>15</formula>
      <formula>20</formula>
    </cfRule>
    <cfRule type="cellIs" dxfId="10708" priority="23" operator="lessThan">
      <formula>15</formula>
    </cfRule>
    <cfRule type="cellIs" dxfId="10707" priority="24" operator="greaterThan">
      <formula>20</formula>
    </cfRule>
    <cfRule type="cellIs" dxfId="10706" priority="25" operator="between">
      <formula>15</formula>
      <formula>21</formula>
    </cfRule>
    <cfRule type="cellIs" dxfId="10705" priority="26" operator="lessThan">
      <formula>15</formula>
    </cfRule>
    <cfRule type="cellIs" dxfId="10704" priority="27" operator="greaterThan">
      <formula>21</formula>
    </cfRule>
  </conditionalFormatting>
  <conditionalFormatting sqref="M9:M39">
    <cfRule type="cellIs" dxfId="10703" priority="10" operator="lessThan">
      <formula>15</formula>
    </cfRule>
    <cfRule type="cellIs" dxfId="10702" priority="11" operator="greaterThan">
      <formula>20</formula>
    </cfRule>
    <cfRule type="cellIs" dxfId="10701" priority="12" operator="between">
      <formula>15</formula>
      <formula>20</formula>
    </cfRule>
    <cfRule type="cellIs" dxfId="10700" priority="13" operator="between">
      <formula>15</formula>
      <formula>20</formula>
    </cfRule>
    <cfRule type="cellIs" dxfId="10699" priority="14" operator="lessThan">
      <formula>15</formula>
    </cfRule>
    <cfRule type="cellIs" dxfId="10698" priority="15" operator="greaterThan">
      <formula>20</formula>
    </cfRule>
    <cfRule type="cellIs" dxfId="10697" priority="16" operator="between">
      <formula>15</formula>
      <formula>21</formula>
    </cfRule>
    <cfRule type="cellIs" dxfId="10696" priority="17" operator="lessThan">
      <formula>15</formula>
    </cfRule>
    <cfRule type="cellIs" dxfId="10695" priority="18" operator="greaterThan">
      <formula>21</formula>
    </cfRule>
  </conditionalFormatting>
  <conditionalFormatting sqref="M9:M39">
    <cfRule type="cellIs" dxfId="10694" priority="1" operator="lessThan">
      <formula>15</formula>
    </cfRule>
    <cfRule type="cellIs" dxfId="10693" priority="2" operator="greaterThan">
      <formula>20</formula>
    </cfRule>
    <cfRule type="cellIs" dxfId="10692" priority="3" operator="between">
      <formula>15</formula>
      <formula>20</formula>
    </cfRule>
    <cfRule type="cellIs" dxfId="10691" priority="4" operator="between">
      <formula>15</formula>
      <formula>20</formula>
    </cfRule>
    <cfRule type="cellIs" dxfId="10690" priority="5" operator="lessThan">
      <formula>15</formula>
    </cfRule>
    <cfRule type="cellIs" dxfId="10689" priority="6" operator="greaterThan">
      <formula>20</formula>
    </cfRule>
    <cfRule type="cellIs" dxfId="10688" priority="7" operator="between">
      <formula>15</formula>
      <formula>21</formula>
    </cfRule>
    <cfRule type="cellIs" dxfId="10687" priority="8" operator="lessThan">
      <formula>15</formula>
    </cfRule>
    <cfRule type="cellIs" dxfId="10686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49"/>
  <sheetViews>
    <sheetView workbookViewId="0">
      <pane ySplit="8" topLeftCell="A9" activePane="bottomLeft" state="frozen"/>
      <selection pane="bottomLeft" activeCell="P14" sqref="P14:R37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8" width="9.710937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384" customFormat="1" ht="15" customHeight="1">
      <c r="A4" s="1600" t="s">
        <v>33</v>
      </c>
      <c r="B4" s="1600"/>
      <c r="C4" s="316" t="str">
        <f>J4</f>
        <v>FIT A117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1189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/>
      <c r="G8" s="388"/>
      <c r="H8" s="387"/>
      <c r="I8" s="388"/>
      <c r="J8" s="937">
        <f>K8-K8*N8</f>
        <v>0</v>
      </c>
      <c r="K8" s="937">
        <v>0</v>
      </c>
      <c r="L8" s="462"/>
      <c r="M8" s="463"/>
      <c r="N8" s="366">
        <v>0.01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3090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0</v>
      </c>
      <c r="K9" s="459">
        <f t="shared" si="0"/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0</v>
      </c>
      <c r="G10" s="1424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0"/>
        <v>0</v>
      </c>
      <c r="K10" s="459">
        <f t="shared" si="0"/>
        <v>0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0"/>
        <v>0</v>
      </c>
      <c r="K11" s="459">
        <f t="shared" si="0"/>
        <v>0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0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0</v>
      </c>
      <c r="G12" s="1424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0"/>
        <v>0</v>
      </c>
      <c r="K12" s="459">
        <f t="shared" si="0"/>
        <v>0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0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0</v>
      </c>
      <c r="G13" s="1424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0"/>
        <v>0</v>
      </c>
      <c r="K13" s="459">
        <f t="shared" si="0"/>
        <v>0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0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0</v>
      </c>
      <c r="G14" s="1424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0"/>
        <v>0</v>
      </c>
      <c r="K14" s="459">
        <f t="shared" si="0"/>
        <v>0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0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0</v>
      </c>
      <c r="G15" s="1424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0"/>
        <v>0</v>
      </c>
      <c r="K15" s="459">
        <f t="shared" si="0"/>
        <v>0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0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0</v>
      </c>
      <c r="G16" s="1424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0"/>
        <v>0</v>
      </c>
      <c r="K16" s="459">
        <f t="shared" si="0"/>
        <v>0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0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0</v>
      </c>
      <c r="G17" s="1424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0"/>
        <v>0</v>
      </c>
      <c r="K17" s="459">
        <f t="shared" si="0"/>
        <v>0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0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0</v>
      </c>
      <c r="G18" s="1424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0"/>
        <v>0</v>
      </c>
      <c r="K18" s="459">
        <f t="shared" si="0"/>
        <v>0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0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0"/>
        <v>0</v>
      </c>
      <c r="K19" s="459">
        <f t="shared" si="0"/>
        <v>0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0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0"/>
        <v>0</v>
      </c>
      <c r="K20" s="459">
        <f t="shared" si="0"/>
        <v>0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0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0"/>
        <v>0</v>
      </c>
      <c r="K21" s="459">
        <f>K20+E21-G21</f>
        <v>0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0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0"/>
        <v>0</v>
      </c>
      <c r="K22" s="459">
        <f>K21+E22-G22</f>
        <v>0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0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0</v>
      </c>
      <c r="I23" s="499">
        <f>SUM($G$9:G23)/A23</f>
        <v>0</v>
      </c>
      <c r="J23" s="504">
        <f t="shared" si="0"/>
        <v>0</v>
      </c>
      <c r="K23" s="459">
        <f t="shared" si="0"/>
        <v>0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0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1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0"/>
        <v>0</v>
      </c>
      <c r="K24" s="459">
        <f>K23+E24-G24</f>
        <v>0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0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/>
      <c r="E25" s="499"/>
      <c r="F25" s="586">
        <f t="shared" si="2"/>
        <v>0</v>
      </c>
      <c r="G25" s="1424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5">J24+D25-F25</f>
        <v>0</v>
      </c>
      <c r="K25" s="459">
        <f>K24+E25-G25</f>
        <v>0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0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5"/>
        <v>0</v>
      </c>
      <c r="K26" s="459">
        <f>K25+E26-G26</f>
        <v>0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0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5"/>
        <v>0</v>
      </c>
      <c r="K27" s="459">
        <f>K26+E27-G27</f>
        <v>0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0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5"/>
        <v>0</v>
      </c>
      <c r="K28" s="459">
        <f t="shared" si="5"/>
        <v>0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5"/>
        <v>0</v>
      </c>
      <c r="K29" s="459">
        <f t="shared" si="5"/>
        <v>0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5"/>
        <v>0</v>
      </c>
      <c r="K30" s="459">
        <f t="shared" si="5"/>
        <v>0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5"/>
        <v>0</v>
      </c>
      <c r="K31" s="459">
        <f t="shared" si="5"/>
        <v>0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5"/>
        <v>0</v>
      </c>
      <c r="K32" s="459">
        <f t="shared" si="5"/>
        <v>0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5"/>
        <v>0</v>
      </c>
      <c r="K33" s="459">
        <f t="shared" si="5"/>
        <v>0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5"/>
        <v>0</v>
      </c>
      <c r="K34" s="459">
        <f t="shared" si="5"/>
        <v>0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5"/>
        <v>0</v>
      </c>
      <c r="K35" s="459">
        <f t="shared" si="5"/>
        <v>0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5"/>
        <v>0</v>
      </c>
      <c r="K36" s="459">
        <f t="shared" si="5"/>
        <v>0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5"/>
        <v>0</v>
      </c>
      <c r="K37" s="459">
        <f t="shared" si="5"/>
        <v>0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5"/>
        <v>0</v>
      </c>
      <c r="K38" s="459">
        <f t="shared" si="5"/>
        <v>0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5"/>
        <v>0</v>
      </c>
      <c r="K39" s="459">
        <f t="shared" si="5"/>
        <v>0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1385" t="s">
        <v>29</v>
      </c>
      <c r="B40" s="1386"/>
      <c r="C40" s="1387"/>
      <c r="D40" s="388">
        <f>SUM(D9:D39)</f>
        <v>0</v>
      </c>
      <c r="E40" s="923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366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1385" t="s">
        <v>15</v>
      </c>
      <c r="B41" s="1386"/>
      <c r="C41" s="1387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0685" priority="163" operator="lessThan">
      <formula>15</formula>
    </cfRule>
    <cfRule type="cellIs" dxfId="10684" priority="164" operator="greaterThan">
      <formula>20</formula>
    </cfRule>
    <cfRule type="cellIs" dxfId="10683" priority="165" operator="between">
      <formula>15</formula>
      <formula>20</formula>
    </cfRule>
    <cfRule type="cellIs" dxfId="10682" priority="166" operator="between">
      <formula>15</formula>
      <formula>20</formula>
    </cfRule>
    <cfRule type="cellIs" dxfId="10681" priority="167" operator="lessThan">
      <formula>15</formula>
    </cfRule>
    <cfRule type="cellIs" dxfId="10680" priority="168" operator="greaterThan">
      <formula>20</formula>
    </cfRule>
    <cfRule type="cellIs" dxfId="10679" priority="169" operator="between">
      <formula>15</formula>
      <formula>21</formula>
    </cfRule>
    <cfRule type="cellIs" dxfId="10678" priority="170" operator="lessThan">
      <formula>15</formula>
    </cfRule>
    <cfRule type="cellIs" dxfId="10677" priority="171" operator="greaterThan">
      <formula>21</formula>
    </cfRule>
  </conditionalFormatting>
  <conditionalFormatting sqref="M9:M39">
    <cfRule type="cellIs" dxfId="10676" priority="154" operator="lessThan">
      <formula>15</formula>
    </cfRule>
    <cfRule type="cellIs" dxfId="10675" priority="155" operator="greaterThan">
      <formula>20</formula>
    </cfRule>
    <cfRule type="cellIs" dxfId="10674" priority="156" operator="between">
      <formula>15</formula>
      <formula>20</formula>
    </cfRule>
    <cfRule type="cellIs" dxfId="10673" priority="157" operator="between">
      <formula>15</formula>
      <formula>20</formula>
    </cfRule>
    <cfRule type="cellIs" dxfId="10672" priority="158" operator="lessThan">
      <formula>15</formula>
    </cfRule>
    <cfRule type="cellIs" dxfId="10671" priority="159" operator="greaterThan">
      <formula>20</formula>
    </cfRule>
    <cfRule type="cellIs" dxfId="10670" priority="160" operator="between">
      <formula>15</formula>
      <formula>21</formula>
    </cfRule>
    <cfRule type="cellIs" dxfId="10669" priority="161" operator="lessThan">
      <formula>15</formula>
    </cfRule>
    <cfRule type="cellIs" dxfId="10668" priority="162" operator="greaterThan">
      <formula>21</formula>
    </cfRule>
  </conditionalFormatting>
  <conditionalFormatting sqref="M9:M39">
    <cfRule type="cellIs" dxfId="10667" priority="145" operator="lessThan">
      <formula>15</formula>
    </cfRule>
    <cfRule type="cellIs" dxfId="10666" priority="146" operator="greaterThan">
      <formula>20</formula>
    </cfRule>
    <cfRule type="cellIs" dxfId="10665" priority="147" operator="between">
      <formula>15</formula>
      <formula>20</formula>
    </cfRule>
    <cfRule type="cellIs" dxfId="10664" priority="148" operator="between">
      <formula>15</formula>
      <formula>20</formula>
    </cfRule>
    <cfRule type="cellIs" dxfId="10663" priority="149" operator="lessThan">
      <formula>15</formula>
    </cfRule>
    <cfRule type="cellIs" dxfId="10662" priority="150" operator="greaterThan">
      <formula>20</formula>
    </cfRule>
    <cfRule type="cellIs" dxfId="10661" priority="151" operator="between">
      <formula>15</formula>
      <formula>21</formula>
    </cfRule>
    <cfRule type="cellIs" dxfId="10660" priority="152" operator="lessThan">
      <formula>15</formula>
    </cfRule>
    <cfRule type="cellIs" dxfId="10659" priority="153" operator="greaterThan">
      <formula>21</formula>
    </cfRule>
  </conditionalFormatting>
  <conditionalFormatting sqref="M9:M39">
    <cfRule type="cellIs" dxfId="10658" priority="136" operator="lessThan">
      <formula>15</formula>
    </cfRule>
    <cfRule type="cellIs" dxfId="10657" priority="137" operator="greaterThan">
      <formula>20</formula>
    </cfRule>
    <cfRule type="cellIs" dxfId="10656" priority="138" operator="between">
      <formula>15</formula>
      <formula>20</formula>
    </cfRule>
    <cfRule type="cellIs" dxfId="10655" priority="139" operator="between">
      <formula>15</formula>
      <formula>20</formula>
    </cfRule>
    <cfRule type="cellIs" dxfId="10654" priority="140" operator="lessThan">
      <formula>15</formula>
    </cfRule>
    <cfRule type="cellIs" dxfId="10653" priority="141" operator="greaterThan">
      <formula>20</formula>
    </cfRule>
    <cfRule type="cellIs" dxfId="10652" priority="142" operator="between">
      <formula>15</formula>
      <formula>21</formula>
    </cfRule>
    <cfRule type="cellIs" dxfId="10651" priority="143" operator="lessThan">
      <formula>15</formula>
    </cfRule>
    <cfRule type="cellIs" dxfId="10650" priority="144" operator="greaterThan">
      <formula>21</formula>
    </cfRule>
  </conditionalFormatting>
  <conditionalFormatting sqref="M9:M39">
    <cfRule type="cellIs" dxfId="10649" priority="127" operator="lessThan">
      <formula>15</formula>
    </cfRule>
    <cfRule type="cellIs" dxfId="10648" priority="128" operator="greaterThan">
      <formula>20</formula>
    </cfRule>
    <cfRule type="cellIs" dxfId="10647" priority="129" operator="between">
      <formula>15</formula>
      <formula>20</formula>
    </cfRule>
    <cfRule type="cellIs" dxfId="10646" priority="130" operator="between">
      <formula>15</formula>
      <formula>20</formula>
    </cfRule>
    <cfRule type="cellIs" dxfId="10645" priority="131" operator="lessThan">
      <formula>15</formula>
    </cfRule>
    <cfRule type="cellIs" dxfId="10644" priority="132" operator="greaterThan">
      <formula>20</formula>
    </cfRule>
    <cfRule type="cellIs" dxfId="10643" priority="133" operator="between">
      <formula>15</formula>
      <formula>21</formula>
    </cfRule>
    <cfRule type="cellIs" dxfId="10642" priority="134" operator="lessThan">
      <formula>15</formula>
    </cfRule>
    <cfRule type="cellIs" dxfId="10641" priority="135" operator="greaterThan">
      <formula>21</formula>
    </cfRule>
  </conditionalFormatting>
  <conditionalFormatting sqref="M9:M39">
    <cfRule type="cellIs" dxfId="10640" priority="118" operator="lessThan">
      <formula>15</formula>
    </cfRule>
    <cfRule type="cellIs" dxfId="10639" priority="119" operator="greaterThan">
      <formula>20</formula>
    </cfRule>
    <cfRule type="cellIs" dxfId="10638" priority="120" operator="between">
      <formula>15</formula>
      <formula>20</formula>
    </cfRule>
    <cfRule type="cellIs" dxfId="10637" priority="121" operator="between">
      <formula>15</formula>
      <formula>20</formula>
    </cfRule>
    <cfRule type="cellIs" dxfId="10636" priority="122" operator="lessThan">
      <formula>15</formula>
    </cfRule>
    <cfRule type="cellIs" dxfId="10635" priority="123" operator="greaterThan">
      <formula>20</formula>
    </cfRule>
    <cfRule type="cellIs" dxfId="10634" priority="124" operator="between">
      <formula>15</formula>
      <formula>21</formula>
    </cfRule>
    <cfRule type="cellIs" dxfId="10633" priority="125" operator="lessThan">
      <formula>15</formula>
    </cfRule>
    <cfRule type="cellIs" dxfId="10632" priority="126" operator="greaterThan">
      <formula>21</formula>
    </cfRule>
  </conditionalFormatting>
  <conditionalFormatting sqref="M9:M39">
    <cfRule type="cellIs" dxfId="10631" priority="109" operator="lessThan">
      <formula>15</formula>
    </cfRule>
    <cfRule type="cellIs" dxfId="10630" priority="110" operator="greaterThan">
      <formula>20</formula>
    </cfRule>
    <cfRule type="cellIs" dxfId="10629" priority="111" operator="between">
      <formula>15</formula>
      <formula>20</formula>
    </cfRule>
    <cfRule type="cellIs" dxfId="10628" priority="112" operator="between">
      <formula>15</formula>
      <formula>20</formula>
    </cfRule>
    <cfRule type="cellIs" dxfId="10627" priority="113" operator="lessThan">
      <formula>15</formula>
    </cfRule>
    <cfRule type="cellIs" dxfId="10626" priority="114" operator="greaterThan">
      <formula>20</formula>
    </cfRule>
    <cfRule type="cellIs" dxfId="10625" priority="115" operator="between">
      <formula>15</formula>
      <formula>21</formula>
    </cfRule>
    <cfRule type="cellIs" dxfId="10624" priority="116" operator="lessThan">
      <formula>15</formula>
    </cfRule>
    <cfRule type="cellIs" dxfId="10623" priority="117" operator="greaterThan">
      <formula>21</formula>
    </cfRule>
  </conditionalFormatting>
  <conditionalFormatting sqref="M9:M39">
    <cfRule type="cellIs" dxfId="10622" priority="100" operator="lessThan">
      <formula>15</formula>
    </cfRule>
    <cfRule type="cellIs" dxfId="10621" priority="101" operator="greaterThan">
      <formula>20</formula>
    </cfRule>
    <cfRule type="cellIs" dxfId="10620" priority="102" operator="between">
      <formula>15</formula>
      <formula>20</formula>
    </cfRule>
    <cfRule type="cellIs" dxfId="10619" priority="103" operator="between">
      <formula>15</formula>
      <formula>20</formula>
    </cfRule>
    <cfRule type="cellIs" dxfId="10618" priority="104" operator="lessThan">
      <formula>15</formula>
    </cfRule>
    <cfRule type="cellIs" dxfId="10617" priority="105" operator="greaterThan">
      <formula>20</formula>
    </cfRule>
    <cfRule type="cellIs" dxfId="10616" priority="106" operator="between">
      <formula>15</formula>
      <formula>21</formula>
    </cfRule>
    <cfRule type="cellIs" dxfId="10615" priority="107" operator="lessThan">
      <formula>15</formula>
    </cfRule>
    <cfRule type="cellIs" dxfId="10614" priority="108" operator="greaterThan">
      <formula>21</formula>
    </cfRule>
  </conditionalFormatting>
  <conditionalFormatting sqref="M9:M39">
    <cfRule type="cellIs" dxfId="10613" priority="91" operator="lessThan">
      <formula>15</formula>
    </cfRule>
    <cfRule type="cellIs" dxfId="10612" priority="92" operator="greaterThan">
      <formula>20</formula>
    </cfRule>
    <cfRule type="cellIs" dxfId="10611" priority="93" operator="between">
      <formula>15</formula>
      <formula>20</formula>
    </cfRule>
    <cfRule type="cellIs" dxfId="10610" priority="94" operator="between">
      <formula>15</formula>
      <formula>20</formula>
    </cfRule>
    <cfRule type="cellIs" dxfId="10609" priority="95" operator="lessThan">
      <formula>15</formula>
    </cfRule>
    <cfRule type="cellIs" dxfId="10608" priority="96" operator="greaterThan">
      <formula>20</formula>
    </cfRule>
    <cfRule type="cellIs" dxfId="10607" priority="97" operator="between">
      <formula>15</formula>
      <formula>21</formula>
    </cfRule>
    <cfRule type="cellIs" dxfId="10606" priority="98" operator="lessThan">
      <formula>15</formula>
    </cfRule>
    <cfRule type="cellIs" dxfId="10605" priority="99" operator="greaterThan">
      <formula>21</formula>
    </cfRule>
  </conditionalFormatting>
  <conditionalFormatting sqref="M9:M39">
    <cfRule type="cellIs" dxfId="10604" priority="82" operator="lessThan">
      <formula>15</formula>
    </cfRule>
    <cfRule type="cellIs" dxfId="10603" priority="83" operator="greaterThan">
      <formula>20</formula>
    </cfRule>
    <cfRule type="cellIs" dxfId="10602" priority="84" operator="between">
      <formula>15</formula>
      <formula>20</formula>
    </cfRule>
    <cfRule type="cellIs" dxfId="10601" priority="85" operator="between">
      <formula>15</formula>
      <formula>20</formula>
    </cfRule>
    <cfRule type="cellIs" dxfId="10600" priority="86" operator="lessThan">
      <formula>15</formula>
    </cfRule>
    <cfRule type="cellIs" dxfId="10599" priority="87" operator="greaterThan">
      <formula>20</formula>
    </cfRule>
    <cfRule type="cellIs" dxfId="10598" priority="88" operator="between">
      <formula>15</formula>
      <formula>21</formula>
    </cfRule>
    <cfRule type="cellIs" dxfId="10597" priority="89" operator="lessThan">
      <formula>15</formula>
    </cfRule>
    <cfRule type="cellIs" dxfId="10596" priority="90" operator="greaterThan">
      <formula>21</formula>
    </cfRule>
  </conditionalFormatting>
  <conditionalFormatting sqref="M9:M39">
    <cfRule type="cellIs" dxfId="10595" priority="73" operator="lessThan">
      <formula>15</formula>
    </cfRule>
    <cfRule type="cellIs" dxfId="10594" priority="74" operator="greaterThan">
      <formula>20</formula>
    </cfRule>
    <cfRule type="cellIs" dxfId="10593" priority="75" operator="between">
      <formula>15</formula>
      <formula>20</formula>
    </cfRule>
    <cfRule type="cellIs" dxfId="10592" priority="76" operator="between">
      <formula>15</formula>
      <formula>20</formula>
    </cfRule>
    <cfRule type="cellIs" dxfId="10591" priority="77" operator="lessThan">
      <formula>15</formula>
    </cfRule>
    <cfRule type="cellIs" dxfId="10590" priority="78" operator="greaterThan">
      <formula>20</formula>
    </cfRule>
    <cfRule type="cellIs" dxfId="10589" priority="79" operator="between">
      <formula>15</formula>
      <formula>21</formula>
    </cfRule>
    <cfRule type="cellIs" dxfId="10588" priority="80" operator="lessThan">
      <formula>15</formula>
    </cfRule>
    <cfRule type="cellIs" dxfId="10587" priority="81" operator="greaterThan">
      <formula>21</formula>
    </cfRule>
  </conditionalFormatting>
  <conditionalFormatting sqref="M9:M39">
    <cfRule type="cellIs" dxfId="10586" priority="64" operator="lessThan">
      <formula>15</formula>
    </cfRule>
    <cfRule type="cellIs" dxfId="10585" priority="65" operator="greaterThan">
      <formula>20</formula>
    </cfRule>
    <cfRule type="cellIs" dxfId="10584" priority="66" operator="between">
      <formula>15</formula>
      <formula>20</formula>
    </cfRule>
    <cfRule type="cellIs" dxfId="10583" priority="67" operator="between">
      <formula>15</formula>
      <formula>20</formula>
    </cfRule>
    <cfRule type="cellIs" dxfId="10582" priority="68" operator="lessThan">
      <formula>15</formula>
    </cfRule>
    <cfRule type="cellIs" dxfId="10581" priority="69" operator="greaterThan">
      <formula>20</formula>
    </cfRule>
    <cfRule type="cellIs" dxfId="10580" priority="70" operator="between">
      <formula>15</formula>
      <formula>21</formula>
    </cfRule>
    <cfRule type="cellIs" dxfId="10579" priority="71" operator="lessThan">
      <formula>15</formula>
    </cfRule>
    <cfRule type="cellIs" dxfId="10578" priority="72" operator="greaterThan">
      <formula>21</formula>
    </cfRule>
  </conditionalFormatting>
  <conditionalFormatting sqref="M9:M39">
    <cfRule type="cellIs" dxfId="10577" priority="55" operator="lessThan">
      <formula>15</formula>
    </cfRule>
    <cfRule type="cellIs" dxfId="10576" priority="56" operator="greaterThan">
      <formula>20</formula>
    </cfRule>
    <cfRule type="cellIs" dxfId="10575" priority="57" operator="between">
      <formula>15</formula>
      <formula>20</formula>
    </cfRule>
    <cfRule type="cellIs" dxfId="10574" priority="58" operator="between">
      <formula>15</formula>
      <formula>20</formula>
    </cfRule>
    <cfRule type="cellIs" dxfId="10573" priority="59" operator="lessThan">
      <formula>15</formula>
    </cfRule>
    <cfRule type="cellIs" dxfId="10572" priority="60" operator="greaterThan">
      <formula>20</formula>
    </cfRule>
    <cfRule type="cellIs" dxfId="10571" priority="61" operator="between">
      <formula>15</formula>
      <formula>21</formula>
    </cfRule>
    <cfRule type="cellIs" dxfId="10570" priority="62" operator="lessThan">
      <formula>15</formula>
    </cfRule>
    <cfRule type="cellIs" dxfId="10569" priority="63" operator="greaterThan">
      <formula>21</formula>
    </cfRule>
  </conditionalFormatting>
  <conditionalFormatting sqref="M9:M39">
    <cfRule type="cellIs" dxfId="10568" priority="46" operator="lessThan">
      <formula>15</formula>
    </cfRule>
    <cfRule type="cellIs" dxfId="10567" priority="47" operator="greaterThan">
      <formula>20</formula>
    </cfRule>
    <cfRule type="cellIs" dxfId="10566" priority="48" operator="between">
      <formula>15</formula>
      <formula>20</formula>
    </cfRule>
    <cfRule type="cellIs" dxfId="10565" priority="49" operator="between">
      <formula>15</formula>
      <formula>20</formula>
    </cfRule>
    <cfRule type="cellIs" dxfId="10564" priority="50" operator="lessThan">
      <formula>15</formula>
    </cfRule>
    <cfRule type="cellIs" dxfId="10563" priority="51" operator="greaterThan">
      <formula>20</formula>
    </cfRule>
    <cfRule type="cellIs" dxfId="10562" priority="52" operator="between">
      <formula>15</formula>
      <formula>21</formula>
    </cfRule>
    <cfRule type="cellIs" dxfId="10561" priority="53" operator="lessThan">
      <formula>15</formula>
    </cfRule>
    <cfRule type="cellIs" dxfId="10560" priority="54" operator="greaterThan">
      <formula>21</formula>
    </cfRule>
  </conditionalFormatting>
  <conditionalFormatting sqref="M9:M39">
    <cfRule type="cellIs" dxfId="10559" priority="37" operator="lessThan">
      <formula>15</formula>
    </cfRule>
    <cfRule type="cellIs" dxfId="10558" priority="38" operator="greaterThan">
      <formula>20</formula>
    </cfRule>
    <cfRule type="cellIs" dxfId="10557" priority="39" operator="between">
      <formula>15</formula>
      <formula>20</formula>
    </cfRule>
    <cfRule type="cellIs" dxfId="10556" priority="40" operator="between">
      <formula>15</formula>
      <formula>20</formula>
    </cfRule>
    <cfRule type="cellIs" dxfId="10555" priority="41" operator="lessThan">
      <formula>15</formula>
    </cfRule>
    <cfRule type="cellIs" dxfId="10554" priority="42" operator="greaterThan">
      <formula>20</formula>
    </cfRule>
    <cfRule type="cellIs" dxfId="10553" priority="43" operator="between">
      <formula>15</formula>
      <formula>21</formula>
    </cfRule>
    <cfRule type="cellIs" dxfId="10552" priority="44" operator="lessThan">
      <formula>15</formula>
    </cfRule>
    <cfRule type="cellIs" dxfId="10551" priority="45" operator="greaterThan">
      <formula>21</formula>
    </cfRule>
  </conditionalFormatting>
  <conditionalFormatting sqref="M9:M39">
    <cfRule type="cellIs" dxfId="10550" priority="28" operator="lessThan">
      <formula>15</formula>
    </cfRule>
    <cfRule type="cellIs" dxfId="10549" priority="29" operator="greaterThan">
      <formula>20</formula>
    </cfRule>
    <cfRule type="cellIs" dxfId="10548" priority="30" operator="between">
      <formula>15</formula>
      <formula>20</formula>
    </cfRule>
    <cfRule type="cellIs" dxfId="10547" priority="31" operator="between">
      <formula>15</formula>
      <formula>20</formula>
    </cfRule>
    <cfRule type="cellIs" dxfId="10546" priority="32" operator="lessThan">
      <formula>15</formula>
    </cfRule>
    <cfRule type="cellIs" dxfId="10545" priority="33" operator="greaterThan">
      <formula>20</formula>
    </cfRule>
    <cfRule type="cellIs" dxfId="10544" priority="34" operator="between">
      <formula>15</formula>
      <formula>21</formula>
    </cfRule>
    <cfRule type="cellIs" dxfId="10543" priority="35" operator="lessThan">
      <formula>15</formula>
    </cfRule>
    <cfRule type="cellIs" dxfId="10542" priority="36" operator="greaterThan">
      <formula>21</formula>
    </cfRule>
  </conditionalFormatting>
  <conditionalFormatting sqref="M9:M39">
    <cfRule type="cellIs" dxfId="10541" priority="19" operator="lessThan">
      <formula>15</formula>
    </cfRule>
    <cfRule type="cellIs" dxfId="10540" priority="20" operator="greaterThan">
      <formula>20</formula>
    </cfRule>
    <cfRule type="cellIs" dxfId="10539" priority="21" operator="between">
      <formula>15</formula>
      <formula>20</formula>
    </cfRule>
    <cfRule type="cellIs" dxfId="10538" priority="22" operator="between">
      <formula>15</formula>
      <formula>20</formula>
    </cfRule>
    <cfRule type="cellIs" dxfId="10537" priority="23" operator="lessThan">
      <formula>15</formula>
    </cfRule>
    <cfRule type="cellIs" dxfId="10536" priority="24" operator="greaterThan">
      <formula>20</formula>
    </cfRule>
    <cfRule type="cellIs" dxfId="10535" priority="25" operator="between">
      <formula>15</formula>
      <formula>21</formula>
    </cfRule>
    <cfRule type="cellIs" dxfId="10534" priority="26" operator="lessThan">
      <formula>15</formula>
    </cfRule>
    <cfRule type="cellIs" dxfId="10533" priority="27" operator="greaterThan">
      <formula>21</formula>
    </cfRule>
  </conditionalFormatting>
  <conditionalFormatting sqref="M9:M39">
    <cfRule type="cellIs" dxfId="10532" priority="10" operator="lessThan">
      <formula>15</formula>
    </cfRule>
    <cfRule type="cellIs" dxfId="10531" priority="11" operator="greaterThan">
      <formula>20</formula>
    </cfRule>
    <cfRule type="cellIs" dxfId="10530" priority="12" operator="between">
      <formula>15</formula>
      <formula>20</formula>
    </cfRule>
    <cfRule type="cellIs" dxfId="10529" priority="13" operator="between">
      <formula>15</formula>
      <formula>20</formula>
    </cfRule>
    <cfRule type="cellIs" dxfId="10528" priority="14" operator="lessThan">
      <formula>15</formula>
    </cfRule>
    <cfRule type="cellIs" dxfId="10527" priority="15" operator="greaterThan">
      <formula>20</formula>
    </cfRule>
    <cfRule type="cellIs" dxfId="10526" priority="16" operator="between">
      <formula>15</formula>
      <formula>21</formula>
    </cfRule>
    <cfRule type="cellIs" dxfId="10525" priority="17" operator="lessThan">
      <formula>15</formula>
    </cfRule>
    <cfRule type="cellIs" dxfId="10524" priority="18" operator="greaterThan">
      <formula>21</formula>
    </cfRule>
  </conditionalFormatting>
  <conditionalFormatting sqref="M9:M39">
    <cfRule type="cellIs" dxfId="10523" priority="1" operator="lessThan">
      <formula>15</formula>
    </cfRule>
    <cfRule type="cellIs" dxfId="10522" priority="2" operator="greaterThan">
      <formula>20</formula>
    </cfRule>
    <cfRule type="cellIs" dxfId="10521" priority="3" operator="between">
      <formula>15</formula>
      <formula>20</formula>
    </cfRule>
    <cfRule type="cellIs" dxfId="10520" priority="4" operator="between">
      <formula>15</formula>
      <formula>20</formula>
    </cfRule>
    <cfRule type="cellIs" dxfId="10519" priority="5" operator="lessThan">
      <formula>15</formula>
    </cfRule>
    <cfRule type="cellIs" dxfId="10518" priority="6" operator="greaterThan">
      <formula>20</formula>
    </cfRule>
    <cfRule type="cellIs" dxfId="10517" priority="7" operator="between">
      <formula>15</formula>
      <formula>21</formula>
    </cfRule>
    <cfRule type="cellIs" dxfId="10516" priority="8" operator="lessThan">
      <formula>15</formula>
    </cfRule>
    <cfRule type="cellIs" dxfId="10515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49"/>
  <sheetViews>
    <sheetView workbookViewId="0">
      <pane ySplit="8" topLeftCell="A21" activePane="bottomLeft" state="frozen"/>
      <selection activeCell="E33" sqref="E33:E36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8" width="8.285156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979" customFormat="1" ht="15" customHeight="1">
      <c r="A4" s="1600" t="s">
        <v>33</v>
      </c>
      <c r="B4" s="1600"/>
      <c r="C4" s="316" t="str">
        <f>J4</f>
        <v>FIT FO102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782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26346.527999999998</v>
      </c>
      <c r="E8" s="388">
        <f>K8</f>
        <v>26559</v>
      </c>
      <c r="F8" s="389"/>
      <c r="G8" s="388"/>
      <c r="H8" s="387"/>
      <c r="I8" s="388"/>
      <c r="J8" s="937">
        <f>K8-K8*N8</f>
        <v>26346.527999999998</v>
      </c>
      <c r="K8" s="937">
        <v>26559</v>
      </c>
      <c r="L8" s="462"/>
      <c r="M8" s="463"/>
      <c r="N8" s="366">
        <v>8.0000000000000002E-3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585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585</v>
      </c>
      <c r="G9" s="1424">
        <f>P9+R9</f>
        <v>589</v>
      </c>
      <c r="H9" s="498">
        <f>SUM($F$9:F9)/A9</f>
        <v>585</v>
      </c>
      <c r="I9" s="499">
        <f>SUM($G$9:G9)/A9</f>
        <v>589</v>
      </c>
      <c r="J9" s="443">
        <f t="shared" ref="J9:K24" si="0">J8+D9-F9</f>
        <v>25761.527999999998</v>
      </c>
      <c r="K9" s="459">
        <f t="shared" si="0"/>
        <v>25970</v>
      </c>
      <c r="L9" s="495">
        <f>J9/H9</f>
        <v>44.036799999999999</v>
      </c>
      <c r="M9" s="464">
        <f>K9/I9</f>
        <v>44.091680814940574</v>
      </c>
      <c r="N9" s="366"/>
      <c r="O9" s="446"/>
      <c r="P9" s="446"/>
      <c r="Q9" s="446">
        <v>585</v>
      </c>
      <c r="R9" s="446">
        <v>589</v>
      </c>
      <c r="S9" s="647">
        <f>J9/$S$8</f>
        <v>44.036799999999999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0</v>
      </c>
      <c r="G10" s="1424">
        <f t="shared" si="2"/>
        <v>0</v>
      </c>
      <c r="H10" s="498">
        <f>SUM($F$9:F10)/A10</f>
        <v>292.5</v>
      </c>
      <c r="I10" s="499">
        <f>SUM($G$9:G10)/A10</f>
        <v>294.5</v>
      </c>
      <c r="J10" s="443">
        <f t="shared" si="0"/>
        <v>25761.527999999998</v>
      </c>
      <c r="K10" s="459">
        <f t="shared" si="0"/>
        <v>25970</v>
      </c>
      <c r="L10" s="495">
        <f t="shared" ref="L10:M39" si="3">J10/H10</f>
        <v>88.073599999999999</v>
      </c>
      <c r="M10" s="464">
        <f t="shared" si="3"/>
        <v>88.183361629881148</v>
      </c>
      <c r="N10" s="366"/>
      <c r="O10" s="446"/>
      <c r="P10" s="446"/>
      <c r="Q10" s="446"/>
      <c r="R10" s="446"/>
      <c r="S10" s="647">
        <f t="shared" ref="S10:S39" si="4">J10/$S$8</f>
        <v>44.036799999999999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585</v>
      </c>
      <c r="G11" s="1424">
        <f t="shared" si="2"/>
        <v>589</v>
      </c>
      <c r="H11" s="498">
        <f>SUM($F$9:F11)/A11</f>
        <v>390</v>
      </c>
      <c r="I11" s="499">
        <f>SUM($G$9:G11)/A11</f>
        <v>392.66666666666669</v>
      </c>
      <c r="J11" s="443">
        <f t="shared" si="0"/>
        <v>25176.527999999998</v>
      </c>
      <c r="K11" s="459">
        <f t="shared" si="0"/>
        <v>25381</v>
      </c>
      <c r="L11" s="495">
        <f t="shared" si="3"/>
        <v>64.555199999999999</v>
      </c>
      <c r="M11" s="464">
        <f t="shared" si="3"/>
        <v>64.637521222410868</v>
      </c>
      <c r="N11" s="366"/>
      <c r="O11" s="446"/>
      <c r="P11" s="446"/>
      <c r="Q11" s="446">
        <v>585</v>
      </c>
      <c r="R11" s="446">
        <v>589</v>
      </c>
      <c r="S11" s="647">
        <f t="shared" si="4"/>
        <v>43.036799999999999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585</v>
      </c>
      <c r="G12" s="1424">
        <f t="shared" si="2"/>
        <v>589</v>
      </c>
      <c r="H12" s="498">
        <f>SUM($F$9:F12)/A12</f>
        <v>438.75</v>
      </c>
      <c r="I12" s="499">
        <f>SUM($G$9:G12)/A12</f>
        <v>441.75</v>
      </c>
      <c r="J12" s="443">
        <f t="shared" si="0"/>
        <v>24591.527999999998</v>
      </c>
      <c r="K12" s="459">
        <f t="shared" si="0"/>
        <v>24792</v>
      </c>
      <c r="L12" s="495">
        <f t="shared" si="3"/>
        <v>56.049066666666661</v>
      </c>
      <c r="M12" s="464">
        <f t="shared" si="3"/>
        <v>56.122241086587437</v>
      </c>
      <c r="N12" s="366"/>
      <c r="O12" s="446"/>
      <c r="P12" s="446"/>
      <c r="Q12" s="446">
        <v>585</v>
      </c>
      <c r="R12" s="446">
        <v>589</v>
      </c>
      <c r="S12" s="647">
        <f t="shared" si="4"/>
        <v>42.036799999999999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585</v>
      </c>
      <c r="G13" s="1424">
        <f t="shared" si="2"/>
        <v>589</v>
      </c>
      <c r="H13" s="504">
        <f>SUM($F$9:F13)/A13</f>
        <v>468</v>
      </c>
      <c r="I13" s="499">
        <f>SUM($G$9:G13)/A13</f>
        <v>471.2</v>
      </c>
      <c r="J13" s="504">
        <f t="shared" si="0"/>
        <v>24006.527999999998</v>
      </c>
      <c r="K13" s="459">
        <f t="shared" si="0"/>
        <v>24203</v>
      </c>
      <c r="L13" s="505">
        <f t="shared" si="3"/>
        <v>51.295999999999999</v>
      </c>
      <c r="M13" s="464">
        <f t="shared" si="3"/>
        <v>51.364601018675721</v>
      </c>
      <c r="N13" s="366"/>
      <c r="O13" s="446"/>
      <c r="P13" s="446"/>
      <c r="Q13" s="446">
        <v>585</v>
      </c>
      <c r="R13" s="446">
        <v>589</v>
      </c>
      <c r="S13" s="647">
        <f t="shared" si="4"/>
        <v>41.036799999999999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585</v>
      </c>
      <c r="G14" s="1424">
        <f t="shared" si="2"/>
        <v>588</v>
      </c>
      <c r="H14" s="498">
        <f>SUM($F$9:F14)/A14</f>
        <v>487.5</v>
      </c>
      <c r="I14" s="499">
        <f>SUM($G$9:G14)/A14</f>
        <v>490.66666666666669</v>
      </c>
      <c r="J14" s="443">
        <f t="shared" si="0"/>
        <v>23421.527999999998</v>
      </c>
      <c r="K14" s="459">
        <f t="shared" si="0"/>
        <v>23615</v>
      </c>
      <c r="L14" s="495">
        <f t="shared" si="3"/>
        <v>48.044159999999998</v>
      </c>
      <c r="M14" s="464">
        <f t="shared" si="3"/>
        <v>48.12839673913043</v>
      </c>
      <c r="N14" s="366"/>
      <c r="O14" s="446"/>
      <c r="P14" s="446"/>
      <c r="Q14" s="446">
        <v>585</v>
      </c>
      <c r="R14" s="446">
        <v>588</v>
      </c>
      <c r="S14" s="647">
        <f t="shared" si="4"/>
        <v>40.036799999999999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585</v>
      </c>
      <c r="G15" s="1424">
        <f t="shared" si="2"/>
        <v>588</v>
      </c>
      <c r="H15" s="498">
        <f>SUM($F$9:F15)/A15</f>
        <v>501.42857142857144</v>
      </c>
      <c r="I15" s="499">
        <f>SUM($G$9:G15)/A15</f>
        <v>504.57142857142856</v>
      </c>
      <c r="J15" s="443">
        <f t="shared" si="0"/>
        <v>22836.527999999998</v>
      </c>
      <c r="K15" s="459">
        <f t="shared" si="0"/>
        <v>23027</v>
      </c>
      <c r="L15" s="495">
        <f t="shared" si="3"/>
        <v>45.54293333333333</v>
      </c>
      <c r="M15" s="464">
        <f t="shared" si="3"/>
        <v>45.636749716874291</v>
      </c>
      <c r="N15" s="366"/>
      <c r="O15" s="446"/>
      <c r="P15" s="446"/>
      <c r="Q15" s="446">
        <v>585</v>
      </c>
      <c r="R15" s="446">
        <v>588</v>
      </c>
      <c r="S15" s="647">
        <f t="shared" si="4"/>
        <v>39.036799999999999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585</v>
      </c>
      <c r="G16" s="1424">
        <f t="shared" si="2"/>
        <v>588</v>
      </c>
      <c r="H16" s="498">
        <f>SUM($F$9:F16)/A16</f>
        <v>511.875</v>
      </c>
      <c r="I16" s="499">
        <f>SUM($G$9:G16)/A16</f>
        <v>515</v>
      </c>
      <c r="J16" s="443">
        <f t="shared" si="0"/>
        <v>22251.527999999998</v>
      </c>
      <c r="K16" s="459">
        <f t="shared" si="0"/>
        <v>22439</v>
      </c>
      <c r="L16" s="495">
        <f t="shared" si="3"/>
        <v>43.47062857142857</v>
      </c>
      <c r="M16" s="464">
        <f t="shared" si="3"/>
        <v>43.570873786407766</v>
      </c>
      <c r="N16" s="366"/>
      <c r="O16" s="446"/>
      <c r="P16" s="446"/>
      <c r="Q16" s="446">
        <v>585</v>
      </c>
      <c r="R16" s="446">
        <v>588</v>
      </c>
      <c r="S16" s="647">
        <f t="shared" si="4"/>
        <v>38.036799999999999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585</v>
      </c>
      <c r="G17" s="1424">
        <f t="shared" si="2"/>
        <v>588</v>
      </c>
      <c r="H17" s="498">
        <f>SUM($F$9:F17)/A17</f>
        <v>520</v>
      </c>
      <c r="I17" s="499">
        <f>SUM($G$9:G17)/A17</f>
        <v>523.11111111111109</v>
      </c>
      <c r="J17" s="443">
        <f t="shared" si="0"/>
        <v>21666.527999999998</v>
      </c>
      <c r="K17" s="459">
        <f t="shared" si="0"/>
        <v>21851</v>
      </c>
      <c r="L17" s="495">
        <f t="shared" si="3"/>
        <v>41.666399999999996</v>
      </c>
      <c r="M17" s="464">
        <f t="shared" si="3"/>
        <v>41.77124044180119</v>
      </c>
      <c r="N17" s="366"/>
      <c r="O17" s="446"/>
      <c r="P17" s="446"/>
      <c r="Q17" s="446">
        <v>585</v>
      </c>
      <c r="R17" s="446">
        <v>588</v>
      </c>
      <c r="S17" s="647">
        <f t="shared" si="4"/>
        <v>37.036799999999999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585</v>
      </c>
      <c r="G18" s="1424">
        <f t="shared" si="2"/>
        <v>588</v>
      </c>
      <c r="H18" s="504">
        <f>SUM($F$9:F18)/A18</f>
        <v>526.5</v>
      </c>
      <c r="I18" s="499">
        <f>SUM($G$9:G18)/A18</f>
        <v>529.6</v>
      </c>
      <c r="J18" s="504">
        <f t="shared" si="0"/>
        <v>21081.527999999998</v>
      </c>
      <c r="K18" s="459">
        <f t="shared" si="0"/>
        <v>21263</v>
      </c>
      <c r="L18" s="505">
        <f t="shared" si="3"/>
        <v>40.040888888888887</v>
      </c>
      <c r="M18" s="464">
        <f t="shared" si="3"/>
        <v>40.149169184290031</v>
      </c>
      <c r="N18" s="366"/>
      <c r="O18" s="446"/>
      <c r="P18" s="446"/>
      <c r="Q18" s="446">
        <v>585</v>
      </c>
      <c r="R18" s="446">
        <v>588</v>
      </c>
      <c r="S18" s="647">
        <f t="shared" si="4"/>
        <v>36.036799999999999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364</v>
      </c>
      <c r="G19" s="1424">
        <f t="shared" si="2"/>
        <v>366</v>
      </c>
      <c r="H19" s="498">
        <f>SUM($F$9:F19)/A19</f>
        <v>511.72727272727275</v>
      </c>
      <c r="I19" s="499">
        <f>SUM($G$9:G19)/A19</f>
        <v>514.72727272727275</v>
      </c>
      <c r="J19" s="443">
        <f t="shared" si="0"/>
        <v>20717.527999999998</v>
      </c>
      <c r="K19" s="459">
        <f t="shared" si="0"/>
        <v>20897</v>
      </c>
      <c r="L19" s="495">
        <f t="shared" si="3"/>
        <v>40.485487297921473</v>
      </c>
      <c r="M19" s="464">
        <f t="shared" si="3"/>
        <v>40.598198516425292</v>
      </c>
      <c r="N19" s="366"/>
      <c r="O19" s="446"/>
      <c r="P19" s="446"/>
      <c r="Q19" s="446">
        <v>364</v>
      </c>
      <c r="R19" s="446">
        <v>366</v>
      </c>
      <c r="S19" s="647">
        <f t="shared" si="4"/>
        <v>35.414577777777772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469.08333333333331</v>
      </c>
      <c r="I20" s="499">
        <f>SUM($G$9:G20)/A20</f>
        <v>471.83333333333331</v>
      </c>
      <c r="J20" s="443">
        <f t="shared" si="0"/>
        <v>20717.527999999998</v>
      </c>
      <c r="K20" s="459">
        <f t="shared" si="0"/>
        <v>20897</v>
      </c>
      <c r="L20" s="495">
        <f t="shared" si="3"/>
        <v>44.165986143187062</v>
      </c>
      <c r="M20" s="464">
        <f t="shared" si="3"/>
        <v>44.288943836100323</v>
      </c>
      <c r="N20" s="366"/>
      <c r="O20" s="446"/>
      <c r="P20" s="446"/>
      <c r="Q20" s="446"/>
      <c r="R20" s="446"/>
      <c r="S20" s="647">
        <f t="shared" si="4"/>
        <v>35.414577777777772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433</v>
      </c>
      <c r="I21" s="499">
        <f>SUM($G$9:G21)/A21</f>
        <v>435.53846153846155</v>
      </c>
      <c r="J21" s="443">
        <f t="shared" si="0"/>
        <v>20717.527999999998</v>
      </c>
      <c r="K21" s="459">
        <f>K20+E21-G21</f>
        <v>20897</v>
      </c>
      <c r="L21" s="495">
        <f t="shared" si="3"/>
        <v>47.846484988452652</v>
      </c>
      <c r="M21" s="464">
        <f t="shared" si="3"/>
        <v>47.979689155775347</v>
      </c>
      <c r="N21" s="366"/>
      <c r="O21" s="446"/>
      <c r="P21" s="446"/>
      <c r="Q21" s="446"/>
      <c r="R21" s="446"/>
      <c r="S21" s="647">
        <f t="shared" si="4"/>
        <v>35.414577777777772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402.07142857142856</v>
      </c>
      <c r="I22" s="499">
        <f>SUM($G$9:G22)/A22</f>
        <v>404.42857142857144</v>
      </c>
      <c r="J22" s="443">
        <f t="shared" si="0"/>
        <v>20717.527999999998</v>
      </c>
      <c r="K22" s="459">
        <f>K21+E22-G22</f>
        <v>20897</v>
      </c>
      <c r="L22" s="495">
        <f t="shared" si="3"/>
        <v>51.526983833718241</v>
      </c>
      <c r="M22" s="464">
        <f t="shared" si="3"/>
        <v>51.670434475450371</v>
      </c>
      <c r="N22" s="366"/>
      <c r="O22" s="446"/>
      <c r="P22" s="446"/>
      <c r="Q22" s="446"/>
      <c r="R22" s="446"/>
      <c r="S22" s="647">
        <f t="shared" si="4"/>
        <v>35.414577777777772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375.26666666666665</v>
      </c>
      <c r="I23" s="499">
        <f>SUM($G$9:G23)/A23</f>
        <v>377.46666666666664</v>
      </c>
      <c r="J23" s="504">
        <f t="shared" si="0"/>
        <v>20717.527999999998</v>
      </c>
      <c r="K23" s="459">
        <f t="shared" si="0"/>
        <v>20897</v>
      </c>
      <c r="L23" s="505">
        <f t="shared" si="3"/>
        <v>55.20748267898383</v>
      </c>
      <c r="M23" s="464">
        <f t="shared" si="3"/>
        <v>55.361179795125402</v>
      </c>
      <c r="N23" s="366"/>
      <c r="O23" s="446"/>
      <c r="P23" s="446"/>
      <c r="Q23" s="446"/>
      <c r="R23" s="446"/>
      <c r="S23" s="647">
        <f t="shared" si="4"/>
        <v>35.414577777777772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1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351.8125</v>
      </c>
      <c r="I24" s="499">
        <f>SUM($G$9:G24)/A24</f>
        <v>353.875</v>
      </c>
      <c r="J24" s="443">
        <f t="shared" si="0"/>
        <v>20717.527999999998</v>
      </c>
      <c r="K24" s="459">
        <f>K23+E24-G24</f>
        <v>20897</v>
      </c>
      <c r="L24" s="495">
        <f t="shared" si="3"/>
        <v>58.887981524249419</v>
      </c>
      <c r="M24" s="464">
        <f t="shared" si="3"/>
        <v>59.051925114800426</v>
      </c>
      <c r="N24" s="366"/>
      <c r="O24" s="446"/>
      <c r="P24" s="446"/>
      <c r="Q24" s="446"/>
      <c r="R24" s="446"/>
      <c r="S24" s="647">
        <f t="shared" si="4"/>
        <v>35.414577777777772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>
        <f t="shared" si="1"/>
        <v>0</v>
      </c>
      <c r="E25" s="499"/>
      <c r="F25" s="586">
        <f t="shared" si="2"/>
        <v>0</v>
      </c>
      <c r="G25" s="1424">
        <f t="shared" si="2"/>
        <v>0</v>
      </c>
      <c r="H25" s="498">
        <f>SUM($F$9:F25)/A25</f>
        <v>331.11764705882354</v>
      </c>
      <c r="I25" s="499">
        <f>SUM($G$9:G25)/A25</f>
        <v>333.05882352941177</v>
      </c>
      <c r="J25" s="443">
        <f t="shared" ref="J25:K39" si="5">J24+D25-F25</f>
        <v>20717.527999999998</v>
      </c>
      <c r="K25" s="459">
        <f>K24+E25-G25</f>
        <v>20897</v>
      </c>
      <c r="L25" s="495">
        <f t="shared" si="3"/>
        <v>62.568480369515008</v>
      </c>
      <c r="M25" s="464">
        <f t="shared" si="3"/>
        <v>62.74267043447545</v>
      </c>
      <c r="N25" s="366"/>
      <c r="O25" s="446"/>
      <c r="P25" s="446"/>
      <c r="Q25" s="446"/>
      <c r="R25" s="446"/>
      <c r="S25" s="647">
        <f t="shared" si="4"/>
        <v>35.414577777777772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312.72222222222223</v>
      </c>
      <c r="I26" s="499">
        <f>SUM($G$9:G26)/A26</f>
        <v>314.55555555555554</v>
      </c>
      <c r="J26" s="443">
        <f t="shared" si="5"/>
        <v>20717.527999999998</v>
      </c>
      <c r="K26" s="459">
        <f>K25+E26-G26</f>
        <v>20897</v>
      </c>
      <c r="L26" s="495">
        <f t="shared" si="3"/>
        <v>66.24897921478059</v>
      </c>
      <c r="M26" s="464">
        <f t="shared" si="3"/>
        <v>66.433415754150474</v>
      </c>
      <c r="N26" s="366"/>
      <c r="O26" s="446"/>
      <c r="P26" s="446"/>
      <c r="Q26" s="446"/>
      <c r="R26" s="446"/>
      <c r="S26" s="647">
        <f t="shared" si="4"/>
        <v>35.414577777777772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296.26315789473682</v>
      </c>
      <c r="I27" s="499">
        <f>SUM($G$9:G27)/A27</f>
        <v>298</v>
      </c>
      <c r="J27" s="443">
        <f t="shared" si="5"/>
        <v>20717.527999999998</v>
      </c>
      <c r="K27" s="459">
        <f>K26+E27-G27</f>
        <v>20897</v>
      </c>
      <c r="L27" s="495">
        <f t="shared" si="3"/>
        <v>69.929478060046193</v>
      </c>
      <c r="M27" s="464">
        <f t="shared" si="3"/>
        <v>70.124161073825505</v>
      </c>
      <c r="N27" s="366"/>
      <c r="O27" s="446"/>
      <c r="P27" s="446"/>
      <c r="Q27" s="446"/>
      <c r="R27" s="446"/>
      <c r="S27" s="647">
        <f t="shared" si="4"/>
        <v>35.414577777777772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281.45</v>
      </c>
      <c r="I28" s="499">
        <f>SUM($G$9:G28)/A28</f>
        <v>283.10000000000002</v>
      </c>
      <c r="J28" s="504">
        <f t="shared" si="5"/>
        <v>20717.527999999998</v>
      </c>
      <c r="K28" s="459">
        <f t="shared" si="5"/>
        <v>20897</v>
      </c>
      <c r="L28" s="505">
        <f t="shared" si="3"/>
        <v>73.609976905311783</v>
      </c>
      <c r="M28" s="464">
        <f t="shared" si="3"/>
        <v>73.814906393500522</v>
      </c>
      <c r="N28" s="366"/>
      <c r="O28" s="446"/>
      <c r="P28" s="446"/>
      <c r="Q28" s="446"/>
      <c r="R28" s="446"/>
      <c r="S28" s="647">
        <f t="shared" si="4"/>
        <v>35.414577777777772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268.04761904761904</v>
      </c>
      <c r="I29" s="499">
        <f>SUM($G$9:G29)/A29</f>
        <v>269.61904761904759</v>
      </c>
      <c r="J29" s="443">
        <f t="shared" si="5"/>
        <v>20717.527999999998</v>
      </c>
      <c r="K29" s="459">
        <f t="shared" si="5"/>
        <v>20897</v>
      </c>
      <c r="L29" s="495">
        <f t="shared" si="3"/>
        <v>77.290475750577357</v>
      </c>
      <c r="M29" s="464">
        <f t="shared" si="3"/>
        <v>77.505651713175567</v>
      </c>
      <c r="N29" s="366"/>
      <c r="O29" s="446"/>
      <c r="P29" s="446"/>
      <c r="Q29" s="446"/>
      <c r="R29" s="446"/>
      <c r="S29" s="647">
        <f t="shared" si="4"/>
        <v>35.414577777777772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255.86363636363637</v>
      </c>
      <c r="I30" s="499">
        <f>SUM($G$9:G30)/A30</f>
        <v>257.36363636363637</v>
      </c>
      <c r="J30" s="443">
        <f t="shared" si="5"/>
        <v>20717.527999999998</v>
      </c>
      <c r="K30" s="459">
        <f t="shared" si="5"/>
        <v>20897</v>
      </c>
      <c r="L30" s="495">
        <f t="shared" si="3"/>
        <v>80.970974595842947</v>
      </c>
      <c r="M30" s="464">
        <f t="shared" si="3"/>
        <v>81.196397032850584</v>
      </c>
      <c r="N30" s="366"/>
      <c r="O30" s="446"/>
      <c r="P30" s="446"/>
      <c r="Q30" s="446"/>
      <c r="R30" s="446"/>
      <c r="S30" s="647">
        <f t="shared" si="4"/>
        <v>35.414577777777772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244.7391304347826</v>
      </c>
      <c r="I31" s="499">
        <f>SUM($G$9:G31)/A31</f>
        <v>246.17391304347825</v>
      </c>
      <c r="J31" s="443">
        <f t="shared" si="5"/>
        <v>20717.527999999998</v>
      </c>
      <c r="K31" s="459">
        <f t="shared" si="5"/>
        <v>20897</v>
      </c>
      <c r="L31" s="495">
        <f t="shared" si="3"/>
        <v>84.65147344110855</v>
      </c>
      <c r="M31" s="464">
        <f t="shared" si="3"/>
        <v>84.887142352525615</v>
      </c>
      <c r="N31" s="366"/>
      <c r="O31" s="446"/>
      <c r="P31" s="446"/>
      <c r="Q31" s="446"/>
      <c r="R31" s="446"/>
      <c r="S31" s="647">
        <f t="shared" si="4"/>
        <v>35.414577777777772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234.54166666666666</v>
      </c>
      <c r="I32" s="499">
        <f>SUM($G$9:G32)/A32</f>
        <v>235.91666666666666</v>
      </c>
      <c r="J32" s="443">
        <f t="shared" si="5"/>
        <v>20717.527999999998</v>
      </c>
      <c r="K32" s="459">
        <f t="shared" si="5"/>
        <v>20897</v>
      </c>
      <c r="L32" s="495">
        <f t="shared" si="3"/>
        <v>88.331972286374125</v>
      </c>
      <c r="M32" s="464">
        <f t="shared" si="3"/>
        <v>88.577887672200646</v>
      </c>
      <c r="N32" s="366"/>
      <c r="O32" s="446"/>
      <c r="P32" s="446"/>
      <c r="Q32" s="446"/>
      <c r="R32" s="446"/>
      <c r="S32" s="647">
        <f t="shared" si="4"/>
        <v>35.414577777777772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225.16</v>
      </c>
      <c r="I33" s="499">
        <f>SUM($G$9:G33)/A33</f>
        <v>226.48</v>
      </c>
      <c r="J33" s="460">
        <f t="shared" si="5"/>
        <v>20717.527999999998</v>
      </c>
      <c r="K33" s="459">
        <f t="shared" si="5"/>
        <v>20897</v>
      </c>
      <c r="L33" s="506">
        <f t="shared" si="3"/>
        <v>92.012471131639714</v>
      </c>
      <c r="M33" s="464">
        <f t="shared" si="3"/>
        <v>92.268632991875663</v>
      </c>
      <c r="N33" s="366"/>
      <c r="O33" s="446"/>
      <c r="P33" s="446"/>
      <c r="Q33" s="446"/>
      <c r="R33" s="446"/>
      <c r="S33" s="647">
        <f t="shared" si="4"/>
        <v>35.414577777777772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216.5</v>
      </c>
      <c r="I34" s="499">
        <f>SUM($G$9:G34)/A34</f>
        <v>217.76923076923077</v>
      </c>
      <c r="J34" s="443">
        <f t="shared" si="5"/>
        <v>20717.527999999998</v>
      </c>
      <c r="K34" s="459">
        <f t="shared" si="5"/>
        <v>20897</v>
      </c>
      <c r="L34" s="495">
        <f t="shared" si="3"/>
        <v>95.692969976905303</v>
      </c>
      <c r="M34" s="464">
        <f t="shared" si="3"/>
        <v>95.959378311550694</v>
      </c>
      <c r="N34" s="366"/>
      <c r="O34" s="446"/>
      <c r="P34" s="446"/>
      <c r="Q34" s="446"/>
      <c r="R34" s="446"/>
      <c r="S34" s="647">
        <f t="shared" si="4"/>
        <v>35.414577777777772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208.4814814814815</v>
      </c>
      <c r="I35" s="499">
        <f>SUM($G$9:G35)/A35</f>
        <v>209.7037037037037</v>
      </c>
      <c r="J35" s="443">
        <f t="shared" si="5"/>
        <v>20717.527999999998</v>
      </c>
      <c r="K35" s="459">
        <f t="shared" si="5"/>
        <v>20897</v>
      </c>
      <c r="L35" s="495">
        <f t="shared" si="3"/>
        <v>99.373468822170892</v>
      </c>
      <c r="M35" s="464">
        <f t="shared" si="3"/>
        <v>99.650123631225725</v>
      </c>
      <c r="N35" s="366"/>
      <c r="O35" s="446"/>
      <c r="P35" s="446"/>
      <c r="Q35" s="446"/>
      <c r="R35" s="446"/>
      <c r="S35" s="647">
        <f t="shared" si="4"/>
        <v>35.414577777777772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201.03571428571428</v>
      </c>
      <c r="I36" s="499">
        <f>SUM($G$9:G36)/A36</f>
        <v>202.21428571428572</v>
      </c>
      <c r="J36" s="443">
        <f t="shared" si="5"/>
        <v>20717.527999999998</v>
      </c>
      <c r="K36" s="459">
        <f t="shared" si="5"/>
        <v>20897</v>
      </c>
      <c r="L36" s="495">
        <f t="shared" si="3"/>
        <v>103.05396766743648</v>
      </c>
      <c r="M36" s="464">
        <f t="shared" si="3"/>
        <v>103.34086895090074</v>
      </c>
      <c r="N36" s="366"/>
      <c r="O36" s="446"/>
      <c r="P36" s="446"/>
      <c r="Q36" s="446"/>
      <c r="R36" s="446"/>
      <c r="S36" s="647">
        <f t="shared" si="4"/>
        <v>35.414577777777772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194.10344827586206</v>
      </c>
      <c r="I37" s="499">
        <f>SUM($G$9:G37)/A37</f>
        <v>195.24137931034483</v>
      </c>
      <c r="J37" s="443">
        <f t="shared" si="5"/>
        <v>20717.527999999998</v>
      </c>
      <c r="K37" s="459">
        <f t="shared" si="5"/>
        <v>20897</v>
      </c>
      <c r="L37" s="495">
        <f t="shared" si="3"/>
        <v>106.73446651270207</v>
      </c>
      <c r="M37" s="464">
        <f t="shared" si="3"/>
        <v>107.03161427057577</v>
      </c>
      <c r="N37" s="366"/>
      <c r="O37" s="446"/>
      <c r="P37" s="446"/>
      <c r="Q37" s="446"/>
      <c r="R37" s="446"/>
      <c r="S37" s="647">
        <f t="shared" si="4"/>
        <v>35.414577777777772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187.63333333333333</v>
      </c>
      <c r="I38" s="499">
        <f>SUM($G$9:G38)/A38</f>
        <v>188.73333333333332</v>
      </c>
      <c r="J38" s="504">
        <f t="shared" si="5"/>
        <v>20717.527999999998</v>
      </c>
      <c r="K38" s="459">
        <f t="shared" si="5"/>
        <v>20897</v>
      </c>
      <c r="L38" s="505">
        <f t="shared" si="3"/>
        <v>110.41496535796766</v>
      </c>
      <c r="M38" s="464">
        <f t="shared" si="3"/>
        <v>110.7223595902508</v>
      </c>
      <c r="N38" s="366"/>
      <c r="O38" s="446"/>
      <c r="P38" s="446"/>
      <c r="Q38" s="446"/>
      <c r="R38" s="446"/>
      <c r="S38" s="647">
        <f t="shared" si="4"/>
        <v>35.414577777777772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181.58064516129033</v>
      </c>
      <c r="I39" s="499">
        <f>SUM($G$9:G39)/A39</f>
        <v>182.64516129032259</v>
      </c>
      <c r="J39" s="443">
        <f t="shared" si="5"/>
        <v>20717.527999999998</v>
      </c>
      <c r="K39" s="459">
        <f t="shared" si="5"/>
        <v>20897</v>
      </c>
      <c r="L39" s="495">
        <f t="shared" si="3"/>
        <v>114.09546420323323</v>
      </c>
      <c r="M39" s="464">
        <f t="shared" si="3"/>
        <v>114.41310490992582</v>
      </c>
      <c r="N39" s="366"/>
      <c r="O39" s="446"/>
      <c r="P39" s="446"/>
      <c r="Q39" s="446"/>
      <c r="R39" s="446"/>
      <c r="S39" s="647">
        <f t="shared" si="4"/>
        <v>35.414577777777772</v>
      </c>
    </row>
    <row r="40" spans="1:19" s="374" customFormat="1" ht="12" customHeight="1">
      <c r="A40" s="980" t="s">
        <v>29</v>
      </c>
      <c r="B40" s="981"/>
      <c r="C40" s="982"/>
      <c r="D40" s="388">
        <f>SUM(D9:D39)</f>
        <v>0</v>
      </c>
      <c r="E40" s="923">
        <f>SUM(E9:E39)</f>
        <v>0</v>
      </c>
      <c r="F40" s="389">
        <f>SUM(F9:F39)</f>
        <v>5629</v>
      </c>
      <c r="G40" s="496">
        <f>SUM(G9:G39)</f>
        <v>5662</v>
      </c>
      <c r="H40" s="389"/>
      <c r="I40" s="496"/>
      <c r="J40" s="389">
        <f>J39</f>
        <v>20717.527999999998</v>
      </c>
      <c r="K40" s="461">
        <f>K39</f>
        <v>20897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5629</v>
      </c>
      <c r="R40" s="496">
        <f>SUM(R9:R39)</f>
        <v>5662</v>
      </c>
    </row>
    <row r="41" spans="1:19" s="374" customFormat="1" ht="12" customHeight="1">
      <c r="A41" s="980" t="s">
        <v>15</v>
      </c>
      <c r="B41" s="981"/>
      <c r="C41" s="982"/>
      <c r="D41" s="388">
        <f>D8+D40</f>
        <v>26346.527999999998</v>
      </c>
      <c r="E41" s="388">
        <f>E8+E40</f>
        <v>26559</v>
      </c>
      <c r="F41" s="389">
        <f>F40</f>
        <v>5629</v>
      </c>
      <c r="G41" s="496">
        <f>G40</f>
        <v>5662</v>
      </c>
      <c r="H41" s="389"/>
      <c r="I41" s="496"/>
      <c r="J41" s="389">
        <f>D41-F41</f>
        <v>20717.527999999998</v>
      </c>
      <c r="K41" s="389">
        <f>E41-G41</f>
        <v>20897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0514" priority="163" operator="lessThan">
      <formula>15</formula>
    </cfRule>
    <cfRule type="cellIs" dxfId="10513" priority="164" operator="greaterThan">
      <formula>20</formula>
    </cfRule>
    <cfRule type="cellIs" dxfId="10512" priority="165" operator="between">
      <formula>15</formula>
      <formula>20</formula>
    </cfRule>
    <cfRule type="cellIs" dxfId="10511" priority="166" operator="between">
      <formula>15</formula>
      <formula>20</formula>
    </cfRule>
    <cfRule type="cellIs" dxfId="10510" priority="167" operator="lessThan">
      <formula>15</formula>
    </cfRule>
    <cfRule type="cellIs" dxfId="10509" priority="168" operator="greaterThan">
      <formula>20</formula>
    </cfRule>
    <cfRule type="cellIs" dxfId="10508" priority="169" operator="between">
      <formula>15</formula>
      <formula>21</formula>
    </cfRule>
    <cfRule type="cellIs" dxfId="10507" priority="170" operator="lessThan">
      <formula>15</formula>
    </cfRule>
    <cfRule type="cellIs" dxfId="10506" priority="171" operator="greaterThan">
      <formula>21</formula>
    </cfRule>
  </conditionalFormatting>
  <conditionalFormatting sqref="M9:M39">
    <cfRule type="cellIs" dxfId="10505" priority="154" operator="lessThan">
      <formula>15</formula>
    </cfRule>
    <cfRule type="cellIs" dxfId="10504" priority="155" operator="greaterThan">
      <formula>20</formula>
    </cfRule>
    <cfRule type="cellIs" dxfId="10503" priority="156" operator="between">
      <formula>15</formula>
      <formula>20</formula>
    </cfRule>
    <cfRule type="cellIs" dxfId="10502" priority="157" operator="between">
      <formula>15</formula>
      <formula>20</formula>
    </cfRule>
    <cfRule type="cellIs" dxfId="10501" priority="158" operator="lessThan">
      <formula>15</formula>
    </cfRule>
    <cfRule type="cellIs" dxfId="10500" priority="159" operator="greaterThan">
      <formula>20</formula>
    </cfRule>
    <cfRule type="cellIs" dxfId="10499" priority="160" operator="between">
      <formula>15</formula>
      <formula>21</formula>
    </cfRule>
    <cfRule type="cellIs" dxfId="10498" priority="161" operator="lessThan">
      <formula>15</formula>
    </cfRule>
    <cfRule type="cellIs" dxfId="10497" priority="162" operator="greaterThan">
      <formula>21</formula>
    </cfRule>
  </conditionalFormatting>
  <conditionalFormatting sqref="M9:M39">
    <cfRule type="cellIs" dxfId="10496" priority="145" operator="lessThan">
      <formula>15</formula>
    </cfRule>
    <cfRule type="cellIs" dxfId="10495" priority="146" operator="greaterThan">
      <formula>20</formula>
    </cfRule>
    <cfRule type="cellIs" dxfId="10494" priority="147" operator="between">
      <formula>15</formula>
      <formula>20</formula>
    </cfRule>
    <cfRule type="cellIs" dxfId="10493" priority="148" operator="between">
      <formula>15</formula>
      <formula>20</formula>
    </cfRule>
    <cfRule type="cellIs" dxfId="10492" priority="149" operator="lessThan">
      <formula>15</formula>
    </cfRule>
    <cfRule type="cellIs" dxfId="10491" priority="150" operator="greaterThan">
      <formula>20</formula>
    </cfRule>
    <cfRule type="cellIs" dxfId="10490" priority="151" operator="between">
      <formula>15</formula>
      <formula>21</formula>
    </cfRule>
    <cfRule type="cellIs" dxfId="10489" priority="152" operator="lessThan">
      <formula>15</formula>
    </cfRule>
    <cfRule type="cellIs" dxfId="10488" priority="153" operator="greaterThan">
      <formula>21</formula>
    </cfRule>
  </conditionalFormatting>
  <conditionalFormatting sqref="M9:M39">
    <cfRule type="cellIs" dxfId="10487" priority="136" operator="lessThan">
      <formula>15</formula>
    </cfRule>
    <cfRule type="cellIs" dxfId="10486" priority="137" operator="greaterThan">
      <formula>20</formula>
    </cfRule>
    <cfRule type="cellIs" dxfId="10485" priority="138" operator="between">
      <formula>15</formula>
      <formula>20</formula>
    </cfRule>
    <cfRule type="cellIs" dxfId="10484" priority="139" operator="between">
      <formula>15</formula>
      <formula>20</formula>
    </cfRule>
    <cfRule type="cellIs" dxfId="10483" priority="140" operator="lessThan">
      <formula>15</formula>
    </cfRule>
    <cfRule type="cellIs" dxfId="10482" priority="141" operator="greaterThan">
      <formula>20</formula>
    </cfRule>
    <cfRule type="cellIs" dxfId="10481" priority="142" operator="between">
      <formula>15</formula>
      <formula>21</formula>
    </cfRule>
    <cfRule type="cellIs" dxfId="10480" priority="143" operator="lessThan">
      <formula>15</formula>
    </cfRule>
    <cfRule type="cellIs" dxfId="10479" priority="144" operator="greaterThan">
      <formula>21</formula>
    </cfRule>
  </conditionalFormatting>
  <conditionalFormatting sqref="M9:M39">
    <cfRule type="cellIs" dxfId="10478" priority="127" operator="lessThan">
      <formula>15</formula>
    </cfRule>
    <cfRule type="cellIs" dxfId="10477" priority="128" operator="greaterThan">
      <formula>20</formula>
    </cfRule>
    <cfRule type="cellIs" dxfId="10476" priority="129" operator="between">
      <formula>15</formula>
      <formula>20</formula>
    </cfRule>
    <cfRule type="cellIs" dxfId="10475" priority="130" operator="between">
      <formula>15</formula>
      <formula>20</formula>
    </cfRule>
    <cfRule type="cellIs" dxfId="10474" priority="131" operator="lessThan">
      <formula>15</formula>
    </cfRule>
    <cfRule type="cellIs" dxfId="10473" priority="132" operator="greaterThan">
      <formula>20</formula>
    </cfRule>
    <cfRule type="cellIs" dxfId="10472" priority="133" operator="between">
      <formula>15</formula>
      <formula>21</formula>
    </cfRule>
    <cfRule type="cellIs" dxfId="10471" priority="134" operator="lessThan">
      <formula>15</formula>
    </cfRule>
    <cfRule type="cellIs" dxfId="10470" priority="135" operator="greaterThan">
      <formula>21</formula>
    </cfRule>
  </conditionalFormatting>
  <conditionalFormatting sqref="M9:M39">
    <cfRule type="cellIs" dxfId="10469" priority="118" operator="lessThan">
      <formula>15</formula>
    </cfRule>
    <cfRule type="cellIs" dxfId="10468" priority="119" operator="greaterThan">
      <formula>20</formula>
    </cfRule>
    <cfRule type="cellIs" dxfId="10467" priority="120" operator="between">
      <formula>15</formula>
      <formula>20</formula>
    </cfRule>
    <cfRule type="cellIs" dxfId="10466" priority="121" operator="between">
      <formula>15</formula>
      <formula>20</formula>
    </cfRule>
    <cfRule type="cellIs" dxfId="10465" priority="122" operator="lessThan">
      <formula>15</formula>
    </cfRule>
    <cfRule type="cellIs" dxfId="10464" priority="123" operator="greaterThan">
      <formula>20</formula>
    </cfRule>
    <cfRule type="cellIs" dxfId="10463" priority="124" operator="between">
      <formula>15</formula>
      <formula>21</formula>
    </cfRule>
    <cfRule type="cellIs" dxfId="10462" priority="125" operator="lessThan">
      <formula>15</formula>
    </cfRule>
    <cfRule type="cellIs" dxfId="10461" priority="126" operator="greaterThan">
      <formula>21</formula>
    </cfRule>
  </conditionalFormatting>
  <conditionalFormatting sqref="M9:M39">
    <cfRule type="cellIs" dxfId="10460" priority="109" operator="lessThan">
      <formula>15</formula>
    </cfRule>
    <cfRule type="cellIs" dxfId="10459" priority="110" operator="greaterThan">
      <formula>20</formula>
    </cfRule>
    <cfRule type="cellIs" dxfId="10458" priority="111" operator="between">
      <formula>15</formula>
      <formula>20</formula>
    </cfRule>
    <cfRule type="cellIs" dxfId="10457" priority="112" operator="between">
      <formula>15</formula>
      <formula>20</formula>
    </cfRule>
    <cfRule type="cellIs" dxfId="10456" priority="113" operator="lessThan">
      <formula>15</formula>
    </cfRule>
    <cfRule type="cellIs" dxfId="10455" priority="114" operator="greaterThan">
      <formula>20</formula>
    </cfRule>
    <cfRule type="cellIs" dxfId="10454" priority="115" operator="between">
      <formula>15</formula>
      <formula>21</formula>
    </cfRule>
    <cfRule type="cellIs" dxfId="10453" priority="116" operator="lessThan">
      <formula>15</formula>
    </cfRule>
    <cfRule type="cellIs" dxfId="10452" priority="117" operator="greaterThan">
      <formula>21</formula>
    </cfRule>
  </conditionalFormatting>
  <conditionalFormatting sqref="M9:M39">
    <cfRule type="cellIs" dxfId="10451" priority="100" operator="lessThan">
      <formula>15</formula>
    </cfRule>
    <cfRule type="cellIs" dxfId="10450" priority="101" operator="greaterThan">
      <formula>20</formula>
    </cfRule>
    <cfRule type="cellIs" dxfId="10449" priority="102" operator="between">
      <formula>15</formula>
      <formula>20</formula>
    </cfRule>
    <cfRule type="cellIs" dxfId="10448" priority="103" operator="between">
      <formula>15</formula>
      <formula>20</formula>
    </cfRule>
    <cfRule type="cellIs" dxfId="10447" priority="104" operator="lessThan">
      <formula>15</formula>
    </cfRule>
    <cfRule type="cellIs" dxfId="10446" priority="105" operator="greaterThan">
      <formula>20</formula>
    </cfRule>
    <cfRule type="cellIs" dxfId="10445" priority="106" operator="between">
      <formula>15</formula>
      <formula>21</formula>
    </cfRule>
    <cfRule type="cellIs" dxfId="10444" priority="107" operator="lessThan">
      <formula>15</formula>
    </cfRule>
    <cfRule type="cellIs" dxfId="10443" priority="108" operator="greaterThan">
      <formula>21</formula>
    </cfRule>
  </conditionalFormatting>
  <conditionalFormatting sqref="M9:M39">
    <cfRule type="cellIs" dxfId="10442" priority="91" operator="lessThan">
      <formula>15</formula>
    </cfRule>
    <cfRule type="cellIs" dxfId="10441" priority="92" operator="greaterThan">
      <formula>20</formula>
    </cfRule>
    <cfRule type="cellIs" dxfId="10440" priority="93" operator="between">
      <formula>15</formula>
      <formula>20</formula>
    </cfRule>
    <cfRule type="cellIs" dxfId="10439" priority="94" operator="between">
      <formula>15</formula>
      <formula>20</formula>
    </cfRule>
    <cfRule type="cellIs" dxfId="10438" priority="95" operator="lessThan">
      <formula>15</formula>
    </cfRule>
    <cfRule type="cellIs" dxfId="10437" priority="96" operator="greaterThan">
      <formula>20</formula>
    </cfRule>
    <cfRule type="cellIs" dxfId="10436" priority="97" operator="between">
      <formula>15</formula>
      <formula>21</formula>
    </cfRule>
    <cfRule type="cellIs" dxfId="10435" priority="98" operator="lessThan">
      <formula>15</formula>
    </cfRule>
    <cfRule type="cellIs" dxfId="10434" priority="99" operator="greaterThan">
      <formula>21</formula>
    </cfRule>
  </conditionalFormatting>
  <conditionalFormatting sqref="M9:M39">
    <cfRule type="cellIs" dxfId="10433" priority="82" operator="lessThan">
      <formula>15</formula>
    </cfRule>
    <cfRule type="cellIs" dxfId="10432" priority="83" operator="greaterThan">
      <formula>20</formula>
    </cfRule>
    <cfRule type="cellIs" dxfId="10431" priority="84" operator="between">
      <formula>15</formula>
      <formula>20</formula>
    </cfRule>
    <cfRule type="cellIs" dxfId="10430" priority="85" operator="between">
      <formula>15</formula>
      <formula>20</formula>
    </cfRule>
    <cfRule type="cellIs" dxfId="10429" priority="86" operator="lessThan">
      <formula>15</formula>
    </cfRule>
    <cfRule type="cellIs" dxfId="10428" priority="87" operator="greaterThan">
      <formula>20</formula>
    </cfRule>
    <cfRule type="cellIs" dxfId="10427" priority="88" operator="between">
      <formula>15</formula>
      <formula>21</formula>
    </cfRule>
    <cfRule type="cellIs" dxfId="10426" priority="89" operator="lessThan">
      <formula>15</formula>
    </cfRule>
    <cfRule type="cellIs" dxfId="10425" priority="90" operator="greaterThan">
      <formula>21</formula>
    </cfRule>
  </conditionalFormatting>
  <conditionalFormatting sqref="M9:M39">
    <cfRule type="cellIs" dxfId="10424" priority="73" operator="lessThan">
      <formula>15</formula>
    </cfRule>
    <cfRule type="cellIs" dxfId="10423" priority="74" operator="greaterThan">
      <formula>20</formula>
    </cfRule>
    <cfRule type="cellIs" dxfId="10422" priority="75" operator="between">
      <formula>15</formula>
      <formula>20</formula>
    </cfRule>
    <cfRule type="cellIs" dxfId="10421" priority="76" operator="between">
      <formula>15</formula>
      <formula>20</formula>
    </cfRule>
    <cfRule type="cellIs" dxfId="10420" priority="77" operator="lessThan">
      <formula>15</formula>
    </cfRule>
    <cfRule type="cellIs" dxfId="10419" priority="78" operator="greaterThan">
      <formula>20</formula>
    </cfRule>
    <cfRule type="cellIs" dxfId="10418" priority="79" operator="between">
      <formula>15</formula>
      <formula>21</formula>
    </cfRule>
    <cfRule type="cellIs" dxfId="10417" priority="80" operator="lessThan">
      <formula>15</formula>
    </cfRule>
    <cfRule type="cellIs" dxfId="10416" priority="81" operator="greaterThan">
      <formula>21</formula>
    </cfRule>
  </conditionalFormatting>
  <conditionalFormatting sqref="M9:M39">
    <cfRule type="cellIs" dxfId="10415" priority="64" operator="lessThan">
      <formula>15</formula>
    </cfRule>
    <cfRule type="cellIs" dxfId="10414" priority="65" operator="greaterThan">
      <formula>20</formula>
    </cfRule>
    <cfRule type="cellIs" dxfId="10413" priority="66" operator="between">
      <formula>15</formula>
      <formula>20</formula>
    </cfRule>
    <cfRule type="cellIs" dxfId="10412" priority="67" operator="between">
      <formula>15</formula>
      <formula>20</formula>
    </cfRule>
    <cfRule type="cellIs" dxfId="10411" priority="68" operator="lessThan">
      <formula>15</formula>
    </cfRule>
    <cfRule type="cellIs" dxfId="10410" priority="69" operator="greaterThan">
      <formula>20</formula>
    </cfRule>
    <cfRule type="cellIs" dxfId="10409" priority="70" operator="between">
      <formula>15</formula>
      <formula>21</formula>
    </cfRule>
    <cfRule type="cellIs" dxfId="10408" priority="71" operator="lessThan">
      <formula>15</formula>
    </cfRule>
    <cfRule type="cellIs" dxfId="10407" priority="72" operator="greaterThan">
      <formula>21</formula>
    </cfRule>
  </conditionalFormatting>
  <conditionalFormatting sqref="M9:M39">
    <cfRule type="cellIs" dxfId="10406" priority="55" operator="lessThan">
      <formula>15</formula>
    </cfRule>
    <cfRule type="cellIs" dxfId="10405" priority="56" operator="greaterThan">
      <formula>20</formula>
    </cfRule>
    <cfRule type="cellIs" dxfId="10404" priority="57" operator="between">
      <formula>15</formula>
      <formula>20</formula>
    </cfRule>
    <cfRule type="cellIs" dxfId="10403" priority="58" operator="between">
      <formula>15</formula>
      <formula>20</formula>
    </cfRule>
    <cfRule type="cellIs" dxfId="10402" priority="59" operator="lessThan">
      <formula>15</formula>
    </cfRule>
    <cfRule type="cellIs" dxfId="10401" priority="60" operator="greaterThan">
      <formula>20</formula>
    </cfRule>
    <cfRule type="cellIs" dxfId="10400" priority="61" operator="between">
      <formula>15</formula>
      <formula>21</formula>
    </cfRule>
    <cfRule type="cellIs" dxfId="10399" priority="62" operator="lessThan">
      <formula>15</formula>
    </cfRule>
    <cfRule type="cellIs" dxfId="10398" priority="63" operator="greaterThan">
      <formula>21</formula>
    </cfRule>
  </conditionalFormatting>
  <conditionalFormatting sqref="M9:M39">
    <cfRule type="cellIs" dxfId="10397" priority="46" operator="lessThan">
      <formula>15</formula>
    </cfRule>
    <cfRule type="cellIs" dxfId="10396" priority="47" operator="greaterThan">
      <formula>20</formula>
    </cfRule>
    <cfRule type="cellIs" dxfId="10395" priority="48" operator="between">
      <formula>15</formula>
      <formula>20</formula>
    </cfRule>
    <cfRule type="cellIs" dxfId="10394" priority="49" operator="between">
      <formula>15</formula>
      <formula>20</formula>
    </cfRule>
    <cfRule type="cellIs" dxfId="10393" priority="50" operator="lessThan">
      <formula>15</formula>
    </cfRule>
    <cfRule type="cellIs" dxfId="10392" priority="51" operator="greaterThan">
      <formula>20</formula>
    </cfRule>
    <cfRule type="cellIs" dxfId="10391" priority="52" operator="between">
      <formula>15</formula>
      <formula>21</formula>
    </cfRule>
    <cfRule type="cellIs" dxfId="10390" priority="53" operator="lessThan">
      <formula>15</formula>
    </cfRule>
    <cfRule type="cellIs" dxfId="10389" priority="54" operator="greaterThan">
      <formula>21</formula>
    </cfRule>
  </conditionalFormatting>
  <conditionalFormatting sqref="M9:M39">
    <cfRule type="cellIs" dxfId="10388" priority="37" operator="lessThan">
      <formula>15</formula>
    </cfRule>
    <cfRule type="cellIs" dxfId="10387" priority="38" operator="greaterThan">
      <formula>20</formula>
    </cfRule>
    <cfRule type="cellIs" dxfId="10386" priority="39" operator="between">
      <formula>15</formula>
      <formula>20</formula>
    </cfRule>
    <cfRule type="cellIs" dxfId="10385" priority="40" operator="between">
      <formula>15</formula>
      <formula>20</formula>
    </cfRule>
    <cfRule type="cellIs" dxfId="10384" priority="41" operator="lessThan">
      <formula>15</formula>
    </cfRule>
    <cfRule type="cellIs" dxfId="10383" priority="42" operator="greaterThan">
      <formula>20</formula>
    </cfRule>
    <cfRule type="cellIs" dxfId="10382" priority="43" operator="between">
      <formula>15</formula>
      <formula>21</formula>
    </cfRule>
    <cfRule type="cellIs" dxfId="10381" priority="44" operator="lessThan">
      <formula>15</formula>
    </cfRule>
    <cfRule type="cellIs" dxfId="10380" priority="45" operator="greaterThan">
      <formula>21</formula>
    </cfRule>
  </conditionalFormatting>
  <conditionalFormatting sqref="M9:M39">
    <cfRule type="cellIs" dxfId="10379" priority="28" operator="lessThan">
      <formula>15</formula>
    </cfRule>
    <cfRule type="cellIs" dxfId="10378" priority="29" operator="greaterThan">
      <formula>20</formula>
    </cfRule>
    <cfRule type="cellIs" dxfId="10377" priority="30" operator="between">
      <formula>15</formula>
      <formula>20</formula>
    </cfRule>
    <cfRule type="cellIs" dxfId="10376" priority="31" operator="between">
      <formula>15</formula>
      <formula>20</formula>
    </cfRule>
    <cfRule type="cellIs" dxfId="10375" priority="32" operator="lessThan">
      <formula>15</formula>
    </cfRule>
    <cfRule type="cellIs" dxfId="10374" priority="33" operator="greaterThan">
      <formula>20</formula>
    </cfRule>
    <cfRule type="cellIs" dxfId="10373" priority="34" operator="between">
      <formula>15</formula>
      <formula>21</formula>
    </cfRule>
    <cfRule type="cellIs" dxfId="10372" priority="35" operator="lessThan">
      <formula>15</formula>
    </cfRule>
    <cfRule type="cellIs" dxfId="10371" priority="36" operator="greaterThan">
      <formula>21</formula>
    </cfRule>
  </conditionalFormatting>
  <conditionalFormatting sqref="M9:M39">
    <cfRule type="cellIs" dxfId="10370" priority="19" operator="lessThan">
      <formula>15</formula>
    </cfRule>
    <cfRule type="cellIs" dxfId="10369" priority="20" operator="greaterThan">
      <formula>20</formula>
    </cfRule>
    <cfRule type="cellIs" dxfId="10368" priority="21" operator="between">
      <formula>15</formula>
      <formula>20</formula>
    </cfRule>
    <cfRule type="cellIs" dxfId="10367" priority="22" operator="between">
      <formula>15</formula>
      <formula>20</formula>
    </cfRule>
    <cfRule type="cellIs" dxfId="10366" priority="23" operator="lessThan">
      <formula>15</formula>
    </cfRule>
    <cfRule type="cellIs" dxfId="10365" priority="24" operator="greaterThan">
      <formula>20</formula>
    </cfRule>
    <cfRule type="cellIs" dxfId="10364" priority="25" operator="between">
      <formula>15</formula>
      <formula>21</formula>
    </cfRule>
    <cfRule type="cellIs" dxfId="10363" priority="26" operator="lessThan">
      <formula>15</formula>
    </cfRule>
    <cfRule type="cellIs" dxfId="10362" priority="27" operator="greaterThan">
      <formula>21</formula>
    </cfRule>
  </conditionalFormatting>
  <conditionalFormatting sqref="M9:M39">
    <cfRule type="cellIs" dxfId="10361" priority="10" operator="lessThan">
      <formula>15</formula>
    </cfRule>
    <cfRule type="cellIs" dxfId="10360" priority="11" operator="greaterThan">
      <formula>20</formula>
    </cfRule>
    <cfRule type="cellIs" dxfId="10359" priority="12" operator="between">
      <formula>15</formula>
      <formula>20</formula>
    </cfRule>
    <cfRule type="cellIs" dxfId="10358" priority="13" operator="between">
      <formula>15</formula>
      <formula>20</formula>
    </cfRule>
    <cfRule type="cellIs" dxfId="10357" priority="14" operator="lessThan">
      <formula>15</formula>
    </cfRule>
    <cfRule type="cellIs" dxfId="10356" priority="15" operator="greaterThan">
      <formula>20</formula>
    </cfRule>
    <cfRule type="cellIs" dxfId="10355" priority="16" operator="between">
      <formula>15</formula>
      <formula>21</formula>
    </cfRule>
    <cfRule type="cellIs" dxfId="10354" priority="17" operator="lessThan">
      <formula>15</formula>
    </cfRule>
    <cfRule type="cellIs" dxfId="10353" priority="18" operator="greaterThan">
      <formula>21</formula>
    </cfRule>
  </conditionalFormatting>
  <conditionalFormatting sqref="M9:M39">
    <cfRule type="cellIs" dxfId="10352" priority="1" operator="lessThan">
      <formula>15</formula>
    </cfRule>
    <cfRule type="cellIs" dxfId="10351" priority="2" operator="greaterThan">
      <formula>20</formula>
    </cfRule>
    <cfRule type="cellIs" dxfId="10350" priority="3" operator="between">
      <formula>15</formula>
      <formula>20</formula>
    </cfRule>
    <cfRule type="cellIs" dxfId="10349" priority="4" operator="between">
      <formula>15</formula>
      <formula>20</formula>
    </cfRule>
    <cfRule type="cellIs" dxfId="10348" priority="5" operator="lessThan">
      <formula>15</formula>
    </cfRule>
    <cfRule type="cellIs" dxfId="10347" priority="6" operator="greaterThan">
      <formula>20</formula>
    </cfRule>
    <cfRule type="cellIs" dxfId="10346" priority="7" operator="between">
      <formula>15</formula>
      <formula>21</formula>
    </cfRule>
    <cfRule type="cellIs" dxfId="10345" priority="8" operator="lessThan">
      <formula>15</formula>
    </cfRule>
    <cfRule type="cellIs" dxfId="10344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49"/>
  <sheetViews>
    <sheetView workbookViewId="0">
      <pane ySplit="8" topLeftCell="A18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4" width="10.140625" style="142" customWidth="1"/>
    <col min="5" max="5" width="11.85546875" style="142" customWidth="1"/>
    <col min="6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11.7109375" style="143" customWidth="1"/>
    <col min="21" max="21" width="8.42578125" style="143" customWidth="1"/>
    <col min="22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979" customFormat="1" ht="15" customHeight="1">
      <c r="A4" s="1600" t="s">
        <v>33</v>
      </c>
      <c r="B4" s="1600"/>
      <c r="C4" s="316" t="str">
        <f>J4</f>
        <v>FIT VF1205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783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/>
      <c r="G8" s="388"/>
      <c r="H8" s="387"/>
      <c r="I8" s="388"/>
      <c r="J8" s="937">
        <f>K8-K8*N8</f>
        <v>0</v>
      </c>
      <c r="K8" s="937">
        <v>0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1080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0</v>
      </c>
      <c r="K9" s="459">
        <f t="shared" si="0"/>
        <v>0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0</v>
      </c>
      <c r="T9" s="355"/>
      <c r="U9" s="355"/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0</v>
      </c>
      <c r="G10" s="1424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0"/>
        <v>0</v>
      </c>
      <c r="K10" s="459">
        <f t="shared" si="0"/>
        <v>0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0</v>
      </c>
      <c r="T10" s="305"/>
      <c r="U10" s="305"/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0"/>
        <v>0</v>
      </c>
      <c r="K11" s="459">
        <f t="shared" si="0"/>
        <v>0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0</v>
      </c>
      <c r="T11" s="355"/>
      <c r="U11" s="355"/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0</v>
      </c>
      <c r="G12" s="1424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0"/>
        <v>0</v>
      </c>
      <c r="K12" s="459">
        <f t="shared" si="0"/>
        <v>0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0</v>
      </c>
      <c r="T12" s="305"/>
      <c r="U12" s="305"/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0</v>
      </c>
      <c r="G13" s="1424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0"/>
        <v>0</v>
      </c>
      <c r="K13" s="459">
        <f t="shared" si="0"/>
        <v>0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0</v>
      </c>
      <c r="T13" s="355"/>
      <c r="U13" s="355"/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0</v>
      </c>
      <c r="G14" s="1424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0"/>
        <v>0</v>
      </c>
      <c r="K14" s="459">
        <f t="shared" si="0"/>
        <v>0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0</v>
      </c>
      <c r="T14" s="305"/>
      <c r="U14" s="305"/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0</v>
      </c>
      <c r="G15" s="1424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0"/>
        <v>0</v>
      </c>
      <c r="K15" s="459">
        <f t="shared" si="0"/>
        <v>0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0</v>
      </c>
      <c r="T15" s="355"/>
      <c r="U15" s="355"/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0</v>
      </c>
      <c r="G16" s="1424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0"/>
        <v>0</v>
      </c>
      <c r="K16" s="459">
        <f t="shared" si="0"/>
        <v>0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0</v>
      </c>
      <c r="T16" s="305"/>
      <c r="U16" s="305"/>
    </row>
    <row r="17" spans="1:21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0</v>
      </c>
      <c r="G17" s="1424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0"/>
        <v>0</v>
      </c>
      <c r="K17" s="459">
        <f t="shared" si="0"/>
        <v>0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0</v>
      </c>
      <c r="T17" s="355"/>
      <c r="U17" s="355"/>
    </row>
    <row r="18" spans="1:21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0</v>
      </c>
      <c r="G18" s="1424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0"/>
        <v>0</v>
      </c>
      <c r="K18" s="459">
        <f t="shared" si="0"/>
        <v>0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0</v>
      </c>
      <c r="T18" s="305"/>
      <c r="U18" s="305"/>
    </row>
    <row r="19" spans="1:21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921">
        <f t="shared" si="1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0"/>
        <v>0</v>
      </c>
      <c r="K19" s="459">
        <f t="shared" si="0"/>
        <v>0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0</v>
      </c>
      <c r="T19" s="355"/>
      <c r="U19" s="355"/>
    </row>
    <row r="20" spans="1:21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0"/>
        <v>0</v>
      </c>
      <c r="K20" s="459">
        <f t="shared" si="0"/>
        <v>0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0</v>
      </c>
      <c r="T20" s="305"/>
      <c r="U20" s="305"/>
    </row>
    <row r="21" spans="1:21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0"/>
        <v>0</v>
      </c>
      <c r="K21" s="459">
        <f>K20+E21-G21</f>
        <v>0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0</v>
      </c>
      <c r="T21" s="355"/>
      <c r="U21" s="355"/>
    </row>
    <row r="22" spans="1:21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0"/>
        <v>0</v>
      </c>
      <c r="K22" s="459">
        <f>K21+E22-G22</f>
        <v>0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0</v>
      </c>
      <c r="T22" s="305"/>
      <c r="U22" s="305"/>
    </row>
    <row r="23" spans="1:21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0</v>
      </c>
      <c r="I23" s="499">
        <f>SUM($G$9:G23)/A23</f>
        <v>0</v>
      </c>
      <c r="J23" s="504">
        <f t="shared" si="0"/>
        <v>0</v>
      </c>
      <c r="K23" s="459">
        <f t="shared" si="0"/>
        <v>0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0</v>
      </c>
      <c r="T23" s="355"/>
      <c r="U23" s="355"/>
    </row>
    <row r="24" spans="1:21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921">
        <f t="shared" si="1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0"/>
        <v>0</v>
      </c>
      <c r="K24" s="459">
        <f>K23+E24-G24</f>
        <v>0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0</v>
      </c>
      <c r="T24" s="305"/>
      <c r="U24" s="305"/>
    </row>
    <row r="25" spans="1:21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/>
      <c r="E25" s="499"/>
      <c r="F25" s="586">
        <f t="shared" si="2"/>
        <v>0</v>
      </c>
      <c r="G25" s="1424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5">J24+D25-F25</f>
        <v>0</v>
      </c>
      <c r="K25" s="459">
        <f>K24+E25-G25</f>
        <v>0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0</v>
      </c>
      <c r="T25" s="355"/>
      <c r="U25" s="355"/>
    </row>
    <row r="26" spans="1:21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5"/>
        <v>0</v>
      </c>
      <c r="K26" s="459">
        <f>K25+E26-G26</f>
        <v>0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0</v>
      </c>
      <c r="T26" s="305"/>
      <c r="U26" s="305"/>
    </row>
    <row r="27" spans="1:21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5"/>
        <v>0</v>
      </c>
      <c r="K27" s="459">
        <f>K26+E27-G27</f>
        <v>0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0</v>
      </c>
      <c r="T27" s="355"/>
      <c r="U27" s="355"/>
    </row>
    <row r="28" spans="1:21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5"/>
        <v>0</v>
      </c>
      <c r="K28" s="459">
        <f t="shared" si="5"/>
        <v>0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0</v>
      </c>
    </row>
    <row r="29" spans="1:21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5"/>
        <v>0</v>
      </c>
      <c r="K29" s="459">
        <f t="shared" si="5"/>
        <v>0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0</v>
      </c>
    </row>
    <row r="30" spans="1:21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5"/>
        <v>0</v>
      </c>
      <c r="K30" s="459">
        <f t="shared" si="5"/>
        <v>0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0</v>
      </c>
    </row>
    <row r="31" spans="1:21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5"/>
        <v>0</v>
      </c>
      <c r="K31" s="459">
        <f t="shared" si="5"/>
        <v>0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0</v>
      </c>
    </row>
    <row r="32" spans="1:21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5"/>
        <v>0</v>
      </c>
      <c r="K32" s="459">
        <f t="shared" si="5"/>
        <v>0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0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5"/>
        <v>0</v>
      </c>
      <c r="K33" s="459">
        <f t="shared" si="5"/>
        <v>0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0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5"/>
        <v>0</v>
      </c>
      <c r="K34" s="459">
        <f t="shared" si="5"/>
        <v>0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0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5"/>
        <v>0</v>
      </c>
      <c r="K35" s="459">
        <f t="shared" si="5"/>
        <v>0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0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5"/>
        <v>0</v>
      </c>
      <c r="K36" s="459">
        <f t="shared" si="5"/>
        <v>0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0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5"/>
        <v>0</v>
      </c>
      <c r="K37" s="459">
        <f t="shared" si="5"/>
        <v>0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0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5"/>
        <v>0</v>
      </c>
      <c r="K38" s="459">
        <f t="shared" si="5"/>
        <v>0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0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5"/>
        <v>0</v>
      </c>
      <c r="K39" s="459">
        <f t="shared" si="5"/>
        <v>0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0</v>
      </c>
    </row>
    <row r="40" spans="1:19" s="374" customFormat="1" ht="12" customHeight="1">
      <c r="A40" s="980" t="s">
        <v>29</v>
      </c>
      <c r="B40" s="981"/>
      <c r="C40" s="982"/>
      <c r="D40" s="388">
        <f>SUM(D9:D39)</f>
        <v>0</v>
      </c>
      <c r="E40" s="923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980" t="s">
        <v>15</v>
      </c>
      <c r="B41" s="981"/>
      <c r="C41" s="98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0343" priority="163" operator="lessThan">
      <formula>15</formula>
    </cfRule>
    <cfRule type="cellIs" dxfId="10342" priority="164" operator="greaterThan">
      <formula>20</formula>
    </cfRule>
    <cfRule type="cellIs" dxfId="10341" priority="165" operator="between">
      <formula>15</formula>
      <formula>20</formula>
    </cfRule>
    <cfRule type="cellIs" dxfId="10340" priority="166" operator="between">
      <formula>15</formula>
      <formula>20</formula>
    </cfRule>
    <cfRule type="cellIs" dxfId="10339" priority="167" operator="lessThan">
      <formula>15</formula>
    </cfRule>
    <cfRule type="cellIs" dxfId="10338" priority="168" operator="greaterThan">
      <formula>20</formula>
    </cfRule>
    <cfRule type="cellIs" dxfId="10337" priority="169" operator="between">
      <formula>15</formula>
      <formula>21</formula>
    </cfRule>
    <cfRule type="cellIs" dxfId="10336" priority="170" operator="lessThan">
      <formula>15</formula>
    </cfRule>
    <cfRule type="cellIs" dxfId="10335" priority="171" operator="greaterThan">
      <formula>21</formula>
    </cfRule>
  </conditionalFormatting>
  <conditionalFormatting sqref="M9:M39">
    <cfRule type="cellIs" dxfId="10334" priority="154" operator="lessThan">
      <formula>15</formula>
    </cfRule>
    <cfRule type="cellIs" dxfId="10333" priority="155" operator="greaterThan">
      <formula>20</formula>
    </cfRule>
    <cfRule type="cellIs" dxfId="10332" priority="156" operator="between">
      <formula>15</formula>
      <formula>20</formula>
    </cfRule>
    <cfRule type="cellIs" dxfId="10331" priority="157" operator="between">
      <formula>15</formula>
      <formula>20</formula>
    </cfRule>
    <cfRule type="cellIs" dxfId="10330" priority="158" operator="lessThan">
      <formula>15</formula>
    </cfRule>
    <cfRule type="cellIs" dxfId="10329" priority="159" operator="greaterThan">
      <formula>20</formula>
    </cfRule>
    <cfRule type="cellIs" dxfId="10328" priority="160" operator="between">
      <formula>15</formula>
      <formula>21</formula>
    </cfRule>
    <cfRule type="cellIs" dxfId="10327" priority="161" operator="lessThan">
      <formula>15</formula>
    </cfRule>
    <cfRule type="cellIs" dxfId="10326" priority="162" operator="greaterThan">
      <formula>21</formula>
    </cfRule>
  </conditionalFormatting>
  <conditionalFormatting sqref="M9:M39">
    <cfRule type="cellIs" dxfId="10325" priority="145" operator="lessThan">
      <formula>15</formula>
    </cfRule>
    <cfRule type="cellIs" dxfId="10324" priority="146" operator="greaterThan">
      <formula>20</formula>
    </cfRule>
    <cfRule type="cellIs" dxfId="10323" priority="147" operator="between">
      <formula>15</formula>
      <formula>20</formula>
    </cfRule>
    <cfRule type="cellIs" dxfId="10322" priority="148" operator="between">
      <formula>15</formula>
      <formula>20</formula>
    </cfRule>
    <cfRule type="cellIs" dxfId="10321" priority="149" operator="lessThan">
      <formula>15</formula>
    </cfRule>
    <cfRule type="cellIs" dxfId="10320" priority="150" operator="greaterThan">
      <formula>20</formula>
    </cfRule>
    <cfRule type="cellIs" dxfId="10319" priority="151" operator="between">
      <formula>15</formula>
      <formula>21</formula>
    </cfRule>
    <cfRule type="cellIs" dxfId="10318" priority="152" operator="lessThan">
      <formula>15</formula>
    </cfRule>
    <cfRule type="cellIs" dxfId="10317" priority="153" operator="greaterThan">
      <formula>21</formula>
    </cfRule>
  </conditionalFormatting>
  <conditionalFormatting sqref="M9:M39">
    <cfRule type="cellIs" dxfId="10316" priority="136" operator="lessThan">
      <formula>15</formula>
    </cfRule>
    <cfRule type="cellIs" dxfId="10315" priority="137" operator="greaterThan">
      <formula>20</formula>
    </cfRule>
    <cfRule type="cellIs" dxfId="10314" priority="138" operator="between">
      <formula>15</formula>
      <formula>20</formula>
    </cfRule>
    <cfRule type="cellIs" dxfId="10313" priority="139" operator="between">
      <formula>15</formula>
      <formula>20</formula>
    </cfRule>
    <cfRule type="cellIs" dxfId="10312" priority="140" operator="lessThan">
      <formula>15</formula>
    </cfRule>
    <cfRule type="cellIs" dxfId="10311" priority="141" operator="greaterThan">
      <formula>20</formula>
    </cfRule>
    <cfRule type="cellIs" dxfId="10310" priority="142" operator="between">
      <formula>15</formula>
      <formula>21</formula>
    </cfRule>
    <cfRule type="cellIs" dxfId="10309" priority="143" operator="lessThan">
      <formula>15</formula>
    </cfRule>
    <cfRule type="cellIs" dxfId="10308" priority="144" operator="greaterThan">
      <formula>21</formula>
    </cfRule>
  </conditionalFormatting>
  <conditionalFormatting sqref="M9:M39">
    <cfRule type="cellIs" dxfId="10307" priority="127" operator="lessThan">
      <formula>15</formula>
    </cfRule>
    <cfRule type="cellIs" dxfId="10306" priority="128" operator="greaterThan">
      <formula>20</formula>
    </cfRule>
    <cfRule type="cellIs" dxfId="10305" priority="129" operator="between">
      <formula>15</formula>
      <formula>20</formula>
    </cfRule>
    <cfRule type="cellIs" dxfId="10304" priority="130" operator="between">
      <formula>15</formula>
      <formula>20</formula>
    </cfRule>
    <cfRule type="cellIs" dxfId="10303" priority="131" operator="lessThan">
      <formula>15</formula>
    </cfRule>
    <cfRule type="cellIs" dxfId="10302" priority="132" operator="greaterThan">
      <formula>20</formula>
    </cfRule>
    <cfRule type="cellIs" dxfId="10301" priority="133" operator="between">
      <formula>15</formula>
      <formula>21</formula>
    </cfRule>
    <cfRule type="cellIs" dxfId="10300" priority="134" operator="lessThan">
      <formula>15</formula>
    </cfRule>
    <cfRule type="cellIs" dxfId="10299" priority="135" operator="greaterThan">
      <formula>21</formula>
    </cfRule>
  </conditionalFormatting>
  <conditionalFormatting sqref="M9:M39">
    <cfRule type="cellIs" dxfId="10298" priority="118" operator="lessThan">
      <formula>15</formula>
    </cfRule>
    <cfRule type="cellIs" dxfId="10297" priority="119" operator="greaterThan">
      <formula>20</formula>
    </cfRule>
    <cfRule type="cellIs" dxfId="10296" priority="120" operator="between">
      <formula>15</formula>
      <formula>20</formula>
    </cfRule>
    <cfRule type="cellIs" dxfId="10295" priority="121" operator="between">
      <formula>15</formula>
      <formula>20</formula>
    </cfRule>
    <cfRule type="cellIs" dxfId="10294" priority="122" operator="lessThan">
      <formula>15</formula>
    </cfRule>
    <cfRule type="cellIs" dxfId="10293" priority="123" operator="greaterThan">
      <formula>20</formula>
    </cfRule>
    <cfRule type="cellIs" dxfId="10292" priority="124" operator="between">
      <formula>15</formula>
      <formula>21</formula>
    </cfRule>
    <cfRule type="cellIs" dxfId="10291" priority="125" operator="lessThan">
      <formula>15</formula>
    </cfRule>
    <cfRule type="cellIs" dxfId="10290" priority="126" operator="greaterThan">
      <formula>21</formula>
    </cfRule>
  </conditionalFormatting>
  <conditionalFormatting sqref="M9:M39">
    <cfRule type="cellIs" dxfId="10289" priority="109" operator="lessThan">
      <formula>15</formula>
    </cfRule>
    <cfRule type="cellIs" dxfId="10288" priority="110" operator="greaterThan">
      <formula>20</formula>
    </cfRule>
    <cfRule type="cellIs" dxfId="10287" priority="111" operator="between">
      <formula>15</formula>
      <formula>20</formula>
    </cfRule>
    <cfRule type="cellIs" dxfId="10286" priority="112" operator="between">
      <formula>15</formula>
      <formula>20</formula>
    </cfRule>
    <cfRule type="cellIs" dxfId="10285" priority="113" operator="lessThan">
      <formula>15</formula>
    </cfRule>
    <cfRule type="cellIs" dxfId="10284" priority="114" operator="greaterThan">
      <formula>20</formula>
    </cfRule>
    <cfRule type="cellIs" dxfId="10283" priority="115" operator="between">
      <formula>15</formula>
      <formula>21</formula>
    </cfRule>
    <cfRule type="cellIs" dxfId="10282" priority="116" operator="lessThan">
      <formula>15</formula>
    </cfRule>
    <cfRule type="cellIs" dxfId="10281" priority="117" operator="greaterThan">
      <formula>21</formula>
    </cfRule>
  </conditionalFormatting>
  <conditionalFormatting sqref="M9:M39">
    <cfRule type="cellIs" dxfId="10280" priority="100" operator="lessThan">
      <formula>15</formula>
    </cfRule>
    <cfRule type="cellIs" dxfId="10279" priority="101" operator="greaterThan">
      <formula>20</formula>
    </cfRule>
    <cfRule type="cellIs" dxfId="10278" priority="102" operator="between">
      <formula>15</formula>
      <formula>20</formula>
    </cfRule>
    <cfRule type="cellIs" dxfId="10277" priority="103" operator="between">
      <formula>15</formula>
      <formula>20</formula>
    </cfRule>
    <cfRule type="cellIs" dxfId="10276" priority="104" operator="lessThan">
      <formula>15</formula>
    </cfRule>
    <cfRule type="cellIs" dxfId="10275" priority="105" operator="greaterThan">
      <formula>20</formula>
    </cfRule>
    <cfRule type="cellIs" dxfId="10274" priority="106" operator="between">
      <formula>15</formula>
      <formula>21</formula>
    </cfRule>
    <cfRule type="cellIs" dxfId="10273" priority="107" operator="lessThan">
      <formula>15</formula>
    </cfRule>
    <cfRule type="cellIs" dxfId="10272" priority="108" operator="greaterThan">
      <formula>21</formula>
    </cfRule>
  </conditionalFormatting>
  <conditionalFormatting sqref="M9:M39">
    <cfRule type="cellIs" dxfId="10271" priority="91" operator="lessThan">
      <formula>15</formula>
    </cfRule>
    <cfRule type="cellIs" dxfId="10270" priority="92" operator="greaterThan">
      <formula>20</formula>
    </cfRule>
    <cfRule type="cellIs" dxfId="10269" priority="93" operator="between">
      <formula>15</formula>
      <formula>20</formula>
    </cfRule>
    <cfRule type="cellIs" dxfId="10268" priority="94" operator="between">
      <formula>15</formula>
      <formula>20</formula>
    </cfRule>
    <cfRule type="cellIs" dxfId="10267" priority="95" operator="lessThan">
      <formula>15</formula>
    </cfRule>
    <cfRule type="cellIs" dxfId="10266" priority="96" operator="greaterThan">
      <formula>20</formula>
    </cfRule>
    <cfRule type="cellIs" dxfId="10265" priority="97" operator="between">
      <formula>15</formula>
      <formula>21</formula>
    </cfRule>
    <cfRule type="cellIs" dxfId="10264" priority="98" operator="lessThan">
      <formula>15</formula>
    </cfRule>
    <cfRule type="cellIs" dxfId="10263" priority="99" operator="greaterThan">
      <formula>21</formula>
    </cfRule>
  </conditionalFormatting>
  <conditionalFormatting sqref="M9:M39">
    <cfRule type="cellIs" dxfId="10262" priority="82" operator="lessThan">
      <formula>15</formula>
    </cfRule>
    <cfRule type="cellIs" dxfId="10261" priority="83" operator="greaterThan">
      <formula>20</formula>
    </cfRule>
    <cfRule type="cellIs" dxfId="10260" priority="84" operator="between">
      <formula>15</formula>
      <formula>20</formula>
    </cfRule>
    <cfRule type="cellIs" dxfId="10259" priority="85" operator="between">
      <formula>15</formula>
      <formula>20</formula>
    </cfRule>
    <cfRule type="cellIs" dxfId="10258" priority="86" operator="lessThan">
      <formula>15</formula>
    </cfRule>
    <cfRule type="cellIs" dxfId="10257" priority="87" operator="greaterThan">
      <formula>20</formula>
    </cfRule>
    <cfRule type="cellIs" dxfId="10256" priority="88" operator="between">
      <formula>15</formula>
      <formula>21</formula>
    </cfRule>
    <cfRule type="cellIs" dxfId="10255" priority="89" operator="lessThan">
      <formula>15</formula>
    </cfRule>
    <cfRule type="cellIs" dxfId="10254" priority="90" operator="greaterThan">
      <formula>21</formula>
    </cfRule>
  </conditionalFormatting>
  <conditionalFormatting sqref="M9:M39">
    <cfRule type="cellIs" dxfId="10253" priority="73" operator="lessThan">
      <formula>15</formula>
    </cfRule>
    <cfRule type="cellIs" dxfId="10252" priority="74" operator="greaterThan">
      <formula>20</formula>
    </cfRule>
    <cfRule type="cellIs" dxfId="10251" priority="75" operator="between">
      <formula>15</formula>
      <formula>20</formula>
    </cfRule>
    <cfRule type="cellIs" dxfId="10250" priority="76" operator="between">
      <formula>15</formula>
      <formula>20</formula>
    </cfRule>
    <cfRule type="cellIs" dxfId="10249" priority="77" operator="lessThan">
      <formula>15</formula>
    </cfRule>
    <cfRule type="cellIs" dxfId="10248" priority="78" operator="greaterThan">
      <formula>20</formula>
    </cfRule>
    <cfRule type="cellIs" dxfId="10247" priority="79" operator="between">
      <formula>15</formula>
      <formula>21</formula>
    </cfRule>
    <cfRule type="cellIs" dxfId="10246" priority="80" operator="lessThan">
      <formula>15</formula>
    </cfRule>
    <cfRule type="cellIs" dxfId="10245" priority="81" operator="greaterThan">
      <formula>21</formula>
    </cfRule>
  </conditionalFormatting>
  <conditionalFormatting sqref="M9:M39">
    <cfRule type="cellIs" dxfId="10244" priority="64" operator="lessThan">
      <formula>15</formula>
    </cfRule>
    <cfRule type="cellIs" dxfId="10243" priority="65" operator="greaterThan">
      <formula>20</formula>
    </cfRule>
    <cfRule type="cellIs" dxfId="10242" priority="66" operator="between">
      <formula>15</formula>
      <formula>20</formula>
    </cfRule>
    <cfRule type="cellIs" dxfId="10241" priority="67" operator="between">
      <formula>15</formula>
      <formula>20</formula>
    </cfRule>
    <cfRule type="cellIs" dxfId="10240" priority="68" operator="lessThan">
      <formula>15</formula>
    </cfRule>
    <cfRule type="cellIs" dxfId="10239" priority="69" operator="greaterThan">
      <formula>20</formula>
    </cfRule>
    <cfRule type="cellIs" dxfId="10238" priority="70" operator="between">
      <formula>15</formula>
      <formula>21</formula>
    </cfRule>
    <cfRule type="cellIs" dxfId="10237" priority="71" operator="lessThan">
      <formula>15</formula>
    </cfRule>
    <cfRule type="cellIs" dxfId="10236" priority="72" operator="greaterThan">
      <formula>21</formula>
    </cfRule>
  </conditionalFormatting>
  <conditionalFormatting sqref="M9:M39">
    <cfRule type="cellIs" dxfId="10235" priority="55" operator="lessThan">
      <formula>15</formula>
    </cfRule>
    <cfRule type="cellIs" dxfId="10234" priority="56" operator="greaterThan">
      <formula>20</formula>
    </cfRule>
    <cfRule type="cellIs" dxfId="10233" priority="57" operator="between">
      <formula>15</formula>
      <formula>20</formula>
    </cfRule>
    <cfRule type="cellIs" dxfId="10232" priority="58" operator="between">
      <formula>15</formula>
      <formula>20</formula>
    </cfRule>
    <cfRule type="cellIs" dxfId="10231" priority="59" operator="lessThan">
      <formula>15</formula>
    </cfRule>
    <cfRule type="cellIs" dxfId="10230" priority="60" operator="greaterThan">
      <formula>20</formula>
    </cfRule>
    <cfRule type="cellIs" dxfId="10229" priority="61" operator="between">
      <formula>15</formula>
      <formula>21</formula>
    </cfRule>
    <cfRule type="cellIs" dxfId="10228" priority="62" operator="lessThan">
      <formula>15</formula>
    </cfRule>
    <cfRule type="cellIs" dxfId="10227" priority="63" operator="greaterThan">
      <formula>21</formula>
    </cfRule>
  </conditionalFormatting>
  <conditionalFormatting sqref="M9:M39">
    <cfRule type="cellIs" dxfId="10226" priority="46" operator="lessThan">
      <formula>15</formula>
    </cfRule>
    <cfRule type="cellIs" dxfId="10225" priority="47" operator="greaterThan">
      <formula>20</formula>
    </cfRule>
    <cfRule type="cellIs" dxfId="10224" priority="48" operator="between">
      <formula>15</formula>
      <formula>20</formula>
    </cfRule>
    <cfRule type="cellIs" dxfId="10223" priority="49" operator="between">
      <formula>15</formula>
      <formula>20</formula>
    </cfRule>
    <cfRule type="cellIs" dxfId="10222" priority="50" operator="lessThan">
      <formula>15</formula>
    </cfRule>
    <cfRule type="cellIs" dxfId="10221" priority="51" operator="greaterThan">
      <formula>20</formula>
    </cfRule>
    <cfRule type="cellIs" dxfId="10220" priority="52" operator="between">
      <formula>15</formula>
      <formula>21</formula>
    </cfRule>
    <cfRule type="cellIs" dxfId="10219" priority="53" operator="lessThan">
      <formula>15</formula>
    </cfRule>
    <cfRule type="cellIs" dxfId="10218" priority="54" operator="greaterThan">
      <formula>21</formula>
    </cfRule>
  </conditionalFormatting>
  <conditionalFormatting sqref="M9:M39">
    <cfRule type="cellIs" dxfId="10217" priority="37" operator="lessThan">
      <formula>15</formula>
    </cfRule>
    <cfRule type="cellIs" dxfId="10216" priority="38" operator="greaterThan">
      <formula>20</formula>
    </cfRule>
    <cfRule type="cellIs" dxfId="10215" priority="39" operator="between">
      <formula>15</formula>
      <formula>20</formula>
    </cfRule>
    <cfRule type="cellIs" dxfId="10214" priority="40" operator="between">
      <formula>15</formula>
      <formula>20</formula>
    </cfRule>
    <cfRule type="cellIs" dxfId="10213" priority="41" operator="lessThan">
      <formula>15</formula>
    </cfRule>
    <cfRule type="cellIs" dxfId="10212" priority="42" operator="greaterThan">
      <formula>20</formula>
    </cfRule>
    <cfRule type="cellIs" dxfId="10211" priority="43" operator="between">
      <formula>15</formula>
      <formula>21</formula>
    </cfRule>
    <cfRule type="cellIs" dxfId="10210" priority="44" operator="lessThan">
      <formula>15</formula>
    </cfRule>
    <cfRule type="cellIs" dxfId="10209" priority="45" operator="greaterThan">
      <formula>21</formula>
    </cfRule>
  </conditionalFormatting>
  <conditionalFormatting sqref="M9:M39">
    <cfRule type="cellIs" dxfId="10208" priority="28" operator="lessThan">
      <formula>15</formula>
    </cfRule>
    <cfRule type="cellIs" dxfId="10207" priority="29" operator="greaterThan">
      <formula>20</formula>
    </cfRule>
    <cfRule type="cellIs" dxfId="10206" priority="30" operator="between">
      <formula>15</formula>
      <formula>20</formula>
    </cfRule>
    <cfRule type="cellIs" dxfId="10205" priority="31" operator="between">
      <formula>15</formula>
      <formula>20</formula>
    </cfRule>
    <cfRule type="cellIs" dxfId="10204" priority="32" operator="lessThan">
      <formula>15</formula>
    </cfRule>
    <cfRule type="cellIs" dxfId="10203" priority="33" operator="greaterThan">
      <formula>20</formula>
    </cfRule>
    <cfRule type="cellIs" dxfId="10202" priority="34" operator="between">
      <formula>15</formula>
      <formula>21</formula>
    </cfRule>
    <cfRule type="cellIs" dxfId="10201" priority="35" operator="lessThan">
      <formula>15</formula>
    </cfRule>
    <cfRule type="cellIs" dxfId="10200" priority="36" operator="greaterThan">
      <formula>21</formula>
    </cfRule>
  </conditionalFormatting>
  <conditionalFormatting sqref="M9:M39">
    <cfRule type="cellIs" dxfId="10199" priority="19" operator="lessThan">
      <formula>15</formula>
    </cfRule>
    <cfRule type="cellIs" dxfId="10198" priority="20" operator="greaterThan">
      <formula>20</formula>
    </cfRule>
    <cfRule type="cellIs" dxfId="10197" priority="21" operator="between">
      <formula>15</formula>
      <formula>20</formula>
    </cfRule>
    <cfRule type="cellIs" dxfId="10196" priority="22" operator="between">
      <formula>15</formula>
      <formula>20</formula>
    </cfRule>
    <cfRule type="cellIs" dxfId="10195" priority="23" operator="lessThan">
      <formula>15</formula>
    </cfRule>
    <cfRule type="cellIs" dxfId="10194" priority="24" operator="greaterThan">
      <formula>20</formula>
    </cfRule>
    <cfRule type="cellIs" dxfId="10193" priority="25" operator="between">
      <formula>15</formula>
      <formula>21</formula>
    </cfRule>
    <cfRule type="cellIs" dxfId="10192" priority="26" operator="lessThan">
      <formula>15</formula>
    </cfRule>
    <cfRule type="cellIs" dxfId="10191" priority="27" operator="greaterThan">
      <formula>21</formula>
    </cfRule>
  </conditionalFormatting>
  <conditionalFormatting sqref="M9:M39">
    <cfRule type="cellIs" dxfId="10190" priority="10" operator="lessThan">
      <formula>15</formula>
    </cfRule>
    <cfRule type="cellIs" dxfId="10189" priority="11" operator="greaterThan">
      <formula>20</formula>
    </cfRule>
    <cfRule type="cellIs" dxfId="10188" priority="12" operator="between">
      <formula>15</formula>
      <formula>20</formula>
    </cfRule>
    <cfRule type="cellIs" dxfId="10187" priority="13" operator="between">
      <formula>15</formula>
      <formula>20</formula>
    </cfRule>
    <cfRule type="cellIs" dxfId="10186" priority="14" operator="lessThan">
      <formula>15</formula>
    </cfRule>
    <cfRule type="cellIs" dxfId="10185" priority="15" operator="greaterThan">
      <formula>20</formula>
    </cfRule>
    <cfRule type="cellIs" dxfId="10184" priority="16" operator="between">
      <formula>15</formula>
      <formula>21</formula>
    </cfRule>
    <cfRule type="cellIs" dxfId="10183" priority="17" operator="lessThan">
      <formula>15</formula>
    </cfRule>
    <cfRule type="cellIs" dxfId="10182" priority="18" operator="greaterThan">
      <formula>21</formula>
    </cfRule>
  </conditionalFormatting>
  <conditionalFormatting sqref="M9:M39">
    <cfRule type="cellIs" dxfId="10181" priority="1" operator="lessThan">
      <formula>15</formula>
    </cfRule>
    <cfRule type="cellIs" dxfId="10180" priority="2" operator="greaterThan">
      <formula>20</formula>
    </cfRule>
    <cfRule type="cellIs" dxfId="10179" priority="3" operator="between">
      <formula>15</formula>
      <formula>20</formula>
    </cfRule>
    <cfRule type="cellIs" dxfId="10178" priority="4" operator="between">
      <formula>15</formula>
      <formula>20</formula>
    </cfRule>
    <cfRule type="cellIs" dxfId="10177" priority="5" operator="lessThan">
      <formula>15</formula>
    </cfRule>
    <cfRule type="cellIs" dxfId="10176" priority="6" operator="greaterThan">
      <formula>20</formula>
    </cfRule>
    <cfRule type="cellIs" dxfId="10175" priority="7" operator="between">
      <formula>15</formula>
      <formula>21</formula>
    </cfRule>
    <cfRule type="cellIs" dxfId="10174" priority="8" operator="lessThan">
      <formula>15</formula>
    </cfRule>
    <cfRule type="cellIs" dxfId="10173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C49"/>
  <sheetViews>
    <sheetView workbookViewId="0">
      <pane ySplit="8" topLeftCell="A24" activePane="bottomLeft" state="frozen"/>
      <selection pane="bottomLeft" activeCell="F9" sqref="F9:G3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986" customFormat="1" ht="15" customHeight="1">
      <c r="A4" s="1600" t="s">
        <v>33</v>
      </c>
      <c r="B4" s="1600"/>
      <c r="C4" s="316" t="str">
        <f>J4</f>
        <v>MEN SUGAR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792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223</v>
      </c>
      <c r="E8" s="388">
        <f>K8</f>
        <v>223</v>
      </c>
      <c r="F8" s="389"/>
      <c r="G8" s="388"/>
      <c r="H8" s="387"/>
      <c r="I8" s="388"/>
      <c r="J8" s="937">
        <f>K8-K8*N8</f>
        <v>223</v>
      </c>
      <c r="K8" s="937">
        <v>223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3001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223</v>
      </c>
      <c r="K9" s="459">
        <f t="shared" si="0"/>
        <v>223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7.4308563812062647E-2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0</v>
      </c>
      <c r="G10" s="1424">
        <f t="shared" si="2"/>
        <v>0</v>
      </c>
      <c r="H10" s="498">
        <f>SUM($F$9:F10)/A10</f>
        <v>0</v>
      </c>
      <c r="I10" s="499">
        <f>SUM($G$9:G10)/A10</f>
        <v>0</v>
      </c>
      <c r="J10" s="443">
        <f t="shared" si="0"/>
        <v>223</v>
      </c>
      <c r="K10" s="459">
        <f t="shared" si="0"/>
        <v>223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7.4308563812062647E-2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0</v>
      </c>
      <c r="I11" s="499">
        <f>SUM($G$9:G11)/A11</f>
        <v>0</v>
      </c>
      <c r="J11" s="443">
        <f t="shared" si="0"/>
        <v>223</v>
      </c>
      <c r="K11" s="459">
        <f t="shared" si="0"/>
        <v>223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7.4308563812062647E-2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0</v>
      </c>
      <c r="G12" s="1424">
        <f t="shared" si="2"/>
        <v>0</v>
      </c>
      <c r="H12" s="498">
        <f>SUM($F$9:F12)/A12</f>
        <v>0</v>
      </c>
      <c r="I12" s="499">
        <f>SUM($G$9:G12)/A12</f>
        <v>0</v>
      </c>
      <c r="J12" s="443">
        <f t="shared" si="0"/>
        <v>223</v>
      </c>
      <c r="K12" s="459">
        <f t="shared" si="0"/>
        <v>223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7.4308563812062647E-2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0</v>
      </c>
      <c r="G13" s="1424">
        <f t="shared" si="2"/>
        <v>0</v>
      </c>
      <c r="H13" s="504">
        <f>SUM($F$9:F13)/A13</f>
        <v>0</v>
      </c>
      <c r="I13" s="499">
        <f>SUM($G$9:G13)/A13</f>
        <v>0</v>
      </c>
      <c r="J13" s="504">
        <f t="shared" si="0"/>
        <v>223</v>
      </c>
      <c r="K13" s="459">
        <f t="shared" si="0"/>
        <v>223</v>
      </c>
      <c r="L13" s="505" t="e">
        <f t="shared" si="3"/>
        <v>#DIV/0!</v>
      </c>
      <c r="M13" s="464" t="e">
        <f t="shared" si="3"/>
        <v>#DIV/0!</v>
      </c>
      <c r="N13" s="366"/>
      <c r="O13" s="446"/>
      <c r="P13" s="446"/>
      <c r="Q13" s="446"/>
      <c r="R13" s="446"/>
      <c r="S13" s="647">
        <f t="shared" si="4"/>
        <v>7.4308563812062647E-2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0</v>
      </c>
      <c r="G14" s="1424">
        <f t="shared" si="2"/>
        <v>0</v>
      </c>
      <c r="H14" s="498">
        <f>SUM($F$9:F14)/A14</f>
        <v>0</v>
      </c>
      <c r="I14" s="499">
        <f>SUM($G$9:G14)/A14</f>
        <v>0</v>
      </c>
      <c r="J14" s="443">
        <f t="shared" si="0"/>
        <v>223</v>
      </c>
      <c r="K14" s="459">
        <f t="shared" si="0"/>
        <v>223</v>
      </c>
      <c r="L14" s="495" t="e">
        <f t="shared" si="3"/>
        <v>#DIV/0!</v>
      </c>
      <c r="M14" s="464" t="e">
        <f t="shared" si="3"/>
        <v>#DIV/0!</v>
      </c>
      <c r="N14" s="366"/>
      <c r="O14" s="446"/>
      <c r="P14" s="446"/>
      <c r="Q14" s="446"/>
      <c r="R14" s="446"/>
      <c r="S14" s="647">
        <f t="shared" si="4"/>
        <v>7.4308563812062647E-2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0</v>
      </c>
      <c r="G15" s="1424">
        <f t="shared" si="2"/>
        <v>0</v>
      </c>
      <c r="H15" s="498">
        <f>SUM($F$9:F15)/A15</f>
        <v>0</v>
      </c>
      <c r="I15" s="499">
        <f>SUM($G$9:G15)/A15</f>
        <v>0</v>
      </c>
      <c r="J15" s="443">
        <f t="shared" si="0"/>
        <v>223</v>
      </c>
      <c r="K15" s="459">
        <f t="shared" si="0"/>
        <v>223</v>
      </c>
      <c r="L15" s="495" t="e">
        <f t="shared" si="3"/>
        <v>#DIV/0!</v>
      </c>
      <c r="M15" s="464" t="e">
        <f t="shared" si="3"/>
        <v>#DIV/0!</v>
      </c>
      <c r="N15" s="366"/>
      <c r="O15" s="446"/>
      <c r="P15" s="446"/>
      <c r="Q15" s="446"/>
      <c r="R15" s="446"/>
      <c r="S15" s="647">
        <f t="shared" si="4"/>
        <v>7.4308563812062647E-2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0</v>
      </c>
      <c r="G16" s="1424">
        <f t="shared" si="2"/>
        <v>0</v>
      </c>
      <c r="H16" s="498">
        <f>SUM($F$9:F16)/A16</f>
        <v>0</v>
      </c>
      <c r="I16" s="499">
        <f>SUM($G$9:G16)/A16</f>
        <v>0</v>
      </c>
      <c r="J16" s="443">
        <f t="shared" si="0"/>
        <v>223</v>
      </c>
      <c r="K16" s="459">
        <f t="shared" si="0"/>
        <v>223</v>
      </c>
      <c r="L16" s="495" t="e">
        <f t="shared" si="3"/>
        <v>#DIV/0!</v>
      </c>
      <c r="M16" s="464" t="e">
        <f t="shared" si="3"/>
        <v>#DIV/0!</v>
      </c>
      <c r="N16" s="366"/>
      <c r="O16" s="446"/>
      <c r="P16" s="446"/>
      <c r="Q16" s="446"/>
      <c r="R16" s="446"/>
      <c r="S16" s="647">
        <f t="shared" si="4"/>
        <v>7.4308563812062647E-2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0</v>
      </c>
      <c r="G17" s="1424">
        <f t="shared" si="2"/>
        <v>0</v>
      </c>
      <c r="H17" s="498">
        <f>SUM($F$9:F17)/A17</f>
        <v>0</v>
      </c>
      <c r="I17" s="499">
        <f>SUM($G$9:G17)/A17</f>
        <v>0</v>
      </c>
      <c r="J17" s="443">
        <f t="shared" si="0"/>
        <v>223</v>
      </c>
      <c r="K17" s="459">
        <f t="shared" si="0"/>
        <v>223</v>
      </c>
      <c r="L17" s="495" t="e">
        <f t="shared" si="3"/>
        <v>#DIV/0!</v>
      </c>
      <c r="M17" s="464" t="e">
        <f t="shared" si="3"/>
        <v>#DIV/0!</v>
      </c>
      <c r="N17" s="366"/>
      <c r="O17" s="446"/>
      <c r="P17" s="446"/>
      <c r="Q17" s="446"/>
      <c r="R17" s="446"/>
      <c r="S17" s="647">
        <f t="shared" si="4"/>
        <v>7.4308563812062647E-2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0</v>
      </c>
      <c r="G18" s="1424">
        <f t="shared" si="2"/>
        <v>0</v>
      </c>
      <c r="H18" s="504">
        <f>SUM($F$9:F18)/A18</f>
        <v>0</v>
      </c>
      <c r="I18" s="499">
        <f>SUM($G$9:G18)/A18</f>
        <v>0</v>
      </c>
      <c r="J18" s="504">
        <f t="shared" si="0"/>
        <v>223</v>
      </c>
      <c r="K18" s="459">
        <f t="shared" si="0"/>
        <v>223</v>
      </c>
      <c r="L18" s="505" t="e">
        <f t="shared" si="3"/>
        <v>#DIV/0!</v>
      </c>
      <c r="M18" s="464" t="e">
        <f t="shared" si="3"/>
        <v>#DIV/0!</v>
      </c>
      <c r="N18" s="366"/>
      <c r="O18" s="446"/>
      <c r="P18" s="446"/>
      <c r="Q18" s="446"/>
      <c r="R18" s="446"/>
      <c r="S18" s="647">
        <f t="shared" si="4"/>
        <v>7.4308563812062647E-2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0</v>
      </c>
      <c r="I19" s="499">
        <f>SUM($G$9:G19)/A19</f>
        <v>0</v>
      </c>
      <c r="J19" s="443">
        <f t="shared" si="0"/>
        <v>223</v>
      </c>
      <c r="K19" s="459">
        <f t="shared" si="0"/>
        <v>223</v>
      </c>
      <c r="L19" s="495" t="e">
        <f t="shared" si="3"/>
        <v>#DIV/0!</v>
      </c>
      <c r="M19" s="464" t="e">
        <f t="shared" si="3"/>
        <v>#DIV/0!</v>
      </c>
      <c r="N19" s="366"/>
      <c r="O19" s="446"/>
      <c r="P19" s="446"/>
      <c r="Q19" s="446"/>
      <c r="R19" s="446"/>
      <c r="S19" s="647">
        <f t="shared" si="4"/>
        <v>7.4308563812062647E-2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0</v>
      </c>
      <c r="I20" s="499">
        <f>SUM($G$9:G20)/A20</f>
        <v>0</v>
      </c>
      <c r="J20" s="443">
        <f t="shared" si="0"/>
        <v>223</v>
      </c>
      <c r="K20" s="459">
        <f t="shared" si="0"/>
        <v>223</v>
      </c>
      <c r="L20" s="495" t="e">
        <f t="shared" si="3"/>
        <v>#DIV/0!</v>
      </c>
      <c r="M20" s="464" t="e">
        <f t="shared" si="3"/>
        <v>#DIV/0!</v>
      </c>
      <c r="N20" s="366"/>
      <c r="O20" s="446"/>
      <c r="P20" s="446"/>
      <c r="Q20" s="446"/>
      <c r="R20" s="446"/>
      <c r="S20" s="647">
        <f t="shared" si="4"/>
        <v>7.4308563812062647E-2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0</v>
      </c>
      <c r="I21" s="499">
        <f>SUM($G$9:G21)/A21</f>
        <v>0</v>
      </c>
      <c r="J21" s="443">
        <f t="shared" si="0"/>
        <v>223</v>
      </c>
      <c r="K21" s="459">
        <f>K20+E21-G21</f>
        <v>223</v>
      </c>
      <c r="L21" s="495" t="e">
        <f t="shared" si="3"/>
        <v>#DIV/0!</v>
      </c>
      <c r="M21" s="464" t="e">
        <f t="shared" si="3"/>
        <v>#DIV/0!</v>
      </c>
      <c r="N21" s="366"/>
      <c r="O21" s="446"/>
      <c r="P21" s="446"/>
      <c r="Q21" s="446"/>
      <c r="R21" s="446"/>
      <c r="S21" s="647">
        <f t="shared" si="4"/>
        <v>7.4308563812062647E-2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0</v>
      </c>
      <c r="I22" s="499">
        <f>SUM($G$9:G22)/A22</f>
        <v>0</v>
      </c>
      <c r="J22" s="443">
        <f t="shared" si="0"/>
        <v>223</v>
      </c>
      <c r="K22" s="459">
        <f>K21+E22-G22</f>
        <v>223</v>
      </c>
      <c r="L22" s="495" t="e">
        <f t="shared" si="3"/>
        <v>#DIV/0!</v>
      </c>
      <c r="M22" s="464" t="e">
        <f t="shared" si="3"/>
        <v>#DIV/0!</v>
      </c>
      <c r="N22" s="366"/>
      <c r="O22" s="446"/>
      <c r="P22" s="446"/>
      <c r="Q22" s="446"/>
      <c r="R22" s="446"/>
      <c r="S22" s="647">
        <f t="shared" si="4"/>
        <v>7.4308563812062647E-2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0</v>
      </c>
      <c r="I23" s="499">
        <f>SUM($G$9:G23)/A23</f>
        <v>0</v>
      </c>
      <c r="J23" s="504">
        <f t="shared" si="0"/>
        <v>223</v>
      </c>
      <c r="K23" s="459">
        <f t="shared" si="0"/>
        <v>223</v>
      </c>
      <c r="L23" s="505" t="e">
        <f t="shared" si="3"/>
        <v>#DIV/0!</v>
      </c>
      <c r="M23" s="464" t="e">
        <f t="shared" si="3"/>
        <v>#DIV/0!</v>
      </c>
      <c r="N23" s="366"/>
      <c r="O23" s="446"/>
      <c r="P23" s="446"/>
      <c r="Q23" s="446"/>
      <c r="R23" s="446"/>
      <c r="S23" s="647">
        <f t="shared" si="4"/>
        <v>7.4308563812062647E-2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1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0</v>
      </c>
      <c r="I24" s="499">
        <f>SUM($G$9:G24)/A24</f>
        <v>0</v>
      </c>
      <c r="J24" s="443">
        <f t="shared" si="0"/>
        <v>223</v>
      </c>
      <c r="K24" s="459">
        <f>K23+E24-G24</f>
        <v>223</v>
      </c>
      <c r="L24" s="495" t="e">
        <f t="shared" si="3"/>
        <v>#DIV/0!</v>
      </c>
      <c r="M24" s="464" t="e">
        <f t="shared" si="3"/>
        <v>#DIV/0!</v>
      </c>
      <c r="N24" s="366"/>
      <c r="O24" s="446"/>
      <c r="P24" s="446"/>
      <c r="Q24" s="446"/>
      <c r="R24" s="446"/>
      <c r="S24" s="647">
        <f t="shared" si="4"/>
        <v>7.4308563812062647E-2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/>
      <c r="E25" s="499"/>
      <c r="F25" s="586">
        <f t="shared" si="2"/>
        <v>0</v>
      </c>
      <c r="G25" s="1424">
        <f t="shared" si="2"/>
        <v>0</v>
      </c>
      <c r="H25" s="498">
        <f>SUM($F$9:F25)/A25</f>
        <v>0</v>
      </c>
      <c r="I25" s="499">
        <f>SUM($G$9:G25)/A25</f>
        <v>0</v>
      </c>
      <c r="J25" s="443">
        <f t="shared" ref="J25:K39" si="5">J24+D25-F25</f>
        <v>223</v>
      </c>
      <c r="K25" s="459">
        <f>K24+E25-G25</f>
        <v>223</v>
      </c>
      <c r="L25" s="495" t="e">
        <f t="shared" si="3"/>
        <v>#DIV/0!</v>
      </c>
      <c r="M25" s="464" t="e">
        <f t="shared" si="3"/>
        <v>#DIV/0!</v>
      </c>
      <c r="N25" s="366"/>
      <c r="O25" s="446"/>
      <c r="P25" s="446"/>
      <c r="Q25" s="446"/>
      <c r="R25" s="446"/>
      <c r="S25" s="647">
        <f t="shared" si="4"/>
        <v>7.4308563812062647E-2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0</v>
      </c>
      <c r="I26" s="499">
        <f>SUM($G$9:G26)/A26</f>
        <v>0</v>
      </c>
      <c r="J26" s="443">
        <f t="shared" si="5"/>
        <v>223</v>
      </c>
      <c r="K26" s="459">
        <f>K25+E26-G26</f>
        <v>223</v>
      </c>
      <c r="L26" s="495" t="e">
        <f t="shared" si="3"/>
        <v>#DIV/0!</v>
      </c>
      <c r="M26" s="464" t="e">
        <f t="shared" si="3"/>
        <v>#DIV/0!</v>
      </c>
      <c r="N26" s="366"/>
      <c r="O26" s="446"/>
      <c r="P26" s="446"/>
      <c r="Q26" s="446"/>
      <c r="R26" s="446"/>
      <c r="S26" s="647">
        <f t="shared" si="4"/>
        <v>7.4308563812062647E-2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0</v>
      </c>
      <c r="I27" s="499">
        <f>SUM($G$9:G27)/A27</f>
        <v>0</v>
      </c>
      <c r="J27" s="443">
        <f t="shared" si="5"/>
        <v>223</v>
      </c>
      <c r="K27" s="459">
        <f>K26+E27-G27</f>
        <v>223</v>
      </c>
      <c r="L27" s="495" t="e">
        <f t="shared" si="3"/>
        <v>#DIV/0!</v>
      </c>
      <c r="M27" s="464" t="e">
        <f t="shared" si="3"/>
        <v>#DIV/0!</v>
      </c>
      <c r="N27" s="366"/>
      <c r="O27" s="446"/>
      <c r="P27" s="446"/>
      <c r="Q27" s="446"/>
      <c r="R27" s="446"/>
      <c r="S27" s="647">
        <f t="shared" si="4"/>
        <v>7.4308563812062647E-2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0</v>
      </c>
      <c r="I28" s="499">
        <f>SUM($G$9:G28)/A28</f>
        <v>0</v>
      </c>
      <c r="J28" s="504">
        <f t="shared" si="5"/>
        <v>223</v>
      </c>
      <c r="K28" s="459">
        <f t="shared" si="5"/>
        <v>223</v>
      </c>
      <c r="L28" s="505" t="e">
        <f t="shared" si="3"/>
        <v>#DIV/0!</v>
      </c>
      <c r="M28" s="464" t="e">
        <f t="shared" si="3"/>
        <v>#DIV/0!</v>
      </c>
      <c r="N28" s="366"/>
      <c r="O28" s="446"/>
      <c r="P28" s="446"/>
      <c r="Q28" s="446"/>
      <c r="R28" s="446"/>
      <c r="S28" s="647">
        <f t="shared" si="4"/>
        <v>7.4308563812062647E-2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0</v>
      </c>
      <c r="I29" s="499">
        <f>SUM($G$9:G29)/A29</f>
        <v>0</v>
      </c>
      <c r="J29" s="443">
        <f t="shared" si="5"/>
        <v>223</v>
      </c>
      <c r="K29" s="459">
        <f t="shared" si="5"/>
        <v>223</v>
      </c>
      <c r="L29" s="495" t="e">
        <f t="shared" si="3"/>
        <v>#DIV/0!</v>
      </c>
      <c r="M29" s="464" t="e">
        <f t="shared" si="3"/>
        <v>#DIV/0!</v>
      </c>
      <c r="N29" s="366"/>
      <c r="O29" s="446"/>
      <c r="P29" s="446"/>
      <c r="Q29" s="446"/>
      <c r="R29" s="446"/>
      <c r="S29" s="647">
        <f t="shared" si="4"/>
        <v>7.4308563812062647E-2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0</v>
      </c>
      <c r="I30" s="499">
        <f>SUM($G$9:G30)/A30</f>
        <v>0</v>
      </c>
      <c r="J30" s="443">
        <f t="shared" si="5"/>
        <v>223</v>
      </c>
      <c r="K30" s="459">
        <f t="shared" si="5"/>
        <v>223</v>
      </c>
      <c r="L30" s="495" t="e">
        <f t="shared" si="3"/>
        <v>#DIV/0!</v>
      </c>
      <c r="M30" s="464" t="e">
        <f t="shared" si="3"/>
        <v>#DIV/0!</v>
      </c>
      <c r="N30" s="366"/>
      <c r="O30" s="446"/>
      <c r="P30" s="446"/>
      <c r="Q30" s="446"/>
      <c r="R30" s="446"/>
      <c r="S30" s="647">
        <f t="shared" si="4"/>
        <v>7.4308563812062647E-2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0</v>
      </c>
      <c r="I31" s="499">
        <f>SUM($G$9:G31)/A31</f>
        <v>0</v>
      </c>
      <c r="J31" s="443">
        <f t="shared" si="5"/>
        <v>223</v>
      </c>
      <c r="K31" s="459">
        <f t="shared" si="5"/>
        <v>223</v>
      </c>
      <c r="L31" s="495" t="e">
        <f t="shared" si="3"/>
        <v>#DIV/0!</v>
      </c>
      <c r="M31" s="464" t="e">
        <f t="shared" si="3"/>
        <v>#DIV/0!</v>
      </c>
      <c r="N31" s="366"/>
      <c r="O31" s="446"/>
      <c r="P31" s="446"/>
      <c r="Q31" s="446"/>
      <c r="R31" s="446"/>
      <c r="S31" s="647">
        <f t="shared" si="4"/>
        <v>7.4308563812062647E-2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0</v>
      </c>
      <c r="I32" s="499">
        <f>SUM($G$9:G32)/A32</f>
        <v>0</v>
      </c>
      <c r="J32" s="443">
        <f t="shared" si="5"/>
        <v>223</v>
      </c>
      <c r="K32" s="459">
        <f t="shared" si="5"/>
        <v>223</v>
      </c>
      <c r="L32" s="495" t="e">
        <f t="shared" si="3"/>
        <v>#DIV/0!</v>
      </c>
      <c r="M32" s="464" t="e">
        <f t="shared" si="3"/>
        <v>#DIV/0!</v>
      </c>
      <c r="N32" s="366"/>
      <c r="O32" s="446"/>
      <c r="P32" s="446"/>
      <c r="Q32" s="446"/>
      <c r="R32" s="446"/>
      <c r="S32" s="647">
        <f t="shared" si="4"/>
        <v>7.4308563812062647E-2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0</v>
      </c>
      <c r="I33" s="499">
        <f>SUM($G$9:G33)/A33</f>
        <v>0</v>
      </c>
      <c r="J33" s="460">
        <f t="shared" si="5"/>
        <v>223</v>
      </c>
      <c r="K33" s="459">
        <f t="shared" si="5"/>
        <v>223</v>
      </c>
      <c r="L33" s="506" t="e">
        <f t="shared" si="3"/>
        <v>#DIV/0!</v>
      </c>
      <c r="M33" s="464" t="e">
        <f t="shared" si="3"/>
        <v>#DIV/0!</v>
      </c>
      <c r="N33" s="366"/>
      <c r="O33" s="446"/>
      <c r="P33" s="446"/>
      <c r="Q33" s="446"/>
      <c r="R33" s="446"/>
      <c r="S33" s="647">
        <f t="shared" si="4"/>
        <v>7.4308563812062647E-2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0</v>
      </c>
      <c r="I34" s="499">
        <f>SUM($G$9:G34)/A34</f>
        <v>0</v>
      </c>
      <c r="J34" s="443">
        <f t="shared" si="5"/>
        <v>223</v>
      </c>
      <c r="K34" s="459">
        <f t="shared" si="5"/>
        <v>223</v>
      </c>
      <c r="L34" s="495" t="e">
        <f t="shared" si="3"/>
        <v>#DIV/0!</v>
      </c>
      <c r="M34" s="464" t="e">
        <f t="shared" si="3"/>
        <v>#DIV/0!</v>
      </c>
      <c r="N34" s="366"/>
      <c r="O34" s="446"/>
      <c r="P34" s="446"/>
      <c r="Q34" s="446"/>
      <c r="R34" s="446"/>
      <c r="S34" s="647">
        <f t="shared" si="4"/>
        <v>7.4308563812062647E-2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0</v>
      </c>
      <c r="I35" s="499">
        <f>SUM($G$9:G35)/A35</f>
        <v>0</v>
      </c>
      <c r="J35" s="443">
        <f t="shared" si="5"/>
        <v>223</v>
      </c>
      <c r="K35" s="459">
        <f t="shared" si="5"/>
        <v>223</v>
      </c>
      <c r="L35" s="495" t="e">
        <f t="shared" si="3"/>
        <v>#DIV/0!</v>
      </c>
      <c r="M35" s="464" t="e">
        <f t="shared" si="3"/>
        <v>#DIV/0!</v>
      </c>
      <c r="N35" s="366"/>
      <c r="O35" s="446"/>
      <c r="P35" s="446"/>
      <c r="Q35" s="446"/>
      <c r="R35" s="446"/>
      <c r="S35" s="647">
        <f t="shared" si="4"/>
        <v>7.4308563812062647E-2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0</v>
      </c>
      <c r="I36" s="499">
        <f>SUM($G$9:G36)/A36</f>
        <v>0</v>
      </c>
      <c r="J36" s="443">
        <f t="shared" si="5"/>
        <v>223</v>
      </c>
      <c r="K36" s="459">
        <f t="shared" si="5"/>
        <v>223</v>
      </c>
      <c r="L36" s="495" t="e">
        <f t="shared" si="3"/>
        <v>#DIV/0!</v>
      </c>
      <c r="M36" s="464" t="e">
        <f t="shared" si="3"/>
        <v>#DIV/0!</v>
      </c>
      <c r="N36" s="366"/>
      <c r="O36" s="446"/>
      <c r="P36" s="446"/>
      <c r="Q36" s="446"/>
      <c r="R36" s="446"/>
      <c r="S36" s="647">
        <f t="shared" si="4"/>
        <v>7.4308563812062647E-2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0</v>
      </c>
      <c r="I37" s="499">
        <f>SUM($G$9:G37)/A37</f>
        <v>0</v>
      </c>
      <c r="J37" s="443">
        <f t="shared" si="5"/>
        <v>223</v>
      </c>
      <c r="K37" s="459">
        <f t="shared" si="5"/>
        <v>223</v>
      </c>
      <c r="L37" s="495" t="e">
        <f t="shared" si="3"/>
        <v>#DIV/0!</v>
      </c>
      <c r="M37" s="464" t="e">
        <f t="shared" si="3"/>
        <v>#DIV/0!</v>
      </c>
      <c r="N37" s="366"/>
      <c r="O37" s="446"/>
      <c r="P37" s="446"/>
      <c r="Q37" s="446"/>
      <c r="R37" s="446"/>
      <c r="S37" s="647">
        <f t="shared" si="4"/>
        <v>7.4308563812062647E-2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0</v>
      </c>
      <c r="I38" s="499">
        <f>SUM($G$9:G38)/A38</f>
        <v>0</v>
      </c>
      <c r="J38" s="504">
        <f t="shared" si="5"/>
        <v>223</v>
      </c>
      <c r="K38" s="459">
        <f t="shared" si="5"/>
        <v>223</v>
      </c>
      <c r="L38" s="505" t="e">
        <f t="shared" si="3"/>
        <v>#DIV/0!</v>
      </c>
      <c r="M38" s="464" t="e">
        <f t="shared" si="3"/>
        <v>#DIV/0!</v>
      </c>
      <c r="N38" s="366"/>
      <c r="O38" s="446"/>
      <c r="P38" s="446"/>
      <c r="Q38" s="446"/>
      <c r="R38" s="446"/>
      <c r="S38" s="647">
        <f t="shared" si="4"/>
        <v>7.4308563812062647E-2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0</v>
      </c>
      <c r="I39" s="499">
        <f>SUM($G$9:G39)/A39</f>
        <v>0</v>
      </c>
      <c r="J39" s="443">
        <f t="shared" si="5"/>
        <v>223</v>
      </c>
      <c r="K39" s="459">
        <f t="shared" si="5"/>
        <v>223</v>
      </c>
      <c r="L39" s="495" t="e">
        <f t="shared" si="3"/>
        <v>#DIV/0!</v>
      </c>
      <c r="M39" s="464" t="e">
        <f t="shared" si="3"/>
        <v>#DIV/0!</v>
      </c>
      <c r="N39" s="366"/>
      <c r="O39" s="446"/>
      <c r="P39" s="446"/>
      <c r="Q39" s="446"/>
      <c r="R39" s="446"/>
      <c r="S39" s="647">
        <f t="shared" si="4"/>
        <v>7.4308563812062647E-2</v>
      </c>
    </row>
    <row r="40" spans="1:19" s="374" customFormat="1" ht="12" customHeight="1">
      <c r="A40" s="987" t="s">
        <v>29</v>
      </c>
      <c r="B40" s="988"/>
      <c r="C40" s="989"/>
      <c r="D40" s="388">
        <f>SUM(D9:D39)</f>
        <v>0</v>
      </c>
      <c r="E40" s="923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223</v>
      </c>
      <c r="K40" s="461">
        <f>K39</f>
        <v>223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987" t="s">
        <v>15</v>
      </c>
      <c r="B41" s="988"/>
      <c r="C41" s="989"/>
      <c r="D41" s="388">
        <f>D8+D40</f>
        <v>223</v>
      </c>
      <c r="E41" s="388">
        <f>E8+E40</f>
        <v>223</v>
      </c>
      <c r="F41" s="389">
        <f>F40</f>
        <v>0</v>
      </c>
      <c r="G41" s="496">
        <f>G40</f>
        <v>0</v>
      </c>
      <c r="H41" s="389"/>
      <c r="I41" s="496"/>
      <c r="J41" s="389">
        <f>D41-F41</f>
        <v>223</v>
      </c>
      <c r="K41" s="389">
        <f>E41-G41</f>
        <v>223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0172" priority="163" operator="lessThan">
      <formula>15</formula>
    </cfRule>
    <cfRule type="cellIs" dxfId="10171" priority="164" operator="greaterThan">
      <formula>20</formula>
    </cfRule>
    <cfRule type="cellIs" dxfId="10170" priority="165" operator="between">
      <formula>15</formula>
      <formula>20</formula>
    </cfRule>
    <cfRule type="cellIs" dxfId="10169" priority="166" operator="between">
      <formula>15</formula>
      <formula>20</formula>
    </cfRule>
    <cfRule type="cellIs" dxfId="10168" priority="167" operator="lessThan">
      <formula>15</formula>
    </cfRule>
    <cfRule type="cellIs" dxfId="10167" priority="168" operator="greaterThan">
      <formula>20</formula>
    </cfRule>
    <cfRule type="cellIs" dxfId="10166" priority="169" operator="between">
      <formula>15</formula>
      <formula>21</formula>
    </cfRule>
    <cfRule type="cellIs" dxfId="10165" priority="170" operator="lessThan">
      <formula>15</formula>
    </cfRule>
    <cfRule type="cellIs" dxfId="10164" priority="171" operator="greaterThan">
      <formula>21</formula>
    </cfRule>
  </conditionalFormatting>
  <conditionalFormatting sqref="M9:M39">
    <cfRule type="cellIs" dxfId="10163" priority="154" operator="lessThan">
      <formula>15</formula>
    </cfRule>
    <cfRule type="cellIs" dxfId="10162" priority="155" operator="greaterThan">
      <formula>20</formula>
    </cfRule>
    <cfRule type="cellIs" dxfId="10161" priority="156" operator="between">
      <formula>15</formula>
      <formula>20</formula>
    </cfRule>
    <cfRule type="cellIs" dxfId="10160" priority="157" operator="between">
      <formula>15</formula>
      <formula>20</formula>
    </cfRule>
    <cfRule type="cellIs" dxfId="10159" priority="158" operator="lessThan">
      <formula>15</formula>
    </cfRule>
    <cfRule type="cellIs" dxfId="10158" priority="159" operator="greaterThan">
      <formula>20</formula>
    </cfRule>
    <cfRule type="cellIs" dxfId="10157" priority="160" operator="between">
      <formula>15</formula>
      <formula>21</formula>
    </cfRule>
    <cfRule type="cellIs" dxfId="10156" priority="161" operator="lessThan">
      <formula>15</formula>
    </cfRule>
    <cfRule type="cellIs" dxfId="10155" priority="162" operator="greaterThan">
      <formula>21</formula>
    </cfRule>
  </conditionalFormatting>
  <conditionalFormatting sqref="M9:M39">
    <cfRule type="cellIs" dxfId="10154" priority="145" operator="lessThan">
      <formula>15</formula>
    </cfRule>
    <cfRule type="cellIs" dxfId="10153" priority="146" operator="greaterThan">
      <formula>20</formula>
    </cfRule>
    <cfRule type="cellIs" dxfId="10152" priority="147" operator="between">
      <formula>15</formula>
      <formula>20</formula>
    </cfRule>
    <cfRule type="cellIs" dxfId="10151" priority="148" operator="between">
      <formula>15</formula>
      <formula>20</formula>
    </cfRule>
    <cfRule type="cellIs" dxfId="10150" priority="149" operator="lessThan">
      <formula>15</formula>
    </cfRule>
    <cfRule type="cellIs" dxfId="10149" priority="150" operator="greaterThan">
      <formula>20</formula>
    </cfRule>
    <cfRule type="cellIs" dxfId="10148" priority="151" operator="between">
      <formula>15</formula>
      <formula>21</formula>
    </cfRule>
    <cfRule type="cellIs" dxfId="10147" priority="152" operator="lessThan">
      <formula>15</formula>
    </cfRule>
    <cfRule type="cellIs" dxfId="10146" priority="153" operator="greaterThan">
      <formula>21</formula>
    </cfRule>
  </conditionalFormatting>
  <conditionalFormatting sqref="M9:M39">
    <cfRule type="cellIs" dxfId="10145" priority="136" operator="lessThan">
      <formula>15</formula>
    </cfRule>
    <cfRule type="cellIs" dxfId="10144" priority="137" operator="greaterThan">
      <formula>20</formula>
    </cfRule>
    <cfRule type="cellIs" dxfId="10143" priority="138" operator="between">
      <formula>15</formula>
      <formula>20</formula>
    </cfRule>
    <cfRule type="cellIs" dxfId="10142" priority="139" operator="between">
      <formula>15</formula>
      <formula>20</formula>
    </cfRule>
    <cfRule type="cellIs" dxfId="10141" priority="140" operator="lessThan">
      <formula>15</formula>
    </cfRule>
    <cfRule type="cellIs" dxfId="10140" priority="141" operator="greaterThan">
      <formula>20</formula>
    </cfRule>
    <cfRule type="cellIs" dxfId="10139" priority="142" operator="between">
      <formula>15</formula>
      <formula>21</formula>
    </cfRule>
    <cfRule type="cellIs" dxfId="10138" priority="143" operator="lessThan">
      <formula>15</formula>
    </cfRule>
    <cfRule type="cellIs" dxfId="10137" priority="144" operator="greaterThan">
      <formula>21</formula>
    </cfRule>
  </conditionalFormatting>
  <conditionalFormatting sqref="M9:M39">
    <cfRule type="cellIs" dxfId="10136" priority="127" operator="lessThan">
      <formula>15</formula>
    </cfRule>
    <cfRule type="cellIs" dxfId="10135" priority="128" operator="greaterThan">
      <formula>20</formula>
    </cfRule>
    <cfRule type="cellIs" dxfId="10134" priority="129" operator="between">
      <formula>15</formula>
      <formula>20</formula>
    </cfRule>
    <cfRule type="cellIs" dxfId="10133" priority="130" operator="between">
      <formula>15</formula>
      <formula>20</formula>
    </cfRule>
    <cfRule type="cellIs" dxfId="10132" priority="131" operator="lessThan">
      <formula>15</formula>
    </cfRule>
    <cfRule type="cellIs" dxfId="10131" priority="132" operator="greaterThan">
      <formula>20</formula>
    </cfRule>
    <cfRule type="cellIs" dxfId="10130" priority="133" operator="between">
      <formula>15</formula>
      <formula>21</formula>
    </cfRule>
    <cfRule type="cellIs" dxfId="10129" priority="134" operator="lessThan">
      <formula>15</formula>
    </cfRule>
    <cfRule type="cellIs" dxfId="10128" priority="135" operator="greaterThan">
      <formula>21</formula>
    </cfRule>
  </conditionalFormatting>
  <conditionalFormatting sqref="M9:M39">
    <cfRule type="cellIs" dxfId="10127" priority="118" operator="lessThan">
      <formula>15</formula>
    </cfRule>
    <cfRule type="cellIs" dxfId="10126" priority="119" operator="greaterThan">
      <formula>20</formula>
    </cfRule>
    <cfRule type="cellIs" dxfId="10125" priority="120" operator="between">
      <formula>15</formula>
      <formula>20</formula>
    </cfRule>
    <cfRule type="cellIs" dxfId="10124" priority="121" operator="between">
      <formula>15</formula>
      <formula>20</formula>
    </cfRule>
    <cfRule type="cellIs" dxfId="10123" priority="122" operator="lessThan">
      <formula>15</formula>
    </cfRule>
    <cfRule type="cellIs" dxfId="10122" priority="123" operator="greaterThan">
      <formula>20</formula>
    </cfRule>
    <cfRule type="cellIs" dxfId="10121" priority="124" operator="between">
      <formula>15</formula>
      <formula>21</formula>
    </cfRule>
    <cfRule type="cellIs" dxfId="10120" priority="125" operator="lessThan">
      <formula>15</formula>
    </cfRule>
    <cfRule type="cellIs" dxfId="10119" priority="126" operator="greaterThan">
      <formula>21</formula>
    </cfRule>
  </conditionalFormatting>
  <conditionalFormatting sqref="M9:M39">
    <cfRule type="cellIs" dxfId="10118" priority="109" operator="lessThan">
      <formula>15</formula>
    </cfRule>
    <cfRule type="cellIs" dxfId="10117" priority="110" operator="greaterThan">
      <formula>20</formula>
    </cfRule>
    <cfRule type="cellIs" dxfId="10116" priority="111" operator="between">
      <formula>15</formula>
      <formula>20</formula>
    </cfRule>
    <cfRule type="cellIs" dxfId="10115" priority="112" operator="between">
      <formula>15</formula>
      <formula>20</formula>
    </cfRule>
    <cfRule type="cellIs" dxfId="10114" priority="113" operator="lessThan">
      <formula>15</formula>
    </cfRule>
    <cfRule type="cellIs" dxfId="10113" priority="114" operator="greaterThan">
      <formula>20</formula>
    </cfRule>
    <cfRule type="cellIs" dxfId="10112" priority="115" operator="between">
      <formula>15</formula>
      <formula>21</formula>
    </cfRule>
    <cfRule type="cellIs" dxfId="10111" priority="116" operator="lessThan">
      <formula>15</formula>
    </cfRule>
    <cfRule type="cellIs" dxfId="10110" priority="117" operator="greaterThan">
      <formula>21</formula>
    </cfRule>
  </conditionalFormatting>
  <conditionalFormatting sqref="M9:M39">
    <cfRule type="cellIs" dxfId="10109" priority="100" operator="lessThan">
      <formula>15</formula>
    </cfRule>
    <cfRule type="cellIs" dxfId="10108" priority="101" operator="greaterThan">
      <formula>20</formula>
    </cfRule>
    <cfRule type="cellIs" dxfId="10107" priority="102" operator="between">
      <formula>15</formula>
      <formula>20</formula>
    </cfRule>
    <cfRule type="cellIs" dxfId="10106" priority="103" operator="between">
      <formula>15</formula>
      <formula>20</formula>
    </cfRule>
    <cfRule type="cellIs" dxfId="10105" priority="104" operator="lessThan">
      <formula>15</formula>
    </cfRule>
    <cfRule type="cellIs" dxfId="10104" priority="105" operator="greaterThan">
      <formula>20</formula>
    </cfRule>
    <cfRule type="cellIs" dxfId="10103" priority="106" operator="between">
      <formula>15</formula>
      <formula>21</formula>
    </cfRule>
    <cfRule type="cellIs" dxfId="10102" priority="107" operator="lessThan">
      <formula>15</formula>
    </cfRule>
    <cfRule type="cellIs" dxfId="10101" priority="108" operator="greaterThan">
      <formula>21</formula>
    </cfRule>
  </conditionalFormatting>
  <conditionalFormatting sqref="M9:M39">
    <cfRule type="cellIs" dxfId="10100" priority="91" operator="lessThan">
      <formula>15</formula>
    </cfRule>
    <cfRule type="cellIs" dxfId="10099" priority="92" operator="greaterThan">
      <formula>20</formula>
    </cfRule>
    <cfRule type="cellIs" dxfId="10098" priority="93" operator="between">
      <formula>15</formula>
      <formula>20</formula>
    </cfRule>
    <cfRule type="cellIs" dxfId="10097" priority="94" operator="between">
      <formula>15</formula>
      <formula>20</formula>
    </cfRule>
    <cfRule type="cellIs" dxfId="10096" priority="95" operator="lessThan">
      <formula>15</formula>
    </cfRule>
    <cfRule type="cellIs" dxfId="10095" priority="96" operator="greaterThan">
      <formula>20</formula>
    </cfRule>
    <cfRule type="cellIs" dxfId="10094" priority="97" operator="between">
      <formula>15</formula>
      <formula>21</formula>
    </cfRule>
    <cfRule type="cellIs" dxfId="10093" priority="98" operator="lessThan">
      <formula>15</formula>
    </cfRule>
    <cfRule type="cellIs" dxfId="10092" priority="99" operator="greaterThan">
      <formula>21</formula>
    </cfRule>
  </conditionalFormatting>
  <conditionalFormatting sqref="M9:M39">
    <cfRule type="cellIs" dxfId="10091" priority="82" operator="lessThan">
      <formula>15</formula>
    </cfRule>
    <cfRule type="cellIs" dxfId="10090" priority="83" operator="greaterThan">
      <formula>20</formula>
    </cfRule>
    <cfRule type="cellIs" dxfId="10089" priority="84" operator="between">
      <formula>15</formula>
      <formula>20</formula>
    </cfRule>
    <cfRule type="cellIs" dxfId="10088" priority="85" operator="between">
      <formula>15</formula>
      <formula>20</formula>
    </cfRule>
    <cfRule type="cellIs" dxfId="10087" priority="86" operator="lessThan">
      <formula>15</formula>
    </cfRule>
    <cfRule type="cellIs" dxfId="10086" priority="87" operator="greaterThan">
      <formula>20</formula>
    </cfRule>
    <cfRule type="cellIs" dxfId="10085" priority="88" operator="between">
      <formula>15</formula>
      <formula>21</formula>
    </cfRule>
    <cfRule type="cellIs" dxfId="10084" priority="89" operator="lessThan">
      <formula>15</formula>
    </cfRule>
    <cfRule type="cellIs" dxfId="10083" priority="90" operator="greaterThan">
      <formula>21</formula>
    </cfRule>
  </conditionalFormatting>
  <conditionalFormatting sqref="M9:M39">
    <cfRule type="cellIs" dxfId="10082" priority="73" operator="lessThan">
      <formula>15</formula>
    </cfRule>
    <cfRule type="cellIs" dxfId="10081" priority="74" operator="greaterThan">
      <formula>20</formula>
    </cfRule>
    <cfRule type="cellIs" dxfId="10080" priority="75" operator="between">
      <formula>15</formula>
      <formula>20</formula>
    </cfRule>
    <cfRule type="cellIs" dxfId="10079" priority="76" operator="between">
      <formula>15</formula>
      <formula>20</formula>
    </cfRule>
    <cfRule type="cellIs" dxfId="10078" priority="77" operator="lessThan">
      <formula>15</formula>
    </cfRule>
    <cfRule type="cellIs" dxfId="10077" priority="78" operator="greaterThan">
      <formula>20</formula>
    </cfRule>
    <cfRule type="cellIs" dxfId="10076" priority="79" operator="between">
      <formula>15</formula>
      <formula>21</formula>
    </cfRule>
    <cfRule type="cellIs" dxfId="10075" priority="80" operator="lessThan">
      <formula>15</formula>
    </cfRule>
    <cfRule type="cellIs" dxfId="10074" priority="81" operator="greaterThan">
      <formula>21</formula>
    </cfRule>
  </conditionalFormatting>
  <conditionalFormatting sqref="M9:M39">
    <cfRule type="cellIs" dxfId="10073" priority="64" operator="lessThan">
      <formula>15</formula>
    </cfRule>
    <cfRule type="cellIs" dxfId="10072" priority="65" operator="greaterThan">
      <formula>20</formula>
    </cfRule>
    <cfRule type="cellIs" dxfId="10071" priority="66" operator="between">
      <formula>15</formula>
      <formula>20</formula>
    </cfRule>
    <cfRule type="cellIs" dxfId="10070" priority="67" operator="between">
      <formula>15</formula>
      <formula>20</formula>
    </cfRule>
    <cfRule type="cellIs" dxfId="10069" priority="68" operator="lessThan">
      <formula>15</formula>
    </cfRule>
    <cfRule type="cellIs" dxfId="10068" priority="69" operator="greaterThan">
      <formula>20</formula>
    </cfRule>
    <cfRule type="cellIs" dxfId="10067" priority="70" operator="between">
      <formula>15</formula>
      <formula>21</formula>
    </cfRule>
    <cfRule type="cellIs" dxfId="10066" priority="71" operator="lessThan">
      <formula>15</formula>
    </cfRule>
    <cfRule type="cellIs" dxfId="10065" priority="72" operator="greaterThan">
      <formula>21</formula>
    </cfRule>
  </conditionalFormatting>
  <conditionalFormatting sqref="M9:M39">
    <cfRule type="cellIs" dxfId="10064" priority="55" operator="lessThan">
      <formula>15</formula>
    </cfRule>
    <cfRule type="cellIs" dxfId="10063" priority="56" operator="greaterThan">
      <formula>20</formula>
    </cfRule>
    <cfRule type="cellIs" dxfId="10062" priority="57" operator="between">
      <formula>15</formula>
      <formula>20</formula>
    </cfRule>
    <cfRule type="cellIs" dxfId="10061" priority="58" operator="between">
      <formula>15</formula>
      <formula>20</formula>
    </cfRule>
    <cfRule type="cellIs" dxfId="10060" priority="59" operator="lessThan">
      <formula>15</formula>
    </cfRule>
    <cfRule type="cellIs" dxfId="10059" priority="60" operator="greaterThan">
      <formula>20</formula>
    </cfRule>
    <cfRule type="cellIs" dxfId="10058" priority="61" operator="between">
      <formula>15</formula>
      <formula>21</formula>
    </cfRule>
    <cfRule type="cellIs" dxfId="10057" priority="62" operator="lessThan">
      <formula>15</formula>
    </cfRule>
    <cfRule type="cellIs" dxfId="10056" priority="63" operator="greaterThan">
      <formula>21</formula>
    </cfRule>
  </conditionalFormatting>
  <conditionalFormatting sqref="M9:M39">
    <cfRule type="cellIs" dxfId="10055" priority="46" operator="lessThan">
      <formula>15</formula>
    </cfRule>
    <cfRule type="cellIs" dxfId="10054" priority="47" operator="greaterThan">
      <formula>20</formula>
    </cfRule>
    <cfRule type="cellIs" dxfId="10053" priority="48" operator="between">
      <formula>15</formula>
      <formula>20</formula>
    </cfRule>
    <cfRule type="cellIs" dxfId="10052" priority="49" operator="between">
      <formula>15</formula>
      <formula>20</formula>
    </cfRule>
    <cfRule type="cellIs" dxfId="10051" priority="50" operator="lessThan">
      <formula>15</formula>
    </cfRule>
    <cfRule type="cellIs" dxfId="10050" priority="51" operator="greaterThan">
      <formula>20</formula>
    </cfRule>
    <cfRule type="cellIs" dxfId="10049" priority="52" operator="between">
      <formula>15</formula>
      <formula>21</formula>
    </cfRule>
    <cfRule type="cellIs" dxfId="10048" priority="53" operator="lessThan">
      <formula>15</formula>
    </cfRule>
    <cfRule type="cellIs" dxfId="10047" priority="54" operator="greaterThan">
      <formula>21</formula>
    </cfRule>
  </conditionalFormatting>
  <conditionalFormatting sqref="M9:M39">
    <cfRule type="cellIs" dxfId="10046" priority="37" operator="lessThan">
      <formula>15</formula>
    </cfRule>
    <cfRule type="cellIs" dxfId="10045" priority="38" operator="greaterThan">
      <formula>20</formula>
    </cfRule>
    <cfRule type="cellIs" dxfId="10044" priority="39" operator="between">
      <formula>15</formula>
      <formula>20</formula>
    </cfRule>
    <cfRule type="cellIs" dxfId="10043" priority="40" operator="between">
      <formula>15</formula>
      <formula>20</formula>
    </cfRule>
    <cfRule type="cellIs" dxfId="10042" priority="41" operator="lessThan">
      <formula>15</formula>
    </cfRule>
    <cfRule type="cellIs" dxfId="10041" priority="42" operator="greaterThan">
      <formula>20</formula>
    </cfRule>
    <cfRule type="cellIs" dxfId="10040" priority="43" operator="between">
      <formula>15</formula>
      <formula>21</formula>
    </cfRule>
    <cfRule type="cellIs" dxfId="10039" priority="44" operator="lessThan">
      <formula>15</formula>
    </cfRule>
    <cfRule type="cellIs" dxfId="10038" priority="45" operator="greaterThan">
      <formula>21</formula>
    </cfRule>
  </conditionalFormatting>
  <conditionalFormatting sqref="M9:M39">
    <cfRule type="cellIs" dxfId="10037" priority="28" operator="lessThan">
      <formula>15</formula>
    </cfRule>
    <cfRule type="cellIs" dxfId="10036" priority="29" operator="greaterThan">
      <formula>20</formula>
    </cfRule>
    <cfRule type="cellIs" dxfId="10035" priority="30" operator="between">
      <formula>15</formula>
      <formula>20</formula>
    </cfRule>
    <cfRule type="cellIs" dxfId="10034" priority="31" operator="between">
      <formula>15</formula>
      <formula>20</formula>
    </cfRule>
    <cfRule type="cellIs" dxfId="10033" priority="32" operator="lessThan">
      <formula>15</formula>
    </cfRule>
    <cfRule type="cellIs" dxfId="10032" priority="33" operator="greaterThan">
      <formula>20</formula>
    </cfRule>
    <cfRule type="cellIs" dxfId="10031" priority="34" operator="between">
      <formula>15</formula>
      <formula>21</formula>
    </cfRule>
    <cfRule type="cellIs" dxfId="10030" priority="35" operator="lessThan">
      <formula>15</formula>
    </cfRule>
    <cfRule type="cellIs" dxfId="10029" priority="36" operator="greaterThan">
      <formula>21</formula>
    </cfRule>
  </conditionalFormatting>
  <conditionalFormatting sqref="M9:M39">
    <cfRule type="cellIs" dxfId="10028" priority="19" operator="lessThan">
      <formula>15</formula>
    </cfRule>
    <cfRule type="cellIs" dxfId="10027" priority="20" operator="greaterThan">
      <formula>20</formula>
    </cfRule>
    <cfRule type="cellIs" dxfId="10026" priority="21" operator="between">
      <formula>15</formula>
      <formula>20</formula>
    </cfRule>
    <cfRule type="cellIs" dxfId="10025" priority="22" operator="between">
      <formula>15</formula>
      <formula>20</formula>
    </cfRule>
    <cfRule type="cellIs" dxfId="10024" priority="23" operator="lessThan">
      <formula>15</formula>
    </cfRule>
    <cfRule type="cellIs" dxfId="10023" priority="24" operator="greaterThan">
      <formula>20</formula>
    </cfRule>
    <cfRule type="cellIs" dxfId="10022" priority="25" operator="between">
      <formula>15</formula>
      <formula>21</formula>
    </cfRule>
    <cfRule type="cellIs" dxfId="10021" priority="26" operator="lessThan">
      <formula>15</formula>
    </cfRule>
    <cfRule type="cellIs" dxfId="10020" priority="27" operator="greaterThan">
      <formula>21</formula>
    </cfRule>
  </conditionalFormatting>
  <conditionalFormatting sqref="M9:M39">
    <cfRule type="cellIs" dxfId="10019" priority="10" operator="lessThan">
      <formula>15</formula>
    </cfRule>
    <cfRule type="cellIs" dxfId="10018" priority="11" operator="greaterThan">
      <formula>20</formula>
    </cfRule>
    <cfRule type="cellIs" dxfId="10017" priority="12" operator="between">
      <formula>15</formula>
      <formula>20</formula>
    </cfRule>
    <cfRule type="cellIs" dxfId="10016" priority="13" operator="between">
      <formula>15</formula>
      <formula>20</formula>
    </cfRule>
    <cfRule type="cellIs" dxfId="10015" priority="14" operator="lessThan">
      <formula>15</formula>
    </cfRule>
    <cfRule type="cellIs" dxfId="10014" priority="15" operator="greaterThan">
      <formula>20</formula>
    </cfRule>
    <cfRule type="cellIs" dxfId="10013" priority="16" operator="between">
      <formula>15</formula>
      <formula>21</formula>
    </cfRule>
    <cfRule type="cellIs" dxfId="10012" priority="17" operator="lessThan">
      <formula>15</formula>
    </cfRule>
    <cfRule type="cellIs" dxfId="10011" priority="18" operator="greaterThan">
      <formula>21</formula>
    </cfRule>
  </conditionalFormatting>
  <conditionalFormatting sqref="M9:M39">
    <cfRule type="cellIs" dxfId="10010" priority="1" operator="lessThan">
      <formula>15</formula>
    </cfRule>
    <cfRule type="cellIs" dxfId="10009" priority="2" operator="greaterThan">
      <formula>20</formula>
    </cfRule>
    <cfRule type="cellIs" dxfId="10008" priority="3" operator="between">
      <formula>15</formula>
      <formula>20</formula>
    </cfRule>
    <cfRule type="cellIs" dxfId="10007" priority="4" operator="between">
      <formula>15</formula>
      <formula>20</formula>
    </cfRule>
    <cfRule type="cellIs" dxfId="10006" priority="5" operator="lessThan">
      <formula>15</formula>
    </cfRule>
    <cfRule type="cellIs" dxfId="10005" priority="6" operator="greaterThan">
      <formula>20</formula>
    </cfRule>
    <cfRule type="cellIs" dxfId="10004" priority="7" operator="between">
      <formula>15</formula>
      <formula>21</formula>
    </cfRule>
    <cfRule type="cellIs" dxfId="10003" priority="8" operator="lessThan">
      <formula>15</formula>
    </cfRule>
    <cfRule type="cellIs" dxfId="10002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C49"/>
  <sheetViews>
    <sheetView zoomScaleNormal="100" workbookViewId="0">
      <pane ySplit="8" topLeftCell="A9" activePane="bottomLeft" state="frozen"/>
      <selection pane="bottomLeft" activeCell="R10" sqref="R10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8" width="8" style="143" customWidth="1"/>
    <col min="19" max="19" width="11.5703125" style="143" bestFit="1" customWidth="1"/>
    <col min="20" max="20" width="9.42578125" style="143" bestFit="1" customWidth="1"/>
    <col min="21" max="21" width="13.28515625" style="143" customWidth="1"/>
    <col min="22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054" customFormat="1" ht="15" customHeight="1">
      <c r="A4" s="1600" t="s">
        <v>33</v>
      </c>
      <c r="B4" s="1600"/>
      <c r="C4" s="316" t="str">
        <f>J4</f>
        <v>MEN SUGAR PNSG-02 (01)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923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36153.339999999997</v>
      </c>
      <c r="E8" s="388">
        <f>K8</f>
        <v>38461</v>
      </c>
      <c r="F8" s="389"/>
      <c r="G8" s="388"/>
      <c r="H8" s="387"/>
      <c r="I8" s="388"/>
      <c r="J8" s="937">
        <f>K8-K8*N8</f>
        <v>36153.339999999997</v>
      </c>
      <c r="K8" s="937">
        <v>38461</v>
      </c>
      <c r="L8" s="462"/>
      <c r="M8" s="463"/>
      <c r="N8" s="366">
        <v>0.06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2760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2760</v>
      </c>
      <c r="G9" s="1424">
        <f>P9+R9</f>
        <v>2777</v>
      </c>
      <c r="H9" s="498">
        <f>SUM($F$9:F9)/A9</f>
        <v>2760</v>
      </c>
      <c r="I9" s="499">
        <f>SUM($G$9:G9)/A9</f>
        <v>2777</v>
      </c>
      <c r="J9" s="443">
        <f t="shared" ref="J9:K24" si="0">J8+D9-F9</f>
        <v>33393.339999999997</v>
      </c>
      <c r="K9" s="459">
        <f t="shared" si="0"/>
        <v>35684</v>
      </c>
      <c r="L9" s="495">
        <f>J9/H9</f>
        <v>12.099036231884057</v>
      </c>
      <c r="M9" s="464">
        <f>K9/I9</f>
        <v>12.849837954627295</v>
      </c>
      <c r="N9" s="366"/>
      <c r="O9" s="446"/>
      <c r="P9" s="446"/>
      <c r="Q9" s="446">
        <v>2760</v>
      </c>
      <c r="R9" s="446">
        <v>2777</v>
      </c>
      <c r="S9" s="647">
        <f>J9/$S$8</f>
        <v>12.099036231884057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0</v>
      </c>
      <c r="G10" s="1424">
        <f t="shared" si="2"/>
        <v>0</v>
      </c>
      <c r="H10" s="498">
        <f>SUM($F$9:F10)/A10</f>
        <v>1380</v>
      </c>
      <c r="I10" s="499">
        <f>SUM($G$9:G10)/A10</f>
        <v>1388.5</v>
      </c>
      <c r="J10" s="443">
        <f t="shared" si="0"/>
        <v>33393.339999999997</v>
      </c>
      <c r="K10" s="459">
        <f t="shared" si="0"/>
        <v>35684</v>
      </c>
      <c r="L10" s="495">
        <f t="shared" ref="L10:M39" si="3">J10/H10</f>
        <v>24.198072463768113</v>
      </c>
      <c r="M10" s="464">
        <f t="shared" si="3"/>
        <v>25.699675909254591</v>
      </c>
      <c r="N10" s="366"/>
      <c r="O10" s="446"/>
      <c r="P10" s="446"/>
      <c r="Q10" s="446"/>
      <c r="R10" s="446"/>
      <c r="S10" s="647">
        <f t="shared" ref="S10:S39" si="4">J10/$S$8</f>
        <v>12.099036231884057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920</v>
      </c>
      <c r="I11" s="499">
        <f>SUM($G$9:G11)/A11</f>
        <v>925.66666666666663</v>
      </c>
      <c r="J11" s="443">
        <f t="shared" si="0"/>
        <v>33393.339999999997</v>
      </c>
      <c r="K11" s="459">
        <f t="shared" si="0"/>
        <v>35684</v>
      </c>
      <c r="L11" s="495">
        <f t="shared" si="3"/>
        <v>36.29710869565217</v>
      </c>
      <c r="M11" s="464">
        <f t="shared" si="3"/>
        <v>38.549513863881891</v>
      </c>
      <c r="N11" s="366"/>
      <c r="O11" s="446"/>
      <c r="P11" s="446"/>
      <c r="Q11" s="446"/>
      <c r="R11" s="446"/>
      <c r="S11" s="647">
        <f t="shared" si="4"/>
        <v>12.099036231884057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0</v>
      </c>
      <c r="G12" s="1424">
        <f t="shared" si="2"/>
        <v>0</v>
      </c>
      <c r="H12" s="498">
        <f>SUM($F$9:F12)/A12</f>
        <v>690</v>
      </c>
      <c r="I12" s="499">
        <f>SUM($G$9:G12)/A12</f>
        <v>694.25</v>
      </c>
      <c r="J12" s="443">
        <f t="shared" si="0"/>
        <v>33393.339999999997</v>
      </c>
      <c r="K12" s="459">
        <f t="shared" si="0"/>
        <v>35684</v>
      </c>
      <c r="L12" s="495">
        <f t="shared" si="3"/>
        <v>48.396144927536227</v>
      </c>
      <c r="M12" s="464">
        <f t="shared" si="3"/>
        <v>51.399351818509182</v>
      </c>
      <c r="N12" s="366"/>
      <c r="O12" s="446"/>
      <c r="P12" s="446"/>
      <c r="Q12" s="446"/>
      <c r="R12" s="446"/>
      <c r="S12" s="647">
        <f t="shared" si="4"/>
        <v>12.099036231884057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0</v>
      </c>
      <c r="G13" s="1424">
        <f t="shared" si="2"/>
        <v>0</v>
      </c>
      <c r="H13" s="504">
        <f>SUM($F$9:F13)/A13</f>
        <v>552</v>
      </c>
      <c r="I13" s="499">
        <f>SUM($G$9:G13)/A13</f>
        <v>555.4</v>
      </c>
      <c r="J13" s="504">
        <f t="shared" si="0"/>
        <v>33393.339999999997</v>
      </c>
      <c r="K13" s="459">
        <f t="shared" si="0"/>
        <v>35684</v>
      </c>
      <c r="L13" s="505">
        <f t="shared" si="3"/>
        <v>60.495181159420284</v>
      </c>
      <c r="M13" s="464">
        <f t="shared" si="3"/>
        <v>64.249189773136479</v>
      </c>
      <c r="N13" s="366"/>
      <c r="O13" s="446"/>
      <c r="P13" s="446"/>
      <c r="Q13" s="446"/>
      <c r="R13" s="446"/>
      <c r="S13" s="647">
        <f t="shared" si="4"/>
        <v>12.099036231884057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0</v>
      </c>
      <c r="G14" s="1424">
        <f t="shared" si="2"/>
        <v>0</v>
      </c>
      <c r="H14" s="498">
        <f>SUM($F$9:F14)/A14</f>
        <v>460</v>
      </c>
      <c r="I14" s="499">
        <f>SUM($G$9:G14)/A14</f>
        <v>462.83333333333331</v>
      </c>
      <c r="J14" s="443">
        <f t="shared" si="0"/>
        <v>33393.339999999997</v>
      </c>
      <c r="K14" s="459">
        <f t="shared" si="0"/>
        <v>35684</v>
      </c>
      <c r="L14" s="495">
        <f t="shared" si="3"/>
        <v>72.59421739130434</v>
      </c>
      <c r="M14" s="464">
        <f t="shared" si="3"/>
        <v>77.099027727763783</v>
      </c>
      <c r="N14" s="366"/>
      <c r="O14" s="446"/>
      <c r="P14" s="446"/>
      <c r="Q14" s="446"/>
      <c r="R14" s="446"/>
      <c r="S14" s="647">
        <f t="shared" si="4"/>
        <v>12.099036231884057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0</v>
      </c>
      <c r="G15" s="1424">
        <f t="shared" si="2"/>
        <v>0</v>
      </c>
      <c r="H15" s="498">
        <f>SUM($F$9:F15)/A15</f>
        <v>394.28571428571428</v>
      </c>
      <c r="I15" s="499">
        <f>SUM($G$9:G15)/A15</f>
        <v>396.71428571428572</v>
      </c>
      <c r="J15" s="443">
        <f t="shared" si="0"/>
        <v>33393.339999999997</v>
      </c>
      <c r="K15" s="459">
        <f t="shared" si="0"/>
        <v>35684</v>
      </c>
      <c r="L15" s="495">
        <f t="shared" si="3"/>
        <v>84.693253623188397</v>
      </c>
      <c r="M15" s="464">
        <f t="shared" si="3"/>
        <v>89.948865682391073</v>
      </c>
      <c r="N15" s="366"/>
      <c r="O15" s="446"/>
      <c r="P15" s="446"/>
      <c r="Q15" s="446"/>
      <c r="R15" s="446"/>
      <c r="S15" s="647">
        <f t="shared" si="4"/>
        <v>12.099036231884057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0</v>
      </c>
      <c r="G16" s="1424">
        <f t="shared" si="2"/>
        <v>0</v>
      </c>
      <c r="H16" s="498">
        <f>SUM($F$9:F16)/A16</f>
        <v>345</v>
      </c>
      <c r="I16" s="499">
        <f>SUM($G$9:G16)/A16</f>
        <v>347.125</v>
      </c>
      <c r="J16" s="443">
        <f t="shared" si="0"/>
        <v>33393.339999999997</v>
      </c>
      <c r="K16" s="459">
        <f t="shared" si="0"/>
        <v>35684</v>
      </c>
      <c r="L16" s="495">
        <f t="shared" si="3"/>
        <v>96.792289855072454</v>
      </c>
      <c r="M16" s="464">
        <f t="shared" si="3"/>
        <v>102.79870363701836</v>
      </c>
      <c r="N16" s="366"/>
      <c r="O16" s="446"/>
      <c r="P16" s="446"/>
      <c r="Q16" s="446"/>
      <c r="R16" s="446"/>
      <c r="S16" s="647">
        <f t="shared" si="4"/>
        <v>12.099036231884057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0</v>
      </c>
      <c r="G17" s="1424">
        <f t="shared" si="2"/>
        <v>0</v>
      </c>
      <c r="H17" s="498">
        <f>SUM($F$9:F17)/A17</f>
        <v>306.66666666666669</v>
      </c>
      <c r="I17" s="499">
        <f>SUM($G$9:G17)/A17</f>
        <v>308.55555555555554</v>
      </c>
      <c r="J17" s="443">
        <f t="shared" si="0"/>
        <v>33393.339999999997</v>
      </c>
      <c r="K17" s="459">
        <f t="shared" si="0"/>
        <v>35684</v>
      </c>
      <c r="L17" s="495">
        <f t="shared" si="3"/>
        <v>108.89132608695651</v>
      </c>
      <c r="M17" s="464">
        <f t="shared" si="3"/>
        <v>115.64854159164567</v>
      </c>
      <c r="N17" s="366"/>
      <c r="O17" s="446"/>
      <c r="P17" s="446"/>
      <c r="Q17" s="446"/>
      <c r="R17" s="446"/>
      <c r="S17" s="647">
        <f t="shared" si="4"/>
        <v>12.099036231884057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0</v>
      </c>
      <c r="G18" s="1424">
        <f t="shared" si="2"/>
        <v>0</v>
      </c>
      <c r="H18" s="504">
        <f>SUM($F$9:F18)/A18</f>
        <v>276</v>
      </c>
      <c r="I18" s="499">
        <f>SUM($G$9:G18)/A18</f>
        <v>277.7</v>
      </c>
      <c r="J18" s="504">
        <f t="shared" si="0"/>
        <v>33393.339999999997</v>
      </c>
      <c r="K18" s="459">
        <f t="shared" si="0"/>
        <v>35684</v>
      </c>
      <c r="L18" s="505">
        <f t="shared" si="3"/>
        <v>120.99036231884057</v>
      </c>
      <c r="M18" s="464">
        <f t="shared" si="3"/>
        <v>128.49837954627296</v>
      </c>
      <c r="N18" s="366"/>
      <c r="O18" s="446"/>
      <c r="P18" s="446"/>
      <c r="Q18" s="446"/>
      <c r="R18" s="446"/>
      <c r="S18" s="647">
        <f t="shared" si="4"/>
        <v>12.099036231884057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250.90909090909091</v>
      </c>
      <c r="I19" s="499">
        <f>SUM($G$9:G19)/A19</f>
        <v>252.45454545454547</v>
      </c>
      <c r="J19" s="443">
        <f t="shared" si="0"/>
        <v>33393.339999999997</v>
      </c>
      <c r="K19" s="459">
        <f t="shared" si="0"/>
        <v>35684</v>
      </c>
      <c r="L19" s="495">
        <f t="shared" si="3"/>
        <v>133.08939855072464</v>
      </c>
      <c r="M19" s="464">
        <f t="shared" si="3"/>
        <v>141.34821750090023</v>
      </c>
      <c r="N19" s="366"/>
      <c r="O19" s="446"/>
      <c r="P19" s="446"/>
      <c r="Q19" s="446"/>
      <c r="R19" s="446"/>
      <c r="S19" s="647">
        <f t="shared" si="4"/>
        <v>12.099036231884057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921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230</v>
      </c>
      <c r="I20" s="499">
        <f>SUM($G$9:G20)/A20</f>
        <v>231.41666666666666</v>
      </c>
      <c r="J20" s="443">
        <f t="shared" si="0"/>
        <v>33393.339999999997</v>
      </c>
      <c r="K20" s="459">
        <f t="shared" si="0"/>
        <v>35684</v>
      </c>
      <c r="L20" s="495">
        <f t="shared" si="3"/>
        <v>145.18843478260868</v>
      </c>
      <c r="M20" s="464">
        <f t="shared" si="3"/>
        <v>154.19805545552757</v>
      </c>
      <c r="N20" s="366"/>
      <c r="O20" s="446"/>
      <c r="P20" s="446"/>
      <c r="Q20" s="446"/>
      <c r="R20" s="446"/>
      <c r="S20" s="647">
        <f t="shared" si="4"/>
        <v>12.099036231884057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212.30769230769232</v>
      </c>
      <c r="I21" s="499">
        <f>SUM($G$9:G21)/A21</f>
        <v>213.61538461538461</v>
      </c>
      <c r="J21" s="443">
        <f t="shared" si="0"/>
        <v>33393.339999999997</v>
      </c>
      <c r="K21" s="459">
        <f>K20+E21-G21</f>
        <v>35684</v>
      </c>
      <c r="L21" s="495">
        <f t="shared" si="3"/>
        <v>157.28747101449272</v>
      </c>
      <c r="M21" s="464">
        <f t="shared" si="3"/>
        <v>167.04789341015484</v>
      </c>
      <c r="N21" s="366"/>
      <c r="O21" s="446"/>
      <c r="P21" s="446"/>
      <c r="Q21" s="446"/>
      <c r="R21" s="446"/>
      <c r="S21" s="647">
        <f t="shared" si="4"/>
        <v>12.099036231884057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197.14285714285714</v>
      </c>
      <c r="I22" s="499">
        <f>SUM($G$9:G22)/A22</f>
        <v>198.35714285714286</v>
      </c>
      <c r="J22" s="443">
        <f t="shared" si="0"/>
        <v>33393.339999999997</v>
      </c>
      <c r="K22" s="459">
        <f>K21+E22-G22</f>
        <v>35684</v>
      </c>
      <c r="L22" s="495">
        <f t="shared" si="3"/>
        <v>169.38650724637679</v>
      </c>
      <c r="M22" s="464">
        <f t="shared" si="3"/>
        <v>179.89773136478215</v>
      </c>
      <c r="N22" s="366"/>
      <c r="O22" s="446"/>
      <c r="P22" s="446"/>
      <c r="Q22" s="446"/>
      <c r="R22" s="446"/>
      <c r="S22" s="647">
        <f t="shared" si="4"/>
        <v>12.099036231884057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184</v>
      </c>
      <c r="I23" s="499">
        <f>SUM($G$9:G23)/A23</f>
        <v>185.13333333333333</v>
      </c>
      <c r="J23" s="504">
        <f t="shared" si="0"/>
        <v>33393.339999999997</v>
      </c>
      <c r="K23" s="459">
        <f t="shared" si="0"/>
        <v>35684</v>
      </c>
      <c r="L23" s="505">
        <f t="shared" si="3"/>
        <v>181.48554347826084</v>
      </c>
      <c r="M23" s="464">
        <f t="shared" si="3"/>
        <v>192.74756931940945</v>
      </c>
      <c r="N23" s="366"/>
      <c r="O23" s="446"/>
      <c r="P23" s="446"/>
      <c r="Q23" s="446"/>
      <c r="R23" s="446"/>
      <c r="S23" s="647">
        <f t="shared" si="4"/>
        <v>12.099036231884057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1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172.5</v>
      </c>
      <c r="I24" s="499">
        <f>SUM($G$9:G24)/A24</f>
        <v>173.5625</v>
      </c>
      <c r="J24" s="443">
        <f t="shared" si="0"/>
        <v>33393.339999999997</v>
      </c>
      <c r="K24" s="459">
        <f>K23+E24-G24</f>
        <v>35684</v>
      </c>
      <c r="L24" s="495">
        <f t="shared" si="3"/>
        <v>193.58457971014491</v>
      </c>
      <c r="M24" s="464">
        <f t="shared" si="3"/>
        <v>205.59740727403673</v>
      </c>
      <c r="N24" s="366"/>
      <c r="O24" s="446"/>
      <c r="P24" s="446"/>
      <c r="Q24" s="446"/>
      <c r="R24" s="446"/>
      <c r="S24" s="647">
        <f t="shared" si="4"/>
        <v>12.099036231884057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>
        <f t="shared" si="1"/>
        <v>0</v>
      </c>
      <c r="E25" s="499"/>
      <c r="F25" s="586">
        <f t="shared" si="2"/>
        <v>0</v>
      </c>
      <c r="G25" s="1424">
        <f t="shared" si="2"/>
        <v>0</v>
      </c>
      <c r="H25" s="498">
        <f>SUM($F$9:F25)/A25</f>
        <v>162.35294117647058</v>
      </c>
      <c r="I25" s="499">
        <f>SUM($G$9:G25)/A25</f>
        <v>163.35294117647058</v>
      </c>
      <c r="J25" s="443">
        <f t="shared" ref="J25:K39" si="5">J24+D25-F25</f>
        <v>33393.339999999997</v>
      </c>
      <c r="K25" s="459">
        <f>K24+E25-G25</f>
        <v>35684</v>
      </c>
      <c r="L25" s="495">
        <f t="shared" si="3"/>
        <v>205.68361594202898</v>
      </c>
      <c r="M25" s="464">
        <f t="shared" si="3"/>
        <v>218.44724522866403</v>
      </c>
      <c r="N25" s="366"/>
      <c r="O25" s="446"/>
      <c r="P25" s="446"/>
      <c r="Q25" s="446"/>
      <c r="R25" s="446"/>
      <c r="S25" s="647">
        <f t="shared" si="4"/>
        <v>12.099036231884057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153.33333333333334</v>
      </c>
      <c r="I26" s="499">
        <f>SUM($G$9:G26)/A26</f>
        <v>154.27777777777777</v>
      </c>
      <c r="J26" s="443">
        <f t="shared" si="5"/>
        <v>33393.339999999997</v>
      </c>
      <c r="K26" s="459">
        <f>K25+E26-G26</f>
        <v>35684</v>
      </c>
      <c r="L26" s="495">
        <f t="shared" si="3"/>
        <v>217.78265217391302</v>
      </c>
      <c r="M26" s="464">
        <f t="shared" si="3"/>
        <v>231.29708318329133</v>
      </c>
      <c r="N26" s="366"/>
      <c r="O26" s="446"/>
      <c r="P26" s="446"/>
      <c r="Q26" s="446"/>
      <c r="R26" s="446"/>
      <c r="S26" s="647">
        <f t="shared" si="4"/>
        <v>12.099036231884057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145.26315789473685</v>
      </c>
      <c r="I27" s="499">
        <f>SUM($G$9:G27)/A27</f>
        <v>146.15789473684211</v>
      </c>
      <c r="J27" s="443">
        <f t="shared" si="5"/>
        <v>33393.339999999997</v>
      </c>
      <c r="K27" s="459">
        <f>K26+E27-G27</f>
        <v>35684</v>
      </c>
      <c r="L27" s="495">
        <f t="shared" si="3"/>
        <v>229.88168840579706</v>
      </c>
      <c r="M27" s="464">
        <f t="shared" si="3"/>
        <v>244.14692113791861</v>
      </c>
      <c r="N27" s="366"/>
      <c r="O27" s="446"/>
      <c r="P27" s="446"/>
      <c r="Q27" s="446"/>
      <c r="R27" s="446"/>
      <c r="S27" s="647">
        <f t="shared" si="4"/>
        <v>12.099036231884057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138</v>
      </c>
      <c r="I28" s="499">
        <f>SUM($G$9:G28)/A28</f>
        <v>138.85</v>
      </c>
      <c r="J28" s="504">
        <f t="shared" si="5"/>
        <v>33393.339999999997</v>
      </c>
      <c r="K28" s="459">
        <f t="shared" si="5"/>
        <v>35684</v>
      </c>
      <c r="L28" s="505">
        <f t="shared" si="3"/>
        <v>241.98072463768113</v>
      </c>
      <c r="M28" s="464">
        <f t="shared" si="3"/>
        <v>256.99675909254591</v>
      </c>
      <c r="N28" s="366"/>
      <c r="O28" s="446"/>
      <c r="P28" s="446"/>
      <c r="Q28" s="446"/>
      <c r="R28" s="446"/>
      <c r="S28" s="647">
        <f t="shared" si="4"/>
        <v>12.099036231884057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131.42857142857142</v>
      </c>
      <c r="I29" s="499">
        <f>SUM($G$9:G29)/A29</f>
        <v>132.23809523809524</v>
      </c>
      <c r="J29" s="443">
        <f t="shared" si="5"/>
        <v>33393.339999999997</v>
      </c>
      <c r="K29" s="459">
        <f t="shared" si="5"/>
        <v>35684</v>
      </c>
      <c r="L29" s="495">
        <f t="shared" si="3"/>
        <v>254.07976086956521</v>
      </c>
      <c r="M29" s="464">
        <f t="shared" si="3"/>
        <v>269.84659704717319</v>
      </c>
      <c r="N29" s="366"/>
      <c r="O29" s="446"/>
      <c r="P29" s="446"/>
      <c r="Q29" s="446"/>
      <c r="R29" s="446"/>
      <c r="S29" s="647">
        <f t="shared" si="4"/>
        <v>12.099036231884057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125.45454545454545</v>
      </c>
      <c r="I30" s="499">
        <f>SUM($G$9:G30)/A30</f>
        <v>126.22727272727273</v>
      </c>
      <c r="J30" s="443">
        <f t="shared" si="5"/>
        <v>33393.339999999997</v>
      </c>
      <c r="K30" s="459">
        <f t="shared" si="5"/>
        <v>35684</v>
      </c>
      <c r="L30" s="495">
        <f t="shared" si="3"/>
        <v>266.17879710144928</v>
      </c>
      <c r="M30" s="464">
        <f t="shared" si="3"/>
        <v>282.69643500180047</v>
      </c>
      <c r="N30" s="366"/>
      <c r="O30" s="446"/>
      <c r="P30" s="446"/>
      <c r="Q30" s="446"/>
      <c r="R30" s="446"/>
      <c r="S30" s="647">
        <f t="shared" si="4"/>
        <v>12.099036231884057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120</v>
      </c>
      <c r="I31" s="499">
        <f>SUM($G$9:G31)/A31</f>
        <v>120.73913043478261</v>
      </c>
      <c r="J31" s="443">
        <f t="shared" si="5"/>
        <v>33393.339999999997</v>
      </c>
      <c r="K31" s="459">
        <f t="shared" si="5"/>
        <v>35684</v>
      </c>
      <c r="L31" s="495">
        <f t="shared" si="3"/>
        <v>278.27783333333332</v>
      </c>
      <c r="M31" s="464">
        <f t="shared" si="3"/>
        <v>295.5462729564278</v>
      </c>
      <c r="N31" s="366"/>
      <c r="O31" s="446"/>
      <c r="P31" s="446"/>
      <c r="Q31" s="446"/>
      <c r="R31" s="446"/>
      <c r="S31" s="647">
        <f t="shared" si="4"/>
        <v>12.099036231884057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115</v>
      </c>
      <c r="I32" s="499">
        <f>SUM($G$9:G32)/A32</f>
        <v>115.70833333333333</v>
      </c>
      <c r="J32" s="443">
        <f t="shared" si="5"/>
        <v>33393.339999999997</v>
      </c>
      <c r="K32" s="459">
        <f t="shared" si="5"/>
        <v>35684</v>
      </c>
      <c r="L32" s="495">
        <f t="shared" si="3"/>
        <v>290.37686956521736</v>
      </c>
      <c r="M32" s="464">
        <f t="shared" si="3"/>
        <v>308.39611091105513</v>
      </c>
      <c r="N32" s="366"/>
      <c r="O32" s="446"/>
      <c r="P32" s="446"/>
      <c r="Q32" s="446"/>
      <c r="R32" s="446"/>
      <c r="S32" s="647">
        <f t="shared" si="4"/>
        <v>12.099036231884057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110.4</v>
      </c>
      <c r="I33" s="499">
        <f>SUM($G$9:G33)/A33</f>
        <v>111.08</v>
      </c>
      <c r="J33" s="460">
        <f t="shared" si="5"/>
        <v>33393.339999999997</v>
      </c>
      <c r="K33" s="459">
        <f t="shared" si="5"/>
        <v>35684</v>
      </c>
      <c r="L33" s="506">
        <f t="shared" si="3"/>
        <v>302.4759057971014</v>
      </c>
      <c r="M33" s="464">
        <f t="shared" si="3"/>
        <v>321.24594886568241</v>
      </c>
      <c r="N33" s="366"/>
      <c r="O33" s="446"/>
      <c r="P33" s="446"/>
      <c r="Q33" s="446"/>
      <c r="R33" s="446"/>
      <c r="S33" s="647">
        <f t="shared" si="4"/>
        <v>12.099036231884057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106.15384615384616</v>
      </c>
      <c r="I34" s="499">
        <f>SUM($G$9:G34)/A34</f>
        <v>106.80769230769231</v>
      </c>
      <c r="J34" s="443">
        <f t="shared" si="5"/>
        <v>33393.339999999997</v>
      </c>
      <c r="K34" s="459">
        <f t="shared" si="5"/>
        <v>35684</v>
      </c>
      <c r="L34" s="495">
        <f t="shared" si="3"/>
        <v>314.57494202898545</v>
      </c>
      <c r="M34" s="464">
        <f t="shared" si="3"/>
        <v>334.09578682030968</v>
      </c>
      <c r="N34" s="366"/>
      <c r="O34" s="446"/>
      <c r="P34" s="446"/>
      <c r="Q34" s="446"/>
      <c r="R34" s="446"/>
      <c r="S34" s="647">
        <f t="shared" si="4"/>
        <v>12.099036231884057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102.22222222222223</v>
      </c>
      <c r="I35" s="499">
        <f>SUM($G$9:G35)/A35</f>
        <v>102.85185185185185</v>
      </c>
      <c r="J35" s="443">
        <f t="shared" si="5"/>
        <v>33393.339999999997</v>
      </c>
      <c r="K35" s="459">
        <f t="shared" si="5"/>
        <v>35684</v>
      </c>
      <c r="L35" s="495">
        <f t="shared" si="3"/>
        <v>326.67397826086949</v>
      </c>
      <c r="M35" s="464">
        <f t="shared" si="3"/>
        <v>346.94562477493702</v>
      </c>
      <c r="N35" s="366"/>
      <c r="O35" s="446"/>
      <c r="P35" s="446"/>
      <c r="Q35" s="446"/>
      <c r="R35" s="446"/>
      <c r="S35" s="647">
        <f t="shared" si="4"/>
        <v>12.099036231884057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98.571428571428569</v>
      </c>
      <c r="I36" s="499">
        <f>SUM($G$9:G36)/A36</f>
        <v>99.178571428571431</v>
      </c>
      <c r="J36" s="443">
        <f t="shared" si="5"/>
        <v>33393.339999999997</v>
      </c>
      <c r="K36" s="459">
        <f t="shared" si="5"/>
        <v>35684</v>
      </c>
      <c r="L36" s="495">
        <f t="shared" si="3"/>
        <v>338.77301449275359</v>
      </c>
      <c r="M36" s="464">
        <f t="shared" si="3"/>
        <v>359.79546272956429</v>
      </c>
      <c r="N36" s="366"/>
      <c r="O36" s="446"/>
      <c r="P36" s="446"/>
      <c r="Q36" s="446"/>
      <c r="R36" s="446"/>
      <c r="S36" s="647">
        <f t="shared" si="4"/>
        <v>12.099036231884057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95.172413793103445</v>
      </c>
      <c r="I37" s="499">
        <f>SUM($G$9:G37)/A37</f>
        <v>95.758620689655174</v>
      </c>
      <c r="J37" s="443">
        <f t="shared" si="5"/>
        <v>33393.339999999997</v>
      </c>
      <c r="K37" s="459">
        <f t="shared" si="5"/>
        <v>35684</v>
      </c>
      <c r="L37" s="495">
        <f t="shared" si="3"/>
        <v>350.87205072463763</v>
      </c>
      <c r="M37" s="464">
        <f t="shared" si="3"/>
        <v>372.64530068419157</v>
      </c>
      <c r="N37" s="366"/>
      <c r="O37" s="446"/>
      <c r="P37" s="446"/>
      <c r="Q37" s="446"/>
      <c r="R37" s="446"/>
      <c r="S37" s="647">
        <f t="shared" si="4"/>
        <v>12.099036231884057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92</v>
      </c>
      <c r="I38" s="499">
        <f>SUM($G$9:G38)/A38</f>
        <v>92.566666666666663</v>
      </c>
      <c r="J38" s="504">
        <f t="shared" si="5"/>
        <v>33393.339999999997</v>
      </c>
      <c r="K38" s="459">
        <f t="shared" si="5"/>
        <v>35684</v>
      </c>
      <c r="L38" s="505">
        <f t="shared" si="3"/>
        <v>362.97108695652167</v>
      </c>
      <c r="M38" s="464">
        <f t="shared" si="3"/>
        <v>385.4951386388189</v>
      </c>
      <c r="N38" s="366"/>
      <c r="O38" s="446"/>
      <c r="P38" s="446"/>
      <c r="Q38" s="446"/>
      <c r="R38" s="446"/>
      <c r="S38" s="647">
        <f t="shared" si="4"/>
        <v>12.099036231884057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89.032258064516128</v>
      </c>
      <c r="I39" s="499">
        <f>SUM($G$9:G39)/A39</f>
        <v>89.58064516129032</v>
      </c>
      <c r="J39" s="443">
        <f t="shared" si="5"/>
        <v>33393.339999999997</v>
      </c>
      <c r="K39" s="459">
        <f t="shared" si="5"/>
        <v>35684</v>
      </c>
      <c r="L39" s="495">
        <f t="shared" si="3"/>
        <v>375.07012318840577</v>
      </c>
      <c r="M39" s="464">
        <f t="shared" si="3"/>
        <v>398.34497659344618</v>
      </c>
      <c r="N39" s="366"/>
      <c r="O39" s="446"/>
      <c r="P39" s="446"/>
      <c r="Q39" s="446"/>
      <c r="R39" s="446"/>
      <c r="S39" s="647">
        <f t="shared" si="4"/>
        <v>12.099036231884057</v>
      </c>
    </row>
    <row r="40" spans="1:19" s="374" customFormat="1" ht="12" customHeight="1">
      <c r="A40" s="1055" t="s">
        <v>29</v>
      </c>
      <c r="B40" s="1056"/>
      <c r="C40" s="1057"/>
      <c r="D40" s="388">
        <f>SUM(D9:D39)</f>
        <v>0</v>
      </c>
      <c r="E40" s="923">
        <f>SUM(E9:E39)</f>
        <v>0</v>
      </c>
      <c r="F40" s="389">
        <f>SUM(F9:F39)</f>
        <v>2760</v>
      </c>
      <c r="G40" s="496">
        <f>SUM(G9:G39)</f>
        <v>2777</v>
      </c>
      <c r="H40" s="389"/>
      <c r="I40" s="496"/>
      <c r="J40" s="389">
        <f>J39</f>
        <v>33393.339999999997</v>
      </c>
      <c r="K40" s="461">
        <f>K39</f>
        <v>35684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2760</v>
      </c>
      <c r="R40" s="496">
        <f>SUM(R9:R39)</f>
        <v>2777</v>
      </c>
    </row>
    <row r="41" spans="1:19" s="374" customFormat="1" ht="12" customHeight="1">
      <c r="A41" s="1055" t="s">
        <v>15</v>
      </c>
      <c r="B41" s="1056"/>
      <c r="C41" s="1057"/>
      <c r="D41" s="388">
        <f>D8+D40</f>
        <v>36153.339999999997</v>
      </c>
      <c r="E41" s="388">
        <f>E8+E40</f>
        <v>38461</v>
      </c>
      <c r="F41" s="389">
        <f>F40</f>
        <v>2760</v>
      </c>
      <c r="G41" s="496">
        <f>G40</f>
        <v>2777</v>
      </c>
      <c r="H41" s="389"/>
      <c r="I41" s="496"/>
      <c r="J41" s="389">
        <f>D41-F41</f>
        <v>33393.339999999997</v>
      </c>
      <c r="K41" s="389">
        <f>E41-G41</f>
        <v>35684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10001" priority="163" operator="lessThan">
      <formula>15</formula>
    </cfRule>
    <cfRule type="cellIs" dxfId="10000" priority="164" operator="greaterThan">
      <formula>20</formula>
    </cfRule>
    <cfRule type="cellIs" dxfId="9999" priority="165" operator="between">
      <formula>15</formula>
      <formula>20</formula>
    </cfRule>
    <cfRule type="cellIs" dxfId="9998" priority="166" operator="between">
      <formula>15</formula>
      <formula>20</formula>
    </cfRule>
    <cfRule type="cellIs" dxfId="9997" priority="167" operator="lessThan">
      <formula>15</formula>
    </cfRule>
    <cfRule type="cellIs" dxfId="9996" priority="168" operator="greaterThan">
      <formula>20</formula>
    </cfRule>
    <cfRule type="cellIs" dxfId="9995" priority="169" operator="between">
      <formula>15</formula>
      <formula>21</formula>
    </cfRule>
    <cfRule type="cellIs" dxfId="9994" priority="170" operator="lessThan">
      <formula>15</formula>
    </cfRule>
    <cfRule type="cellIs" dxfId="9993" priority="171" operator="greaterThan">
      <formula>21</formula>
    </cfRule>
  </conditionalFormatting>
  <conditionalFormatting sqref="M9:M39">
    <cfRule type="cellIs" dxfId="9992" priority="154" operator="lessThan">
      <formula>15</formula>
    </cfRule>
    <cfRule type="cellIs" dxfId="9991" priority="155" operator="greaterThan">
      <formula>20</formula>
    </cfRule>
    <cfRule type="cellIs" dxfId="9990" priority="156" operator="between">
      <formula>15</formula>
      <formula>20</formula>
    </cfRule>
    <cfRule type="cellIs" dxfId="9989" priority="157" operator="between">
      <formula>15</formula>
      <formula>20</formula>
    </cfRule>
    <cfRule type="cellIs" dxfId="9988" priority="158" operator="lessThan">
      <formula>15</formula>
    </cfRule>
    <cfRule type="cellIs" dxfId="9987" priority="159" operator="greaterThan">
      <formula>20</formula>
    </cfRule>
    <cfRule type="cellIs" dxfId="9986" priority="160" operator="between">
      <formula>15</formula>
      <formula>21</formula>
    </cfRule>
    <cfRule type="cellIs" dxfId="9985" priority="161" operator="lessThan">
      <formula>15</formula>
    </cfRule>
    <cfRule type="cellIs" dxfId="9984" priority="162" operator="greaterThan">
      <formula>21</formula>
    </cfRule>
  </conditionalFormatting>
  <conditionalFormatting sqref="M9:M39">
    <cfRule type="cellIs" dxfId="9983" priority="145" operator="lessThan">
      <formula>15</formula>
    </cfRule>
    <cfRule type="cellIs" dxfId="9982" priority="146" operator="greaterThan">
      <formula>20</formula>
    </cfRule>
    <cfRule type="cellIs" dxfId="9981" priority="147" operator="between">
      <formula>15</formula>
      <formula>20</formula>
    </cfRule>
    <cfRule type="cellIs" dxfId="9980" priority="148" operator="between">
      <formula>15</formula>
      <formula>20</formula>
    </cfRule>
    <cfRule type="cellIs" dxfId="9979" priority="149" operator="lessThan">
      <formula>15</formula>
    </cfRule>
    <cfRule type="cellIs" dxfId="9978" priority="150" operator="greaterThan">
      <formula>20</formula>
    </cfRule>
    <cfRule type="cellIs" dxfId="9977" priority="151" operator="between">
      <formula>15</formula>
      <formula>21</formula>
    </cfRule>
    <cfRule type="cellIs" dxfId="9976" priority="152" operator="lessThan">
      <formula>15</formula>
    </cfRule>
    <cfRule type="cellIs" dxfId="9975" priority="153" operator="greaterThan">
      <formula>21</formula>
    </cfRule>
  </conditionalFormatting>
  <conditionalFormatting sqref="M9:M39">
    <cfRule type="cellIs" dxfId="9974" priority="136" operator="lessThan">
      <formula>15</formula>
    </cfRule>
    <cfRule type="cellIs" dxfId="9973" priority="137" operator="greaterThan">
      <formula>20</formula>
    </cfRule>
    <cfRule type="cellIs" dxfId="9972" priority="138" operator="between">
      <formula>15</formula>
      <formula>20</formula>
    </cfRule>
    <cfRule type="cellIs" dxfId="9971" priority="139" operator="between">
      <formula>15</formula>
      <formula>20</formula>
    </cfRule>
    <cfRule type="cellIs" dxfId="9970" priority="140" operator="lessThan">
      <formula>15</formula>
    </cfRule>
    <cfRule type="cellIs" dxfId="9969" priority="141" operator="greaterThan">
      <formula>20</formula>
    </cfRule>
    <cfRule type="cellIs" dxfId="9968" priority="142" operator="between">
      <formula>15</formula>
      <formula>21</formula>
    </cfRule>
    <cfRule type="cellIs" dxfId="9967" priority="143" operator="lessThan">
      <formula>15</formula>
    </cfRule>
    <cfRule type="cellIs" dxfId="9966" priority="144" operator="greaterThan">
      <formula>21</formula>
    </cfRule>
  </conditionalFormatting>
  <conditionalFormatting sqref="M9:M39">
    <cfRule type="cellIs" dxfId="9965" priority="127" operator="lessThan">
      <formula>15</formula>
    </cfRule>
    <cfRule type="cellIs" dxfId="9964" priority="128" operator="greaterThan">
      <formula>20</formula>
    </cfRule>
    <cfRule type="cellIs" dxfId="9963" priority="129" operator="between">
      <formula>15</formula>
      <formula>20</formula>
    </cfRule>
    <cfRule type="cellIs" dxfId="9962" priority="130" operator="between">
      <formula>15</formula>
      <formula>20</formula>
    </cfRule>
    <cfRule type="cellIs" dxfId="9961" priority="131" operator="lessThan">
      <formula>15</formula>
    </cfRule>
    <cfRule type="cellIs" dxfId="9960" priority="132" operator="greaterThan">
      <formula>20</formula>
    </cfRule>
    <cfRule type="cellIs" dxfId="9959" priority="133" operator="between">
      <formula>15</formula>
      <formula>21</formula>
    </cfRule>
    <cfRule type="cellIs" dxfId="9958" priority="134" operator="lessThan">
      <formula>15</formula>
    </cfRule>
    <cfRule type="cellIs" dxfId="9957" priority="135" operator="greaterThan">
      <formula>21</formula>
    </cfRule>
  </conditionalFormatting>
  <conditionalFormatting sqref="M9:M39">
    <cfRule type="cellIs" dxfId="9956" priority="118" operator="lessThan">
      <formula>15</formula>
    </cfRule>
    <cfRule type="cellIs" dxfId="9955" priority="119" operator="greaterThan">
      <formula>20</formula>
    </cfRule>
    <cfRule type="cellIs" dxfId="9954" priority="120" operator="between">
      <formula>15</formula>
      <formula>20</formula>
    </cfRule>
    <cfRule type="cellIs" dxfId="9953" priority="121" operator="between">
      <formula>15</formula>
      <formula>20</formula>
    </cfRule>
    <cfRule type="cellIs" dxfId="9952" priority="122" operator="lessThan">
      <formula>15</formula>
    </cfRule>
    <cfRule type="cellIs" dxfId="9951" priority="123" operator="greaterThan">
      <formula>20</formula>
    </cfRule>
    <cfRule type="cellIs" dxfId="9950" priority="124" operator="between">
      <formula>15</formula>
      <formula>21</formula>
    </cfRule>
    <cfRule type="cellIs" dxfId="9949" priority="125" operator="lessThan">
      <formula>15</formula>
    </cfRule>
    <cfRule type="cellIs" dxfId="9948" priority="126" operator="greaterThan">
      <formula>21</formula>
    </cfRule>
  </conditionalFormatting>
  <conditionalFormatting sqref="M9:M39">
    <cfRule type="cellIs" dxfId="9947" priority="109" operator="lessThan">
      <formula>15</formula>
    </cfRule>
    <cfRule type="cellIs" dxfId="9946" priority="110" operator="greaterThan">
      <formula>20</formula>
    </cfRule>
    <cfRule type="cellIs" dxfId="9945" priority="111" operator="between">
      <formula>15</formula>
      <formula>20</formula>
    </cfRule>
    <cfRule type="cellIs" dxfId="9944" priority="112" operator="between">
      <formula>15</formula>
      <formula>20</formula>
    </cfRule>
    <cfRule type="cellIs" dxfId="9943" priority="113" operator="lessThan">
      <formula>15</formula>
    </cfRule>
    <cfRule type="cellIs" dxfId="9942" priority="114" operator="greaterThan">
      <formula>20</formula>
    </cfRule>
    <cfRule type="cellIs" dxfId="9941" priority="115" operator="between">
      <formula>15</formula>
      <formula>21</formula>
    </cfRule>
    <cfRule type="cellIs" dxfId="9940" priority="116" operator="lessThan">
      <formula>15</formula>
    </cfRule>
    <cfRule type="cellIs" dxfId="9939" priority="117" operator="greaterThan">
      <formula>21</formula>
    </cfRule>
  </conditionalFormatting>
  <conditionalFormatting sqref="M9:M39">
    <cfRule type="cellIs" dxfId="9938" priority="100" operator="lessThan">
      <formula>15</formula>
    </cfRule>
    <cfRule type="cellIs" dxfId="9937" priority="101" operator="greaterThan">
      <formula>20</formula>
    </cfRule>
    <cfRule type="cellIs" dxfId="9936" priority="102" operator="between">
      <formula>15</formula>
      <formula>20</formula>
    </cfRule>
    <cfRule type="cellIs" dxfId="9935" priority="103" operator="between">
      <formula>15</formula>
      <formula>20</formula>
    </cfRule>
    <cfRule type="cellIs" dxfId="9934" priority="104" operator="lessThan">
      <formula>15</formula>
    </cfRule>
    <cfRule type="cellIs" dxfId="9933" priority="105" operator="greaterThan">
      <formula>20</formula>
    </cfRule>
    <cfRule type="cellIs" dxfId="9932" priority="106" operator="between">
      <formula>15</formula>
      <formula>21</formula>
    </cfRule>
    <cfRule type="cellIs" dxfId="9931" priority="107" operator="lessThan">
      <formula>15</formula>
    </cfRule>
    <cfRule type="cellIs" dxfId="9930" priority="108" operator="greaterThan">
      <formula>21</formula>
    </cfRule>
  </conditionalFormatting>
  <conditionalFormatting sqref="M9:M39">
    <cfRule type="cellIs" dxfId="9929" priority="91" operator="lessThan">
      <formula>15</formula>
    </cfRule>
    <cfRule type="cellIs" dxfId="9928" priority="92" operator="greaterThan">
      <formula>20</formula>
    </cfRule>
    <cfRule type="cellIs" dxfId="9927" priority="93" operator="between">
      <formula>15</formula>
      <formula>20</formula>
    </cfRule>
    <cfRule type="cellIs" dxfId="9926" priority="94" operator="between">
      <formula>15</formula>
      <formula>20</formula>
    </cfRule>
    <cfRule type="cellIs" dxfId="9925" priority="95" operator="lessThan">
      <formula>15</formula>
    </cfRule>
    <cfRule type="cellIs" dxfId="9924" priority="96" operator="greaterThan">
      <formula>20</formula>
    </cfRule>
    <cfRule type="cellIs" dxfId="9923" priority="97" operator="between">
      <formula>15</formula>
      <formula>21</formula>
    </cfRule>
    <cfRule type="cellIs" dxfId="9922" priority="98" operator="lessThan">
      <formula>15</formula>
    </cfRule>
    <cfRule type="cellIs" dxfId="9921" priority="99" operator="greaterThan">
      <formula>21</formula>
    </cfRule>
  </conditionalFormatting>
  <conditionalFormatting sqref="M9:M39">
    <cfRule type="cellIs" dxfId="9920" priority="82" operator="lessThan">
      <formula>15</formula>
    </cfRule>
    <cfRule type="cellIs" dxfId="9919" priority="83" operator="greaterThan">
      <formula>20</formula>
    </cfRule>
    <cfRule type="cellIs" dxfId="9918" priority="84" operator="between">
      <formula>15</formula>
      <formula>20</formula>
    </cfRule>
    <cfRule type="cellIs" dxfId="9917" priority="85" operator="between">
      <formula>15</formula>
      <formula>20</formula>
    </cfRule>
    <cfRule type="cellIs" dxfId="9916" priority="86" operator="lessThan">
      <formula>15</formula>
    </cfRule>
    <cfRule type="cellIs" dxfId="9915" priority="87" operator="greaterThan">
      <formula>20</formula>
    </cfRule>
    <cfRule type="cellIs" dxfId="9914" priority="88" operator="between">
      <formula>15</formula>
      <formula>21</formula>
    </cfRule>
    <cfRule type="cellIs" dxfId="9913" priority="89" operator="lessThan">
      <formula>15</formula>
    </cfRule>
    <cfRule type="cellIs" dxfId="9912" priority="90" operator="greaterThan">
      <formula>21</formula>
    </cfRule>
  </conditionalFormatting>
  <conditionalFormatting sqref="M9:M39">
    <cfRule type="cellIs" dxfId="9911" priority="73" operator="lessThan">
      <formula>15</formula>
    </cfRule>
    <cfRule type="cellIs" dxfId="9910" priority="74" operator="greaterThan">
      <formula>20</formula>
    </cfRule>
    <cfRule type="cellIs" dxfId="9909" priority="75" operator="between">
      <formula>15</formula>
      <formula>20</formula>
    </cfRule>
    <cfRule type="cellIs" dxfId="9908" priority="76" operator="between">
      <formula>15</formula>
      <formula>20</formula>
    </cfRule>
    <cfRule type="cellIs" dxfId="9907" priority="77" operator="lessThan">
      <formula>15</formula>
    </cfRule>
    <cfRule type="cellIs" dxfId="9906" priority="78" operator="greaterThan">
      <formula>20</formula>
    </cfRule>
    <cfRule type="cellIs" dxfId="9905" priority="79" operator="between">
      <formula>15</formula>
      <formula>21</formula>
    </cfRule>
    <cfRule type="cellIs" dxfId="9904" priority="80" operator="lessThan">
      <formula>15</formula>
    </cfRule>
    <cfRule type="cellIs" dxfId="9903" priority="81" operator="greaterThan">
      <formula>21</formula>
    </cfRule>
  </conditionalFormatting>
  <conditionalFormatting sqref="M9:M39">
    <cfRule type="cellIs" dxfId="9902" priority="64" operator="lessThan">
      <formula>15</formula>
    </cfRule>
    <cfRule type="cellIs" dxfId="9901" priority="65" operator="greaterThan">
      <formula>20</formula>
    </cfRule>
    <cfRule type="cellIs" dxfId="9900" priority="66" operator="between">
      <formula>15</formula>
      <formula>20</formula>
    </cfRule>
    <cfRule type="cellIs" dxfId="9899" priority="67" operator="between">
      <formula>15</formula>
      <formula>20</formula>
    </cfRule>
    <cfRule type="cellIs" dxfId="9898" priority="68" operator="lessThan">
      <formula>15</formula>
    </cfRule>
    <cfRule type="cellIs" dxfId="9897" priority="69" operator="greaterThan">
      <formula>20</formula>
    </cfRule>
    <cfRule type="cellIs" dxfId="9896" priority="70" operator="between">
      <formula>15</formula>
      <formula>21</formula>
    </cfRule>
    <cfRule type="cellIs" dxfId="9895" priority="71" operator="lessThan">
      <formula>15</formula>
    </cfRule>
    <cfRule type="cellIs" dxfId="9894" priority="72" operator="greaterThan">
      <formula>21</formula>
    </cfRule>
  </conditionalFormatting>
  <conditionalFormatting sqref="M9:M39">
    <cfRule type="cellIs" dxfId="9893" priority="55" operator="lessThan">
      <formula>15</formula>
    </cfRule>
    <cfRule type="cellIs" dxfId="9892" priority="56" operator="greaterThan">
      <formula>20</formula>
    </cfRule>
    <cfRule type="cellIs" dxfId="9891" priority="57" operator="between">
      <formula>15</formula>
      <formula>20</formula>
    </cfRule>
    <cfRule type="cellIs" dxfId="9890" priority="58" operator="between">
      <formula>15</formula>
      <formula>20</formula>
    </cfRule>
    <cfRule type="cellIs" dxfId="9889" priority="59" operator="lessThan">
      <formula>15</formula>
    </cfRule>
    <cfRule type="cellIs" dxfId="9888" priority="60" operator="greaterThan">
      <formula>20</formula>
    </cfRule>
    <cfRule type="cellIs" dxfId="9887" priority="61" operator="between">
      <formula>15</formula>
      <formula>21</formula>
    </cfRule>
    <cfRule type="cellIs" dxfId="9886" priority="62" operator="lessThan">
      <formula>15</formula>
    </cfRule>
    <cfRule type="cellIs" dxfId="9885" priority="63" operator="greaterThan">
      <formula>21</formula>
    </cfRule>
  </conditionalFormatting>
  <conditionalFormatting sqref="M9:M39">
    <cfRule type="cellIs" dxfId="9884" priority="46" operator="lessThan">
      <formula>15</formula>
    </cfRule>
    <cfRule type="cellIs" dxfId="9883" priority="47" operator="greaterThan">
      <formula>20</formula>
    </cfRule>
    <cfRule type="cellIs" dxfId="9882" priority="48" operator="between">
      <formula>15</formula>
      <formula>20</formula>
    </cfRule>
    <cfRule type="cellIs" dxfId="9881" priority="49" operator="between">
      <formula>15</formula>
      <formula>20</formula>
    </cfRule>
    <cfRule type="cellIs" dxfId="9880" priority="50" operator="lessThan">
      <formula>15</formula>
    </cfRule>
    <cfRule type="cellIs" dxfId="9879" priority="51" operator="greaterThan">
      <formula>20</formula>
    </cfRule>
    <cfRule type="cellIs" dxfId="9878" priority="52" operator="between">
      <formula>15</formula>
      <formula>21</formula>
    </cfRule>
    <cfRule type="cellIs" dxfId="9877" priority="53" operator="lessThan">
      <formula>15</formula>
    </cfRule>
    <cfRule type="cellIs" dxfId="9876" priority="54" operator="greaterThan">
      <formula>21</formula>
    </cfRule>
  </conditionalFormatting>
  <conditionalFormatting sqref="M9:M39">
    <cfRule type="cellIs" dxfId="9875" priority="37" operator="lessThan">
      <formula>15</formula>
    </cfRule>
    <cfRule type="cellIs" dxfId="9874" priority="38" operator="greaterThan">
      <formula>20</formula>
    </cfRule>
    <cfRule type="cellIs" dxfId="9873" priority="39" operator="between">
      <formula>15</formula>
      <formula>20</formula>
    </cfRule>
    <cfRule type="cellIs" dxfId="9872" priority="40" operator="between">
      <formula>15</formula>
      <formula>20</formula>
    </cfRule>
    <cfRule type="cellIs" dxfId="9871" priority="41" operator="lessThan">
      <formula>15</formula>
    </cfRule>
    <cfRule type="cellIs" dxfId="9870" priority="42" operator="greaterThan">
      <formula>20</formula>
    </cfRule>
    <cfRule type="cellIs" dxfId="9869" priority="43" operator="between">
      <formula>15</formula>
      <formula>21</formula>
    </cfRule>
    <cfRule type="cellIs" dxfId="9868" priority="44" operator="lessThan">
      <formula>15</formula>
    </cfRule>
    <cfRule type="cellIs" dxfId="9867" priority="45" operator="greaterThan">
      <formula>21</formula>
    </cfRule>
  </conditionalFormatting>
  <conditionalFormatting sqref="M9:M39">
    <cfRule type="cellIs" dxfId="9866" priority="28" operator="lessThan">
      <formula>15</formula>
    </cfRule>
    <cfRule type="cellIs" dxfId="9865" priority="29" operator="greaterThan">
      <formula>20</formula>
    </cfRule>
    <cfRule type="cellIs" dxfId="9864" priority="30" operator="between">
      <formula>15</formula>
      <formula>20</formula>
    </cfRule>
    <cfRule type="cellIs" dxfId="9863" priority="31" operator="between">
      <formula>15</formula>
      <formula>20</formula>
    </cfRule>
    <cfRule type="cellIs" dxfId="9862" priority="32" operator="lessThan">
      <formula>15</formula>
    </cfRule>
    <cfRule type="cellIs" dxfId="9861" priority="33" operator="greaterThan">
      <formula>20</formula>
    </cfRule>
    <cfRule type="cellIs" dxfId="9860" priority="34" operator="between">
      <formula>15</formula>
      <formula>21</formula>
    </cfRule>
    <cfRule type="cellIs" dxfId="9859" priority="35" operator="lessThan">
      <formula>15</formula>
    </cfRule>
    <cfRule type="cellIs" dxfId="9858" priority="36" operator="greaterThan">
      <formula>21</formula>
    </cfRule>
  </conditionalFormatting>
  <conditionalFormatting sqref="M9:M39">
    <cfRule type="cellIs" dxfId="9857" priority="19" operator="lessThan">
      <formula>15</formula>
    </cfRule>
    <cfRule type="cellIs" dxfId="9856" priority="20" operator="greaterThan">
      <formula>20</formula>
    </cfRule>
    <cfRule type="cellIs" dxfId="9855" priority="21" operator="between">
      <formula>15</formula>
      <formula>20</formula>
    </cfRule>
    <cfRule type="cellIs" dxfId="9854" priority="22" operator="between">
      <formula>15</formula>
      <formula>20</formula>
    </cfRule>
    <cfRule type="cellIs" dxfId="9853" priority="23" operator="lessThan">
      <formula>15</formula>
    </cfRule>
    <cfRule type="cellIs" dxfId="9852" priority="24" operator="greaterThan">
      <formula>20</formula>
    </cfRule>
    <cfRule type="cellIs" dxfId="9851" priority="25" operator="between">
      <formula>15</formula>
      <formula>21</formula>
    </cfRule>
    <cfRule type="cellIs" dxfId="9850" priority="26" operator="lessThan">
      <formula>15</formula>
    </cfRule>
    <cfRule type="cellIs" dxfId="9849" priority="27" operator="greaterThan">
      <formula>21</formula>
    </cfRule>
  </conditionalFormatting>
  <conditionalFormatting sqref="M9:M39">
    <cfRule type="cellIs" dxfId="9848" priority="10" operator="lessThan">
      <formula>15</formula>
    </cfRule>
    <cfRule type="cellIs" dxfId="9847" priority="11" operator="greaterThan">
      <formula>20</formula>
    </cfRule>
    <cfRule type="cellIs" dxfId="9846" priority="12" operator="between">
      <formula>15</formula>
      <formula>20</formula>
    </cfRule>
    <cfRule type="cellIs" dxfId="9845" priority="13" operator="between">
      <formula>15</formula>
      <formula>20</formula>
    </cfRule>
    <cfRule type="cellIs" dxfId="9844" priority="14" operator="lessThan">
      <formula>15</formula>
    </cfRule>
    <cfRule type="cellIs" dxfId="9843" priority="15" operator="greaterThan">
      <formula>20</formula>
    </cfRule>
    <cfRule type="cellIs" dxfId="9842" priority="16" operator="between">
      <formula>15</formula>
      <formula>21</formula>
    </cfRule>
    <cfRule type="cellIs" dxfId="9841" priority="17" operator="lessThan">
      <formula>15</formula>
    </cfRule>
    <cfRule type="cellIs" dxfId="9840" priority="18" operator="greaterThan">
      <formula>21</formula>
    </cfRule>
  </conditionalFormatting>
  <conditionalFormatting sqref="M9:M39">
    <cfRule type="cellIs" dxfId="9839" priority="1" operator="lessThan">
      <formula>15</formula>
    </cfRule>
    <cfRule type="cellIs" dxfId="9838" priority="2" operator="greaterThan">
      <formula>20</formula>
    </cfRule>
    <cfRule type="cellIs" dxfId="9837" priority="3" operator="between">
      <formula>15</formula>
      <formula>20</formula>
    </cfRule>
    <cfRule type="cellIs" dxfId="9836" priority="4" operator="between">
      <formula>15</formula>
      <formula>20</formula>
    </cfRule>
    <cfRule type="cellIs" dxfId="9835" priority="5" operator="lessThan">
      <formula>15</formula>
    </cfRule>
    <cfRule type="cellIs" dxfId="9834" priority="6" operator="greaterThan">
      <formula>20</formula>
    </cfRule>
    <cfRule type="cellIs" dxfId="9833" priority="7" operator="between">
      <formula>15</formula>
      <formula>21</formula>
    </cfRule>
    <cfRule type="cellIs" dxfId="9832" priority="8" operator="lessThan">
      <formula>15</formula>
    </cfRule>
    <cfRule type="cellIs" dxfId="9831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C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8" width="8.85546875" style="143" customWidth="1"/>
    <col min="19" max="19" width="11.5703125" style="143" bestFit="1" customWidth="1"/>
    <col min="20" max="20" width="9.42578125" style="143" bestFit="1" customWidth="1"/>
    <col min="21" max="21" width="13.28515625" style="143" customWidth="1"/>
    <col min="22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126" customFormat="1" ht="15" customHeight="1">
      <c r="A4" s="1600" t="s">
        <v>33</v>
      </c>
      <c r="B4" s="1600"/>
      <c r="C4" s="316" t="str">
        <f>J4</f>
        <v>MEN SUGAR PNSG-02 (05)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922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6028.7520000000004</v>
      </c>
      <c r="E8" s="388">
        <f>K8</f>
        <v>8236</v>
      </c>
      <c r="F8" s="389"/>
      <c r="G8" s="388"/>
      <c r="H8" s="387"/>
      <c r="I8" s="388"/>
      <c r="J8" s="937">
        <f>K8-K8*N8</f>
        <v>6028.7520000000004</v>
      </c>
      <c r="K8" s="937">
        <v>8236</v>
      </c>
      <c r="L8" s="462"/>
      <c r="M8" s="463"/>
      <c r="N8" s="366">
        <v>0.26800000000000002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240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240</v>
      </c>
      <c r="G9" s="1424">
        <f>P9+R9</f>
        <v>284</v>
      </c>
      <c r="H9" s="498">
        <f>SUM($F$9:F9)/A9</f>
        <v>240</v>
      </c>
      <c r="I9" s="499">
        <f>SUM($G$9:G9)/A9</f>
        <v>284</v>
      </c>
      <c r="J9" s="443">
        <f t="shared" ref="J9:K24" si="0">J8+D9-F9</f>
        <v>5788.7520000000004</v>
      </c>
      <c r="K9" s="459">
        <f t="shared" si="0"/>
        <v>7952</v>
      </c>
      <c r="L9" s="495">
        <f>J9/H9</f>
        <v>24.119800000000001</v>
      </c>
      <c r="M9" s="464">
        <f>K9/I9</f>
        <v>28</v>
      </c>
      <c r="N9" s="366"/>
      <c r="O9" s="446"/>
      <c r="P9" s="446"/>
      <c r="Q9" s="446">
        <v>240</v>
      </c>
      <c r="R9" s="446">
        <v>284</v>
      </c>
      <c r="S9" s="647">
        <f>J9/$S$8</f>
        <v>24.119800000000001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0</v>
      </c>
      <c r="G10" s="1424">
        <f t="shared" si="2"/>
        <v>0</v>
      </c>
      <c r="H10" s="498">
        <f>SUM($F$9:F10)/A10</f>
        <v>120</v>
      </c>
      <c r="I10" s="499">
        <f>SUM($G$9:G10)/A10</f>
        <v>142</v>
      </c>
      <c r="J10" s="443">
        <f t="shared" si="0"/>
        <v>5788.7520000000004</v>
      </c>
      <c r="K10" s="459">
        <f t="shared" si="0"/>
        <v>7952</v>
      </c>
      <c r="L10" s="495">
        <f t="shared" ref="L10:M39" si="3">J10/H10</f>
        <v>48.239600000000003</v>
      </c>
      <c r="M10" s="464">
        <f t="shared" si="3"/>
        <v>56</v>
      </c>
      <c r="N10" s="366"/>
      <c r="O10" s="446"/>
      <c r="P10" s="446"/>
      <c r="Q10" s="446"/>
      <c r="R10" s="446"/>
      <c r="S10" s="647">
        <f t="shared" ref="S10:S39" si="4">J10/$S$8</f>
        <v>24.119800000000001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80</v>
      </c>
      <c r="I11" s="499">
        <f>SUM($G$9:G11)/A11</f>
        <v>94.666666666666671</v>
      </c>
      <c r="J11" s="443">
        <f t="shared" si="0"/>
        <v>5788.7520000000004</v>
      </c>
      <c r="K11" s="459">
        <f t="shared" si="0"/>
        <v>7952</v>
      </c>
      <c r="L11" s="495">
        <f t="shared" si="3"/>
        <v>72.359400000000008</v>
      </c>
      <c r="M11" s="464">
        <f t="shared" si="3"/>
        <v>84</v>
      </c>
      <c r="N11" s="366"/>
      <c r="O11" s="446"/>
      <c r="P11" s="446"/>
      <c r="Q11" s="446"/>
      <c r="R11" s="446"/>
      <c r="S11" s="647">
        <f t="shared" si="4"/>
        <v>24.119800000000001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0</v>
      </c>
      <c r="G12" s="1424">
        <f t="shared" si="2"/>
        <v>0</v>
      </c>
      <c r="H12" s="498">
        <f>SUM($F$9:F12)/A12</f>
        <v>60</v>
      </c>
      <c r="I12" s="499">
        <f>SUM($G$9:G12)/A12</f>
        <v>71</v>
      </c>
      <c r="J12" s="443">
        <f t="shared" si="0"/>
        <v>5788.7520000000004</v>
      </c>
      <c r="K12" s="459">
        <f t="shared" si="0"/>
        <v>7952</v>
      </c>
      <c r="L12" s="495">
        <f t="shared" si="3"/>
        <v>96.479200000000006</v>
      </c>
      <c r="M12" s="464">
        <f t="shared" si="3"/>
        <v>112</v>
      </c>
      <c r="N12" s="366"/>
      <c r="O12" s="446"/>
      <c r="P12" s="446"/>
      <c r="Q12" s="446"/>
      <c r="R12" s="446"/>
      <c r="S12" s="647">
        <f t="shared" si="4"/>
        <v>24.119800000000001</v>
      </c>
    </row>
    <row r="13" spans="1:29" s="367" customForma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0</v>
      </c>
      <c r="G13" s="1424">
        <f t="shared" si="2"/>
        <v>0</v>
      </c>
      <c r="H13" s="504">
        <f>SUM($F$9:F13)/A13</f>
        <v>48</v>
      </c>
      <c r="I13" s="499">
        <f>SUM($G$9:G13)/A13</f>
        <v>56.8</v>
      </c>
      <c r="J13" s="504">
        <f t="shared" si="0"/>
        <v>5788.7520000000004</v>
      </c>
      <c r="K13" s="459">
        <f t="shared" si="0"/>
        <v>7952</v>
      </c>
      <c r="L13" s="505">
        <f t="shared" si="3"/>
        <v>120.599</v>
      </c>
      <c r="M13" s="464">
        <f t="shared" si="3"/>
        <v>140</v>
      </c>
      <c r="N13" s="366"/>
      <c r="O13" s="446"/>
      <c r="P13" s="446"/>
      <c r="Q13" s="446"/>
      <c r="R13" s="446"/>
      <c r="S13" s="647">
        <f t="shared" si="4"/>
        <v>24.119800000000001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0</v>
      </c>
      <c r="G14" s="1424">
        <f t="shared" si="2"/>
        <v>0</v>
      </c>
      <c r="H14" s="498">
        <f>SUM($F$9:F14)/A14</f>
        <v>40</v>
      </c>
      <c r="I14" s="499">
        <f>SUM($G$9:G14)/A14</f>
        <v>47.333333333333336</v>
      </c>
      <c r="J14" s="443">
        <f t="shared" si="0"/>
        <v>5788.7520000000004</v>
      </c>
      <c r="K14" s="459">
        <f t="shared" si="0"/>
        <v>7952</v>
      </c>
      <c r="L14" s="495">
        <f t="shared" si="3"/>
        <v>144.71880000000002</v>
      </c>
      <c r="M14" s="464">
        <f t="shared" si="3"/>
        <v>168</v>
      </c>
      <c r="N14" s="366"/>
      <c r="O14" s="446"/>
      <c r="P14" s="446"/>
      <c r="Q14" s="446"/>
      <c r="R14" s="446"/>
      <c r="S14" s="647">
        <f t="shared" si="4"/>
        <v>24.119800000000001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0</v>
      </c>
      <c r="G15" s="1424">
        <f t="shared" si="2"/>
        <v>0</v>
      </c>
      <c r="H15" s="498">
        <f>SUM($F$9:F15)/A15</f>
        <v>34.285714285714285</v>
      </c>
      <c r="I15" s="499">
        <f>SUM($G$9:G15)/A15</f>
        <v>40.571428571428569</v>
      </c>
      <c r="J15" s="443">
        <f t="shared" si="0"/>
        <v>5788.7520000000004</v>
      </c>
      <c r="K15" s="459">
        <f t="shared" si="0"/>
        <v>7952</v>
      </c>
      <c r="L15" s="495">
        <f t="shared" si="3"/>
        <v>168.83860000000001</v>
      </c>
      <c r="M15" s="464">
        <f t="shared" si="3"/>
        <v>196</v>
      </c>
      <c r="N15" s="366"/>
      <c r="O15" s="446"/>
      <c r="P15" s="446"/>
      <c r="Q15" s="446"/>
      <c r="R15" s="446"/>
      <c r="S15" s="647">
        <f t="shared" si="4"/>
        <v>24.119800000000001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0</v>
      </c>
      <c r="G16" s="1424">
        <f t="shared" si="2"/>
        <v>0</v>
      </c>
      <c r="H16" s="498">
        <f>SUM($F$9:F16)/A16</f>
        <v>30</v>
      </c>
      <c r="I16" s="499">
        <f>SUM($G$9:G16)/A16</f>
        <v>35.5</v>
      </c>
      <c r="J16" s="443">
        <f t="shared" si="0"/>
        <v>5788.7520000000004</v>
      </c>
      <c r="K16" s="459">
        <f t="shared" si="0"/>
        <v>7952</v>
      </c>
      <c r="L16" s="495">
        <f t="shared" si="3"/>
        <v>192.95840000000001</v>
      </c>
      <c r="M16" s="464">
        <f t="shared" si="3"/>
        <v>224</v>
      </c>
      <c r="N16" s="366"/>
      <c r="O16" s="446"/>
      <c r="P16" s="446"/>
      <c r="Q16" s="446"/>
      <c r="R16" s="446"/>
      <c r="S16" s="647">
        <f t="shared" si="4"/>
        <v>24.119800000000001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0</v>
      </c>
      <c r="G17" s="1424">
        <f t="shared" si="2"/>
        <v>0</v>
      </c>
      <c r="H17" s="498">
        <f>SUM($F$9:F17)/A17</f>
        <v>26.666666666666668</v>
      </c>
      <c r="I17" s="499">
        <f>SUM($G$9:G17)/A17</f>
        <v>31.555555555555557</v>
      </c>
      <c r="J17" s="443">
        <f t="shared" si="0"/>
        <v>5788.7520000000004</v>
      </c>
      <c r="K17" s="459">
        <f t="shared" si="0"/>
        <v>7952</v>
      </c>
      <c r="L17" s="495">
        <f t="shared" si="3"/>
        <v>217.07820000000001</v>
      </c>
      <c r="M17" s="464">
        <f t="shared" si="3"/>
        <v>252</v>
      </c>
      <c r="N17" s="366"/>
      <c r="O17" s="446"/>
      <c r="P17" s="446"/>
      <c r="Q17" s="446"/>
      <c r="R17" s="446"/>
      <c r="S17" s="647">
        <f t="shared" si="4"/>
        <v>24.119800000000001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0</v>
      </c>
      <c r="G18" s="1424">
        <f t="shared" si="2"/>
        <v>0</v>
      </c>
      <c r="H18" s="504">
        <f>SUM($F$9:F18)/A18</f>
        <v>24</v>
      </c>
      <c r="I18" s="499">
        <f>SUM($G$9:G18)/A18</f>
        <v>28.4</v>
      </c>
      <c r="J18" s="504">
        <f t="shared" si="0"/>
        <v>5788.7520000000004</v>
      </c>
      <c r="K18" s="459">
        <f t="shared" si="0"/>
        <v>7952</v>
      </c>
      <c r="L18" s="505">
        <f t="shared" si="3"/>
        <v>241.19800000000001</v>
      </c>
      <c r="M18" s="464">
        <f t="shared" si="3"/>
        <v>280</v>
      </c>
      <c r="N18" s="366"/>
      <c r="O18" s="446"/>
      <c r="P18" s="446"/>
      <c r="Q18" s="446"/>
      <c r="R18" s="446"/>
      <c r="S18" s="647">
        <f t="shared" si="4"/>
        <v>24.119800000000001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21.818181818181817</v>
      </c>
      <c r="I19" s="499">
        <f>SUM($G$9:G19)/A19</f>
        <v>25.818181818181817</v>
      </c>
      <c r="J19" s="443">
        <f t="shared" si="0"/>
        <v>5788.7520000000004</v>
      </c>
      <c r="K19" s="459">
        <f t="shared" si="0"/>
        <v>7952</v>
      </c>
      <c r="L19" s="495">
        <f t="shared" si="3"/>
        <v>265.31780000000003</v>
      </c>
      <c r="M19" s="464">
        <f t="shared" si="3"/>
        <v>308</v>
      </c>
      <c r="N19" s="366"/>
      <c r="O19" s="446"/>
      <c r="P19" s="446"/>
      <c r="Q19" s="446"/>
      <c r="R19" s="446"/>
      <c r="S19" s="647">
        <f t="shared" si="4"/>
        <v>24.119800000000001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20</v>
      </c>
      <c r="I20" s="499">
        <f>SUM($G$9:G20)/A20</f>
        <v>23.666666666666668</v>
      </c>
      <c r="J20" s="443">
        <f t="shared" si="0"/>
        <v>5788.7520000000004</v>
      </c>
      <c r="K20" s="459">
        <f t="shared" si="0"/>
        <v>7952</v>
      </c>
      <c r="L20" s="495">
        <f t="shared" si="3"/>
        <v>289.43760000000003</v>
      </c>
      <c r="M20" s="464">
        <f t="shared" si="3"/>
        <v>336</v>
      </c>
      <c r="N20" s="366"/>
      <c r="O20" s="446"/>
      <c r="P20" s="446"/>
      <c r="Q20" s="446"/>
      <c r="R20" s="446"/>
      <c r="S20" s="647">
        <f t="shared" si="4"/>
        <v>24.119800000000001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18.46153846153846</v>
      </c>
      <c r="I21" s="499">
        <f>SUM($G$9:G21)/A21</f>
        <v>21.846153846153847</v>
      </c>
      <c r="J21" s="443">
        <f t="shared" si="0"/>
        <v>5788.7520000000004</v>
      </c>
      <c r="K21" s="459">
        <f>K20+E21-G21</f>
        <v>7952</v>
      </c>
      <c r="L21" s="495">
        <f t="shared" si="3"/>
        <v>313.55740000000003</v>
      </c>
      <c r="M21" s="464">
        <f t="shared" si="3"/>
        <v>364</v>
      </c>
      <c r="N21" s="366"/>
      <c r="O21" s="446"/>
      <c r="P21" s="446"/>
      <c r="Q21" s="446"/>
      <c r="R21" s="446"/>
      <c r="S21" s="647">
        <f t="shared" si="4"/>
        <v>24.119800000000001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17.142857142857142</v>
      </c>
      <c r="I22" s="499">
        <f>SUM($G$9:G22)/A22</f>
        <v>20.285714285714285</v>
      </c>
      <c r="J22" s="443">
        <f t="shared" si="0"/>
        <v>5788.7520000000004</v>
      </c>
      <c r="K22" s="459">
        <f>K21+E22-G22</f>
        <v>7952</v>
      </c>
      <c r="L22" s="495">
        <f t="shared" si="3"/>
        <v>337.67720000000003</v>
      </c>
      <c r="M22" s="464">
        <f t="shared" si="3"/>
        <v>392</v>
      </c>
      <c r="N22" s="366"/>
      <c r="O22" s="446"/>
      <c r="P22" s="446"/>
      <c r="Q22" s="446"/>
      <c r="R22" s="446"/>
      <c r="S22" s="647">
        <f t="shared" si="4"/>
        <v>24.119800000000001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16</v>
      </c>
      <c r="I23" s="499">
        <f>SUM($G$9:G23)/A23</f>
        <v>18.933333333333334</v>
      </c>
      <c r="J23" s="504">
        <f t="shared" si="0"/>
        <v>5788.7520000000004</v>
      </c>
      <c r="K23" s="459">
        <f t="shared" si="0"/>
        <v>7952</v>
      </c>
      <c r="L23" s="505">
        <f t="shared" si="3"/>
        <v>361.79700000000003</v>
      </c>
      <c r="M23" s="464">
        <f t="shared" si="3"/>
        <v>420</v>
      </c>
      <c r="N23" s="366"/>
      <c r="O23" s="446"/>
      <c r="P23" s="446"/>
      <c r="Q23" s="446"/>
      <c r="R23" s="446"/>
      <c r="S23" s="647">
        <f t="shared" si="4"/>
        <v>24.119800000000001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1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15</v>
      </c>
      <c r="I24" s="499">
        <f>SUM($G$9:G24)/A24</f>
        <v>17.75</v>
      </c>
      <c r="J24" s="443">
        <f t="shared" si="0"/>
        <v>5788.7520000000004</v>
      </c>
      <c r="K24" s="459">
        <f>K23+E24-G24</f>
        <v>7952</v>
      </c>
      <c r="L24" s="495">
        <f t="shared" si="3"/>
        <v>385.91680000000002</v>
      </c>
      <c r="M24" s="464">
        <f t="shared" si="3"/>
        <v>448</v>
      </c>
      <c r="N24" s="366"/>
      <c r="O24" s="446"/>
      <c r="P24" s="446"/>
      <c r="Q24" s="446"/>
      <c r="R24" s="446"/>
      <c r="S24" s="647">
        <f t="shared" si="4"/>
        <v>24.119800000000001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>
        <f t="shared" si="1"/>
        <v>0</v>
      </c>
      <c r="E25" s="499"/>
      <c r="F25" s="586">
        <f t="shared" si="2"/>
        <v>0</v>
      </c>
      <c r="G25" s="1424">
        <f t="shared" si="2"/>
        <v>0</v>
      </c>
      <c r="H25" s="498">
        <f>SUM($F$9:F25)/A25</f>
        <v>14.117647058823529</v>
      </c>
      <c r="I25" s="499">
        <f>SUM($G$9:G25)/A25</f>
        <v>16.705882352941178</v>
      </c>
      <c r="J25" s="443">
        <f t="shared" ref="J25:K39" si="5">J24+D25-F25</f>
        <v>5788.7520000000004</v>
      </c>
      <c r="K25" s="459">
        <f>K24+E25-G25</f>
        <v>7952</v>
      </c>
      <c r="L25" s="495">
        <f t="shared" si="3"/>
        <v>410.03660000000002</v>
      </c>
      <c r="M25" s="464">
        <f t="shared" si="3"/>
        <v>475.99999999999994</v>
      </c>
      <c r="N25" s="366"/>
      <c r="O25" s="446"/>
      <c r="P25" s="446"/>
      <c r="Q25" s="446"/>
      <c r="R25" s="446"/>
      <c r="S25" s="647">
        <f t="shared" si="4"/>
        <v>24.119800000000001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13.333333333333334</v>
      </c>
      <c r="I26" s="499">
        <f>SUM($G$9:G26)/A26</f>
        <v>15.777777777777779</v>
      </c>
      <c r="J26" s="443">
        <f t="shared" si="5"/>
        <v>5788.7520000000004</v>
      </c>
      <c r="K26" s="459">
        <f>K25+E26-G26</f>
        <v>7952</v>
      </c>
      <c r="L26" s="495">
        <f t="shared" si="3"/>
        <v>434.15640000000002</v>
      </c>
      <c r="M26" s="464">
        <f t="shared" si="3"/>
        <v>504</v>
      </c>
      <c r="N26" s="366"/>
      <c r="O26" s="446"/>
      <c r="P26" s="446"/>
      <c r="Q26" s="446"/>
      <c r="R26" s="446"/>
      <c r="S26" s="647">
        <f t="shared" si="4"/>
        <v>24.119800000000001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12.631578947368421</v>
      </c>
      <c r="I27" s="499">
        <f>SUM($G$9:G27)/A27</f>
        <v>14.947368421052632</v>
      </c>
      <c r="J27" s="443">
        <f t="shared" si="5"/>
        <v>5788.7520000000004</v>
      </c>
      <c r="K27" s="459">
        <f>K26+E27-G27</f>
        <v>7952</v>
      </c>
      <c r="L27" s="495">
        <f t="shared" si="3"/>
        <v>458.27620000000002</v>
      </c>
      <c r="M27" s="464">
        <f t="shared" si="3"/>
        <v>532</v>
      </c>
      <c r="N27" s="366"/>
      <c r="O27" s="446"/>
      <c r="P27" s="446"/>
      <c r="Q27" s="446"/>
      <c r="R27" s="446"/>
      <c r="S27" s="647">
        <f t="shared" si="4"/>
        <v>24.119800000000001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12</v>
      </c>
      <c r="I28" s="499">
        <f>SUM($G$9:G28)/A28</f>
        <v>14.2</v>
      </c>
      <c r="J28" s="504">
        <f t="shared" si="5"/>
        <v>5788.7520000000004</v>
      </c>
      <c r="K28" s="459">
        <f t="shared" si="5"/>
        <v>7952</v>
      </c>
      <c r="L28" s="505">
        <f t="shared" si="3"/>
        <v>482.39600000000002</v>
      </c>
      <c r="M28" s="464">
        <f t="shared" si="3"/>
        <v>560</v>
      </c>
      <c r="N28" s="366"/>
      <c r="O28" s="446"/>
      <c r="P28" s="446"/>
      <c r="Q28" s="446"/>
      <c r="R28" s="446"/>
      <c r="S28" s="647">
        <f t="shared" si="4"/>
        <v>24.119800000000001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11.428571428571429</v>
      </c>
      <c r="I29" s="499">
        <f>SUM($G$9:G29)/A29</f>
        <v>13.523809523809524</v>
      </c>
      <c r="J29" s="443">
        <f t="shared" si="5"/>
        <v>5788.7520000000004</v>
      </c>
      <c r="K29" s="459">
        <f t="shared" si="5"/>
        <v>7952</v>
      </c>
      <c r="L29" s="495">
        <f t="shared" si="3"/>
        <v>506.51580000000001</v>
      </c>
      <c r="M29" s="464">
        <f t="shared" si="3"/>
        <v>588</v>
      </c>
      <c r="N29" s="366"/>
      <c r="O29" s="446"/>
      <c r="P29" s="446"/>
      <c r="Q29" s="446"/>
      <c r="R29" s="446"/>
      <c r="S29" s="647">
        <f t="shared" si="4"/>
        <v>24.119800000000001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10.909090909090908</v>
      </c>
      <c r="I30" s="499">
        <f>SUM($G$9:G30)/A30</f>
        <v>12.909090909090908</v>
      </c>
      <c r="J30" s="443">
        <f t="shared" si="5"/>
        <v>5788.7520000000004</v>
      </c>
      <c r="K30" s="459">
        <f t="shared" si="5"/>
        <v>7952</v>
      </c>
      <c r="L30" s="495">
        <f t="shared" si="3"/>
        <v>530.63560000000007</v>
      </c>
      <c r="M30" s="464">
        <f t="shared" si="3"/>
        <v>616</v>
      </c>
      <c r="N30" s="366"/>
      <c r="O30" s="446"/>
      <c r="P30" s="446"/>
      <c r="Q30" s="446"/>
      <c r="R30" s="446"/>
      <c r="S30" s="647">
        <f t="shared" si="4"/>
        <v>24.119800000000001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10.434782608695652</v>
      </c>
      <c r="I31" s="499">
        <f>SUM($G$9:G31)/A31</f>
        <v>12.347826086956522</v>
      </c>
      <c r="J31" s="443">
        <f t="shared" si="5"/>
        <v>5788.7520000000004</v>
      </c>
      <c r="K31" s="459">
        <f t="shared" si="5"/>
        <v>7952</v>
      </c>
      <c r="L31" s="495">
        <f t="shared" si="3"/>
        <v>554.75540000000001</v>
      </c>
      <c r="M31" s="464">
        <f t="shared" si="3"/>
        <v>644</v>
      </c>
      <c r="N31" s="366"/>
      <c r="O31" s="446"/>
      <c r="P31" s="446"/>
      <c r="Q31" s="446"/>
      <c r="R31" s="446"/>
      <c r="S31" s="647">
        <f t="shared" si="4"/>
        <v>24.119800000000001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10</v>
      </c>
      <c r="I32" s="499">
        <f>SUM($G$9:G32)/A32</f>
        <v>11.833333333333334</v>
      </c>
      <c r="J32" s="443">
        <f t="shared" si="5"/>
        <v>5788.7520000000004</v>
      </c>
      <c r="K32" s="459">
        <f t="shared" si="5"/>
        <v>7952</v>
      </c>
      <c r="L32" s="495">
        <f t="shared" si="3"/>
        <v>578.87520000000006</v>
      </c>
      <c r="M32" s="464">
        <f t="shared" si="3"/>
        <v>672</v>
      </c>
      <c r="N32" s="366"/>
      <c r="O32" s="446"/>
      <c r="P32" s="446"/>
      <c r="Q32" s="446"/>
      <c r="R32" s="446"/>
      <c r="S32" s="647">
        <f t="shared" si="4"/>
        <v>24.119800000000001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9.6</v>
      </c>
      <c r="I33" s="499">
        <f>SUM($G$9:G33)/A33</f>
        <v>11.36</v>
      </c>
      <c r="J33" s="460">
        <f t="shared" si="5"/>
        <v>5788.7520000000004</v>
      </c>
      <c r="K33" s="459">
        <f t="shared" si="5"/>
        <v>7952</v>
      </c>
      <c r="L33" s="506">
        <f t="shared" si="3"/>
        <v>602.99500000000012</v>
      </c>
      <c r="M33" s="464">
        <f t="shared" si="3"/>
        <v>700</v>
      </c>
      <c r="N33" s="366"/>
      <c r="O33" s="446"/>
      <c r="P33" s="446"/>
      <c r="Q33" s="446"/>
      <c r="R33" s="446"/>
      <c r="S33" s="647">
        <f t="shared" si="4"/>
        <v>24.119800000000001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9.2307692307692299</v>
      </c>
      <c r="I34" s="499">
        <f>SUM($G$9:G34)/A34</f>
        <v>10.923076923076923</v>
      </c>
      <c r="J34" s="443">
        <f t="shared" si="5"/>
        <v>5788.7520000000004</v>
      </c>
      <c r="K34" s="459">
        <f t="shared" si="5"/>
        <v>7952</v>
      </c>
      <c r="L34" s="495">
        <f t="shared" si="3"/>
        <v>627.11480000000006</v>
      </c>
      <c r="M34" s="464">
        <f t="shared" si="3"/>
        <v>728</v>
      </c>
      <c r="N34" s="366"/>
      <c r="O34" s="446"/>
      <c r="P34" s="446"/>
      <c r="Q34" s="446"/>
      <c r="R34" s="446"/>
      <c r="S34" s="647">
        <f t="shared" si="4"/>
        <v>24.119800000000001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8.8888888888888893</v>
      </c>
      <c r="I35" s="499">
        <f>SUM($G$9:G35)/A35</f>
        <v>10.518518518518519</v>
      </c>
      <c r="J35" s="443">
        <f t="shared" si="5"/>
        <v>5788.7520000000004</v>
      </c>
      <c r="K35" s="459">
        <f t="shared" si="5"/>
        <v>7952</v>
      </c>
      <c r="L35" s="495">
        <f t="shared" si="3"/>
        <v>651.2346</v>
      </c>
      <c r="M35" s="464">
        <f t="shared" si="3"/>
        <v>756</v>
      </c>
      <c r="N35" s="366"/>
      <c r="O35" s="446"/>
      <c r="P35" s="446"/>
      <c r="Q35" s="446"/>
      <c r="R35" s="446"/>
      <c r="S35" s="647">
        <f t="shared" si="4"/>
        <v>24.119800000000001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8.5714285714285712</v>
      </c>
      <c r="I36" s="499">
        <f>SUM($G$9:G36)/A36</f>
        <v>10.142857142857142</v>
      </c>
      <c r="J36" s="443">
        <f t="shared" si="5"/>
        <v>5788.7520000000004</v>
      </c>
      <c r="K36" s="459">
        <f t="shared" si="5"/>
        <v>7952</v>
      </c>
      <c r="L36" s="495">
        <f t="shared" si="3"/>
        <v>675.35440000000006</v>
      </c>
      <c r="M36" s="464">
        <f t="shared" si="3"/>
        <v>784</v>
      </c>
      <c r="N36" s="366"/>
      <c r="O36" s="446"/>
      <c r="P36" s="446"/>
      <c r="Q36" s="446"/>
      <c r="R36" s="446"/>
      <c r="S36" s="647">
        <f t="shared" si="4"/>
        <v>24.119800000000001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8.2758620689655178</v>
      </c>
      <c r="I37" s="499">
        <f>SUM($G$9:G37)/A37</f>
        <v>9.7931034482758612</v>
      </c>
      <c r="J37" s="443">
        <f t="shared" si="5"/>
        <v>5788.7520000000004</v>
      </c>
      <c r="K37" s="459">
        <f t="shared" si="5"/>
        <v>7952</v>
      </c>
      <c r="L37" s="495">
        <f t="shared" si="3"/>
        <v>699.4742</v>
      </c>
      <c r="M37" s="464">
        <f t="shared" si="3"/>
        <v>812.00000000000011</v>
      </c>
      <c r="N37" s="366"/>
      <c r="O37" s="446"/>
      <c r="P37" s="446"/>
      <c r="Q37" s="446"/>
      <c r="R37" s="446"/>
      <c r="S37" s="647">
        <f t="shared" si="4"/>
        <v>24.119800000000001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8</v>
      </c>
      <c r="I38" s="499">
        <f>SUM($G$9:G38)/A38</f>
        <v>9.4666666666666668</v>
      </c>
      <c r="J38" s="504">
        <f t="shared" si="5"/>
        <v>5788.7520000000004</v>
      </c>
      <c r="K38" s="459">
        <f t="shared" si="5"/>
        <v>7952</v>
      </c>
      <c r="L38" s="505">
        <f t="shared" si="3"/>
        <v>723.59400000000005</v>
      </c>
      <c r="M38" s="464">
        <f t="shared" si="3"/>
        <v>840</v>
      </c>
      <c r="N38" s="366"/>
      <c r="O38" s="446"/>
      <c r="P38" s="446"/>
      <c r="Q38" s="446"/>
      <c r="R38" s="446"/>
      <c r="S38" s="647">
        <f t="shared" si="4"/>
        <v>24.119800000000001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7.741935483870968</v>
      </c>
      <c r="I39" s="499">
        <f>SUM($G$9:G39)/A39</f>
        <v>9.1612903225806459</v>
      </c>
      <c r="J39" s="443">
        <f t="shared" si="5"/>
        <v>5788.7520000000004</v>
      </c>
      <c r="K39" s="459">
        <f t="shared" si="5"/>
        <v>7952</v>
      </c>
      <c r="L39" s="495">
        <f t="shared" si="3"/>
        <v>747.71379999999999</v>
      </c>
      <c r="M39" s="464">
        <f t="shared" si="3"/>
        <v>867.99999999999989</v>
      </c>
      <c r="N39" s="366"/>
      <c r="O39" s="446"/>
      <c r="P39" s="446"/>
      <c r="Q39" s="446"/>
      <c r="R39" s="446"/>
      <c r="S39" s="647">
        <f t="shared" si="4"/>
        <v>24.119800000000001</v>
      </c>
    </row>
    <row r="40" spans="1:19" s="374" customFormat="1" ht="12" customHeight="1">
      <c r="A40" s="1131" t="s">
        <v>29</v>
      </c>
      <c r="B40" s="1132"/>
      <c r="C40" s="1133"/>
      <c r="D40" s="388">
        <f>SUM(D9:D39)</f>
        <v>0</v>
      </c>
      <c r="E40" s="923">
        <f>SUM(E9:E39)</f>
        <v>0</v>
      </c>
      <c r="F40" s="389">
        <f>SUM(F9:F39)</f>
        <v>240</v>
      </c>
      <c r="G40" s="496">
        <f>SUM(G9:G39)</f>
        <v>284</v>
      </c>
      <c r="H40" s="389"/>
      <c r="I40" s="496"/>
      <c r="J40" s="389">
        <f>J39</f>
        <v>5788.7520000000004</v>
      </c>
      <c r="K40" s="461">
        <f>K39</f>
        <v>7952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240</v>
      </c>
      <c r="R40" s="496">
        <f>SUM(R9:R39)</f>
        <v>284</v>
      </c>
    </row>
    <row r="41" spans="1:19" s="374" customFormat="1" ht="12" customHeight="1">
      <c r="A41" s="1131" t="s">
        <v>15</v>
      </c>
      <c r="B41" s="1132"/>
      <c r="C41" s="1133"/>
      <c r="D41" s="388">
        <f>D8+D40</f>
        <v>6028.7520000000004</v>
      </c>
      <c r="E41" s="388">
        <f>E8+E40</f>
        <v>8236</v>
      </c>
      <c r="F41" s="389">
        <f>F40</f>
        <v>240</v>
      </c>
      <c r="G41" s="496">
        <f>G40</f>
        <v>284</v>
      </c>
      <c r="H41" s="389"/>
      <c r="I41" s="496"/>
      <c r="J41" s="389">
        <f>D41-F41</f>
        <v>5788.7520000000004</v>
      </c>
      <c r="K41" s="389">
        <f>E41-G41</f>
        <v>7952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9830" priority="163" operator="lessThan">
      <formula>15</formula>
    </cfRule>
    <cfRule type="cellIs" dxfId="9829" priority="164" operator="greaterThan">
      <formula>20</formula>
    </cfRule>
    <cfRule type="cellIs" dxfId="9828" priority="165" operator="between">
      <formula>15</formula>
      <formula>20</formula>
    </cfRule>
    <cfRule type="cellIs" dxfId="9827" priority="166" operator="between">
      <formula>15</formula>
      <formula>20</formula>
    </cfRule>
    <cfRule type="cellIs" dxfId="9826" priority="167" operator="lessThan">
      <formula>15</formula>
    </cfRule>
    <cfRule type="cellIs" dxfId="9825" priority="168" operator="greaterThan">
      <formula>20</formula>
    </cfRule>
    <cfRule type="cellIs" dxfId="9824" priority="169" operator="between">
      <formula>15</formula>
      <formula>21</formula>
    </cfRule>
    <cfRule type="cellIs" dxfId="9823" priority="170" operator="lessThan">
      <formula>15</formula>
    </cfRule>
    <cfRule type="cellIs" dxfId="9822" priority="171" operator="greaterThan">
      <formula>21</formula>
    </cfRule>
  </conditionalFormatting>
  <conditionalFormatting sqref="M9:M39">
    <cfRule type="cellIs" dxfId="9821" priority="154" operator="lessThan">
      <formula>15</formula>
    </cfRule>
    <cfRule type="cellIs" dxfId="9820" priority="155" operator="greaterThan">
      <formula>20</formula>
    </cfRule>
    <cfRule type="cellIs" dxfId="9819" priority="156" operator="between">
      <formula>15</formula>
      <formula>20</formula>
    </cfRule>
    <cfRule type="cellIs" dxfId="9818" priority="157" operator="between">
      <formula>15</formula>
      <formula>20</formula>
    </cfRule>
    <cfRule type="cellIs" dxfId="9817" priority="158" operator="lessThan">
      <formula>15</formula>
    </cfRule>
    <cfRule type="cellIs" dxfId="9816" priority="159" operator="greaterThan">
      <formula>20</formula>
    </cfRule>
    <cfRule type="cellIs" dxfId="9815" priority="160" operator="between">
      <formula>15</formula>
      <formula>21</formula>
    </cfRule>
    <cfRule type="cellIs" dxfId="9814" priority="161" operator="lessThan">
      <formula>15</formula>
    </cfRule>
    <cfRule type="cellIs" dxfId="9813" priority="162" operator="greaterThan">
      <formula>21</formula>
    </cfRule>
  </conditionalFormatting>
  <conditionalFormatting sqref="M9:M39">
    <cfRule type="cellIs" dxfId="9812" priority="145" operator="lessThan">
      <formula>15</formula>
    </cfRule>
    <cfRule type="cellIs" dxfId="9811" priority="146" operator="greaterThan">
      <formula>20</formula>
    </cfRule>
    <cfRule type="cellIs" dxfId="9810" priority="147" operator="between">
      <formula>15</formula>
      <formula>20</formula>
    </cfRule>
    <cfRule type="cellIs" dxfId="9809" priority="148" operator="between">
      <formula>15</formula>
      <formula>20</formula>
    </cfRule>
    <cfRule type="cellIs" dxfId="9808" priority="149" operator="lessThan">
      <formula>15</formula>
    </cfRule>
    <cfRule type="cellIs" dxfId="9807" priority="150" operator="greaterThan">
      <formula>20</formula>
    </cfRule>
    <cfRule type="cellIs" dxfId="9806" priority="151" operator="between">
      <formula>15</formula>
      <formula>21</formula>
    </cfRule>
    <cfRule type="cellIs" dxfId="9805" priority="152" operator="lessThan">
      <formula>15</formula>
    </cfRule>
    <cfRule type="cellIs" dxfId="9804" priority="153" operator="greaterThan">
      <formula>21</formula>
    </cfRule>
  </conditionalFormatting>
  <conditionalFormatting sqref="M9:M39">
    <cfRule type="cellIs" dxfId="9803" priority="136" operator="lessThan">
      <formula>15</formula>
    </cfRule>
    <cfRule type="cellIs" dxfId="9802" priority="137" operator="greaterThan">
      <formula>20</formula>
    </cfRule>
    <cfRule type="cellIs" dxfId="9801" priority="138" operator="between">
      <formula>15</formula>
      <formula>20</formula>
    </cfRule>
    <cfRule type="cellIs" dxfId="9800" priority="139" operator="between">
      <formula>15</formula>
      <formula>20</formula>
    </cfRule>
    <cfRule type="cellIs" dxfId="9799" priority="140" operator="lessThan">
      <formula>15</formula>
    </cfRule>
    <cfRule type="cellIs" dxfId="9798" priority="141" operator="greaterThan">
      <formula>20</formula>
    </cfRule>
    <cfRule type="cellIs" dxfId="9797" priority="142" operator="between">
      <formula>15</formula>
      <formula>21</formula>
    </cfRule>
    <cfRule type="cellIs" dxfId="9796" priority="143" operator="lessThan">
      <formula>15</formula>
    </cfRule>
    <cfRule type="cellIs" dxfId="9795" priority="144" operator="greaterThan">
      <formula>21</formula>
    </cfRule>
  </conditionalFormatting>
  <conditionalFormatting sqref="M9:M39">
    <cfRule type="cellIs" dxfId="9794" priority="127" operator="lessThan">
      <formula>15</formula>
    </cfRule>
    <cfRule type="cellIs" dxfId="9793" priority="128" operator="greaterThan">
      <formula>20</formula>
    </cfRule>
    <cfRule type="cellIs" dxfId="9792" priority="129" operator="between">
      <formula>15</formula>
      <formula>20</formula>
    </cfRule>
    <cfRule type="cellIs" dxfId="9791" priority="130" operator="between">
      <formula>15</formula>
      <formula>20</formula>
    </cfRule>
    <cfRule type="cellIs" dxfId="9790" priority="131" operator="lessThan">
      <formula>15</formula>
    </cfRule>
    <cfRule type="cellIs" dxfId="9789" priority="132" operator="greaterThan">
      <formula>20</formula>
    </cfRule>
    <cfRule type="cellIs" dxfId="9788" priority="133" operator="between">
      <formula>15</formula>
      <formula>21</formula>
    </cfRule>
    <cfRule type="cellIs" dxfId="9787" priority="134" operator="lessThan">
      <formula>15</formula>
    </cfRule>
    <cfRule type="cellIs" dxfId="9786" priority="135" operator="greaterThan">
      <formula>21</formula>
    </cfRule>
  </conditionalFormatting>
  <conditionalFormatting sqref="M9:M39">
    <cfRule type="cellIs" dxfId="9785" priority="118" operator="lessThan">
      <formula>15</formula>
    </cfRule>
    <cfRule type="cellIs" dxfId="9784" priority="119" operator="greaterThan">
      <formula>20</formula>
    </cfRule>
    <cfRule type="cellIs" dxfId="9783" priority="120" operator="between">
      <formula>15</formula>
      <formula>20</formula>
    </cfRule>
    <cfRule type="cellIs" dxfId="9782" priority="121" operator="between">
      <formula>15</formula>
      <formula>20</formula>
    </cfRule>
    <cfRule type="cellIs" dxfId="9781" priority="122" operator="lessThan">
      <formula>15</formula>
    </cfRule>
    <cfRule type="cellIs" dxfId="9780" priority="123" operator="greaterThan">
      <formula>20</formula>
    </cfRule>
    <cfRule type="cellIs" dxfId="9779" priority="124" operator="between">
      <formula>15</formula>
      <formula>21</formula>
    </cfRule>
    <cfRule type="cellIs" dxfId="9778" priority="125" operator="lessThan">
      <formula>15</formula>
    </cfRule>
    <cfRule type="cellIs" dxfId="9777" priority="126" operator="greaterThan">
      <formula>21</formula>
    </cfRule>
  </conditionalFormatting>
  <conditionalFormatting sqref="M9:M39">
    <cfRule type="cellIs" dxfId="9776" priority="109" operator="lessThan">
      <formula>15</formula>
    </cfRule>
    <cfRule type="cellIs" dxfId="9775" priority="110" operator="greaterThan">
      <formula>20</formula>
    </cfRule>
    <cfRule type="cellIs" dxfId="9774" priority="111" operator="between">
      <formula>15</formula>
      <formula>20</formula>
    </cfRule>
    <cfRule type="cellIs" dxfId="9773" priority="112" operator="between">
      <formula>15</formula>
      <formula>20</formula>
    </cfRule>
    <cfRule type="cellIs" dxfId="9772" priority="113" operator="lessThan">
      <formula>15</formula>
    </cfRule>
    <cfRule type="cellIs" dxfId="9771" priority="114" operator="greaterThan">
      <formula>20</formula>
    </cfRule>
    <cfRule type="cellIs" dxfId="9770" priority="115" operator="between">
      <formula>15</formula>
      <formula>21</formula>
    </cfRule>
    <cfRule type="cellIs" dxfId="9769" priority="116" operator="lessThan">
      <formula>15</formula>
    </cfRule>
    <cfRule type="cellIs" dxfId="9768" priority="117" operator="greaterThan">
      <formula>21</formula>
    </cfRule>
  </conditionalFormatting>
  <conditionalFormatting sqref="M9:M39">
    <cfRule type="cellIs" dxfId="9767" priority="100" operator="lessThan">
      <formula>15</formula>
    </cfRule>
    <cfRule type="cellIs" dxfId="9766" priority="101" operator="greaterThan">
      <formula>20</formula>
    </cfRule>
    <cfRule type="cellIs" dxfId="9765" priority="102" operator="between">
      <formula>15</formula>
      <formula>20</formula>
    </cfRule>
    <cfRule type="cellIs" dxfId="9764" priority="103" operator="between">
      <formula>15</formula>
      <formula>20</formula>
    </cfRule>
    <cfRule type="cellIs" dxfId="9763" priority="104" operator="lessThan">
      <formula>15</formula>
    </cfRule>
    <cfRule type="cellIs" dxfId="9762" priority="105" operator="greaterThan">
      <formula>20</formula>
    </cfRule>
    <cfRule type="cellIs" dxfId="9761" priority="106" operator="between">
      <formula>15</formula>
      <formula>21</formula>
    </cfRule>
    <cfRule type="cellIs" dxfId="9760" priority="107" operator="lessThan">
      <formula>15</formula>
    </cfRule>
    <cfRule type="cellIs" dxfId="9759" priority="108" operator="greaterThan">
      <formula>21</formula>
    </cfRule>
  </conditionalFormatting>
  <conditionalFormatting sqref="M9:M39">
    <cfRule type="cellIs" dxfId="9758" priority="91" operator="lessThan">
      <formula>15</formula>
    </cfRule>
    <cfRule type="cellIs" dxfId="9757" priority="92" operator="greaterThan">
      <formula>20</formula>
    </cfRule>
    <cfRule type="cellIs" dxfId="9756" priority="93" operator="between">
      <formula>15</formula>
      <formula>20</formula>
    </cfRule>
    <cfRule type="cellIs" dxfId="9755" priority="94" operator="between">
      <formula>15</formula>
      <formula>20</formula>
    </cfRule>
    <cfRule type="cellIs" dxfId="9754" priority="95" operator="lessThan">
      <formula>15</formula>
    </cfRule>
    <cfRule type="cellIs" dxfId="9753" priority="96" operator="greaterThan">
      <formula>20</formula>
    </cfRule>
    <cfRule type="cellIs" dxfId="9752" priority="97" operator="between">
      <formula>15</formula>
      <formula>21</formula>
    </cfRule>
    <cfRule type="cellIs" dxfId="9751" priority="98" operator="lessThan">
      <formula>15</formula>
    </cfRule>
    <cfRule type="cellIs" dxfId="9750" priority="99" operator="greaterThan">
      <formula>21</formula>
    </cfRule>
  </conditionalFormatting>
  <conditionalFormatting sqref="M9:M39">
    <cfRule type="cellIs" dxfId="9749" priority="82" operator="lessThan">
      <formula>15</formula>
    </cfRule>
    <cfRule type="cellIs" dxfId="9748" priority="83" operator="greaterThan">
      <formula>20</formula>
    </cfRule>
    <cfRule type="cellIs" dxfId="9747" priority="84" operator="between">
      <formula>15</formula>
      <formula>20</formula>
    </cfRule>
    <cfRule type="cellIs" dxfId="9746" priority="85" operator="between">
      <formula>15</formula>
      <formula>20</formula>
    </cfRule>
    <cfRule type="cellIs" dxfId="9745" priority="86" operator="lessThan">
      <formula>15</formula>
    </cfRule>
    <cfRule type="cellIs" dxfId="9744" priority="87" operator="greaterThan">
      <formula>20</formula>
    </cfRule>
    <cfRule type="cellIs" dxfId="9743" priority="88" operator="between">
      <formula>15</formula>
      <formula>21</formula>
    </cfRule>
    <cfRule type="cellIs" dxfId="9742" priority="89" operator="lessThan">
      <formula>15</formula>
    </cfRule>
    <cfRule type="cellIs" dxfId="9741" priority="90" operator="greaterThan">
      <formula>21</formula>
    </cfRule>
  </conditionalFormatting>
  <conditionalFormatting sqref="M9:M39">
    <cfRule type="cellIs" dxfId="9740" priority="73" operator="lessThan">
      <formula>15</formula>
    </cfRule>
    <cfRule type="cellIs" dxfId="9739" priority="74" operator="greaterThan">
      <formula>20</formula>
    </cfRule>
    <cfRule type="cellIs" dxfId="9738" priority="75" operator="between">
      <formula>15</formula>
      <formula>20</formula>
    </cfRule>
    <cfRule type="cellIs" dxfId="9737" priority="76" operator="between">
      <formula>15</formula>
      <formula>20</formula>
    </cfRule>
    <cfRule type="cellIs" dxfId="9736" priority="77" operator="lessThan">
      <formula>15</formula>
    </cfRule>
    <cfRule type="cellIs" dxfId="9735" priority="78" operator="greaterThan">
      <formula>20</formula>
    </cfRule>
    <cfRule type="cellIs" dxfId="9734" priority="79" operator="between">
      <formula>15</formula>
      <formula>21</formula>
    </cfRule>
    <cfRule type="cellIs" dxfId="9733" priority="80" operator="lessThan">
      <formula>15</formula>
    </cfRule>
    <cfRule type="cellIs" dxfId="9732" priority="81" operator="greaterThan">
      <formula>21</formula>
    </cfRule>
  </conditionalFormatting>
  <conditionalFormatting sqref="M9:M39">
    <cfRule type="cellIs" dxfId="9731" priority="64" operator="lessThan">
      <formula>15</formula>
    </cfRule>
    <cfRule type="cellIs" dxfId="9730" priority="65" operator="greaterThan">
      <formula>20</formula>
    </cfRule>
    <cfRule type="cellIs" dxfId="9729" priority="66" operator="between">
      <formula>15</formula>
      <formula>20</formula>
    </cfRule>
    <cfRule type="cellIs" dxfId="9728" priority="67" operator="between">
      <formula>15</formula>
      <formula>20</formula>
    </cfRule>
    <cfRule type="cellIs" dxfId="9727" priority="68" operator="lessThan">
      <formula>15</formula>
    </cfRule>
    <cfRule type="cellIs" dxfId="9726" priority="69" operator="greaterThan">
      <formula>20</formula>
    </cfRule>
    <cfRule type="cellIs" dxfId="9725" priority="70" operator="between">
      <formula>15</formula>
      <formula>21</formula>
    </cfRule>
    <cfRule type="cellIs" dxfId="9724" priority="71" operator="lessThan">
      <formula>15</formula>
    </cfRule>
    <cfRule type="cellIs" dxfId="9723" priority="72" operator="greaterThan">
      <formula>21</formula>
    </cfRule>
  </conditionalFormatting>
  <conditionalFormatting sqref="M9:M39">
    <cfRule type="cellIs" dxfId="9722" priority="55" operator="lessThan">
      <formula>15</formula>
    </cfRule>
    <cfRule type="cellIs" dxfId="9721" priority="56" operator="greaterThan">
      <formula>20</formula>
    </cfRule>
    <cfRule type="cellIs" dxfId="9720" priority="57" operator="between">
      <formula>15</formula>
      <formula>20</formula>
    </cfRule>
    <cfRule type="cellIs" dxfId="9719" priority="58" operator="between">
      <formula>15</formula>
      <formula>20</formula>
    </cfRule>
    <cfRule type="cellIs" dxfId="9718" priority="59" operator="lessThan">
      <formula>15</formula>
    </cfRule>
    <cfRule type="cellIs" dxfId="9717" priority="60" operator="greaterThan">
      <formula>20</formula>
    </cfRule>
    <cfRule type="cellIs" dxfId="9716" priority="61" operator="between">
      <formula>15</formula>
      <formula>21</formula>
    </cfRule>
    <cfRule type="cellIs" dxfId="9715" priority="62" operator="lessThan">
      <formula>15</formula>
    </cfRule>
    <cfRule type="cellIs" dxfId="9714" priority="63" operator="greaterThan">
      <formula>21</formula>
    </cfRule>
  </conditionalFormatting>
  <conditionalFormatting sqref="M9:M39">
    <cfRule type="cellIs" dxfId="9713" priority="46" operator="lessThan">
      <formula>15</formula>
    </cfRule>
    <cfRule type="cellIs" dxfId="9712" priority="47" operator="greaterThan">
      <formula>20</formula>
    </cfRule>
    <cfRule type="cellIs" dxfId="9711" priority="48" operator="between">
      <formula>15</formula>
      <formula>20</formula>
    </cfRule>
    <cfRule type="cellIs" dxfId="9710" priority="49" operator="between">
      <formula>15</formula>
      <formula>20</formula>
    </cfRule>
    <cfRule type="cellIs" dxfId="9709" priority="50" operator="lessThan">
      <formula>15</formula>
    </cfRule>
    <cfRule type="cellIs" dxfId="9708" priority="51" operator="greaterThan">
      <formula>20</formula>
    </cfRule>
    <cfRule type="cellIs" dxfId="9707" priority="52" operator="between">
      <formula>15</formula>
      <formula>21</formula>
    </cfRule>
    <cfRule type="cellIs" dxfId="9706" priority="53" operator="lessThan">
      <formula>15</formula>
    </cfRule>
    <cfRule type="cellIs" dxfId="9705" priority="54" operator="greaterThan">
      <formula>21</formula>
    </cfRule>
  </conditionalFormatting>
  <conditionalFormatting sqref="M9:M39">
    <cfRule type="cellIs" dxfId="9704" priority="37" operator="lessThan">
      <formula>15</formula>
    </cfRule>
    <cfRule type="cellIs" dxfId="9703" priority="38" operator="greaterThan">
      <formula>20</formula>
    </cfRule>
    <cfRule type="cellIs" dxfId="9702" priority="39" operator="between">
      <formula>15</formula>
      <formula>20</formula>
    </cfRule>
    <cfRule type="cellIs" dxfId="9701" priority="40" operator="between">
      <formula>15</formula>
      <formula>20</formula>
    </cfRule>
    <cfRule type="cellIs" dxfId="9700" priority="41" operator="lessThan">
      <formula>15</formula>
    </cfRule>
    <cfRule type="cellIs" dxfId="9699" priority="42" operator="greaterThan">
      <formula>20</formula>
    </cfRule>
    <cfRule type="cellIs" dxfId="9698" priority="43" operator="between">
      <formula>15</formula>
      <formula>21</formula>
    </cfRule>
    <cfRule type="cellIs" dxfId="9697" priority="44" operator="lessThan">
      <formula>15</formula>
    </cfRule>
    <cfRule type="cellIs" dxfId="9696" priority="45" operator="greaterThan">
      <formula>21</formula>
    </cfRule>
  </conditionalFormatting>
  <conditionalFormatting sqref="M9:M39">
    <cfRule type="cellIs" dxfId="9695" priority="28" operator="lessThan">
      <formula>15</formula>
    </cfRule>
    <cfRule type="cellIs" dxfId="9694" priority="29" operator="greaterThan">
      <formula>20</formula>
    </cfRule>
    <cfRule type="cellIs" dxfId="9693" priority="30" operator="between">
      <formula>15</formula>
      <formula>20</formula>
    </cfRule>
    <cfRule type="cellIs" dxfId="9692" priority="31" operator="between">
      <formula>15</formula>
      <formula>20</formula>
    </cfRule>
    <cfRule type="cellIs" dxfId="9691" priority="32" operator="lessThan">
      <formula>15</formula>
    </cfRule>
    <cfRule type="cellIs" dxfId="9690" priority="33" operator="greaterThan">
      <formula>20</formula>
    </cfRule>
    <cfRule type="cellIs" dxfId="9689" priority="34" operator="between">
      <formula>15</formula>
      <formula>21</formula>
    </cfRule>
    <cfRule type="cellIs" dxfId="9688" priority="35" operator="lessThan">
      <formula>15</formula>
    </cfRule>
    <cfRule type="cellIs" dxfId="9687" priority="36" operator="greaterThan">
      <formula>21</formula>
    </cfRule>
  </conditionalFormatting>
  <conditionalFormatting sqref="M9:M39">
    <cfRule type="cellIs" dxfId="9686" priority="19" operator="lessThan">
      <formula>15</formula>
    </cfRule>
    <cfRule type="cellIs" dxfId="9685" priority="20" operator="greaterThan">
      <formula>20</formula>
    </cfRule>
    <cfRule type="cellIs" dxfId="9684" priority="21" operator="between">
      <formula>15</formula>
      <formula>20</formula>
    </cfRule>
    <cfRule type="cellIs" dxfId="9683" priority="22" operator="between">
      <formula>15</formula>
      <formula>20</formula>
    </cfRule>
    <cfRule type="cellIs" dxfId="9682" priority="23" operator="lessThan">
      <formula>15</formula>
    </cfRule>
    <cfRule type="cellIs" dxfId="9681" priority="24" operator="greaterThan">
      <formula>20</formula>
    </cfRule>
    <cfRule type="cellIs" dxfId="9680" priority="25" operator="between">
      <formula>15</formula>
      <formula>21</formula>
    </cfRule>
    <cfRule type="cellIs" dxfId="9679" priority="26" operator="lessThan">
      <formula>15</formula>
    </cfRule>
    <cfRule type="cellIs" dxfId="9678" priority="27" operator="greaterThan">
      <formula>21</formula>
    </cfRule>
  </conditionalFormatting>
  <conditionalFormatting sqref="M9:M39">
    <cfRule type="cellIs" dxfId="9677" priority="10" operator="lessThan">
      <formula>15</formula>
    </cfRule>
    <cfRule type="cellIs" dxfId="9676" priority="11" operator="greaterThan">
      <formula>20</formula>
    </cfRule>
    <cfRule type="cellIs" dxfId="9675" priority="12" operator="between">
      <formula>15</formula>
      <formula>20</formula>
    </cfRule>
    <cfRule type="cellIs" dxfId="9674" priority="13" operator="between">
      <formula>15</formula>
      <formula>20</formula>
    </cfRule>
    <cfRule type="cellIs" dxfId="9673" priority="14" operator="lessThan">
      <formula>15</formula>
    </cfRule>
    <cfRule type="cellIs" dxfId="9672" priority="15" operator="greaterThan">
      <formula>20</formula>
    </cfRule>
    <cfRule type="cellIs" dxfId="9671" priority="16" operator="between">
      <formula>15</formula>
      <formula>21</formula>
    </cfRule>
    <cfRule type="cellIs" dxfId="9670" priority="17" operator="lessThan">
      <formula>15</formula>
    </cfRule>
    <cfRule type="cellIs" dxfId="9669" priority="18" operator="greaterThan">
      <formula>21</formula>
    </cfRule>
  </conditionalFormatting>
  <conditionalFormatting sqref="M9:M39">
    <cfRule type="cellIs" dxfId="9668" priority="1" operator="lessThan">
      <formula>15</formula>
    </cfRule>
    <cfRule type="cellIs" dxfId="9667" priority="2" operator="greaterThan">
      <formula>20</formula>
    </cfRule>
    <cfRule type="cellIs" dxfId="9666" priority="3" operator="between">
      <formula>15</formula>
      <formula>20</formula>
    </cfRule>
    <cfRule type="cellIs" dxfId="9665" priority="4" operator="between">
      <formula>15</formula>
      <formula>20</formula>
    </cfRule>
    <cfRule type="cellIs" dxfId="9664" priority="5" operator="lessThan">
      <formula>15</formula>
    </cfRule>
    <cfRule type="cellIs" dxfId="9663" priority="6" operator="greaterThan">
      <formula>20</formula>
    </cfRule>
    <cfRule type="cellIs" dxfId="9662" priority="7" operator="between">
      <formula>15</formula>
      <formula>21</formula>
    </cfRule>
    <cfRule type="cellIs" dxfId="9661" priority="8" operator="lessThan">
      <formula>15</formula>
    </cfRule>
    <cfRule type="cellIs" dxfId="9660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C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8" width="8.8554687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996" customFormat="1" ht="15" customHeight="1">
      <c r="A4" s="1600" t="s">
        <v>33</v>
      </c>
      <c r="B4" s="1600"/>
      <c r="C4" s="316" t="str">
        <f>J4</f>
        <v>FRIT 288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798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41874</v>
      </c>
      <c r="E8" s="388">
        <f>K8</f>
        <v>41874</v>
      </c>
      <c r="F8" s="389"/>
      <c r="G8" s="388"/>
      <c r="H8" s="387"/>
      <c r="I8" s="388"/>
      <c r="J8" s="937">
        <f>K8-K8*N8</f>
        <v>41874</v>
      </c>
      <c r="K8" s="937">
        <v>41874</v>
      </c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225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>J8+D9-F9</f>
        <v>41874</v>
      </c>
      <c r="K9" s="459">
        <f>K8+E9-G9</f>
        <v>41874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186.10666666666665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0">E10-E10*N10</f>
        <v>0</v>
      </c>
      <c r="E10" s="499"/>
      <c r="F10" s="586">
        <f t="shared" ref="F10:G39" si="1">O10+Q10</f>
        <v>0</v>
      </c>
      <c r="G10" s="1424">
        <f t="shared" si="1"/>
        <v>0</v>
      </c>
      <c r="H10" s="498">
        <f>SUM($F$9:F10)/A10</f>
        <v>0</v>
      </c>
      <c r="I10" s="499">
        <f>SUM($G$9:G10)/A10</f>
        <v>0</v>
      </c>
      <c r="J10" s="443">
        <f t="shared" ref="J10:K24" si="2">J9+D10-F10</f>
        <v>41874</v>
      </c>
      <c r="K10" s="459">
        <f t="shared" si="2"/>
        <v>41874</v>
      </c>
      <c r="L10" s="495" t="e">
        <f t="shared" ref="L10:M39" si="3">J10/H10</f>
        <v>#DIV/0!</v>
      </c>
      <c r="M10" s="464" t="e">
        <f t="shared" si="3"/>
        <v>#DIV/0!</v>
      </c>
      <c r="N10" s="366"/>
      <c r="O10" s="446"/>
      <c r="P10" s="446"/>
      <c r="Q10" s="446"/>
      <c r="R10" s="446"/>
      <c r="S10" s="647">
        <f t="shared" ref="S10:S39" si="4">J10/$S$8</f>
        <v>186.10666666666665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0"/>
        <v>0</v>
      </c>
      <c r="E11" s="499"/>
      <c r="F11" s="586">
        <f t="shared" si="1"/>
        <v>0</v>
      </c>
      <c r="G11" s="1424">
        <f t="shared" si="1"/>
        <v>0</v>
      </c>
      <c r="H11" s="498">
        <f>SUM($F$9:F11)/A11</f>
        <v>0</v>
      </c>
      <c r="I11" s="499">
        <f>SUM($G$9:G11)/A11</f>
        <v>0</v>
      </c>
      <c r="J11" s="443">
        <f t="shared" si="2"/>
        <v>41874</v>
      </c>
      <c r="K11" s="459">
        <f t="shared" si="2"/>
        <v>41874</v>
      </c>
      <c r="L11" s="495" t="e">
        <f t="shared" si="3"/>
        <v>#DIV/0!</v>
      </c>
      <c r="M11" s="464" t="e">
        <f t="shared" si="3"/>
        <v>#DIV/0!</v>
      </c>
      <c r="N11" s="366"/>
      <c r="O11" s="446"/>
      <c r="P11" s="446"/>
      <c r="Q11" s="446"/>
      <c r="R11" s="446"/>
      <c r="S11" s="647">
        <f t="shared" si="4"/>
        <v>186.10666666666665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0"/>
        <v>0</v>
      </c>
      <c r="E12" s="499"/>
      <c r="F12" s="586">
        <f t="shared" si="1"/>
        <v>0</v>
      </c>
      <c r="G12" s="1424">
        <f t="shared" si="1"/>
        <v>0</v>
      </c>
      <c r="H12" s="498">
        <f>SUM($F$9:F12)/A12</f>
        <v>0</v>
      </c>
      <c r="I12" s="499">
        <f>SUM($G$9:G12)/A12</f>
        <v>0</v>
      </c>
      <c r="J12" s="443">
        <f t="shared" si="2"/>
        <v>41874</v>
      </c>
      <c r="K12" s="459">
        <f t="shared" si="2"/>
        <v>41874</v>
      </c>
      <c r="L12" s="495" t="e">
        <f t="shared" si="3"/>
        <v>#DIV/0!</v>
      </c>
      <c r="M12" s="464" t="e">
        <f t="shared" si="3"/>
        <v>#DIV/0!</v>
      </c>
      <c r="N12" s="366"/>
      <c r="O12" s="446"/>
      <c r="P12" s="446"/>
      <c r="Q12" s="446"/>
      <c r="R12" s="446"/>
      <c r="S12" s="647">
        <f t="shared" si="4"/>
        <v>186.10666666666665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0"/>
        <v>0</v>
      </c>
      <c r="E13" s="499"/>
      <c r="F13" s="586">
        <f t="shared" si="1"/>
        <v>225</v>
      </c>
      <c r="G13" s="1424">
        <f t="shared" si="1"/>
        <v>226</v>
      </c>
      <c r="H13" s="504">
        <f>SUM($F$9:F13)/A13</f>
        <v>45</v>
      </c>
      <c r="I13" s="499">
        <f>SUM($G$9:G13)/A13</f>
        <v>45.2</v>
      </c>
      <c r="J13" s="504">
        <f t="shared" si="2"/>
        <v>41649</v>
      </c>
      <c r="K13" s="459">
        <f t="shared" si="2"/>
        <v>41648</v>
      </c>
      <c r="L13" s="505">
        <f t="shared" si="3"/>
        <v>925.5333333333333</v>
      </c>
      <c r="M13" s="464">
        <f t="shared" si="3"/>
        <v>921.4159292035398</v>
      </c>
      <c r="N13" s="366"/>
      <c r="O13" s="446">
        <v>225</v>
      </c>
      <c r="P13" s="446">
        <v>226</v>
      </c>
      <c r="Q13" s="446"/>
      <c r="R13" s="446"/>
      <c r="S13" s="647">
        <f t="shared" si="4"/>
        <v>185.10666666666665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0"/>
        <v>0</v>
      </c>
      <c r="E14" s="499"/>
      <c r="F14" s="586">
        <f t="shared" si="1"/>
        <v>0</v>
      </c>
      <c r="G14" s="1424">
        <f t="shared" si="1"/>
        <v>0</v>
      </c>
      <c r="H14" s="498">
        <f>SUM($F$9:F14)/A14</f>
        <v>37.5</v>
      </c>
      <c r="I14" s="499">
        <f>SUM($G$9:G14)/A14</f>
        <v>37.666666666666664</v>
      </c>
      <c r="J14" s="443">
        <f t="shared" si="2"/>
        <v>41649</v>
      </c>
      <c r="K14" s="459">
        <f t="shared" si="2"/>
        <v>41648</v>
      </c>
      <c r="L14" s="495">
        <f t="shared" si="3"/>
        <v>1110.6400000000001</v>
      </c>
      <c r="M14" s="464">
        <f t="shared" si="3"/>
        <v>1105.6991150442479</v>
      </c>
      <c r="N14" s="366"/>
      <c r="O14" s="446"/>
      <c r="P14" s="446"/>
      <c r="Q14" s="446"/>
      <c r="R14" s="446"/>
      <c r="S14" s="647">
        <f t="shared" si="4"/>
        <v>185.10666666666665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0"/>
        <v>0</v>
      </c>
      <c r="E15" s="499"/>
      <c r="F15" s="586">
        <f t="shared" si="1"/>
        <v>0</v>
      </c>
      <c r="G15" s="1424">
        <f t="shared" si="1"/>
        <v>0</v>
      </c>
      <c r="H15" s="498">
        <f>SUM($F$9:F15)/A15</f>
        <v>32.142857142857146</v>
      </c>
      <c r="I15" s="499">
        <f>SUM($G$9:G15)/A15</f>
        <v>32.285714285714285</v>
      </c>
      <c r="J15" s="443">
        <f t="shared" si="2"/>
        <v>41649</v>
      </c>
      <c r="K15" s="459">
        <f t="shared" si="2"/>
        <v>41648</v>
      </c>
      <c r="L15" s="495">
        <f t="shared" si="3"/>
        <v>1295.7466666666664</v>
      </c>
      <c r="M15" s="464">
        <f t="shared" si="3"/>
        <v>1289.9823008849557</v>
      </c>
      <c r="N15" s="366"/>
      <c r="O15" s="446"/>
      <c r="P15" s="446"/>
      <c r="Q15" s="446"/>
      <c r="R15" s="446"/>
      <c r="S15" s="647">
        <f t="shared" si="4"/>
        <v>185.10666666666665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0"/>
        <v>0</v>
      </c>
      <c r="E16" s="499"/>
      <c r="F16" s="586">
        <f t="shared" si="1"/>
        <v>0</v>
      </c>
      <c r="G16" s="1424">
        <f t="shared" si="1"/>
        <v>0</v>
      </c>
      <c r="H16" s="498">
        <f>SUM($F$9:F16)/A16</f>
        <v>28.125</v>
      </c>
      <c r="I16" s="499">
        <f>SUM($G$9:G16)/A16</f>
        <v>28.25</v>
      </c>
      <c r="J16" s="443">
        <f t="shared" si="2"/>
        <v>41649</v>
      </c>
      <c r="K16" s="459">
        <f t="shared" si="2"/>
        <v>41648</v>
      </c>
      <c r="L16" s="495">
        <f t="shared" si="3"/>
        <v>1480.8533333333332</v>
      </c>
      <c r="M16" s="464">
        <f t="shared" si="3"/>
        <v>1474.2654867256638</v>
      </c>
      <c r="N16" s="366"/>
      <c r="O16" s="446"/>
      <c r="P16" s="446"/>
      <c r="Q16" s="446"/>
      <c r="R16" s="446"/>
      <c r="S16" s="647">
        <f t="shared" si="4"/>
        <v>185.10666666666665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0"/>
        <v>0</v>
      </c>
      <c r="E17" s="499"/>
      <c r="F17" s="586">
        <f t="shared" si="1"/>
        <v>0</v>
      </c>
      <c r="G17" s="1424">
        <f t="shared" si="1"/>
        <v>0</v>
      </c>
      <c r="H17" s="498">
        <f>SUM($F$9:F17)/A17</f>
        <v>25</v>
      </c>
      <c r="I17" s="499">
        <f>SUM($G$9:G17)/A17</f>
        <v>25.111111111111111</v>
      </c>
      <c r="J17" s="443">
        <f t="shared" si="2"/>
        <v>41649</v>
      </c>
      <c r="K17" s="459">
        <f t="shared" si="2"/>
        <v>41648</v>
      </c>
      <c r="L17" s="495">
        <f t="shared" si="3"/>
        <v>1665.96</v>
      </c>
      <c r="M17" s="464">
        <f t="shared" si="3"/>
        <v>1658.5486725663718</v>
      </c>
      <c r="N17" s="366"/>
      <c r="O17" s="446"/>
      <c r="P17" s="446"/>
      <c r="Q17" s="446"/>
      <c r="R17" s="446"/>
      <c r="S17" s="647">
        <f t="shared" si="4"/>
        <v>185.10666666666665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0"/>
        <v>0</v>
      </c>
      <c r="E18" s="499"/>
      <c r="F18" s="586">
        <f t="shared" si="1"/>
        <v>0</v>
      </c>
      <c r="G18" s="1424">
        <f t="shared" si="1"/>
        <v>0</v>
      </c>
      <c r="H18" s="504">
        <f>SUM($F$9:F18)/A18</f>
        <v>22.5</v>
      </c>
      <c r="I18" s="499">
        <f>SUM($G$9:G18)/A18</f>
        <v>22.6</v>
      </c>
      <c r="J18" s="504">
        <f t="shared" si="2"/>
        <v>41649</v>
      </c>
      <c r="K18" s="459">
        <f t="shared" si="2"/>
        <v>41648</v>
      </c>
      <c r="L18" s="505">
        <f t="shared" si="3"/>
        <v>1851.0666666666666</v>
      </c>
      <c r="M18" s="464">
        <f t="shared" si="3"/>
        <v>1842.8318584070796</v>
      </c>
      <c r="N18" s="366"/>
      <c r="O18" s="446"/>
      <c r="P18" s="446"/>
      <c r="Q18" s="446"/>
      <c r="R18" s="446"/>
      <c r="S18" s="647">
        <f t="shared" si="4"/>
        <v>185.10666666666665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0"/>
        <v>0</v>
      </c>
      <c r="E19" s="499"/>
      <c r="F19" s="586">
        <f t="shared" si="1"/>
        <v>0</v>
      </c>
      <c r="G19" s="1424">
        <f t="shared" si="1"/>
        <v>0</v>
      </c>
      <c r="H19" s="498">
        <f>SUM($F$9:F19)/A19</f>
        <v>20.454545454545453</v>
      </c>
      <c r="I19" s="499">
        <f>SUM($G$9:G19)/A19</f>
        <v>20.545454545454547</v>
      </c>
      <c r="J19" s="443">
        <f t="shared" si="2"/>
        <v>41649</v>
      </c>
      <c r="K19" s="459">
        <f t="shared" si="2"/>
        <v>41648</v>
      </c>
      <c r="L19" s="495">
        <f t="shared" si="3"/>
        <v>2036.1733333333334</v>
      </c>
      <c r="M19" s="464">
        <f t="shared" si="3"/>
        <v>2027.1150442477874</v>
      </c>
      <c r="N19" s="366"/>
      <c r="O19" s="446"/>
      <c r="P19" s="446"/>
      <c r="Q19" s="446"/>
      <c r="R19" s="446"/>
      <c r="S19" s="647">
        <f t="shared" si="4"/>
        <v>185.10666666666665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0"/>
        <v>0</v>
      </c>
      <c r="E20" s="499"/>
      <c r="F20" s="586">
        <f t="shared" si="1"/>
        <v>0</v>
      </c>
      <c r="G20" s="1424">
        <f t="shared" si="1"/>
        <v>0</v>
      </c>
      <c r="H20" s="498">
        <f>SUM($F$9:F20)/A20</f>
        <v>18.75</v>
      </c>
      <c r="I20" s="499">
        <f>SUM($G$9:G20)/A20</f>
        <v>18.833333333333332</v>
      </c>
      <c r="J20" s="443">
        <f>J19+D20-F20</f>
        <v>41649</v>
      </c>
      <c r="K20" s="459">
        <f>K19+E20-G20</f>
        <v>41648</v>
      </c>
      <c r="L20" s="495">
        <f t="shared" si="3"/>
        <v>2221.2800000000002</v>
      </c>
      <c r="M20" s="464">
        <f t="shared" si="3"/>
        <v>2211.3982300884959</v>
      </c>
      <c r="N20" s="366"/>
      <c r="O20" s="446"/>
      <c r="P20" s="446"/>
      <c r="Q20" s="446"/>
      <c r="R20" s="446"/>
      <c r="S20" s="647">
        <f t="shared" si="4"/>
        <v>185.10666666666665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0"/>
        <v>0</v>
      </c>
      <c r="E21" s="499"/>
      <c r="F21" s="586">
        <f t="shared" si="1"/>
        <v>0</v>
      </c>
      <c r="G21" s="1424">
        <f t="shared" si="1"/>
        <v>0</v>
      </c>
      <c r="H21" s="498">
        <f>SUM($F$9:F21)/A21</f>
        <v>17.307692307692307</v>
      </c>
      <c r="I21" s="499">
        <f>SUM($G$9:G21)/A21</f>
        <v>17.384615384615383</v>
      </c>
      <c r="J21" s="443">
        <f t="shared" si="2"/>
        <v>41649</v>
      </c>
      <c r="K21" s="459">
        <f>K20+E21-G21</f>
        <v>41648</v>
      </c>
      <c r="L21" s="495">
        <f t="shared" si="3"/>
        <v>2406.3866666666668</v>
      </c>
      <c r="M21" s="464">
        <f t="shared" si="3"/>
        <v>2395.6814159292039</v>
      </c>
      <c r="N21" s="366"/>
      <c r="O21" s="446"/>
      <c r="P21" s="446"/>
      <c r="Q21" s="446"/>
      <c r="R21" s="446"/>
      <c r="S21" s="647">
        <f t="shared" si="4"/>
        <v>185.10666666666665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0"/>
        <v>0</v>
      </c>
      <c r="E22" s="499"/>
      <c r="F22" s="586">
        <f t="shared" si="1"/>
        <v>0</v>
      </c>
      <c r="G22" s="1424">
        <f t="shared" si="1"/>
        <v>0</v>
      </c>
      <c r="H22" s="498">
        <f>SUM($F$9:F22)/A22</f>
        <v>16.071428571428573</v>
      </c>
      <c r="I22" s="499">
        <f>SUM($G$9:G22)/A22</f>
        <v>16.142857142857142</v>
      </c>
      <c r="J22" s="443">
        <f t="shared" si="2"/>
        <v>41649</v>
      </c>
      <c r="K22" s="459">
        <f>K21+E22-G22</f>
        <v>41648</v>
      </c>
      <c r="L22" s="495">
        <f t="shared" si="3"/>
        <v>2591.4933333333329</v>
      </c>
      <c r="M22" s="464">
        <f t="shared" si="3"/>
        <v>2579.9646017699115</v>
      </c>
      <c r="N22" s="366"/>
      <c r="O22" s="446"/>
      <c r="P22" s="446"/>
      <c r="Q22" s="446"/>
      <c r="R22" s="446"/>
      <c r="S22" s="647">
        <f t="shared" si="4"/>
        <v>185.10666666666665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0"/>
        <v>0</v>
      </c>
      <c r="E23" s="499"/>
      <c r="F23" s="586">
        <f t="shared" si="1"/>
        <v>0</v>
      </c>
      <c r="G23" s="1424">
        <f t="shared" si="1"/>
        <v>0</v>
      </c>
      <c r="H23" s="504">
        <f>SUM($F$9:F23)/A23</f>
        <v>15</v>
      </c>
      <c r="I23" s="499">
        <f>SUM($G$9:G23)/A23</f>
        <v>15.066666666666666</v>
      </c>
      <c r="J23" s="504">
        <f t="shared" si="2"/>
        <v>41649</v>
      </c>
      <c r="K23" s="459">
        <f t="shared" si="2"/>
        <v>41648</v>
      </c>
      <c r="L23" s="505">
        <f t="shared" si="3"/>
        <v>2776.6</v>
      </c>
      <c r="M23" s="464">
        <f t="shared" si="3"/>
        <v>2764.2477876106195</v>
      </c>
      <c r="N23" s="366"/>
      <c r="O23" s="446"/>
      <c r="P23" s="446"/>
      <c r="Q23" s="446"/>
      <c r="R23" s="446"/>
      <c r="S23" s="647">
        <f t="shared" si="4"/>
        <v>185.10666666666665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0"/>
        <v>0</v>
      </c>
      <c r="E24" s="499"/>
      <c r="F24" s="586">
        <f t="shared" si="1"/>
        <v>0</v>
      </c>
      <c r="G24" s="1424">
        <f t="shared" si="1"/>
        <v>0</v>
      </c>
      <c r="H24" s="498">
        <f>SUM($F$9:F24)/A24</f>
        <v>14.0625</v>
      </c>
      <c r="I24" s="499">
        <f>SUM($G$9:G24)/A24</f>
        <v>14.125</v>
      </c>
      <c r="J24" s="443">
        <f t="shared" si="2"/>
        <v>41649</v>
      </c>
      <c r="K24" s="459">
        <f>K23+E24-G24</f>
        <v>41648</v>
      </c>
      <c r="L24" s="495">
        <f t="shared" si="3"/>
        <v>2961.7066666666665</v>
      </c>
      <c r="M24" s="464">
        <f t="shared" si="3"/>
        <v>2948.5309734513276</v>
      </c>
      <c r="N24" s="366"/>
      <c r="O24" s="446"/>
      <c r="P24" s="446"/>
      <c r="Q24" s="446"/>
      <c r="R24" s="446"/>
      <c r="S24" s="647">
        <f t="shared" si="4"/>
        <v>185.10666666666665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/>
      <c r="E25" s="499"/>
      <c r="F25" s="586">
        <f t="shared" si="1"/>
        <v>0</v>
      </c>
      <c r="G25" s="1424">
        <f t="shared" si="1"/>
        <v>0</v>
      </c>
      <c r="H25" s="498">
        <f>SUM($F$9:F25)/A25</f>
        <v>13.235294117647058</v>
      </c>
      <c r="I25" s="499">
        <f>SUM($G$9:G25)/A25</f>
        <v>13.294117647058824</v>
      </c>
      <c r="J25" s="443">
        <f t="shared" ref="J25:K39" si="5">J24+D25-F25</f>
        <v>41649</v>
      </c>
      <c r="K25" s="459">
        <f>K24+E25-G25</f>
        <v>41648</v>
      </c>
      <c r="L25" s="495">
        <f t="shared" si="3"/>
        <v>3146.8133333333335</v>
      </c>
      <c r="M25" s="464">
        <f t="shared" si="3"/>
        <v>3132.8141592920351</v>
      </c>
      <c r="N25" s="366"/>
      <c r="O25" s="446"/>
      <c r="P25" s="446"/>
      <c r="Q25" s="446"/>
      <c r="R25" s="446"/>
      <c r="S25" s="647">
        <f t="shared" si="4"/>
        <v>185.10666666666665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0"/>
        <v>0</v>
      </c>
      <c r="E26" s="499"/>
      <c r="F26" s="586">
        <f t="shared" si="1"/>
        <v>0</v>
      </c>
      <c r="G26" s="1424">
        <f t="shared" si="1"/>
        <v>0</v>
      </c>
      <c r="H26" s="498">
        <f>SUM($F$9:F26)/A26</f>
        <v>12.5</v>
      </c>
      <c r="I26" s="499">
        <f>SUM($G$9:G26)/A26</f>
        <v>12.555555555555555</v>
      </c>
      <c r="J26" s="443">
        <f t="shared" si="5"/>
        <v>41649</v>
      </c>
      <c r="K26" s="459">
        <f>K25+E26-G26</f>
        <v>41648</v>
      </c>
      <c r="L26" s="495">
        <f t="shared" si="3"/>
        <v>3331.92</v>
      </c>
      <c r="M26" s="464">
        <f t="shared" si="3"/>
        <v>3317.0973451327436</v>
      </c>
      <c r="N26" s="366"/>
      <c r="O26" s="446"/>
      <c r="P26" s="446"/>
      <c r="Q26" s="446"/>
      <c r="R26" s="446"/>
      <c r="S26" s="647">
        <f t="shared" si="4"/>
        <v>185.10666666666665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0"/>
        <v>0</v>
      </c>
      <c r="E27" s="499"/>
      <c r="F27" s="586">
        <f t="shared" si="1"/>
        <v>0</v>
      </c>
      <c r="G27" s="1424">
        <f t="shared" si="1"/>
        <v>0</v>
      </c>
      <c r="H27" s="498">
        <f>SUM($F$9:F27)/A27</f>
        <v>11.842105263157896</v>
      </c>
      <c r="I27" s="499">
        <f>SUM($G$9:G27)/A27</f>
        <v>11.894736842105264</v>
      </c>
      <c r="J27" s="443">
        <f t="shared" si="5"/>
        <v>41649</v>
      </c>
      <c r="K27" s="459">
        <f>K26+E27-G27</f>
        <v>41648</v>
      </c>
      <c r="L27" s="495">
        <f t="shared" si="3"/>
        <v>3517.0266666666666</v>
      </c>
      <c r="M27" s="464">
        <f t="shared" si="3"/>
        <v>3501.3805309734512</v>
      </c>
      <c r="N27" s="366"/>
      <c r="O27" s="446"/>
      <c r="P27" s="446"/>
      <c r="Q27" s="446"/>
      <c r="R27" s="446"/>
      <c r="S27" s="647">
        <f t="shared" si="4"/>
        <v>185.10666666666665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0"/>
        <v>0</v>
      </c>
      <c r="E28" s="499"/>
      <c r="F28" s="586">
        <f t="shared" si="1"/>
        <v>0</v>
      </c>
      <c r="G28" s="1424">
        <f t="shared" si="1"/>
        <v>0</v>
      </c>
      <c r="H28" s="504">
        <f>SUM($F$9:F28)/A28</f>
        <v>11.25</v>
      </c>
      <c r="I28" s="499">
        <f>SUM($G$9:G28)/A28</f>
        <v>11.3</v>
      </c>
      <c r="J28" s="504">
        <f t="shared" si="5"/>
        <v>41649</v>
      </c>
      <c r="K28" s="459">
        <f t="shared" si="5"/>
        <v>41648</v>
      </c>
      <c r="L28" s="505">
        <f t="shared" si="3"/>
        <v>3702.1333333333332</v>
      </c>
      <c r="M28" s="464">
        <f t="shared" si="3"/>
        <v>3685.6637168141592</v>
      </c>
      <c r="N28" s="366"/>
      <c r="O28" s="446"/>
      <c r="P28" s="446"/>
      <c r="Q28" s="446"/>
      <c r="R28" s="446"/>
      <c r="S28" s="647">
        <f t="shared" si="4"/>
        <v>185.10666666666665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0"/>
        <v>0</v>
      </c>
      <c r="E29" s="499"/>
      <c r="F29" s="586">
        <f t="shared" si="1"/>
        <v>0</v>
      </c>
      <c r="G29" s="1424">
        <f t="shared" si="1"/>
        <v>0</v>
      </c>
      <c r="H29" s="498">
        <f>SUM($F$9:F29)/A29</f>
        <v>10.714285714285714</v>
      </c>
      <c r="I29" s="499">
        <f>SUM($G$9:G29)/A29</f>
        <v>10.761904761904763</v>
      </c>
      <c r="J29" s="443">
        <f t="shared" si="5"/>
        <v>41649</v>
      </c>
      <c r="K29" s="459">
        <f t="shared" si="5"/>
        <v>41648</v>
      </c>
      <c r="L29" s="495">
        <f t="shared" si="3"/>
        <v>3887.2400000000002</v>
      </c>
      <c r="M29" s="464">
        <f t="shared" si="3"/>
        <v>3869.9469026548668</v>
      </c>
      <c r="N29" s="366"/>
      <c r="O29" s="446"/>
      <c r="P29" s="446"/>
      <c r="Q29" s="446"/>
      <c r="R29" s="446"/>
      <c r="S29" s="647">
        <f t="shared" si="4"/>
        <v>185.10666666666665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0"/>
        <v>0</v>
      </c>
      <c r="E30" s="499"/>
      <c r="F30" s="586">
        <f t="shared" si="1"/>
        <v>0</v>
      </c>
      <c r="G30" s="1424">
        <f t="shared" si="1"/>
        <v>0</v>
      </c>
      <c r="H30" s="498">
        <f>SUM($F$9:F30)/A30</f>
        <v>10.227272727272727</v>
      </c>
      <c r="I30" s="499">
        <f>SUM($G$9:G30)/A30</f>
        <v>10.272727272727273</v>
      </c>
      <c r="J30" s="443">
        <f t="shared" si="5"/>
        <v>41649</v>
      </c>
      <c r="K30" s="459">
        <f t="shared" si="5"/>
        <v>41648</v>
      </c>
      <c r="L30" s="495">
        <f t="shared" si="3"/>
        <v>4072.3466666666668</v>
      </c>
      <c r="M30" s="464">
        <f t="shared" si="3"/>
        <v>4054.2300884955748</v>
      </c>
      <c r="N30" s="366"/>
      <c r="O30" s="446"/>
      <c r="P30" s="446"/>
      <c r="Q30" s="446"/>
      <c r="R30" s="446"/>
      <c r="S30" s="647">
        <f t="shared" si="4"/>
        <v>185.10666666666665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0"/>
        <v>0</v>
      </c>
      <c r="E31" s="499"/>
      <c r="F31" s="586">
        <f t="shared" si="1"/>
        <v>0</v>
      </c>
      <c r="G31" s="1424">
        <f t="shared" si="1"/>
        <v>0</v>
      </c>
      <c r="H31" s="498">
        <f>SUM($F$9:F31)/A31</f>
        <v>9.7826086956521738</v>
      </c>
      <c r="I31" s="499">
        <f>SUM($G$9:G31)/A31</f>
        <v>9.8260869565217384</v>
      </c>
      <c r="J31" s="443">
        <f t="shared" si="5"/>
        <v>41649</v>
      </c>
      <c r="K31" s="459">
        <f t="shared" si="5"/>
        <v>41648</v>
      </c>
      <c r="L31" s="495">
        <f t="shared" si="3"/>
        <v>4257.4533333333329</v>
      </c>
      <c r="M31" s="464">
        <f t="shared" si="3"/>
        <v>4238.5132743362838</v>
      </c>
      <c r="N31" s="366"/>
      <c r="O31" s="446"/>
      <c r="P31" s="446"/>
      <c r="Q31" s="446"/>
      <c r="R31" s="446"/>
      <c r="S31" s="647">
        <f t="shared" si="4"/>
        <v>185.10666666666665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0"/>
        <v>0</v>
      </c>
      <c r="E32" s="499"/>
      <c r="F32" s="586">
        <f t="shared" si="1"/>
        <v>0</v>
      </c>
      <c r="G32" s="1424">
        <f t="shared" si="1"/>
        <v>0</v>
      </c>
      <c r="H32" s="498">
        <f>SUM($F$9:F32)/A32</f>
        <v>9.375</v>
      </c>
      <c r="I32" s="499">
        <f>SUM($G$9:G32)/A32</f>
        <v>9.4166666666666661</v>
      </c>
      <c r="J32" s="443">
        <f t="shared" si="5"/>
        <v>41649</v>
      </c>
      <c r="K32" s="459">
        <f t="shared" si="5"/>
        <v>41648</v>
      </c>
      <c r="L32" s="495">
        <f t="shared" si="3"/>
        <v>4442.5600000000004</v>
      </c>
      <c r="M32" s="464">
        <f t="shared" si="3"/>
        <v>4422.7964601769918</v>
      </c>
      <c r="N32" s="366"/>
      <c r="O32" s="446"/>
      <c r="P32" s="446"/>
      <c r="Q32" s="446"/>
      <c r="R32" s="446"/>
      <c r="S32" s="647">
        <f t="shared" si="4"/>
        <v>185.10666666666665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0"/>
        <v>0</v>
      </c>
      <c r="E33" s="499"/>
      <c r="F33" s="586">
        <f t="shared" si="1"/>
        <v>0</v>
      </c>
      <c r="G33" s="1424">
        <f t="shared" si="1"/>
        <v>0</v>
      </c>
      <c r="H33" s="460">
        <f>SUM($F$9:F33)/A33</f>
        <v>9</v>
      </c>
      <c r="I33" s="499">
        <f>SUM($G$9:G33)/A33</f>
        <v>9.0399999999999991</v>
      </c>
      <c r="J33" s="460">
        <f t="shared" si="5"/>
        <v>41649</v>
      </c>
      <c r="K33" s="459">
        <f t="shared" si="5"/>
        <v>41648</v>
      </c>
      <c r="L33" s="506">
        <f t="shared" si="3"/>
        <v>4627.666666666667</v>
      </c>
      <c r="M33" s="464">
        <f t="shared" si="3"/>
        <v>4607.0796460176998</v>
      </c>
      <c r="N33" s="366"/>
      <c r="O33" s="446"/>
      <c r="P33" s="446"/>
      <c r="Q33" s="446"/>
      <c r="R33" s="446"/>
      <c r="S33" s="647">
        <f t="shared" si="4"/>
        <v>185.10666666666665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0"/>
        <v>0</v>
      </c>
      <c r="E34" s="499"/>
      <c r="F34" s="586">
        <f t="shared" si="1"/>
        <v>0</v>
      </c>
      <c r="G34" s="1424">
        <f t="shared" si="1"/>
        <v>0</v>
      </c>
      <c r="H34" s="498">
        <f>SUM($F$9:F34)/A34</f>
        <v>8.6538461538461533</v>
      </c>
      <c r="I34" s="499">
        <f>SUM($G$9:G34)/A34</f>
        <v>8.6923076923076916</v>
      </c>
      <c r="J34" s="443">
        <f t="shared" si="5"/>
        <v>41649</v>
      </c>
      <c r="K34" s="459">
        <f t="shared" si="5"/>
        <v>41648</v>
      </c>
      <c r="L34" s="495">
        <f t="shared" si="3"/>
        <v>4812.7733333333335</v>
      </c>
      <c r="M34" s="464">
        <f t="shared" si="3"/>
        <v>4791.3628318584078</v>
      </c>
      <c r="N34" s="366"/>
      <c r="O34" s="446"/>
      <c r="P34" s="446"/>
      <c r="Q34" s="446"/>
      <c r="R34" s="446"/>
      <c r="S34" s="647">
        <f t="shared" si="4"/>
        <v>185.10666666666665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0"/>
        <v>0</v>
      </c>
      <c r="E35" s="499"/>
      <c r="F35" s="586">
        <f t="shared" si="1"/>
        <v>0</v>
      </c>
      <c r="G35" s="1424">
        <f t="shared" si="1"/>
        <v>0</v>
      </c>
      <c r="H35" s="498">
        <f>SUM($F$9:F35)/A35</f>
        <v>8.3333333333333339</v>
      </c>
      <c r="I35" s="499">
        <f>SUM($G$9:G35)/A35</f>
        <v>8.3703703703703702</v>
      </c>
      <c r="J35" s="443">
        <f t="shared" si="5"/>
        <v>41649</v>
      </c>
      <c r="K35" s="459">
        <f t="shared" si="5"/>
        <v>41648</v>
      </c>
      <c r="L35" s="495">
        <f t="shared" si="3"/>
        <v>4997.8799999999992</v>
      </c>
      <c r="M35" s="464">
        <f t="shared" si="3"/>
        <v>4975.646017699115</v>
      </c>
      <c r="N35" s="366"/>
      <c r="O35" s="446"/>
      <c r="P35" s="446"/>
      <c r="Q35" s="446"/>
      <c r="R35" s="446"/>
      <c r="S35" s="647">
        <f t="shared" si="4"/>
        <v>185.10666666666665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0"/>
        <v>0</v>
      </c>
      <c r="E36" s="499"/>
      <c r="F36" s="586">
        <f t="shared" si="1"/>
        <v>0</v>
      </c>
      <c r="G36" s="1424">
        <f t="shared" si="1"/>
        <v>0</v>
      </c>
      <c r="H36" s="498">
        <f>SUM($F$9:F36)/A36</f>
        <v>8.0357142857142865</v>
      </c>
      <c r="I36" s="499">
        <f>SUM($G$9:G36)/A36</f>
        <v>8.0714285714285712</v>
      </c>
      <c r="J36" s="443">
        <f t="shared" si="5"/>
        <v>41649</v>
      </c>
      <c r="K36" s="459">
        <f t="shared" si="5"/>
        <v>41648</v>
      </c>
      <c r="L36" s="495">
        <f t="shared" si="3"/>
        <v>5182.9866666666658</v>
      </c>
      <c r="M36" s="464">
        <f t="shared" si="3"/>
        <v>5159.929203539823</v>
      </c>
      <c r="N36" s="366"/>
      <c r="O36" s="446"/>
      <c r="P36" s="446"/>
      <c r="Q36" s="446"/>
      <c r="R36" s="446"/>
      <c r="S36" s="647">
        <f t="shared" si="4"/>
        <v>185.10666666666665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0"/>
        <v>0</v>
      </c>
      <c r="E37" s="499"/>
      <c r="F37" s="586">
        <f t="shared" si="1"/>
        <v>0</v>
      </c>
      <c r="G37" s="1424">
        <f t="shared" si="1"/>
        <v>0</v>
      </c>
      <c r="H37" s="498">
        <f>SUM($F$9:F37)/A37</f>
        <v>7.7586206896551726</v>
      </c>
      <c r="I37" s="499">
        <f>SUM($G$9:G37)/A37</f>
        <v>7.7931034482758621</v>
      </c>
      <c r="J37" s="443">
        <f t="shared" si="5"/>
        <v>41649</v>
      </c>
      <c r="K37" s="459">
        <f t="shared" si="5"/>
        <v>41648</v>
      </c>
      <c r="L37" s="495">
        <f t="shared" si="3"/>
        <v>5368.0933333333332</v>
      </c>
      <c r="M37" s="464">
        <f t="shared" si="3"/>
        <v>5344.212389380531</v>
      </c>
      <c r="N37" s="366"/>
      <c r="O37" s="446"/>
      <c r="P37" s="446"/>
      <c r="Q37" s="446"/>
      <c r="R37" s="446"/>
      <c r="S37" s="647">
        <f t="shared" si="4"/>
        <v>185.10666666666665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0"/>
        <v>0</v>
      </c>
      <c r="E38" s="499"/>
      <c r="F38" s="586">
        <f t="shared" si="1"/>
        <v>0</v>
      </c>
      <c r="G38" s="1424">
        <f t="shared" si="1"/>
        <v>0</v>
      </c>
      <c r="H38" s="504">
        <f>SUM($F$9:F38)/A38</f>
        <v>7.5</v>
      </c>
      <c r="I38" s="499">
        <f>SUM($G$9:G38)/A38</f>
        <v>7.5333333333333332</v>
      </c>
      <c r="J38" s="504">
        <f t="shared" si="5"/>
        <v>41649</v>
      </c>
      <c r="K38" s="459">
        <f t="shared" si="5"/>
        <v>41648</v>
      </c>
      <c r="L38" s="505">
        <f t="shared" si="3"/>
        <v>5553.2</v>
      </c>
      <c r="M38" s="464">
        <f t="shared" si="3"/>
        <v>5528.4955752212391</v>
      </c>
      <c r="N38" s="366"/>
      <c r="O38" s="446"/>
      <c r="P38" s="446"/>
      <c r="Q38" s="446"/>
      <c r="R38" s="446"/>
      <c r="S38" s="647">
        <f t="shared" si="4"/>
        <v>185.10666666666665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0"/>
        <v>0</v>
      </c>
      <c r="E39" s="499"/>
      <c r="F39" s="586">
        <f t="shared" si="1"/>
        <v>0</v>
      </c>
      <c r="G39" s="1424">
        <f t="shared" si="1"/>
        <v>0</v>
      </c>
      <c r="H39" s="498">
        <f>SUM($F$9:F39)/A39</f>
        <v>7.258064516129032</v>
      </c>
      <c r="I39" s="499">
        <f>SUM($G$9:G39)/A39</f>
        <v>7.290322580645161</v>
      </c>
      <c r="J39" s="443">
        <f t="shared" si="5"/>
        <v>41649</v>
      </c>
      <c r="K39" s="459">
        <f t="shared" si="5"/>
        <v>41648</v>
      </c>
      <c r="L39" s="495">
        <f t="shared" si="3"/>
        <v>5738.3066666666673</v>
      </c>
      <c r="M39" s="464">
        <f t="shared" si="3"/>
        <v>5712.7787610619471</v>
      </c>
      <c r="N39" s="366"/>
      <c r="O39" s="446"/>
      <c r="P39" s="446"/>
      <c r="Q39" s="446"/>
      <c r="R39" s="446"/>
      <c r="S39" s="647">
        <f t="shared" si="4"/>
        <v>185.10666666666665</v>
      </c>
    </row>
    <row r="40" spans="1:19" s="374" customFormat="1" ht="12" customHeight="1">
      <c r="A40" s="997" t="s">
        <v>29</v>
      </c>
      <c r="B40" s="998"/>
      <c r="C40" s="999"/>
      <c r="D40" s="388">
        <f>SUM(D9:D39)</f>
        <v>0</v>
      </c>
      <c r="E40" s="923">
        <f>SUM(E9:E39)</f>
        <v>0</v>
      </c>
      <c r="F40" s="389">
        <f>SUM(F9:F39)</f>
        <v>225</v>
      </c>
      <c r="G40" s="496">
        <f>SUM(G9:G39)</f>
        <v>226</v>
      </c>
      <c r="H40" s="389"/>
      <c r="I40" s="496"/>
      <c r="J40" s="389">
        <f>J39</f>
        <v>41649</v>
      </c>
      <c r="K40" s="461">
        <f>K39</f>
        <v>41648</v>
      </c>
      <c r="L40" s="464"/>
      <c r="M40" s="464"/>
      <c r="N40" s="507"/>
      <c r="O40" s="389">
        <f>SUM(O9:O39)</f>
        <v>225</v>
      </c>
      <c r="P40" s="496">
        <f>SUM(P9:P39)</f>
        <v>226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997" t="s">
        <v>15</v>
      </c>
      <c r="B41" s="998"/>
      <c r="C41" s="999"/>
      <c r="D41" s="388">
        <f>D8+D40</f>
        <v>41874</v>
      </c>
      <c r="E41" s="388">
        <f>E8+E40</f>
        <v>41874</v>
      </c>
      <c r="F41" s="389">
        <f>F40</f>
        <v>225</v>
      </c>
      <c r="G41" s="496">
        <f>G40</f>
        <v>226</v>
      </c>
      <c r="H41" s="389"/>
      <c r="I41" s="496"/>
      <c r="J41" s="389">
        <f>D41-F41</f>
        <v>41649</v>
      </c>
      <c r="K41" s="389">
        <f>E41-G41</f>
        <v>41648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9659" priority="163" operator="lessThan">
      <formula>15</formula>
    </cfRule>
    <cfRule type="cellIs" dxfId="9658" priority="164" operator="greaterThan">
      <formula>20</formula>
    </cfRule>
    <cfRule type="cellIs" dxfId="9657" priority="165" operator="between">
      <formula>15</formula>
      <formula>20</formula>
    </cfRule>
    <cfRule type="cellIs" dxfId="9656" priority="166" operator="between">
      <formula>15</formula>
      <formula>20</formula>
    </cfRule>
    <cfRule type="cellIs" dxfId="9655" priority="167" operator="lessThan">
      <formula>15</formula>
    </cfRule>
    <cfRule type="cellIs" dxfId="9654" priority="168" operator="greaterThan">
      <formula>20</formula>
    </cfRule>
    <cfRule type="cellIs" dxfId="9653" priority="169" operator="between">
      <formula>15</formula>
      <formula>21</formula>
    </cfRule>
    <cfRule type="cellIs" dxfId="9652" priority="170" operator="lessThan">
      <formula>15</formula>
    </cfRule>
    <cfRule type="cellIs" dxfId="9651" priority="171" operator="greaterThan">
      <formula>21</formula>
    </cfRule>
  </conditionalFormatting>
  <conditionalFormatting sqref="M9:M39">
    <cfRule type="cellIs" dxfId="9650" priority="154" operator="lessThan">
      <formula>15</formula>
    </cfRule>
    <cfRule type="cellIs" dxfId="9649" priority="155" operator="greaterThan">
      <formula>20</formula>
    </cfRule>
    <cfRule type="cellIs" dxfId="9648" priority="156" operator="between">
      <formula>15</formula>
      <formula>20</formula>
    </cfRule>
    <cfRule type="cellIs" dxfId="9647" priority="157" operator="between">
      <formula>15</formula>
      <formula>20</formula>
    </cfRule>
    <cfRule type="cellIs" dxfId="9646" priority="158" operator="lessThan">
      <formula>15</formula>
    </cfRule>
    <cfRule type="cellIs" dxfId="9645" priority="159" operator="greaterThan">
      <formula>20</formula>
    </cfRule>
    <cfRule type="cellIs" dxfId="9644" priority="160" operator="between">
      <formula>15</formula>
      <formula>21</formula>
    </cfRule>
    <cfRule type="cellIs" dxfId="9643" priority="161" operator="lessThan">
      <formula>15</formula>
    </cfRule>
    <cfRule type="cellIs" dxfId="9642" priority="162" operator="greaterThan">
      <formula>21</formula>
    </cfRule>
  </conditionalFormatting>
  <conditionalFormatting sqref="M9:M39">
    <cfRule type="cellIs" dxfId="9641" priority="145" operator="lessThan">
      <formula>15</formula>
    </cfRule>
    <cfRule type="cellIs" dxfId="9640" priority="146" operator="greaterThan">
      <formula>20</formula>
    </cfRule>
    <cfRule type="cellIs" dxfId="9639" priority="147" operator="between">
      <formula>15</formula>
      <formula>20</formula>
    </cfRule>
    <cfRule type="cellIs" dxfId="9638" priority="148" operator="between">
      <formula>15</formula>
      <formula>20</formula>
    </cfRule>
    <cfRule type="cellIs" dxfId="9637" priority="149" operator="lessThan">
      <formula>15</formula>
    </cfRule>
    <cfRule type="cellIs" dxfId="9636" priority="150" operator="greaterThan">
      <formula>20</formula>
    </cfRule>
    <cfRule type="cellIs" dxfId="9635" priority="151" operator="between">
      <formula>15</formula>
      <formula>21</formula>
    </cfRule>
    <cfRule type="cellIs" dxfId="9634" priority="152" operator="lessThan">
      <formula>15</formula>
    </cfRule>
    <cfRule type="cellIs" dxfId="9633" priority="153" operator="greaterThan">
      <formula>21</formula>
    </cfRule>
  </conditionalFormatting>
  <conditionalFormatting sqref="M9:M39">
    <cfRule type="cellIs" dxfId="9632" priority="136" operator="lessThan">
      <formula>15</formula>
    </cfRule>
    <cfRule type="cellIs" dxfId="9631" priority="137" operator="greaterThan">
      <formula>20</formula>
    </cfRule>
    <cfRule type="cellIs" dxfId="9630" priority="138" operator="between">
      <formula>15</formula>
      <formula>20</formula>
    </cfRule>
    <cfRule type="cellIs" dxfId="9629" priority="139" operator="between">
      <formula>15</formula>
      <formula>20</formula>
    </cfRule>
    <cfRule type="cellIs" dxfId="9628" priority="140" operator="lessThan">
      <formula>15</formula>
    </cfRule>
    <cfRule type="cellIs" dxfId="9627" priority="141" operator="greaterThan">
      <formula>20</formula>
    </cfRule>
    <cfRule type="cellIs" dxfId="9626" priority="142" operator="between">
      <formula>15</formula>
      <formula>21</formula>
    </cfRule>
    <cfRule type="cellIs" dxfId="9625" priority="143" operator="lessThan">
      <formula>15</formula>
    </cfRule>
    <cfRule type="cellIs" dxfId="9624" priority="144" operator="greaterThan">
      <formula>21</formula>
    </cfRule>
  </conditionalFormatting>
  <conditionalFormatting sqref="M9:M39">
    <cfRule type="cellIs" dxfId="9623" priority="127" operator="lessThan">
      <formula>15</formula>
    </cfRule>
    <cfRule type="cellIs" dxfId="9622" priority="128" operator="greaterThan">
      <formula>20</formula>
    </cfRule>
    <cfRule type="cellIs" dxfId="9621" priority="129" operator="between">
      <formula>15</formula>
      <formula>20</formula>
    </cfRule>
    <cfRule type="cellIs" dxfId="9620" priority="130" operator="between">
      <formula>15</formula>
      <formula>20</formula>
    </cfRule>
    <cfRule type="cellIs" dxfId="9619" priority="131" operator="lessThan">
      <formula>15</formula>
    </cfRule>
    <cfRule type="cellIs" dxfId="9618" priority="132" operator="greaterThan">
      <formula>20</formula>
    </cfRule>
    <cfRule type="cellIs" dxfId="9617" priority="133" operator="between">
      <formula>15</formula>
      <formula>21</formula>
    </cfRule>
    <cfRule type="cellIs" dxfId="9616" priority="134" operator="lessThan">
      <formula>15</formula>
    </cfRule>
    <cfRule type="cellIs" dxfId="9615" priority="135" operator="greaterThan">
      <formula>21</formula>
    </cfRule>
  </conditionalFormatting>
  <conditionalFormatting sqref="M9:M39">
    <cfRule type="cellIs" dxfId="9614" priority="118" operator="lessThan">
      <formula>15</formula>
    </cfRule>
    <cfRule type="cellIs" dxfId="9613" priority="119" operator="greaterThan">
      <formula>20</formula>
    </cfRule>
    <cfRule type="cellIs" dxfId="9612" priority="120" operator="between">
      <formula>15</formula>
      <formula>20</formula>
    </cfRule>
    <cfRule type="cellIs" dxfId="9611" priority="121" operator="between">
      <formula>15</formula>
      <formula>20</formula>
    </cfRule>
    <cfRule type="cellIs" dxfId="9610" priority="122" operator="lessThan">
      <formula>15</formula>
    </cfRule>
    <cfRule type="cellIs" dxfId="9609" priority="123" operator="greaterThan">
      <formula>20</formula>
    </cfRule>
    <cfRule type="cellIs" dxfId="9608" priority="124" operator="between">
      <formula>15</formula>
      <formula>21</formula>
    </cfRule>
    <cfRule type="cellIs" dxfId="9607" priority="125" operator="lessThan">
      <formula>15</formula>
    </cfRule>
    <cfRule type="cellIs" dxfId="9606" priority="126" operator="greaterThan">
      <formula>21</formula>
    </cfRule>
  </conditionalFormatting>
  <conditionalFormatting sqref="M9:M39">
    <cfRule type="cellIs" dxfId="9605" priority="109" operator="lessThan">
      <formula>15</formula>
    </cfRule>
    <cfRule type="cellIs" dxfId="9604" priority="110" operator="greaterThan">
      <formula>20</formula>
    </cfRule>
    <cfRule type="cellIs" dxfId="9603" priority="111" operator="between">
      <formula>15</formula>
      <formula>20</formula>
    </cfRule>
    <cfRule type="cellIs" dxfId="9602" priority="112" operator="between">
      <formula>15</formula>
      <formula>20</formula>
    </cfRule>
    <cfRule type="cellIs" dxfId="9601" priority="113" operator="lessThan">
      <formula>15</formula>
    </cfRule>
    <cfRule type="cellIs" dxfId="9600" priority="114" operator="greaterThan">
      <formula>20</formula>
    </cfRule>
    <cfRule type="cellIs" dxfId="9599" priority="115" operator="between">
      <formula>15</formula>
      <formula>21</formula>
    </cfRule>
    <cfRule type="cellIs" dxfId="9598" priority="116" operator="lessThan">
      <formula>15</formula>
    </cfRule>
    <cfRule type="cellIs" dxfId="9597" priority="117" operator="greaterThan">
      <formula>21</formula>
    </cfRule>
  </conditionalFormatting>
  <conditionalFormatting sqref="M9:M39">
    <cfRule type="cellIs" dxfId="9596" priority="100" operator="lessThan">
      <formula>15</formula>
    </cfRule>
    <cfRule type="cellIs" dxfId="9595" priority="101" operator="greaterThan">
      <formula>20</formula>
    </cfRule>
    <cfRule type="cellIs" dxfId="9594" priority="102" operator="between">
      <formula>15</formula>
      <formula>20</formula>
    </cfRule>
    <cfRule type="cellIs" dxfId="9593" priority="103" operator="between">
      <formula>15</formula>
      <formula>20</formula>
    </cfRule>
    <cfRule type="cellIs" dxfId="9592" priority="104" operator="lessThan">
      <formula>15</formula>
    </cfRule>
    <cfRule type="cellIs" dxfId="9591" priority="105" operator="greaterThan">
      <formula>20</formula>
    </cfRule>
    <cfRule type="cellIs" dxfId="9590" priority="106" operator="between">
      <formula>15</formula>
      <formula>21</formula>
    </cfRule>
    <cfRule type="cellIs" dxfId="9589" priority="107" operator="lessThan">
      <formula>15</formula>
    </cfRule>
    <cfRule type="cellIs" dxfId="9588" priority="108" operator="greaterThan">
      <formula>21</formula>
    </cfRule>
  </conditionalFormatting>
  <conditionalFormatting sqref="M9:M39">
    <cfRule type="cellIs" dxfId="9587" priority="91" operator="lessThan">
      <formula>15</formula>
    </cfRule>
    <cfRule type="cellIs" dxfId="9586" priority="92" operator="greaterThan">
      <formula>20</formula>
    </cfRule>
    <cfRule type="cellIs" dxfId="9585" priority="93" operator="between">
      <formula>15</formula>
      <formula>20</formula>
    </cfRule>
    <cfRule type="cellIs" dxfId="9584" priority="94" operator="between">
      <formula>15</formula>
      <formula>20</formula>
    </cfRule>
    <cfRule type="cellIs" dxfId="9583" priority="95" operator="lessThan">
      <formula>15</formula>
    </cfRule>
    <cfRule type="cellIs" dxfId="9582" priority="96" operator="greaterThan">
      <formula>20</formula>
    </cfRule>
    <cfRule type="cellIs" dxfId="9581" priority="97" operator="between">
      <formula>15</formula>
      <formula>21</formula>
    </cfRule>
    <cfRule type="cellIs" dxfId="9580" priority="98" operator="lessThan">
      <formula>15</formula>
    </cfRule>
    <cfRule type="cellIs" dxfId="9579" priority="99" operator="greaterThan">
      <formula>21</formula>
    </cfRule>
  </conditionalFormatting>
  <conditionalFormatting sqref="M9:M39">
    <cfRule type="cellIs" dxfId="9578" priority="82" operator="lessThan">
      <formula>15</formula>
    </cfRule>
    <cfRule type="cellIs" dxfId="9577" priority="83" operator="greaterThan">
      <formula>20</formula>
    </cfRule>
    <cfRule type="cellIs" dxfId="9576" priority="84" operator="between">
      <formula>15</formula>
      <formula>20</formula>
    </cfRule>
    <cfRule type="cellIs" dxfId="9575" priority="85" operator="between">
      <formula>15</formula>
      <formula>20</formula>
    </cfRule>
    <cfRule type="cellIs" dxfId="9574" priority="86" operator="lessThan">
      <formula>15</formula>
    </cfRule>
    <cfRule type="cellIs" dxfId="9573" priority="87" operator="greaterThan">
      <formula>20</formula>
    </cfRule>
    <cfRule type="cellIs" dxfId="9572" priority="88" operator="between">
      <formula>15</formula>
      <formula>21</formula>
    </cfRule>
    <cfRule type="cellIs" dxfId="9571" priority="89" operator="lessThan">
      <formula>15</formula>
    </cfRule>
    <cfRule type="cellIs" dxfId="9570" priority="90" operator="greaterThan">
      <formula>21</formula>
    </cfRule>
  </conditionalFormatting>
  <conditionalFormatting sqref="M9:M39">
    <cfRule type="cellIs" dxfId="9569" priority="73" operator="lessThan">
      <formula>15</formula>
    </cfRule>
    <cfRule type="cellIs" dxfId="9568" priority="74" operator="greaterThan">
      <formula>20</formula>
    </cfRule>
    <cfRule type="cellIs" dxfId="9567" priority="75" operator="between">
      <formula>15</formula>
      <formula>20</formula>
    </cfRule>
    <cfRule type="cellIs" dxfId="9566" priority="76" operator="between">
      <formula>15</formula>
      <formula>20</formula>
    </cfRule>
    <cfRule type="cellIs" dxfId="9565" priority="77" operator="lessThan">
      <formula>15</formula>
    </cfRule>
    <cfRule type="cellIs" dxfId="9564" priority="78" operator="greaterThan">
      <formula>20</formula>
    </cfRule>
    <cfRule type="cellIs" dxfId="9563" priority="79" operator="between">
      <formula>15</formula>
      <formula>21</formula>
    </cfRule>
    <cfRule type="cellIs" dxfId="9562" priority="80" operator="lessThan">
      <formula>15</formula>
    </cfRule>
    <cfRule type="cellIs" dxfId="9561" priority="81" operator="greaterThan">
      <formula>21</formula>
    </cfRule>
  </conditionalFormatting>
  <conditionalFormatting sqref="M9:M39">
    <cfRule type="cellIs" dxfId="9560" priority="64" operator="lessThan">
      <formula>15</formula>
    </cfRule>
    <cfRule type="cellIs" dxfId="9559" priority="65" operator="greaterThan">
      <formula>20</formula>
    </cfRule>
    <cfRule type="cellIs" dxfId="9558" priority="66" operator="between">
      <formula>15</formula>
      <formula>20</formula>
    </cfRule>
    <cfRule type="cellIs" dxfId="9557" priority="67" operator="between">
      <formula>15</formula>
      <formula>20</formula>
    </cfRule>
    <cfRule type="cellIs" dxfId="9556" priority="68" operator="lessThan">
      <formula>15</formula>
    </cfRule>
    <cfRule type="cellIs" dxfId="9555" priority="69" operator="greaterThan">
      <formula>20</formula>
    </cfRule>
    <cfRule type="cellIs" dxfId="9554" priority="70" operator="between">
      <formula>15</formula>
      <formula>21</formula>
    </cfRule>
    <cfRule type="cellIs" dxfId="9553" priority="71" operator="lessThan">
      <formula>15</formula>
    </cfRule>
    <cfRule type="cellIs" dxfId="9552" priority="72" operator="greaterThan">
      <formula>21</formula>
    </cfRule>
  </conditionalFormatting>
  <conditionalFormatting sqref="M9:M39">
    <cfRule type="cellIs" dxfId="9551" priority="55" operator="lessThan">
      <formula>15</formula>
    </cfRule>
    <cfRule type="cellIs" dxfId="9550" priority="56" operator="greaterThan">
      <formula>20</formula>
    </cfRule>
    <cfRule type="cellIs" dxfId="9549" priority="57" operator="between">
      <formula>15</formula>
      <formula>20</formula>
    </cfRule>
    <cfRule type="cellIs" dxfId="9548" priority="58" operator="between">
      <formula>15</formula>
      <formula>20</formula>
    </cfRule>
    <cfRule type="cellIs" dxfId="9547" priority="59" operator="lessThan">
      <formula>15</formula>
    </cfRule>
    <cfRule type="cellIs" dxfId="9546" priority="60" operator="greaterThan">
      <formula>20</formula>
    </cfRule>
    <cfRule type="cellIs" dxfId="9545" priority="61" operator="between">
      <formula>15</formula>
      <formula>21</formula>
    </cfRule>
    <cfRule type="cellIs" dxfId="9544" priority="62" operator="lessThan">
      <formula>15</formula>
    </cfRule>
    <cfRule type="cellIs" dxfId="9543" priority="63" operator="greaterThan">
      <formula>21</formula>
    </cfRule>
  </conditionalFormatting>
  <conditionalFormatting sqref="M9:M39">
    <cfRule type="cellIs" dxfId="9542" priority="46" operator="lessThan">
      <formula>15</formula>
    </cfRule>
    <cfRule type="cellIs" dxfId="9541" priority="47" operator="greaterThan">
      <formula>20</formula>
    </cfRule>
    <cfRule type="cellIs" dxfId="9540" priority="48" operator="between">
      <formula>15</formula>
      <formula>20</formula>
    </cfRule>
    <cfRule type="cellIs" dxfId="9539" priority="49" operator="between">
      <formula>15</formula>
      <formula>20</formula>
    </cfRule>
    <cfRule type="cellIs" dxfId="9538" priority="50" operator="lessThan">
      <formula>15</formula>
    </cfRule>
    <cfRule type="cellIs" dxfId="9537" priority="51" operator="greaterThan">
      <formula>20</formula>
    </cfRule>
    <cfRule type="cellIs" dxfId="9536" priority="52" operator="between">
      <formula>15</formula>
      <formula>21</formula>
    </cfRule>
    <cfRule type="cellIs" dxfId="9535" priority="53" operator="lessThan">
      <formula>15</formula>
    </cfRule>
    <cfRule type="cellIs" dxfId="9534" priority="54" operator="greaterThan">
      <formula>21</formula>
    </cfRule>
  </conditionalFormatting>
  <conditionalFormatting sqref="M9:M39">
    <cfRule type="cellIs" dxfId="9533" priority="37" operator="lessThan">
      <formula>15</formula>
    </cfRule>
    <cfRule type="cellIs" dxfId="9532" priority="38" operator="greaterThan">
      <formula>20</formula>
    </cfRule>
    <cfRule type="cellIs" dxfId="9531" priority="39" operator="between">
      <formula>15</formula>
      <formula>20</formula>
    </cfRule>
    <cfRule type="cellIs" dxfId="9530" priority="40" operator="between">
      <formula>15</formula>
      <formula>20</formula>
    </cfRule>
    <cfRule type="cellIs" dxfId="9529" priority="41" operator="lessThan">
      <formula>15</formula>
    </cfRule>
    <cfRule type="cellIs" dxfId="9528" priority="42" operator="greaterThan">
      <formula>20</formula>
    </cfRule>
    <cfRule type="cellIs" dxfId="9527" priority="43" operator="between">
      <formula>15</formula>
      <formula>21</formula>
    </cfRule>
    <cfRule type="cellIs" dxfId="9526" priority="44" operator="lessThan">
      <formula>15</formula>
    </cfRule>
    <cfRule type="cellIs" dxfId="9525" priority="45" operator="greaterThan">
      <formula>21</formula>
    </cfRule>
  </conditionalFormatting>
  <conditionalFormatting sqref="M9:M39">
    <cfRule type="cellIs" dxfId="9524" priority="28" operator="lessThan">
      <formula>15</formula>
    </cfRule>
    <cfRule type="cellIs" dxfId="9523" priority="29" operator="greaterThan">
      <formula>20</formula>
    </cfRule>
    <cfRule type="cellIs" dxfId="9522" priority="30" operator="between">
      <formula>15</formula>
      <formula>20</formula>
    </cfRule>
    <cfRule type="cellIs" dxfId="9521" priority="31" operator="between">
      <formula>15</formula>
      <formula>20</formula>
    </cfRule>
    <cfRule type="cellIs" dxfId="9520" priority="32" operator="lessThan">
      <formula>15</formula>
    </cfRule>
    <cfRule type="cellIs" dxfId="9519" priority="33" operator="greaterThan">
      <formula>20</formula>
    </cfRule>
    <cfRule type="cellIs" dxfId="9518" priority="34" operator="between">
      <formula>15</formula>
      <formula>21</formula>
    </cfRule>
    <cfRule type="cellIs" dxfId="9517" priority="35" operator="lessThan">
      <formula>15</formula>
    </cfRule>
    <cfRule type="cellIs" dxfId="9516" priority="36" operator="greaterThan">
      <formula>21</formula>
    </cfRule>
  </conditionalFormatting>
  <conditionalFormatting sqref="M9:M39">
    <cfRule type="cellIs" dxfId="9515" priority="19" operator="lessThan">
      <formula>15</formula>
    </cfRule>
    <cfRule type="cellIs" dxfId="9514" priority="20" operator="greaterThan">
      <formula>20</formula>
    </cfRule>
    <cfRule type="cellIs" dxfId="9513" priority="21" operator="between">
      <formula>15</formula>
      <formula>20</formula>
    </cfRule>
    <cfRule type="cellIs" dxfId="9512" priority="22" operator="between">
      <formula>15</formula>
      <formula>20</formula>
    </cfRule>
    <cfRule type="cellIs" dxfId="9511" priority="23" operator="lessThan">
      <formula>15</formula>
    </cfRule>
    <cfRule type="cellIs" dxfId="9510" priority="24" operator="greaterThan">
      <formula>20</formula>
    </cfRule>
    <cfRule type="cellIs" dxfId="9509" priority="25" operator="between">
      <formula>15</formula>
      <formula>21</formula>
    </cfRule>
    <cfRule type="cellIs" dxfId="9508" priority="26" operator="lessThan">
      <formula>15</formula>
    </cfRule>
    <cfRule type="cellIs" dxfId="9507" priority="27" operator="greaterThan">
      <formula>21</formula>
    </cfRule>
  </conditionalFormatting>
  <conditionalFormatting sqref="M9:M39">
    <cfRule type="cellIs" dxfId="9506" priority="10" operator="lessThan">
      <formula>15</formula>
    </cfRule>
    <cfRule type="cellIs" dxfId="9505" priority="11" operator="greaterThan">
      <formula>20</formula>
    </cfRule>
    <cfRule type="cellIs" dxfId="9504" priority="12" operator="between">
      <formula>15</formula>
      <formula>20</formula>
    </cfRule>
    <cfRule type="cellIs" dxfId="9503" priority="13" operator="between">
      <formula>15</formula>
      <formula>20</formula>
    </cfRule>
    <cfRule type="cellIs" dxfId="9502" priority="14" operator="lessThan">
      <formula>15</formula>
    </cfRule>
    <cfRule type="cellIs" dxfId="9501" priority="15" operator="greaterThan">
      <formula>20</formula>
    </cfRule>
    <cfRule type="cellIs" dxfId="9500" priority="16" operator="between">
      <formula>15</formula>
      <formula>21</formula>
    </cfRule>
    <cfRule type="cellIs" dxfId="9499" priority="17" operator="lessThan">
      <formula>15</formula>
    </cfRule>
    <cfRule type="cellIs" dxfId="9498" priority="18" operator="greaterThan">
      <formula>21</formula>
    </cfRule>
  </conditionalFormatting>
  <conditionalFormatting sqref="M9:M39">
    <cfRule type="cellIs" dxfId="9497" priority="1" operator="lessThan">
      <formula>15</formula>
    </cfRule>
    <cfRule type="cellIs" dxfId="9496" priority="2" operator="greaterThan">
      <formula>20</formula>
    </cfRule>
    <cfRule type="cellIs" dxfId="9495" priority="3" operator="between">
      <formula>15</formula>
      <formula>20</formula>
    </cfRule>
    <cfRule type="cellIs" dxfId="9494" priority="4" operator="between">
      <formula>15</formula>
      <formula>20</formula>
    </cfRule>
    <cfRule type="cellIs" dxfId="9493" priority="5" operator="lessThan">
      <formula>15</formula>
    </cfRule>
    <cfRule type="cellIs" dxfId="9492" priority="6" operator="greaterThan">
      <formula>20</formula>
    </cfRule>
    <cfRule type="cellIs" dxfId="9491" priority="7" operator="between">
      <formula>15</formula>
      <formula>21</formula>
    </cfRule>
    <cfRule type="cellIs" dxfId="9490" priority="8" operator="lessThan">
      <formula>15</formula>
    </cfRule>
    <cfRule type="cellIs" dxfId="9489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C49"/>
  <sheetViews>
    <sheetView workbookViewId="0">
      <pane ySplit="8" topLeftCell="A9" activePane="bottomLeft" state="frozen"/>
      <selection pane="bottomLeft" activeCell="R19" sqref="R19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8" width="9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038" customFormat="1" ht="15" customHeight="1">
      <c r="A4" s="1600" t="s">
        <v>33</v>
      </c>
      <c r="B4" s="1600"/>
      <c r="C4" s="316" t="str">
        <f>J4</f>
        <v>FRIT VS28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830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25200.45</v>
      </c>
      <c r="E8" s="388">
        <f>K8</f>
        <v>25455</v>
      </c>
      <c r="F8" s="389"/>
      <c r="G8" s="388"/>
      <c r="H8" s="387"/>
      <c r="I8" s="388"/>
      <c r="J8" s="937">
        <f>K8-K8*N8</f>
        <v>25200.45</v>
      </c>
      <c r="K8" s="937">
        <v>25455</v>
      </c>
      <c r="L8" s="462"/>
      <c r="M8" s="463"/>
      <c r="N8" s="366">
        <v>0.01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900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25200.45</v>
      </c>
      <c r="K9" s="459">
        <f t="shared" si="0"/>
        <v>25455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28.000500000000002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900</v>
      </c>
      <c r="G10" s="1424">
        <f t="shared" si="2"/>
        <v>909</v>
      </c>
      <c r="H10" s="498">
        <f>SUM($F$9:F10)/A10</f>
        <v>450</v>
      </c>
      <c r="I10" s="499">
        <f>SUM($G$9:G10)/A10</f>
        <v>454.5</v>
      </c>
      <c r="J10" s="443">
        <f t="shared" si="0"/>
        <v>24300.45</v>
      </c>
      <c r="K10" s="459">
        <f t="shared" si="0"/>
        <v>24546</v>
      </c>
      <c r="L10" s="495">
        <f t="shared" ref="L10:M39" si="3">J10/H10</f>
        <v>54.001000000000005</v>
      </c>
      <c r="M10" s="464">
        <f t="shared" si="3"/>
        <v>54.006600660066006</v>
      </c>
      <c r="N10" s="366"/>
      <c r="O10" s="446"/>
      <c r="P10" s="446"/>
      <c r="Q10" s="446">
        <v>900</v>
      </c>
      <c r="R10" s="446">
        <v>909</v>
      </c>
      <c r="S10" s="647">
        <f t="shared" ref="S10:S39" si="4">J10/$S$8</f>
        <v>27.000500000000002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300</v>
      </c>
      <c r="I11" s="499">
        <f>SUM($G$9:G11)/A11</f>
        <v>303</v>
      </c>
      <c r="J11" s="443">
        <f t="shared" si="0"/>
        <v>24300.45</v>
      </c>
      <c r="K11" s="459">
        <f t="shared" si="0"/>
        <v>24546</v>
      </c>
      <c r="L11" s="495">
        <f t="shared" si="3"/>
        <v>81.001500000000007</v>
      </c>
      <c r="M11" s="464">
        <f t="shared" si="3"/>
        <v>81.009900990099013</v>
      </c>
      <c r="N11" s="366"/>
      <c r="O11" s="446"/>
      <c r="P11" s="446"/>
      <c r="Q11" s="446"/>
      <c r="R11" s="446"/>
      <c r="S11" s="647">
        <f t="shared" si="4"/>
        <v>27.000500000000002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900</v>
      </c>
      <c r="G12" s="1424">
        <f t="shared" si="2"/>
        <v>907</v>
      </c>
      <c r="H12" s="498">
        <f>SUM($F$9:F12)/A12</f>
        <v>450</v>
      </c>
      <c r="I12" s="499">
        <f>SUM($G$9:G12)/A12</f>
        <v>454</v>
      </c>
      <c r="J12" s="443">
        <f t="shared" si="0"/>
        <v>23400.45</v>
      </c>
      <c r="K12" s="459">
        <f t="shared" si="0"/>
        <v>23639</v>
      </c>
      <c r="L12" s="495">
        <f t="shared" si="3"/>
        <v>52.001000000000005</v>
      </c>
      <c r="M12" s="464">
        <f t="shared" si="3"/>
        <v>52.068281938325988</v>
      </c>
      <c r="N12" s="366"/>
      <c r="O12" s="446"/>
      <c r="P12" s="446"/>
      <c r="Q12" s="446">
        <v>900</v>
      </c>
      <c r="R12" s="446">
        <v>907</v>
      </c>
      <c r="S12" s="647">
        <f t="shared" si="4"/>
        <v>26.000500000000002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900</v>
      </c>
      <c r="G13" s="1424">
        <f t="shared" si="2"/>
        <v>904</v>
      </c>
      <c r="H13" s="504">
        <f>SUM($F$9:F13)/A13</f>
        <v>540</v>
      </c>
      <c r="I13" s="499">
        <f>SUM($G$9:G13)/A13</f>
        <v>544</v>
      </c>
      <c r="J13" s="504">
        <f t="shared" si="0"/>
        <v>22500.45</v>
      </c>
      <c r="K13" s="459">
        <f t="shared" si="0"/>
        <v>22735</v>
      </c>
      <c r="L13" s="505">
        <f t="shared" si="3"/>
        <v>41.667500000000004</v>
      </c>
      <c r="M13" s="464">
        <f t="shared" si="3"/>
        <v>41.792279411764703</v>
      </c>
      <c r="N13" s="366"/>
      <c r="O13" s="446"/>
      <c r="P13" s="446"/>
      <c r="Q13" s="446">
        <v>900</v>
      </c>
      <c r="R13" s="446">
        <v>904</v>
      </c>
      <c r="S13" s="647">
        <f t="shared" si="4"/>
        <v>25.000500000000002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900</v>
      </c>
      <c r="G14" s="1424">
        <f t="shared" si="2"/>
        <v>904</v>
      </c>
      <c r="H14" s="498">
        <f>SUM($F$9:F14)/A14</f>
        <v>600</v>
      </c>
      <c r="I14" s="499">
        <f>SUM($G$9:G14)/A14</f>
        <v>604</v>
      </c>
      <c r="J14" s="443">
        <f t="shared" si="0"/>
        <v>21600.45</v>
      </c>
      <c r="K14" s="459">
        <f t="shared" si="0"/>
        <v>21831</v>
      </c>
      <c r="L14" s="495">
        <f t="shared" si="3"/>
        <v>36.000750000000004</v>
      </c>
      <c r="M14" s="464">
        <f t="shared" si="3"/>
        <v>36.144039735099341</v>
      </c>
      <c r="N14" s="366"/>
      <c r="O14" s="446"/>
      <c r="P14" s="446"/>
      <c r="Q14" s="446">
        <v>900</v>
      </c>
      <c r="R14" s="446">
        <v>904</v>
      </c>
      <c r="S14" s="647">
        <f t="shared" si="4"/>
        <v>24.000500000000002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900</v>
      </c>
      <c r="G15" s="1424">
        <f t="shared" si="2"/>
        <v>904</v>
      </c>
      <c r="H15" s="498">
        <f>SUM($F$9:F15)/A15</f>
        <v>642.85714285714289</v>
      </c>
      <c r="I15" s="499">
        <f>SUM($G$9:G15)/A15</f>
        <v>646.85714285714289</v>
      </c>
      <c r="J15" s="443">
        <f t="shared" si="0"/>
        <v>20700.45</v>
      </c>
      <c r="K15" s="459">
        <f t="shared" si="0"/>
        <v>20927</v>
      </c>
      <c r="L15" s="495">
        <f t="shared" si="3"/>
        <v>32.200699999999998</v>
      </c>
      <c r="M15" s="464">
        <f t="shared" si="3"/>
        <v>32.351810954063602</v>
      </c>
      <c r="N15" s="366"/>
      <c r="O15" s="446"/>
      <c r="P15" s="446"/>
      <c r="Q15" s="446">
        <v>900</v>
      </c>
      <c r="R15" s="446">
        <v>904</v>
      </c>
      <c r="S15" s="647">
        <f t="shared" si="4"/>
        <v>23.000500000000002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1800</v>
      </c>
      <c r="G16" s="1424">
        <f t="shared" si="2"/>
        <v>1808</v>
      </c>
      <c r="H16" s="498">
        <f>SUM($F$9:F16)/A16</f>
        <v>787.5</v>
      </c>
      <c r="I16" s="499">
        <f>SUM($G$9:G16)/A16</f>
        <v>792</v>
      </c>
      <c r="J16" s="443">
        <f t="shared" si="0"/>
        <v>18900.45</v>
      </c>
      <c r="K16" s="459">
        <f t="shared" si="0"/>
        <v>19119</v>
      </c>
      <c r="L16" s="495">
        <f t="shared" si="3"/>
        <v>24.00057142857143</v>
      </c>
      <c r="M16" s="464">
        <f t="shared" si="3"/>
        <v>24.140151515151516</v>
      </c>
      <c r="N16" s="366"/>
      <c r="O16" s="446"/>
      <c r="P16" s="446"/>
      <c r="Q16" s="446">
        <v>1800</v>
      </c>
      <c r="R16" s="446">
        <v>1808</v>
      </c>
      <c r="S16" s="647">
        <f t="shared" si="4"/>
        <v>21.000500000000002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900</v>
      </c>
      <c r="G17" s="1424">
        <f t="shared" si="2"/>
        <v>904</v>
      </c>
      <c r="H17" s="498">
        <f>SUM($F$9:F17)/A17</f>
        <v>800</v>
      </c>
      <c r="I17" s="499">
        <f>SUM($G$9:G17)/A17</f>
        <v>804.44444444444446</v>
      </c>
      <c r="J17" s="443">
        <f t="shared" si="0"/>
        <v>18000.45</v>
      </c>
      <c r="K17" s="459">
        <f t="shared" si="0"/>
        <v>18215</v>
      </c>
      <c r="L17" s="495">
        <f t="shared" si="3"/>
        <v>22.500562500000001</v>
      </c>
      <c r="M17" s="464">
        <f t="shared" si="3"/>
        <v>22.642955801104971</v>
      </c>
      <c r="N17" s="366"/>
      <c r="O17" s="446"/>
      <c r="P17" s="446"/>
      <c r="Q17" s="446">
        <v>900</v>
      </c>
      <c r="R17" s="446">
        <v>904</v>
      </c>
      <c r="S17" s="647">
        <f t="shared" si="4"/>
        <v>20.000500000000002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960</v>
      </c>
      <c r="G18" s="1424">
        <f t="shared" si="2"/>
        <v>965</v>
      </c>
      <c r="H18" s="504">
        <f>SUM($F$9:F18)/A18</f>
        <v>816</v>
      </c>
      <c r="I18" s="499">
        <f>SUM($G$9:G18)/A18</f>
        <v>820.5</v>
      </c>
      <c r="J18" s="504">
        <f t="shared" si="0"/>
        <v>17040.45</v>
      </c>
      <c r="K18" s="459">
        <f t="shared" si="0"/>
        <v>17250</v>
      </c>
      <c r="L18" s="505">
        <f t="shared" si="3"/>
        <v>20.882904411764706</v>
      </c>
      <c r="M18" s="464">
        <f t="shared" si="3"/>
        <v>21.023765996343691</v>
      </c>
      <c r="N18" s="366"/>
      <c r="O18" s="446"/>
      <c r="P18" s="446"/>
      <c r="Q18" s="446">
        <v>960</v>
      </c>
      <c r="R18" s="446">
        <v>965</v>
      </c>
      <c r="S18" s="647">
        <f t="shared" si="4"/>
        <v>18.933833333333332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741.81818181818187</v>
      </c>
      <c r="I19" s="499">
        <f>SUM($G$9:G19)/A19</f>
        <v>745.90909090909088</v>
      </c>
      <c r="J19" s="443">
        <f t="shared" si="0"/>
        <v>17040.45</v>
      </c>
      <c r="K19" s="459">
        <f t="shared" si="0"/>
        <v>17250</v>
      </c>
      <c r="L19" s="495">
        <f t="shared" si="3"/>
        <v>22.971194852941174</v>
      </c>
      <c r="M19" s="464">
        <f t="shared" si="3"/>
        <v>23.126142595978063</v>
      </c>
      <c r="N19" s="366"/>
      <c r="O19" s="446"/>
      <c r="P19" s="446"/>
      <c r="Q19" s="446"/>
      <c r="R19" s="446"/>
      <c r="S19" s="647">
        <f t="shared" si="4"/>
        <v>18.933833333333332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680</v>
      </c>
      <c r="I20" s="499">
        <f>SUM($G$9:G20)/A20</f>
        <v>683.75</v>
      </c>
      <c r="J20" s="443">
        <f t="shared" si="0"/>
        <v>17040.45</v>
      </c>
      <c r="K20" s="459">
        <f t="shared" si="0"/>
        <v>17250</v>
      </c>
      <c r="L20" s="495">
        <f t="shared" si="3"/>
        <v>25.05948529411765</v>
      </c>
      <c r="M20" s="464">
        <f t="shared" si="3"/>
        <v>25.228519195612432</v>
      </c>
      <c r="N20" s="366"/>
      <c r="O20" s="446"/>
      <c r="P20" s="446"/>
      <c r="Q20" s="446"/>
      <c r="R20" s="446"/>
      <c r="S20" s="647">
        <f t="shared" si="4"/>
        <v>18.933833333333332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627.69230769230774</v>
      </c>
      <c r="I21" s="499">
        <f>SUM($G$9:G21)/A21</f>
        <v>631.15384615384619</v>
      </c>
      <c r="J21" s="443">
        <f t="shared" si="0"/>
        <v>17040.45</v>
      </c>
      <c r="K21" s="459">
        <f>K20+E21-G21</f>
        <v>17250</v>
      </c>
      <c r="L21" s="495">
        <f t="shared" si="3"/>
        <v>27.147775735294118</v>
      </c>
      <c r="M21" s="464">
        <f t="shared" si="3"/>
        <v>27.3308957952468</v>
      </c>
      <c r="N21" s="366"/>
      <c r="O21" s="446"/>
      <c r="P21" s="446"/>
      <c r="Q21" s="446"/>
      <c r="R21" s="446"/>
      <c r="S21" s="647">
        <f t="shared" si="4"/>
        <v>18.933833333333332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582.85714285714289</v>
      </c>
      <c r="I22" s="499">
        <f>SUM($G$9:G22)/A22</f>
        <v>586.07142857142856</v>
      </c>
      <c r="J22" s="443">
        <f t="shared" si="0"/>
        <v>17040.45</v>
      </c>
      <c r="K22" s="459">
        <f>K21+E22-G22</f>
        <v>17250</v>
      </c>
      <c r="L22" s="495">
        <f t="shared" si="3"/>
        <v>29.236066176470587</v>
      </c>
      <c r="M22" s="464">
        <f t="shared" si="3"/>
        <v>29.433272394881172</v>
      </c>
      <c r="N22" s="366"/>
      <c r="O22" s="446"/>
      <c r="P22" s="446"/>
      <c r="Q22" s="446"/>
      <c r="R22" s="446"/>
      <c r="S22" s="647">
        <f t="shared" si="4"/>
        <v>18.933833333333332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544</v>
      </c>
      <c r="I23" s="499">
        <f>SUM($G$9:G23)/A23</f>
        <v>547</v>
      </c>
      <c r="J23" s="504">
        <f t="shared" si="0"/>
        <v>17040.45</v>
      </c>
      <c r="K23" s="459">
        <f t="shared" si="0"/>
        <v>17250</v>
      </c>
      <c r="L23" s="505">
        <f t="shared" si="3"/>
        <v>31.324356617647059</v>
      </c>
      <c r="M23" s="464">
        <f t="shared" si="3"/>
        <v>31.53564899451554</v>
      </c>
      <c r="N23" s="366"/>
      <c r="O23" s="446"/>
      <c r="P23" s="446"/>
      <c r="Q23" s="446"/>
      <c r="R23" s="446"/>
      <c r="S23" s="647">
        <f t="shared" si="4"/>
        <v>18.933833333333332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1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510</v>
      </c>
      <c r="I24" s="499">
        <f>SUM($G$9:G24)/A24</f>
        <v>512.8125</v>
      </c>
      <c r="J24" s="443">
        <f t="shared" si="0"/>
        <v>17040.45</v>
      </c>
      <c r="K24" s="459">
        <f>K23+E24-G24</f>
        <v>17250</v>
      </c>
      <c r="L24" s="495">
        <f t="shared" si="3"/>
        <v>33.412647058823531</v>
      </c>
      <c r="M24" s="464">
        <f t="shared" si="3"/>
        <v>33.638025594149909</v>
      </c>
      <c r="N24" s="366"/>
      <c r="O24" s="446"/>
      <c r="P24" s="446"/>
      <c r="Q24" s="446"/>
      <c r="R24" s="446"/>
      <c r="S24" s="647">
        <f t="shared" si="4"/>
        <v>18.933833333333332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>
        <f t="shared" si="1"/>
        <v>0</v>
      </c>
      <c r="E25" s="499"/>
      <c r="F25" s="586">
        <f t="shared" si="2"/>
        <v>0</v>
      </c>
      <c r="G25" s="1424">
        <f t="shared" si="2"/>
        <v>0</v>
      </c>
      <c r="H25" s="498">
        <f>SUM($F$9:F25)/A25</f>
        <v>480</v>
      </c>
      <c r="I25" s="499">
        <f>SUM($G$9:G25)/A25</f>
        <v>482.64705882352939</v>
      </c>
      <c r="J25" s="443">
        <f t="shared" ref="J25:K39" si="5">J24+D25-F25</f>
        <v>17040.45</v>
      </c>
      <c r="K25" s="459">
        <f>K24+E25-G25</f>
        <v>17250</v>
      </c>
      <c r="L25" s="495">
        <f t="shared" si="3"/>
        <v>35.500937499999999</v>
      </c>
      <c r="M25" s="464">
        <f t="shared" si="3"/>
        <v>35.740402193784277</v>
      </c>
      <c r="N25" s="366"/>
      <c r="O25" s="446"/>
      <c r="P25" s="446"/>
      <c r="Q25" s="446"/>
      <c r="R25" s="446"/>
      <c r="S25" s="647">
        <f t="shared" si="4"/>
        <v>18.933833333333332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453.33333333333331</v>
      </c>
      <c r="I26" s="499">
        <f>SUM($G$9:G26)/A26</f>
        <v>455.83333333333331</v>
      </c>
      <c r="J26" s="443">
        <f t="shared" si="5"/>
        <v>17040.45</v>
      </c>
      <c r="K26" s="459">
        <f>K25+E26-G26</f>
        <v>17250</v>
      </c>
      <c r="L26" s="495">
        <f t="shared" si="3"/>
        <v>37.589227941176475</v>
      </c>
      <c r="M26" s="464">
        <f t="shared" si="3"/>
        <v>37.842778793418645</v>
      </c>
      <c r="N26" s="366"/>
      <c r="O26" s="446"/>
      <c r="P26" s="446"/>
      <c r="Q26" s="446"/>
      <c r="R26" s="446"/>
      <c r="S26" s="647">
        <f t="shared" si="4"/>
        <v>18.933833333333332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429.4736842105263</v>
      </c>
      <c r="I27" s="499">
        <f>SUM($G$9:G27)/A27</f>
        <v>431.84210526315792</v>
      </c>
      <c r="J27" s="443">
        <f t="shared" si="5"/>
        <v>17040.45</v>
      </c>
      <c r="K27" s="459">
        <f>K26+E27-G27</f>
        <v>17250</v>
      </c>
      <c r="L27" s="495">
        <f t="shared" si="3"/>
        <v>39.677518382352943</v>
      </c>
      <c r="M27" s="464">
        <f t="shared" si="3"/>
        <v>39.945155393053014</v>
      </c>
      <c r="N27" s="366"/>
      <c r="O27" s="446"/>
      <c r="P27" s="446"/>
      <c r="Q27" s="446"/>
      <c r="R27" s="446"/>
      <c r="S27" s="647">
        <f t="shared" si="4"/>
        <v>18.933833333333332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408</v>
      </c>
      <c r="I28" s="499">
        <f>SUM($G$9:G28)/A28</f>
        <v>410.25</v>
      </c>
      <c r="J28" s="504">
        <f t="shared" si="5"/>
        <v>17040.45</v>
      </c>
      <c r="K28" s="459">
        <f t="shared" si="5"/>
        <v>17250</v>
      </c>
      <c r="L28" s="505">
        <f t="shared" si="3"/>
        <v>41.765808823529412</v>
      </c>
      <c r="M28" s="464">
        <f t="shared" si="3"/>
        <v>42.047531992687382</v>
      </c>
      <c r="N28" s="366"/>
      <c r="O28" s="446"/>
      <c r="P28" s="446"/>
      <c r="Q28" s="446"/>
      <c r="R28" s="446"/>
      <c r="S28" s="647">
        <f t="shared" si="4"/>
        <v>18.933833333333332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388.57142857142856</v>
      </c>
      <c r="I29" s="499">
        <f>SUM($G$9:G29)/A29</f>
        <v>390.71428571428572</v>
      </c>
      <c r="J29" s="443">
        <f t="shared" si="5"/>
        <v>17040.45</v>
      </c>
      <c r="K29" s="459">
        <f t="shared" si="5"/>
        <v>17250</v>
      </c>
      <c r="L29" s="495">
        <f t="shared" si="3"/>
        <v>43.854099264705887</v>
      </c>
      <c r="M29" s="464">
        <f t="shared" si="3"/>
        <v>44.149908592321751</v>
      </c>
      <c r="N29" s="366"/>
      <c r="O29" s="446"/>
      <c r="P29" s="446"/>
      <c r="Q29" s="446"/>
      <c r="R29" s="446"/>
      <c r="S29" s="647">
        <f t="shared" si="4"/>
        <v>18.933833333333332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370.90909090909093</v>
      </c>
      <c r="I30" s="499">
        <f>SUM($G$9:G30)/A30</f>
        <v>372.95454545454544</v>
      </c>
      <c r="J30" s="443">
        <f t="shared" si="5"/>
        <v>17040.45</v>
      </c>
      <c r="K30" s="459">
        <f t="shared" si="5"/>
        <v>17250</v>
      </c>
      <c r="L30" s="495">
        <f t="shared" si="3"/>
        <v>45.942389705882348</v>
      </c>
      <c r="M30" s="464">
        <f t="shared" si="3"/>
        <v>46.252285191956126</v>
      </c>
      <c r="N30" s="366"/>
      <c r="O30" s="446"/>
      <c r="P30" s="446"/>
      <c r="Q30" s="446"/>
      <c r="R30" s="446"/>
      <c r="S30" s="647">
        <f t="shared" si="4"/>
        <v>18.933833333333332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354.78260869565219</v>
      </c>
      <c r="I31" s="499">
        <f>SUM($G$9:G31)/A31</f>
        <v>356.73913043478262</v>
      </c>
      <c r="J31" s="443">
        <f t="shared" si="5"/>
        <v>17040.45</v>
      </c>
      <c r="K31" s="459">
        <f t="shared" si="5"/>
        <v>17250</v>
      </c>
      <c r="L31" s="495">
        <f t="shared" si="3"/>
        <v>48.030680147058824</v>
      </c>
      <c r="M31" s="464">
        <f t="shared" si="3"/>
        <v>48.354661791590495</v>
      </c>
      <c r="N31" s="366"/>
      <c r="O31" s="446"/>
      <c r="P31" s="446"/>
      <c r="Q31" s="446"/>
      <c r="R31" s="446"/>
      <c r="S31" s="647">
        <f t="shared" si="4"/>
        <v>18.933833333333332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340</v>
      </c>
      <c r="I32" s="499">
        <f>SUM($G$9:G32)/A32</f>
        <v>341.875</v>
      </c>
      <c r="J32" s="443">
        <f t="shared" si="5"/>
        <v>17040.45</v>
      </c>
      <c r="K32" s="459">
        <f t="shared" si="5"/>
        <v>17250</v>
      </c>
      <c r="L32" s="495">
        <f t="shared" si="3"/>
        <v>50.1189705882353</v>
      </c>
      <c r="M32" s="464">
        <f t="shared" si="3"/>
        <v>50.457038391224863</v>
      </c>
      <c r="N32" s="366"/>
      <c r="O32" s="446"/>
      <c r="P32" s="446"/>
      <c r="Q32" s="446"/>
      <c r="R32" s="446"/>
      <c r="S32" s="647">
        <f t="shared" si="4"/>
        <v>18.933833333333332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326.39999999999998</v>
      </c>
      <c r="I33" s="499">
        <f>SUM($G$9:G33)/A33</f>
        <v>328.2</v>
      </c>
      <c r="J33" s="460">
        <f t="shared" si="5"/>
        <v>17040.45</v>
      </c>
      <c r="K33" s="459">
        <f t="shared" si="5"/>
        <v>17250</v>
      </c>
      <c r="L33" s="506">
        <f t="shared" si="3"/>
        <v>52.207261029411768</v>
      </c>
      <c r="M33" s="464">
        <f t="shared" si="3"/>
        <v>52.559414990859231</v>
      </c>
      <c r="N33" s="366"/>
      <c r="O33" s="446"/>
      <c r="P33" s="446"/>
      <c r="Q33" s="446"/>
      <c r="R33" s="446"/>
      <c r="S33" s="647">
        <f t="shared" si="4"/>
        <v>18.933833333333332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313.84615384615387</v>
      </c>
      <c r="I34" s="499">
        <f>SUM($G$9:G34)/A34</f>
        <v>315.57692307692309</v>
      </c>
      <c r="J34" s="443">
        <f t="shared" si="5"/>
        <v>17040.45</v>
      </c>
      <c r="K34" s="459">
        <f t="shared" si="5"/>
        <v>17250</v>
      </c>
      <c r="L34" s="495">
        <f t="shared" si="3"/>
        <v>54.295551470588236</v>
      </c>
      <c r="M34" s="464">
        <f t="shared" si="3"/>
        <v>54.6617915904936</v>
      </c>
      <c r="N34" s="366"/>
      <c r="O34" s="446"/>
      <c r="P34" s="446"/>
      <c r="Q34" s="446"/>
      <c r="R34" s="446"/>
      <c r="S34" s="647">
        <f t="shared" si="4"/>
        <v>18.933833333333332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302.22222222222223</v>
      </c>
      <c r="I35" s="499">
        <f>SUM($G$9:G35)/A35</f>
        <v>303.88888888888891</v>
      </c>
      <c r="J35" s="443">
        <f t="shared" si="5"/>
        <v>17040.45</v>
      </c>
      <c r="K35" s="459">
        <f t="shared" si="5"/>
        <v>17250</v>
      </c>
      <c r="L35" s="495">
        <f t="shared" si="3"/>
        <v>56.383841911764705</v>
      </c>
      <c r="M35" s="464">
        <f t="shared" si="3"/>
        <v>56.764168190127968</v>
      </c>
      <c r="N35" s="366"/>
      <c r="O35" s="446"/>
      <c r="P35" s="446"/>
      <c r="Q35" s="446"/>
      <c r="R35" s="446"/>
      <c r="S35" s="647">
        <f t="shared" si="4"/>
        <v>18.933833333333332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291.42857142857144</v>
      </c>
      <c r="I36" s="499">
        <f>SUM($G$9:G36)/A36</f>
        <v>293.03571428571428</v>
      </c>
      <c r="J36" s="443">
        <f t="shared" si="5"/>
        <v>17040.45</v>
      </c>
      <c r="K36" s="459">
        <f t="shared" si="5"/>
        <v>17250</v>
      </c>
      <c r="L36" s="495">
        <f t="shared" si="3"/>
        <v>58.472132352941173</v>
      </c>
      <c r="M36" s="464">
        <f t="shared" si="3"/>
        <v>58.866544789762344</v>
      </c>
      <c r="N36" s="366"/>
      <c r="O36" s="446"/>
      <c r="P36" s="446"/>
      <c r="Q36" s="446"/>
      <c r="R36" s="446"/>
      <c r="S36" s="647">
        <f t="shared" si="4"/>
        <v>18.933833333333332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281.37931034482756</v>
      </c>
      <c r="I37" s="499">
        <f>SUM($G$9:G37)/A37</f>
        <v>282.93103448275861</v>
      </c>
      <c r="J37" s="443">
        <f t="shared" si="5"/>
        <v>17040.45</v>
      </c>
      <c r="K37" s="459">
        <f t="shared" si="5"/>
        <v>17250</v>
      </c>
      <c r="L37" s="495">
        <f t="shared" si="3"/>
        <v>60.560422794117656</v>
      </c>
      <c r="M37" s="464">
        <f t="shared" si="3"/>
        <v>60.968921389396712</v>
      </c>
      <c r="N37" s="366"/>
      <c r="O37" s="446"/>
      <c r="P37" s="446"/>
      <c r="Q37" s="446"/>
      <c r="R37" s="446"/>
      <c r="S37" s="647">
        <f t="shared" si="4"/>
        <v>18.933833333333332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272</v>
      </c>
      <c r="I38" s="499">
        <f>SUM($G$9:G38)/A38</f>
        <v>273.5</v>
      </c>
      <c r="J38" s="504">
        <f t="shared" si="5"/>
        <v>17040.45</v>
      </c>
      <c r="K38" s="459">
        <f t="shared" si="5"/>
        <v>17250</v>
      </c>
      <c r="L38" s="505">
        <f t="shared" si="3"/>
        <v>62.648713235294117</v>
      </c>
      <c r="M38" s="464">
        <f t="shared" si="3"/>
        <v>63.071297989031081</v>
      </c>
      <c r="N38" s="366"/>
      <c r="O38" s="446"/>
      <c r="P38" s="446"/>
      <c r="Q38" s="446"/>
      <c r="R38" s="446"/>
      <c r="S38" s="647">
        <f t="shared" si="4"/>
        <v>18.933833333333332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263.22580645161293</v>
      </c>
      <c r="I39" s="499">
        <f>SUM($G$9:G39)/A39</f>
        <v>264.67741935483872</v>
      </c>
      <c r="J39" s="443">
        <f t="shared" si="5"/>
        <v>17040.45</v>
      </c>
      <c r="K39" s="459">
        <f t="shared" si="5"/>
        <v>17250</v>
      </c>
      <c r="L39" s="495">
        <f t="shared" si="3"/>
        <v>64.737003676470579</v>
      </c>
      <c r="M39" s="464">
        <f t="shared" si="3"/>
        <v>65.173674588665449</v>
      </c>
      <c r="N39" s="366"/>
      <c r="O39" s="446"/>
      <c r="P39" s="446"/>
      <c r="Q39" s="446"/>
      <c r="R39" s="446"/>
      <c r="S39" s="647">
        <f t="shared" si="4"/>
        <v>18.933833333333332</v>
      </c>
    </row>
    <row r="40" spans="1:19" s="374" customFormat="1" ht="12" customHeight="1">
      <c r="A40" s="1039" t="s">
        <v>29</v>
      </c>
      <c r="B40" s="1040"/>
      <c r="C40" s="1041"/>
      <c r="D40" s="388">
        <f>SUM(D9:D39)</f>
        <v>0</v>
      </c>
      <c r="E40" s="923">
        <f>SUM(E9:E39)</f>
        <v>0</v>
      </c>
      <c r="F40" s="389">
        <f>SUM(F9:F39)</f>
        <v>8160</v>
      </c>
      <c r="G40" s="496">
        <f>SUM(G9:G39)</f>
        <v>8205</v>
      </c>
      <c r="H40" s="389"/>
      <c r="I40" s="496"/>
      <c r="J40" s="389">
        <f>J39</f>
        <v>17040.45</v>
      </c>
      <c r="K40" s="461">
        <f>K39</f>
        <v>17250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8160</v>
      </c>
      <c r="R40" s="496">
        <f>SUM(R9:R39)</f>
        <v>8205</v>
      </c>
    </row>
    <row r="41" spans="1:19" s="374" customFormat="1" ht="12" customHeight="1">
      <c r="A41" s="1039" t="s">
        <v>15</v>
      </c>
      <c r="B41" s="1040"/>
      <c r="C41" s="1041"/>
      <c r="D41" s="388">
        <f>D8+D40</f>
        <v>25200.45</v>
      </c>
      <c r="E41" s="388">
        <f>E8+E40</f>
        <v>25455</v>
      </c>
      <c r="F41" s="389">
        <f>F40</f>
        <v>8160</v>
      </c>
      <c r="G41" s="496">
        <f>G40</f>
        <v>8205</v>
      </c>
      <c r="H41" s="389"/>
      <c r="I41" s="496"/>
      <c r="J41" s="389">
        <f>D41-F41</f>
        <v>17040.45</v>
      </c>
      <c r="K41" s="389">
        <f>E41-G41</f>
        <v>17250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9488" priority="163" operator="lessThan">
      <formula>15</formula>
    </cfRule>
    <cfRule type="cellIs" dxfId="9487" priority="164" operator="greaterThan">
      <formula>20</formula>
    </cfRule>
    <cfRule type="cellIs" dxfId="9486" priority="165" operator="between">
      <formula>15</formula>
      <formula>20</formula>
    </cfRule>
    <cfRule type="cellIs" dxfId="9485" priority="166" operator="between">
      <formula>15</formula>
      <formula>20</formula>
    </cfRule>
    <cfRule type="cellIs" dxfId="9484" priority="167" operator="lessThan">
      <formula>15</formula>
    </cfRule>
    <cfRule type="cellIs" dxfId="9483" priority="168" operator="greaterThan">
      <formula>20</formula>
    </cfRule>
    <cfRule type="cellIs" dxfId="9482" priority="169" operator="between">
      <formula>15</formula>
      <formula>21</formula>
    </cfRule>
    <cfRule type="cellIs" dxfId="9481" priority="170" operator="lessThan">
      <formula>15</formula>
    </cfRule>
    <cfRule type="cellIs" dxfId="9480" priority="171" operator="greaterThan">
      <formula>21</formula>
    </cfRule>
  </conditionalFormatting>
  <conditionalFormatting sqref="M9:M39">
    <cfRule type="cellIs" dxfId="9479" priority="154" operator="lessThan">
      <formula>15</formula>
    </cfRule>
    <cfRule type="cellIs" dxfId="9478" priority="155" operator="greaterThan">
      <formula>20</formula>
    </cfRule>
    <cfRule type="cellIs" dxfId="9477" priority="156" operator="between">
      <formula>15</formula>
      <formula>20</formula>
    </cfRule>
    <cfRule type="cellIs" dxfId="9476" priority="157" operator="between">
      <formula>15</formula>
      <formula>20</formula>
    </cfRule>
    <cfRule type="cellIs" dxfId="9475" priority="158" operator="lessThan">
      <formula>15</formula>
    </cfRule>
    <cfRule type="cellIs" dxfId="9474" priority="159" operator="greaterThan">
      <formula>20</formula>
    </cfRule>
    <cfRule type="cellIs" dxfId="9473" priority="160" operator="between">
      <formula>15</formula>
      <formula>21</formula>
    </cfRule>
    <cfRule type="cellIs" dxfId="9472" priority="161" operator="lessThan">
      <formula>15</formula>
    </cfRule>
    <cfRule type="cellIs" dxfId="9471" priority="162" operator="greaterThan">
      <formula>21</formula>
    </cfRule>
  </conditionalFormatting>
  <conditionalFormatting sqref="M9:M39">
    <cfRule type="cellIs" dxfId="9470" priority="145" operator="lessThan">
      <formula>15</formula>
    </cfRule>
    <cfRule type="cellIs" dxfId="9469" priority="146" operator="greaterThan">
      <formula>20</formula>
    </cfRule>
    <cfRule type="cellIs" dxfId="9468" priority="147" operator="between">
      <formula>15</formula>
      <formula>20</formula>
    </cfRule>
    <cfRule type="cellIs" dxfId="9467" priority="148" operator="between">
      <formula>15</formula>
      <formula>20</formula>
    </cfRule>
    <cfRule type="cellIs" dxfId="9466" priority="149" operator="lessThan">
      <formula>15</formula>
    </cfRule>
    <cfRule type="cellIs" dxfId="9465" priority="150" operator="greaterThan">
      <formula>20</formula>
    </cfRule>
    <cfRule type="cellIs" dxfId="9464" priority="151" operator="between">
      <formula>15</formula>
      <formula>21</formula>
    </cfRule>
    <cfRule type="cellIs" dxfId="9463" priority="152" operator="lessThan">
      <formula>15</formula>
    </cfRule>
    <cfRule type="cellIs" dxfId="9462" priority="153" operator="greaterThan">
      <formula>21</formula>
    </cfRule>
  </conditionalFormatting>
  <conditionalFormatting sqref="M9:M39">
    <cfRule type="cellIs" dxfId="9461" priority="136" operator="lessThan">
      <formula>15</formula>
    </cfRule>
    <cfRule type="cellIs" dxfId="9460" priority="137" operator="greaterThan">
      <formula>20</formula>
    </cfRule>
    <cfRule type="cellIs" dxfId="9459" priority="138" operator="between">
      <formula>15</formula>
      <formula>20</formula>
    </cfRule>
    <cfRule type="cellIs" dxfId="9458" priority="139" operator="between">
      <formula>15</formula>
      <formula>20</formula>
    </cfRule>
    <cfRule type="cellIs" dxfId="9457" priority="140" operator="lessThan">
      <formula>15</formula>
    </cfRule>
    <cfRule type="cellIs" dxfId="9456" priority="141" operator="greaterThan">
      <formula>20</formula>
    </cfRule>
    <cfRule type="cellIs" dxfId="9455" priority="142" operator="between">
      <formula>15</formula>
      <formula>21</formula>
    </cfRule>
    <cfRule type="cellIs" dxfId="9454" priority="143" operator="lessThan">
      <formula>15</formula>
    </cfRule>
    <cfRule type="cellIs" dxfId="9453" priority="144" operator="greaterThan">
      <formula>21</formula>
    </cfRule>
  </conditionalFormatting>
  <conditionalFormatting sqref="M9:M39">
    <cfRule type="cellIs" dxfId="9452" priority="127" operator="lessThan">
      <formula>15</formula>
    </cfRule>
    <cfRule type="cellIs" dxfId="9451" priority="128" operator="greaterThan">
      <formula>20</formula>
    </cfRule>
    <cfRule type="cellIs" dxfId="9450" priority="129" operator="between">
      <formula>15</formula>
      <formula>20</formula>
    </cfRule>
    <cfRule type="cellIs" dxfId="9449" priority="130" operator="between">
      <formula>15</formula>
      <formula>20</formula>
    </cfRule>
    <cfRule type="cellIs" dxfId="9448" priority="131" operator="lessThan">
      <formula>15</formula>
    </cfRule>
    <cfRule type="cellIs" dxfId="9447" priority="132" operator="greaterThan">
      <formula>20</formula>
    </cfRule>
    <cfRule type="cellIs" dxfId="9446" priority="133" operator="between">
      <formula>15</formula>
      <formula>21</formula>
    </cfRule>
    <cfRule type="cellIs" dxfId="9445" priority="134" operator="lessThan">
      <formula>15</formula>
    </cfRule>
    <cfRule type="cellIs" dxfId="9444" priority="135" operator="greaterThan">
      <formula>21</formula>
    </cfRule>
  </conditionalFormatting>
  <conditionalFormatting sqref="M9:M39">
    <cfRule type="cellIs" dxfId="9443" priority="118" operator="lessThan">
      <formula>15</formula>
    </cfRule>
    <cfRule type="cellIs" dxfId="9442" priority="119" operator="greaterThan">
      <formula>20</formula>
    </cfRule>
    <cfRule type="cellIs" dxfId="9441" priority="120" operator="between">
      <formula>15</formula>
      <formula>20</formula>
    </cfRule>
    <cfRule type="cellIs" dxfId="9440" priority="121" operator="between">
      <formula>15</formula>
      <formula>20</formula>
    </cfRule>
    <cfRule type="cellIs" dxfId="9439" priority="122" operator="lessThan">
      <formula>15</formula>
    </cfRule>
    <cfRule type="cellIs" dxfId="9438" priority="123" operator="greaterThan">
      <formula>20</formula>
    </cfRule>
    <cfRule type="cellIs" dxfId="9437" priority="124" operator="between">
      <formula>15</formula>
      <formula>21</formula>
    </cfRule>
    <cfRule type="cellIs" dxfId="9436" priority="125" operator="lessThan">
      <formula>15</formula>
    </cfRule>
    <cfRule type="cellIs" dxfId="9435" priority="126" operator="greaterThan">
      <formula>21</formula>
    </cfRule>
  </conditionalFormatting>
  <conditionalFormatting sqref="M9:M39">
    <cfRule type="cellIs" dxfId="9434" priority="109" operator="lessThan">
      <formula>15</formula>
    </cfRule>
    <cfRule type="cellIs" dxfId="9433" priority="110" operator="greaterThan">
      <formula>20</formula>
    </cfRule>
    <cfRule type="cellIs" dxfId="9432" priority="111" operator="between">
      <formula>15</formula>
      <formula>20</formula>
    </cfRule>
    <cfRule type="cellIs" dxfId="9431" priority="112" operator="between">
      <formula>15</formula>
      <formula>20</formula>
    </cfRule>
    <cfRule type="cellIs" dxfId="9430" priority="113" operator="lessThan">
      <formula>15</formula>
    </cfRule>
    <cfRule type="cellIs" dxfId="9429" priority="114" operator="greaterThan">
      <formula>20</formula>
    </cfRule>
    <cfRule type="cellIs" dxfId="9428" priority="115" operator="between">
      <formula>15</formula>
      <formula>21</formula>
    </cfRule>
    <cfRule type="cellIs" dxfId="9427" priority="116" operator="lessThan">
      <formula>15</formula>
    </cfRule>
    <cfRule type="cellIs" dxfId="9426" priority="117" operator="greaterThan">
      <formula>21</formula>
    </cfRule>
  </conditionalFormatting>
  <conditionalFormatting sqref="M9:M39">
    <cfRule type="cellIs" dxfId="9425" priority="100" operator="lessThan">
      <formula>15</formula>
    </cfRule>
    <cfRule type="cellIs" dxfId="9424" priority="101" operator="greaterThan">
      <formula>20</formula>
    </cfRule>
    <cfRule type="cellIs" dxfId="9423" priority="102" operator="between">
      <formula>15</formula>
      <formula>20</formula>
    </cfRule>
    <cfRule type="cellIs" dxfId="9422" priority="103" operator="between">
      <formula>15</formula>
      <formula>20</formula>
    </cfRule>
    <cfRule type="cellIs" dxfId="9421" priority="104" operator="lessThan">
      <formula>15</formula>
    </cfRule>
    <cfRule type="cellIs" dxfId="9420" priority="105" operator="greaterThan">
      <formula>20</formula>
    </cfRule>
    <cfRule type="cellIs" dxfId="9419" priority="106" operator="between">
      <formula>15</formula>
      <formula>21</formula>
    </cfRule>
    <cfRule type="cellIs" dxfId="9418" priority="107" operator="lessThan">
      <formula>15</formula>
    </cfRule>
    <cfRule type="cellIs" dxfId="9417" priority="108" operator="greaterThan">
      <formula>21</formula>
    </cfRule>
  </conditionalFormatting>
  <conditionalFormatting sqref="M9:M39">
    <cfRule type="cellIs" dxfId="9416" priority="91" operator="lessThan">
      <formula>15</formula>
    </cfRule>
    <cfRule type="cellIs" dxfId="9415" priority="92" operator="greaterThan">
      <formula>20</formula>
    </cfRule>
    <cfRule type="cellIs" dxfId="9414" priority="93" operator="between">
      <formula>15</formula>
      <formula>20</formula>
    </cfRule>
    <cfRule type="cellIs" dxfId="9413" priority="94" operator="between">
      <formula>15</formula>
      <formula>20</formula>
    </cfRule>
    <cfRule type="cellIs" dxfId="9412" priority="95" operator="lessThan">
      <formula>15</formula>
    </cfRule>
    <cfRule type="cellIs" dxfId="9411" priority="96" operator="greaterThan">
      <formula>20</formula>
    </cfRule>
    <cfRule type="cellIs" dxfId="9410" priority="97" operator="between">
      <formula>15</formula>
      <formula>21</formula>
    </cfRule>
    <cfRule type="cellIs" dxfId="9409" priority="98" operator="lessThan">
      <formula>15</formula>
    </cfRule>
    <cfRule type="cellIs" dxfId="9408" priority="99" operator="greaterThan">
      <formula>21</formula>
    </cfRule>
  </conditionalFormatting>
  <conditionalFormatting sqref="M9:M39">
    <cfRule type="cellIs" dxfId="9407" priority="82" operator="lessThan">
      <formula>15</formula>
    </cfRule>
    <cfRule type="cellIs" dxfId="9406" priority="83" operator="greaterThan">
      <formula>20</formula>
    </cfRule>
    <cfRule type="cellIs" dxfId="9405" priority="84" operator="between">
      <formula>15</formula>
      <formula>20</formula>
    </cfRule>
    <cfRule type="cellIs" dxfId="9404" priority="85" operator="between">
      <formula>15</formula>
      <formula>20</formula>
    </cfRule>
    <cfRule type="cellIs" dxfId="9403" priority="86" operator="lessThan">
      <formula>15</formula>
    </cfRule>
    <cfRule type="cellIs" dxfId="9402" priority="87" operator="greaterThan">
      <formula>20</formula>
    </cfRule>
    <cfRule type="cellIs" dxfId="9401" priority="88" operator="between">
      <formula>15</formula>
      <formula>21</formula>
    </cfRule>
    <cfRule type="cellIs" dxfId="9400" priority="89" operator="lessThan">
      <formula>15</formula>
    </cfRule>
    <cfRule type="cellIs" dxfId="9399" priority="90" operator="greaterThan">
      <formula>21</formula>
    </cfRule>
  </conditionalFormatting>
  <conditionalFormatting sqref="M9:M39">
    <cfRule type="cellIs" dxfId="9398" priority="73" operator="lessThan">
      <formula>15</formula>
    </cfRule>
    <cfRule type="cellIs" dxfId="9397" priority="74" operator="greaterThan">
      <formula>20</formula>
    </cfRule>
    <cfRule type="cellIs" dxfId="9396" priority="75" operator="between">
      <formula>15</formula>
      <formula>20</formula>
    </cfRule>
    <cfRule type="cellIs" dxfId="9395" priority="76" operator="between">
      <formula>15</formula>
      <formula>20</formula>
    </cfRule>
    <cfRule type="cellIs" dxfId="9394" priority="77" operator="lessThan">
      <formula>15</formula>
    </cfRule>
    <cfRule type="cellIs" dxfId="9393" priority="78" operator="greaterThan">
      <formula>20</formula>
    </cfRule>
    <cfRule type="cellIs" dxfId="9392" priority="79" operator="between">
      <formula>15</formula>
      <formula>21</formula>
    </cfRule>
    <cfRule type="cellIs" dxfId="9391" priority="80" operator="lessThan">
      <formula>15</formula>
    </cfRule>
    <cfRule type="cellIs" dxfId="9390" priority="81" operator="greaterThan">
      <formula>21</formula>
    </cfRule>
  </conditionalFormatting>
  <conditionalFormatting sqref="M9:M39">
    <cfRule type="cellIs" dxfId="9389" priority="64" operator="lessThan">
      <formula>15</formula>
    </cfRule>
    <cfRule type="cellIs" dxfId="9388" priority="65" operator="greaterThan">
      <formula>20</formula>
    </cfRule>
    <cfRule type="cellIs" dxfId="9387" priority="66" operator="between">
      <formula>15</formula>
      <formula>20</formula>
    </cfRule>
    <cfRule type="cellIs" dxfId="9386" priority="67" operator="between">
      <formula>15</formula>
      <formula>20</formula>
    </cfRule>
    <cfRule type="cellIs" dxfId="9385" priority="68" operator="lessThan">
      <formula>15</formula>
    </cfRule>
    <cfRule type="cellIs" dxfId="9384" priority="69" operator="greaterThan">
      <formula>20</formula>
    </cfRule>
    <cfRule type="cellIs" dxfId="9383" priority="70" operator="between">
      <formula>15</formula>
      <formula>21</formula>
    </cfRule>
    <cfRule type="cellIs" dxfId="9382" priority="71" operator="lessThan">
      <formula>15</formula>
    </cfRule>
    <cfRule type="cellIs" dxfId="9381" priority="72" operator="greaterThan">
      <formula>21</formula>
    </cfRule>
  </conditionalFormatting>
  <conditionalFormatting sqref="M9:M39">
    <cfRule type="cellIs" dxfId="9380" priority="55" operator="lessThan">
      <formula>15</formula>
    </cfRule>
    <cfRule type="cellIs" dxfId="9379" priority="56" operator="greaterThan">
      <formula>20</formula>
    </cfRule>
    <cfRule type="cellIs" dxfId="9378" priority="57" operator="between">
      <formula>15</formula>
      <formula>20</formula>
    </cfRule>
    <cfRule type="cellIs" dxfId="9377" priority="58" operator="between">
      <formula>15</formula>
      <formula>20</formula>
    </cfRule>
    <cfRule type="cellIs" dxfId="9376" priority="59" operator="lessThan">
      <formula>15</formula>
    </cfRule>
    <cfRule type="cellIs" dxfId="9375" priority="60" operator="greaterThan">
      <formula>20</formula>
    </cfRule>
    <cfRule type="cellIs" dxfId="9374" priority="61" operator="between">
      <formula>15</formula>
      <formula>21</formula>
    </cfRule>
    <cfRule type="cellIs" dxfId="9373" priority="62" operator="lessThan">
      <formula>15</formula>
    </cfRule>
    <cfRule type="cellIs" dxfId="9372" priority="63" operator="greaterThan">
      <formula>21</formula>
    </cfRule>
  </conditionalFormatting>
  <conditionalFormatting sqref="M9:M39">
    <cfRule type="cellIs" dxfId="9371" priority="46" operator="lessThan">
      <formula>15</formula>
    </cfRule>
    <cfRule type="cellIs" dxfId="9370" priority="47" operator="greaterThan">
      <formula>20</formula>
    </cfRule>
    <cfRule type="cellIs" dxfId="9369" priority="48" operator="between">
      <formula>15</formula>
      <formula>20</formula>
    </cfRule>
    <cfRule type="cellIs" dxfId="9368" priority="49" operator="between">
      <formula>15</formula>
      <formula>20</formula>
    </cfRule>
    <cfRule type="cellIs" dxfId="9367" priority="50" operator="lessThan">
      <formula>15</formula>
    </cfRule>
    <cfRule type="cellIs" dxfId="9366" priority="51" operator="greaterThan">
      <formula>20</formula>
    </cfRule>
    <cfRule type="cellIs" dxfId="9365" priority="52" operator="between">
      <formula>15</formula>
      <formula>21</formula>
    </cfRule>
    <cfRule type="cellIs" dxfId="9364" priority="53" operator="lessThan">
      <formula>15</formula>
    </cfRule>
    <cfRule type="cellIs" dxfId="9363" priority="54" operator="greaterThan">
      <formula>21</formula>
    </cfRule>
  </conditionalFormatting>
  <conditionalFormatting sqref="M9:M39">
    <cfRule type="cellIs" dxfId="9362" priority="37" operator="lessThan">
      <formula>15</formula>
    </cfRule>
    <cfRule type="cellIs" dxfId="9361" priority="38" operator="greaterThan">
      <formula>20</formula>
    </cfRule>
    <cfRule type="cellIs" dxfId="9360" priority="39" operator="between">
      <formula>15</formula>
      <formula>20</formula>
    </cfRule>
    <cfRule type="cellIs" dxfId="9359" priority="40" operator="between">
      <formula>15</formula>
      <formula>20</formula>
    </cfRule>
    <cfRule type="cellIs" dxfId="9358" priority="41" operator="lessThan">
      <formula>15</formula>
    </cfRule>
    <cfRule type="cellIs" dxfId="9357" priority="42" operator="greaterThan">
      <formula>20</formula>
    </cfRule>
    <cfRule type="cellIs" dxfId="9356" priority="43" operator="between">
      <formula>15</formula>
      <formula>21</formula>
    </cfRule>
    <cfRule type="cellIs" dxfId="9355" priority="44" operator="lessThan">
      <formula>15</formula>
    </cfRule>
    <cfRule type="cellIs" dxfId="9354" priority="45" operator="greaterThan">
      <formula>21</formula>
    </cfRule>
  </conditionalFormatting>
  <conditionalFormatting sqref="M9:M39">
    <cfRule type="cellIs" dxfId="9353" priority="28" operator="lessThan">
      <formula>15</formula>
    </cfRule>
    <cfRule type="cellIs" dxfId="9352" priority="29" operator="greaterThan">
      <formula>20</formula>
    </cfRule>
    <cfRule type="cellIs" dxfId="9351" priority="30" operator="between">
      <formula>15</formula>
      <formula>20</formula>
    </cfRule>
    <cfRule type="cellIs" dxfId="9350" priority="31" operator="between">
      <formula>15</formula>
      <formula>20</formula>
    </cfRule>
    <cfRule type="cellIs" dxfId="9349" priority="32" operator="lessThan">
      <formula>15</formula>
    </cfRule>
    <cfRule type="cellIs" dxfId="9348" priority="33" operator="greaterThan">
      <formula>20</formula>
    </cfRule>
    <cfRule type="cellIs" dxfId="9347" priority="34" operator="between">
      <formula>15</formula>
      <formula>21</formula>
    </cfRule>
    <cfRule type="cellIs" dxfId="9346" priority="35" operator="lessThan">
      <formula>15</formula>
    </cfRule>
    <cfRule type="cellIs" dxfId="9345" priority="36" operator="greaterThan">
      <formula>21</formula>
    </cfRule>
  </conditionalFormatting>
  <conditionalFormatting sqref="M9:M39">
    <cfRule type="cellIs" dxfId="9344" priority="19" operator="lessThan">
      <formula>15</formula>
    </cfRule>
    <cfRule type="cellIs" dxfId="9343" priority="20" operator="greaterThan">
      <formula>20</formula>
    </cfRule>
    <cfRule type="cellIs" dxfId="9342" priority="21" operator="between">
      <formula>15</formula>
      <formula>20</formula>
    </cfRule>
    <cfRule type="cellIs" dxfId="9341" priority="22" operator="between">
      <formula>15</formula>
      <formula>20</formula>
    </cfRule>
    <cfRule type="cellIs" dxfId="9340" priority="23" operator="lessThan">
      <formula>15</formula>
    </cfRule>
    <cfRule type="cellIs" dxfId="9339" priority="24" operator="greaterThan">
      <formula>20</formula>
    </cfRule>
    <cfRule type="cellIs" dxfId="9338" priority="25" operator="between">
      <formula>15</formula>
      <formula>21</formula>
    </cfRule>
    <cfRule type="cellIs" dxfId="9337" priority="26" operator="lessThan">
      <formula>15</formula>
    </cfRule>
    <cfRule type="cellIs" dxfId="9336" priority="27" operator="greaterThan">
      <formula>21</formula>
    </cfRule>
  </conditionalFormatting>
  <conditionalFormatting sqref="M9:M39">
    <cfRule type="cellIs" dxfId="9335" priority="10" operator="lessThan">
      <formula>15</formula>
    </cfRule>
    <cfRule type="cellIs" dxfId="9334" priority="11" operator="greaterThan">
      <formula>20</formula>
    </cfRule>
    <cfRule type="cellIs" dxfId="9333" priority="12" operator="between">
      <formula>15</formula>
      <formula>20</formula>
    </cfRule>
    <cfRule type="cellIs" dxfId="9332" priority="13" operator="between">
      <formula>15</formula>
      <formula>20</formula>
    </cfRule>
    <cfRule type="cellIs" dxfId="9331" priority="14" operator="lessThan">
      <formula>15</formula>
    </cfRule>
    <cfRule type="cellIs" dxfId="9330" priority="15" operator="greaterThan">
      <formula>20</formula>
    </cfRule>
    <cfRule type="cellIs" dxfId="9329" priority="16" operator="between">
      <formula>15</formula>
      <formula>21</formula>
    </cfRule>
    <cfRule type="cellIs" dxfId="9328" priority="17" operator="lessThan">
      <formula>15</formula>
    </cfRule>
    <cfRule type="cellIs" dxfId="9327" priority="18" operator="greaterThan">
      <formula>21</formula>
    </cfRule>
  </conditionalFormatting>
  <conditionalFormatting sqref="M9:M39">
    <cfRule type="cellIs" dxfId="9326" priority="1" operator="lessThan">
      <formula>15</formula>
    </cfRule>
    <cfRule type="cellIs" dxfId="9325" priority="2" operator="greaterThan">
      <formula>20</formula>
    </cfRule>
    <cfRule type="cellIs" dxfId="9324" priority="3" operator="between">
      <formula>15</formula>
      <formula>20</formula>
    </cfRule>
    <cfRule type="cellIs" dxfId="9323" priority="4" operator="between">
      <formula>15</formula>
      <formula>20</formula>
    </cfRule>
    <cfRule type="cellIs" dxfId="9322" priority="5" operator="lessThan">
      <formula>15</formula>
    </cfRule>
    <cfRule type="cellIs" dxfId="9321" priority="6" operator="greaterThan">
      <formula>20</formula>
    </cfRule>
    <cfRule type="cellIs" dxfId="9320" priority="7" operator="between">
      <formula>15</formula>
      <formula>21</formula>
    </cfRule>
    <cfRule type="cellIs" dxfId="9319" priority="8" operator="lessThan">
      <formula>15</formula>
    </cfRule>
    <cfRule type="cellIs" dxfId="9318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C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8" width="8.85546875" style="143" customWidth="1"/>
    <col min="19" max="19" width="11.5703125" style="143" bestFit="1" customWidth="1"/>
    <col min="20" max="20" width="12.42578125" style="143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038" customFormat="1" ht="15" customHeight="1">
      <c r="A4" s="1600" t="s">
        <v>33</v>
      </c>
      <c r="B4" s="1600"/>
      <c r="C4" s="316" t="str">
        <f>J4</f>
        <v>FRIT VS68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833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44276.76</v>
      </c>
      <c r="E8" s="388">
        <f>K8</f>
        <v>44724</v>
      </c>
      <c r="F8" s="389"/>
      <c r="G8" s="388"/>
      <c r="H8" s="387"/>
      <c r="I8" s="388"/>
      <c r="J8" s="937">
        <f>K8-K8*N8</f>
        <v>44276.76</v>
      </c>
      <c r="K8" s="937">
        <v>44724</v>
      </c>
      <c r="L8" s="462"/>
      <c r="M8" s="463"/>
      <c r="N8" s="366">
        <v>0.01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1125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 t="shared" ref="D9:D24" si="0"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1">J8+D9-F9</f>
        <v>44276.76</v>
      </c>
      <c r="K9" s="459">
        <f t="shared" si="1"/>
        <v>44724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39.357120000000002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si="0"/>
        <v>0</v>
      </c>
      <c r="E10" s="499"/>
      <c r="F10" s="586">
        <f t="shared" ref="F10:G39" si="2">O10+Q10</f>
        <v>855</v>
      </c>
      <c r="G10" s="1424">
        <f t="shared" si="2"/>
        <v>864</v>
      </c>
      <c r="H10" s="498">
        <f>SUM($F$9:F10)/A10</f>
        <v>427.5</v>
      </c>
      <c r="I10" s="499">
        <f>SUM($G$9:G10)/A10</f>
        <v>432</v>
      </c>
      <c r="J10" s="443">
        <f t="shared" si="1"/>
        <v>43421.760000000002</v>
      </c>
      <c r="K10" s="459">
        <f t="shared" si="1"/>
        <v>43860</v>
      </c>
      <c r="L10" s="495">
        <f t="shared" ref="L10:L39" si="3">J10/H10</f>
        <v>101.57136842105264</v>
      </c>
      <c r="M10" s="464">
        <f t="shared" ref="M10:M39" si="4">K10/I10</f>
        <v>101.52777777777777</v>
      </c>
      <c r="N10" s="366"/>
      <c r="O10" s="446"/>
      <c r="P10" s="446"/>
      <c r="Q10" s="446">
        <v>855</v>
      </c>
      <c r="R10" s="446">
        <v>864</v>
      </c>
      <c r="S10" s="647">
        <f t="shared" ref="S10:S39" si="5">J10/$S$8</f>
        <v>38.597120000000004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0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285</v>
      </c>
      <c r="I11" s="499">
        <f>SUM($G$9:G11)/A11</f>
        <v>288</v>
      </c>
      <c r="J11" s="443">
        <f t="shared" si="1"/>
        <v>43421.760000000002</v>
      </c>
      <c r="K11" s="459">
        <f t="shared" si="1"/>
        <v>43860</v>
      </c>
      <c r="L11" s="495">
        <f t="shared" si="3"/>
        <v>152.35705263157897</v>
      </c>
      <c r="M11" s="464">
        <f t="shared" si="4"/>
        <v>152.29166666666666</v>
      </c>
      <c r="N11" s="366"/>
      <c r="O11" s="446"/>
      <c r="P11" s="446"/>
      <c r="Q11" s="446"/>
      <c r="R11" s="446"/>
      <c r="S11" s="647">
        <f t="shared" si="5"/>
        <v>38.597120000000004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0"/>
        <v>0</v>
      </c>
      <c r="E12" s="499"/>
      <c r="F12" s="586">
        <f t="shared" si="2"/>
        <v>855</v>
      </c>
      <c r="G12" s="1424">
        <f t="shared" si="2"/>
        <v>864</v>
      </c>
      <c r="H12" s="498">
        <f>SUM($F$9:F12)/A12</f>
        <v>427.5</v>
      </c>
      <c r="I12" s="499">
        <f>SUM($G$9:G12)/A12</f>
        <v>432</v>
      </c>
      <c r="J12" s="443">
        <f t="shared" si="1"/>
        <v>42566.76</v>
      </c>
      <c r="K12" s="459">
        <f t="shared" si="1"/>
        <v>42996</v>
      </c>
      <c r="L12" s="495">
        <f t="shared" si="3"/>
        <v>99.57136842105264</v>
      </c>
      <c r="M12" s="464">
        <f t="shared" si="4"/>
        <v>99.527777777777771</v>
      </c>
      <c r="N12" s="366"/>
      <c r="O12" s="446"/>
      <c r="P12" s="446"/>
      <c r="Q12" s="446">
        <v>855</v>
      </c>
      <c r="R12" s="446">
        <v>864</v>
      </c>
      <c r="S12" s="647">
        <f t="shared" si="5"/>
        <v>37.837119999999999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0"/>
        <v>0</v>
      </c>
      <c r="E13" s="499"/>
      <c r="F13" s="586">
        <f t="shared" si="2"/>
        <v>855</v>
      </c>
      <c r="G13" s="1424">
        <f t="shared" si="2"/>
        <v>864</v>
      </c>
      <c r="H13" s="504">
        <f>SUM($F$9:F13)/A13</f>
        <v>513</v>
      </c>
      <c r="I13" s="499">
        <f>SUM($G$9:G13)/A13</f>
        <v>518.4</v>
      </c>
      <c r="J13" s="504">
        <f t="shared" si="1"/>
        <v>41711.760000000002</v>
      </c>
      <c r="K13" s="459">
        <f t="shared" si="1"/>
        <v>42132</v>
      </c>
      <c r="L13" s="505">
        <f t="shared" si="3"/>
        <v>81.309473684210531</v>
      </c>
      <c r="M13" s="464">
        <f t="shared" si="4"/>
        <v>81.273148148148152</v>
      </c>
      <c r="N13" s="366"/>
      <c r="O13" s="446"/>
      <c r="P13" s="446"/>
      <c r="Q13" s="446">
        <v>855</v>
      </c>
      <c r="R13" s="446">
        <v>864</v>
      </c>
      <c r="S13" s="647">
        <f t="shared" si="5"/>
        <v>37.077120000000001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0"/>
        <v>0</v>
      </c>
      <c r="E14" s="499"/>
      <c r="F14" s="586">
        <f t="shared" si="2"/>
        <v>855</v>
      </c>
      <c r="G14" s="1424">
        <f t="shared" si="2"/>
        <v>864</v>
      </c>
      <c r="H14" s="498">
        <f>SUM($F$9:F14)/A14</f>
        <v>570</v>
      </c>
      <c r="I14" s="499">
        <f>SUM($G$9:G14)/A14</f>
        <v>576</v>
      </c>
      <c r="J14" s="443">
        <f t="shared" si="1"/>
        <v>40856.76</v>
      </c>
      <c r="K14" s="459">
        <f t="shared" si="1"/>
        <v>41268</v>
      </c>
      <c r="L14" s="495">
        <f t="shared" si="3"/>
        <v>71.678526315789483</v>
      </c>
      <c r="M14" s="464">
        <f t="shared" si="4"/>
        <v>71.645833333333329</v>
      </c>
      <c r="N14" s="366"/>
      <c r="O14" s="446"/>
      <c r="P14" s="446"/>
      <c r="Q14" s="446">
        <v>855</v>
      </c>
      <c r="R14" s="446">
        <v>864</v>
      </c>
      <c r="S14" s="647">
        <f t="shared" si="5"/>
        <v>36.317120000000003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921">
        <f t="shared" si="0"/>
        <v>0</v>
      </c>
      <c r="E15" s="499"/>
      <c r="F15" s="586">
        <f t="shared" si="2"/>
        <v>855</v>
      </c>
      <c r="G15" s="1424">
        <f t="shared" si="2"/>
        <v>864</v>
      </c>
      <c r="H15" s="498">
        <f>SUM($F$9:F15)/A15</f>
        <v>610.71428571428567</v>
      </c>
      <c r="I15" s="499">
        <f>SUM($G$9:G15)/A15</f>
        <v>617.14285714285711</v>
      </c>
      <c r="J15" s="443">
        <f t="shared" si="1"/>
        <v>40001.760000000002</v>
      </c>
      <c r="K15" s="459">
        <f t="shared" si="1"/>
        <v>40404</v>
      </c>
      <c r="L15" s="495">
        <f t="shared" si="3"/>
        <v>65.499957894736852</v>
      </c>
      <c r="M15" s="464">
        <f t="shared" si="4"/>
        <v>65.469444444444449</v>
      </c>
      <c r="N15" s="366"/>
      <c r="O15" s="446"/>
      <c r="P15" s="446"/>
      <c r="Q15" s="446">
        <v>855</v>
      </c>
      <c r="R15" s="446">
        <v>864</v>
      </c>
      <c r="S15" s="647">
        <f t="shared" si="5"/>
        <v>35.557120000000005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0"/>
        <v>0</v>
      </c>
      <c r="E16" s="499"/>
      <c r="F16" s="586">
        <f t="shared" si="2"/>
        <v>1710</v>
      </c>
      <c r="G16" s="1424">
        <f t="shared" si="2"/>
        <v>1734</v>
      </c>
      <c r="H16" s="498">
        <f>SUM($F$9:F16)/A16</f>
        <v>748.125</v>
      </c>
      <c r="I16" s="499">
        <f>SUM($G$9:G16)/A16</f>
        <v>756.75</v>
      </c>
      <c r="J16" s="443">
        <f t="shared" si="1"/>
        <v>38291.760000000002</v>
      </c>
      <c r="K16" s="459">
        <f t="shared" si="1"/>
        <v>38670</v>
      </c>
      <c r="L16" s="495">
        <f t="shared" si="3"/>
        <v>51.183639097744361</v>
      </c>
      <c r="M16" s="464">
        <f t="shared" si="4"/>
        <v>51.100099108027749</v>
      </c>
      <c r="N16" s="366"/>
      <c r="O16" s="446"/>
      <c r="P16" s="446"/>
      <c r="Q16" s="446">
        <v>1710</v>
      </c>
      <c r="R16" s="446">
        <v>1734</v>
      </c>
      <c r="S16" s="647">
        <f t="shared" si="5"/>
        <v>34.037120000000002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0"/>
        <v>0</v>
      </c>
      <c r="E17" s="499"/>
      <c r="F17" s="586">
        <f t="shared" si="2"/>
        <v>855</v>
      </c>
      <c r="G17" s="1424">
        <f t="shared" si="2"/>
        <v>867</v>
      </c>
      <c r="H17" s="498">
        <f>SUM($F$9:F17)/A17</f>
        <v>760</v>
      </c>
      <c r="I17" s="499">
        <f>SUM($G$9:G17)/A17</f>
        <v>769</v>
      </c>
      <c r="J17" s="443">
        <f t="shared" si="1"/>
        <v>37436.76</v>
      </c>
      <c r="K17" s="459">
        <f t="shared" si="1"/>
        <v>37803</v>
      </c>
      <c r="L17" s="495">
        <f t="shared" si="3"/>
        <v>49.258894736842109</v>
      </c>
      <c r="M17" s="464">
        <f t="shared" si="4"/>
        <v>49.158647594278285</v>
      </c>
      <c r="N17" s="366"/>
      <c r="O17" s="446"/>
      <c r="P17" s="446"/>
      <c r="Q17" s="446">
        <v>855</v>
      </c>
      <c r="R17" s="446">
        <v>867</v>
      </c>
      <c r="S17" s="647">
        <f t="shared" si="5"/>
        <v>33.277120000000004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0"/>
        <v>0</v>
      </c>
      <c r="E18" s="499"/>
      <c r="F18" s="586">
        <f t="shared" si="2"/>
        <v>912</v>
      </c>
      <c r="G18" s="1424">
        <f t="shared" si="2"/>
        <v>925</v>
      </c>
      <c r="H18" s="504">
        <f>SUM($F$9:F18)/A18</f>
        <v>775.2</v>
      </c>
      <c r="I18" s="499">
        <f>SUM($G$9:G18)/A18</f>
        <v>784.6</v>
      </c>
      <c r="J18" s="504">
        <f t="shared" si="1"/>
        <v>36524.76</v>
      </c>
      <c r="K18" s="459">
        <f t="shared" si="1"/>
        <v>36878</v>
      </c>
      <c r="L18" s="505">
        <f t="shared" si="3"/>
        <v>47.116563467492263</v>
      </c>
      <c r="M18" s="464">
        <f t="shared" si="4"/>
        <v>47.002294162630641</v>
      </c>
      <c r="N18" s="366"/>
      <c r="O18" s="446"/>
      <c r="P18" s="446"/>
      <c r="Q18" s="446">
        <v>912</v>
      </c>
      <c r="R18" s="446">
        <v>925</v>
      </c>
      <c r="S18" s="647">
        <f t="shared" si="5"/>
        <v>32.466453333333334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0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704.72727272727275</v>
      </c>
      <c r="I19" s="499">
        <f>SUM($G$9:G19)/A19</f>
        <v>713.27272727272725</v>
      </c>
      <c r="J19" s="443">
        <f t="shared" si="1"/>
        <v>36524.76</v>
      </c>
      <c r="K19" s="459">
        <f t="shared" si="1"/>
        <v>36878</v>
      </c>
      <c r="L19" s="495">
        <f t="shared" si="3"/>
        <v>51.828219814241486</v>
      </c>
      <c r="M19" s="464">
        <f t="shared" si="4"/>
        <v>51.702523578893704</v>
      </c>
      <c r="N19" s="366"/>
      <c r="O19" s="446"/>
      <c r="P19" s="446"/>
      <c r="Q19" s="446"/>
      <c r="R19" s="446"/>
      <c r="S19" s="647">
        <f t="shared" si="5"/>
        <v>32.466453333333334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502">
        <f t="shared" si="0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646</v>
      </c>
      <c r="I20" s="499">
        <f>SUM($G$9:G20)/A20</f>
        <v>653.83333333333337</v>
      </c>
      <c r="J20" s="443">
        <f t="shared" si="1"/>
        <v>36524.76</v>
      </c>
      <c r="K20" s="459">
        <f t="shared" si="1"/>
        <v>36878</v>
      </c>
      <c r="L20" s="495">
        <f t="shared" si="3"/>
        <v>56.539876160990715</v>
      </c>
      <c r="M20" s="464">
        <f t="shared" si="4"/>
        <v>56.402752995156767</v>
      </c>
      <c r="N20" s="366"/>
      <c r="O20" s="446"/>
      <c r="P20" s="446"/>
      <c r="Q20" s="446"/>
      <c r="R20" s="446"/>
      <c r="S20" s="647">
        <f t="shared" si="5"/>
        <v>32.466453333333334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0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596.30769230769226</v>
      </c>
      <c r="I21" s="499">
        <f>SUM($G$9:G21)/A21</f>
        <v>603.53846153846155</v>
      </c>
      <c r="J21" s="443">
        <f t="shared" si="1"/>
        <v>36524.76</v>
      </c>
      <c r="K21" s="459">
        <f>K20+E21-G21</f>
        <v>36878</v>
      </c>
      <c r="L21" s="495">
        <f t="shared" si="3"/>
        <v>61.251532507739945</v>
      </c>
      <c r="M21" s="464">
        <f t="shared" si="4"/>
        <v>61.102982411419831</v>
      </c>
      <c r="N21" s="366"/>
      <c r="O21" s="446"/>
      <c r="P21" s="446"/>
      <c r="Q21" s="446"/>
      <c r="R21" s="446"/>
      <c r="S21" s="647">
        <f t="shared" si="5"/>
        <v>32.466453333333334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0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553.71428571428567</v>
      </c>
      <c r="I22" s="499">
        <f>SUM($G$9:G22)/A22</f>
        <v>560.42857142857144</v>
      </c>
      <c r="J22" s="443">
        <f t="shared" si="1"/>
        <v>36524.76</v>
      </c>
      <c r="K22" s="459">
        <f>K21+E22-G22</f>
        <v>36878</v>
      </c>
      <c r="L22" s="495">
        <f t="shared" si="3"/>
        <v>65.963188854489175</v>
      </c>
      <c r="M22" s="464">
        <f t="shared" si="4"/>
        <v>65.803211827682887</v>
      </c>
      <c r="N22" s="366"/>
      <c r="O22" s="446"/>
      <c r="P22" s="446"/>
      <c r="Q22" s="446"/>
      <c r="R22" s="446"/>
      <c r="S22" s="647">
        <f t="shared" si="5"/>
        <v>32.466453333333334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0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516.79999999999995</v>
      </c>
      <c r="I23" s="499">
        <f>SUM($G$9:G23)/A23</f>
        <v>523.06666666666672</v>
      </c>
      <c r="J23" s="504">
        <f t="shared" si="1"/>
        <v>36524.76</v>
      </c>
      <c r="K23" s="459">
        <f t="shared" si="1"/>
        <v>36878</v>
      </c>
      <c r="L23" s="505">
        <f t="shared" si="3"/>
        <v>70.674845201238398</v>
      </c>
      <c r="M23" s="464">
        <f t="shared" si="4"/>
        <v>70.503441243945957</v>
      </c>
      <c r="N23" s="366"/>
      <c r="O23" s="446"/>
      <c r="P23" s="446"/>
      <c r="Q23" s="446"/>
      <c r="R23" s="446"/>
      <c r="S23" s="647">
        <f t="shared" si="5"/>
        <v>32.466453333333334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0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484.5</v>
      </c>
      <c r="I24" s="499">
        <f>SUM($G$9:G24)/A24</f>
        <v>490.375</v>
      </c>
      <c r="J24" s="443">
        <f t="shared" si="1"/>
        <v>36524.76</v>
      </c>
      <c r="K24" s="459">
        <f>K23+E24-G24</f>
        <v>36878</v>
      </c>
      <c r="L24" s="495">
        <f t="shared" si="3"/>
        <v>75.386501547987621</v>
      </c>
      <c r="M24" s="464">
        <f t="shared" si="4"/>
        <v>75.203670660209028</v>
      </c>
      <c r="N24" s="366"/>
      <c r="O24" s="446"/>
      <c r="P24" s="446"/>
      <c r="Q24" s="446"/>
      <c r="R24" s="446"/>
      <c r="S24" s="647">
        <f t="shared" si="5"/>
        <v>32.466453333333334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/>
      <c r="E25" s="499"/>
      <c r="F25" s="586">
        <f t="shared" si="2"/>
        <v>0</v>
      </c>
      <c r="G25" s="1424">
        <f t="shared" si="2"/>
        <v>0</v>
      </c>
      <c r="H25" s="498">
        <f>SUM($F$9:F25)/A25</f>
        <v>456</v>
      </c>
      <c r="I25" s="499">
        <f>SUM($G$9:G25)/A25</f>
        <v>461.52941176470586</v>
      </c>
      <c r="J25" s="443">
        <f t="shared" ref="J25:K39" si="6">J24+D25-F25</f>
        <v>36524.76</v>
      </c>
      <c r="K25" s="459">
        <f>K24+E25-G25</f>
        <v>36878</v>
      </c>
      <c r="L25" s="495">
        <f t="shared" si="3"/>
        <v>80.098157894736843</v>
      </c>
      <c r="M25" s="464">
        <f t="shared" si="4"/>
        <v>79.903900076472098</v>
      </c>
      <c r="N25" s="366"/>
      <c r="O25" s="446"/>
      <c r="P25" s="446"/>
      <c r="Q25" s="446"/>
      <c r="R25" s="446"/>
      <c r="S25" s="647">
        <f t="shared" si="5"/>
        <v>32.466453333333334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ref="D26:D39" si="7">E26-E26*N26</f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430.66666666666669</v>
      </c>
      <c r="I26" s="499">
        <f>SUM($G$9:G26)/A26</f>
        <v>435.88888888888891</v>
      </c>
      <c r="J26" s="443">
        <f t="shared" si="6"/>
        <v>36524.76</v>
      </c>
      <c r="K26" s="459">
        <f>K25+E26-G26</f>
        <v>36878</v>
      </c>
      <c r="L26" s="495">
        <f t="shared" si="3"/>
        <v>84.809814241486066</v>
      </c>
      <c r="M26" s="464">
        <f t="shared" si="4"/>
        <v>84.60412949273514</v>
      </c>
      <c r="N26" s="366"/>
      <c r="O26" s="446"/>
      <c r="P26" s="446"/>
      <c r="Q26" s="446"/>
      <c r="R26" s="446"/>
      <c r="S26" s="647">
        <f t="shared" si="5"/>
        <v>32.466453333333334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7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408</v>
      </c>
      <c r="I27" s="499">
        <f>SUM($G$9:G27)/A27</f>
        <v>412.94736842105266</v>
      </c>
      <c r="J27" s="443">
        <f t="shared" si="6"/>
        <v>36524.76</v>
      </c>
      <c r="K27" s="459">
        <f>K26+E27-G27</f>
        <v>36878</v>
      </c>
      <c r="L27" s="495">
        <f t="shared" si="3"/>
        <v>89.521470588235303</v>
      </c>
      <c r="M27" s="464">
        <f t="shared" si="4"/>
        <v>89.304358908998211</v>
      </c>
      <c r="N27" s="366"/>
      <c r="O27" s="446"/>
      <c r="P27" s="446"/>
      <c r="Q27" s="446"/>
      <c r="R27" s="446"/>
      <c r="S27" s="647">
        <f t="shared" si="5"/>
        <v>32.466453333333334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7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387.6</v>
      </c>
      <c r="I28" s="499">
        <f>SUM($G$9:G28)/A28</f>
        <v>392.3</v>
      </c>
      <c r="J28" s="504">
        <f t="shared" si="6"/>
        <v>36524.76</v>
      </c>
      <c r="K28" s="459">
        <f t="shared" si="6"/>
        <v>36878</v>
      </c>
      <c r="L28" s="505">
        <f t="shared" si="3"/>
        <v>94.233126934984526</v>
      </c>
      <c r="M28" s="464">
        <f t="shared" si="4"/>
        <v>94.004588325261281</v>
      </c>
      <c r="N28" s="366"/>
      <c r="O28" s="446"/>
      <c r="P28" s="446"/>
      <c r="Q28" s="446"/>
      <c r="R28" s="446"/>
      <c r="S28" s="647">
        <f t="shared" si="5"/>
        <v>32.466453333333334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7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369.14285714285717</v>
      </c>
      <c r="I29" s="499">
        <f>SUM($G$9:G29)/A29</f>
        <v>373.61904761904759</v>
      </c>
      <c r="J29" s="443">
        <f t="shared" si="6"/>
        <v>36524.76</v>
      </c>
      <c r="K29" s="459">
        <f t="shared" si="6"/>
        <v>36878</v>
      </c>
      <c r="L29" s="495">
        <f t="shared" si="3"/>
        <v>98.944783281733748</v>
      </c>
      <c r="M29" s="464">
        <f t="shared" si="4"/>
        <v>98.704817741524352</v>
      </c>
      <c r="N29" s="366"/>
      <c r="O29" s="446"/>
      <c r="P29" s="446"/>
      <c r="Q29" s="446"/>
      <c r="R29" s="446"/>
      <c r="S29" s="647">
        <f t="shared" si="5"/>
        <v>32.466453333333334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7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352.36363636363637</v>
      </c>
      <c r="I30" s="499">
        <f>SUM($G$9:G30)/A30</f>
        <v>356.63636363636363</v>
      </c>
      <c r="J30" s="443">
        <f t="shared" si="6"/>
        <v>36524.76</v>
      </c>
      <c r="K30" s="459">
        <f t="shared" si="6"/>
        <v>36878</v>
      </c>
      <c r="L30" s="495">
        <f t="shared" si="3"/>
        <v>103.65643962848297</v>
      </c>
      <c r="M30" s="464">
        <f t="shared" si="4"/>
        <v>103.40504715778741</v>
      </c>
      <c r="N30" s="366"/>
      <c r="O30" s="446"/>
      <c r="P30" s="446"/>
      <c r="Q30" s="446"/>
      <c r="R30" s="446"/>
      <c r="S30" s="647">
        <f t="shared" si="5"/>
        <v>32.466453333333334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7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337.04347826086956</v>
      </c>
      <c r="I31" s="499">
        <f>SUM($G$9:G31)/A31</f>
        <v>341.13043478260869</v>
      </c>
      <c r="J31" s="443">
        <f t="shared" si="6"/>
        <v>36524.76</v>
      </c>
      <c r="K31" s="459">
        <f t="shared" si="6"/>
        <v>36878</v>
      </c>
      <c r="L31" s="495">
        <f t="shared" si="3"/>
        <v>108.36809597523221</v>
      </c>
      <c r="M31" s="464">
        <f t="shared" si="4"/>
        <v>108.10527657405048</v>
      </c>
      <c r="N31" s="366"/>
      <c r="O31" s="446"/>
      <c r="P31" s="446"/>
      <c r="Q31" s="446"/>
      <c r="R31" s="446"/>
      <c r="S31" s="647">
        <f t="shared" si="5"/>
        <v>32.466453333333334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7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323</v>
      </c>
      <c r="I32" s="499">
        <f>SUM($G$9:G32)/A32</f>
        <v>326.91666666666669</v>
      </c>
      <c r="J32" s="443">
        <f t="shared" si="6"/>
        <v>36524.76</v>
      </c>
      <c r="K32" s="459">
        <f t="shared" si="6"/>
        <v>36878</v>
      </c>
      <c r="L32" s="495">
        <f t="shared" si="3"/>
        <v>113.07975232198143</v>
      </c>
      <c r="M32" s="464">
        <f t="shared" si="4"/>
        <v>112.80550599031353</v>
      </c>
      <c r="N32" s="366"/>
      <c r="O32" s="446"/>
      <c r="P32" s="446"/>
      <c r="Q32" s="446"/>
      <c r="R32" s="446"/>
      <c r="S32" s="647">
        <f t="shared" si="5"/>
        <v>32.466453333333334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7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310.08</v>
      </c>
      <c r="I33" s="499">
        <f>SUM($G$9:G33)/A33</f>
        <v>313.83999999999997</v>
      </c>
      <c r="J33" s="460">
        <f t="shared" si="6"/>
        <v>36524.76</v>
      </c>
      <c r="K33" s="459">
        <f t="shared" si="6"/>
        <v>36878</v>
      </c>
      <c r="L33" s="506">
        <f t="shared" si="3"/>
        <v>117.79140866873067</v>
      </c>
      <c r="M33" s="464">
        <f t="shared" si="4"/>
        <v>117.5057354065766</v>
      </c>
      <c r="N33" s="366"/>
      <c r="O33" s="446"/>
      <c r="P33" s="446"/>
      <c r="Q33" s="446"/>
      <c r="R33" s="446"/>
      <c r="S33" s="647">
        <f t="shared" si="5"/>
        <v>32.466453333333334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7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298.15384615384613</v>
      </c>
      <c r="I34" s="499">
        <f>SUM($G$9:G34)/A34</f>
        <v>301.76923076923077</v>
      </c>
      <c r="J34" s="443">
        <f t="shared" si="6"/>
        <v>36524.76</v>
      </c>
      <c r="K34" s="459">
        <f t="shared" si="6"/>
        <v>36878</v>
      </c>
      <c r="L34" s="495">
        <f t="shared" si="3"/>
        <v>122.50306501547989</v>
      </c>
      <c r="M34" s="464">
        <f t="shared" si="4"/>
        <v>122.20596482283966</v>
      </c>
      <c r="N34" s="366"/>
      <c r="O34" s="446"/>
      <c r="P34" s="446"/>
      <c r="Q34" s="446"/>
      <c r="R34" s="446"/>
      <c r="S34" s="647">
        <f t="shared" si="5"/>
        <v>32.466453333333334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7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287.11111111111109</v>
      </c>
      <c r="I35" s="499">
        <f>SUM($G$9:G35)/A35</f>
        <v>290.59259259259261</v>
      </c>
      <c r="J35" s="443">
        <f t="shared" si="6"/>
        <v>36524.76</v>
      </c>
      <c r="K35" s="459">
        <f t="shared" si="6"/>
        <v>36878</v>
      </c>
      <c r="L35" s="495">
        <f t="shared" si="3"/>
        <v>127.21472136222913</v>
      </c>
      <c r="M35" s="464">
        <f t="shared" si="4"/>
        <v>126.90619423910272</v>
      </c>
      <c r="N35" s="366"/>
      <c r="O35" s="446"/>
      <c r="P35" s="446"/>
      <c r="Q35" s="446"/>
      <c r="R35" s="446"/>
      <c r="S35" s="647">
        <f t="shared" si="5"/>
        <v>32.466453333333334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7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276.85714285714283</v>
      </c>
      <c r="I36" s="499">
        <f>SUM($G$9:G36)/A36</f>
        <v>280.21428571428572</v>
      </c>
      <c r="J36" s="443">
        <f t="shared" si="6"/>
        <v>36524.76</v>
      </c>
      <c r="K36" s="459">
        <f t="shared" si="6"/>
        <v>36878</v>
      </c>
      <c r="L36" s="495">
        <f t="shared" si="3"/>
        <v>131.92637770897835</v>
      </c>
      <c r="M36" s="464">
        <f t="shared" si="4"/>
        <v>131.60642365536577</v>
      </c>
      <c r="N36" s="366"/>
      <c r="O36" s="446"/>
      <c r="P36" s="446"/>
      <c r="Q36" s="446"/>
      <c r="R36" s="446"/>
      <c r="S36" s="647">
        <f t="shared" si="5"/>
        <v>32.466453333333334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7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267.31034482758622</v>
      </c>
      <c r="I37" s="499">
        <f>SUM($G$9:G37)/A37</f>
        <v>270.55172413793105</v>
      </c>
      <c r="J37" s="443">
        <f t="shared" si="6"/>
        <v>36524.76</v>
      </c>
      <c r="K37" s="459">
        <f t="shared" si="6"/>
        <v>36878</v>
      </c>
      <c r="L37" s="495">
        <f t="shared" si="3"/>
        <v>136.63803405572756</v>
      </c>
      <c r="M37" s="464">
        <f t="shared" si="4"/>
        <v>136.30665307162886</v>
      </c>
      <c r="N37" s="366"/>
      <c r="O37" s="446"/>
      <c r="P37" s="446"/>
      <c r="Q37" s="446"/>
      <c r="R37" s="446"/>
      <c r="S37" s="647">
        <f t="shared" si="5"/>
        <v>32.466453333333334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7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258.39999999999998</v>
      </c>
      <c r="I38" s="499">
        <f>SUM($G$9:G38)/A38</f>
        <v>261.53333333333336</v>
      </c>
      <c r="J38" s="504">
        <f t="shared" si="6"/>
        <v>36524.76</v>
      </c>
      <c r="K38" s="459">
        <f t="shared" si="6"/>
        <v>36878</v>
      </c>
      <c r="L38" s="505">
        <f t="shared" si="3"/>
        <v>141.3496904024768</v>
      </c>
      <c r="M38" s="464">
        <f t="shared" si="4"/>
        <v>141.00688248789191</v>
      </c>
      <c r="N38" s="366"/>
      <c r="O38" s="446"/>
      <c r="P38" s="446"/>
      <c r="Q38" s="446"/>
      <c r="R38" s="446"/>
      <c r="S38" s="647">
        <f t="shared" si="5"/>
        <v>32.466453333333334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7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250.06451612903226</v>
      </c>
      <c r="I39" s="499">
        <f>SUM($G$9:G39)/A39</f>
        <v>253.09677419354838</v>
      </c>
      <c r="J39" s="443">
        <f t="shared" si="6"/>
        <v>36524.76</v>
      </c>
      <c r="K39" s="459">
        <f t="shared" si="6"/>
        <v>36878</v>
      </c>
      <c r="L39" s="495">
        <f t="shared" si="3"/>
        <v>146.061346749226</v>
      </c>
      <c r="M39" s="464">
        <f t="shared" si="4"/>
        <v>145.707111904155</v>
      </c>
      <c r="N39" s="366"/>
      <c r="O39" s="446"/>
      <c r="P39" s="446"/>
      <c r="Q39" s="446"/>
      <c r="R39" s="446"/>
      <c r="S39" s="647">
        <f t="shared" si="5"/>
        <v>32.466453333333334</v>
      </c>
    </row>
    <row r="40" spans="1:19" s="374" customFormat="1" ht="12" customHeight="1">
      <c r="A40" s="1039" t="s">
        <v>29</v>
      </c>
      <c r="B40" s="1040"/>
      <c r="C40" s="1041"/>
      <c r="D40" s="388">
        <f>SUM(D9:D39)</f>
        <v>0</v>
      </c>
      <c r="E40" s="923">
        <f>SUM(E9:E39)</f>
        <v>0</v>
      </c>
      <c r="F40" s="389">
        <f>SUM(F9:F39)</f>
        <v>7752</v>
      </c>
      <c r="G40" s="496">
        <f>SUM(G9:G39)</f>
        <v>7846</v>
      </c>
      <c r="H40" s="389"/>
      <c r="I40" s="496"/>
      <c r="J40" s="389">
        <f>J39</f>
        <v>36524.76</v>
      </c>
      <c r="K40" s="461">
        <f>K39</f>
        <v>36878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7752</v>
      </c>
      <c r="R40" s="496">
        <f>SUM(R9:R39)</f>
        <v>7846</v>
      </c>
    </row>
    <row r="41" spans="1:19" s="374" customFormat="1" ht="12" customHeight="1">
      <c r="A41" s="1039" t="s">
        <v>15</v>
      </c>
      <c r="B41" s="1040"/>
      <c r="C41" s="1041"/>
      <c r="D41" s="388">
        <f>D8+D40</f>
        <v>44276.76</v>
      </c>
      <c r="E41" s="388">
        <f>E8+E40</f>
        <v>44724</v>
      </c>
      <c r="F41" s="389">
        <f>F40</f>
        <v>7752</v>
      </c>
      <c r="G41" s="496">
        <f>G40</f>
        <v>7846</v>
      </c>
      <c r="H41" s="389"/>
      <c r="I41" s="496"/>
      <c r="J41" s="389">
        <f>D41-F41</f>
        <v>36524.76</v>
      </c>
      <c r="K41" s="389">
        <f>E41-G41</f>
        <v>36878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9317" priority="163" operator="lessThan">
      <formula>15</formula>
    </cfRule>
    <cfRule type="cellIs" dxfId="9316" priority="164" operator="greaterThan">
      <formula>20</formula>
    </cfRule>
    <cfRule type="cellIs" dxfId="9315" priority="165" operator="between">
      <formula>15</formula>
      <formula>20</formula>
    </cfRule>
    <cfRule type="cellIs" dxfId="9314" priority="166" operator="between">
      <formula>15</formula>
      <formula>20</formula>
    </cfRule>
    <cfRule type="cellIs" dxfId="9313" priority="167" operator="lessThan">
      <formula>15</formula>
    </cfRule>
    <cfRule type="cellIs" dxfId="9312" priority="168" operator="greaterThan">
      <formula>20</formula>
    </cfRule>
    <cfRule type="cellIs" dxfId="9311" priority="169" operator="between">
      <formula>15</formula>
      <formula>21</formula>
    </cfRule>
    <cfRule type="cellIs" dxfId="9310" priority="170" operator="lessThan">
      <formula>15</formula>
    </cfRule>
    <cfRule type="cellIs" dxfId="9309" priority="171" operator="greaterThan">
      <formula>21</formula>
    </cfRule>
  </conditionalFormatting>
  <conditionalFormatting sqref="M9:M39">
    <cfRule type="cellIs" dxfId="9308" priority="154" operator="lessThan">
      <formula>15</formula>
    </cfRule>
    <cfRule type="cellIs" dxfId="9307" priority="155" operator="greaterThan">
      <formula>20</formula>
    </cfRule>
    <cfRule type="cellIs" dxfId="9306" priority="156" operator="between">
      <formula>15</formula>
      <formula>20</formula>
    </cfRule>
    <cfRule type="cellIs" dxfId="9305" priority="157" operator="between">
      <formula>15</formula>
      <formula>20</formula>
    </cfRule>
    <cfRule type="cellIs" dxfId="9304" priority="158" operator="lessThan">
      <formula>15</formula>
    </cfRule>
    <cfRule type="cellIs" dxfId="9303" priority="159" operator="greaterThan">
      <formula>20</formula>
    </cfRule>
    <cfRule type="cellIs" dxfId="9302" priority="160" operator="between">
      <formula>15</formula>
      <formula>21</formula>
    </cfRule>
    <cfRule type="cellIs" dxfId="9301" priority="161" operator="lessThan">
      <formula>15</formula>
    </cfRule>
    <cfRule type="cellIs" dxfId="9300" priority="162" operator="greaterThan">
      <formula>21</formula>
    </cfRule>
  </conditionalFormatting>
  <conditionalFormatting sqref="M9:M39">
    <cfRule type="cellIs" dxfId="9299" priority="145" operator="lessThan">
      <formula>15</formula>
    </cfRule>
    <cfRule type="cellIs" dxfId="9298" priority="146" operator="greaterThan">
      <formula>20</formula>
    </cfRule>
    <cfRule type="cellIs" dxfId="9297" priority="147" operator="between">
      <formula>15</formula>
      <formula>20</formula>
    </cfRule>
    <cfRule type="cellIs" dxfId="9296" priority="148" operator="between">
      <formula>15</formula>
      <formula>20</formula>
    </cfRule>
    <cfRule type="cellIs" dxfId="9295" priority="149" operator="lessThan">
      <formula>15</formula>
    </cfRule>
    <cfRule type="cellIs" dxfId="9294" priority="150" operator="greaterThan">
      <formula>20</formula>
    </cfRule>
    <cfRule type="cellIs" dxfId="9293" priority="151" operator="between">
      <formula>15</formula>
      <formula>21</formula>
    </cfRule>
    <cfRule type="cellIs" dxfId="9292" priority="152" operator="lessThan">
      <formula>15</formula>
    </cfRule>
    <cfRule type="cellIs" dxfId="9291" priority="153" operator="greaterThan">
      <formula>21</formula>
    </cfRule>
  </conditionalFormatting>
  <conditionalFormatting sqref="M9:M39">
    <cfRule type="cellIs" dxfId="9290" priority="136" operator="lessThan">
      <formula>15</formula>
    </cfRule>
    <cfRule type="cellIs" dxfId="9289" priority="137" operator="greaterThan">
      <formula>20</formula>
    </cfRule>
    <cfRule type="cellIs" dxfId="9288" priority="138" operator="between">
      <formula>15</formula>
      <formula>20</formula>
    </cfRule>
    <cfRule type="cellIs" dxfId="9287" priority="139" operator="between">
      <formula>15</formula>
      <formula>20</formula>
    </cfRule>
    <cfRule type="cellIs" dxfId="9286" priority="140" operator="lessThan">
      <formula>15</formula>
    </cfRule>
    <cfRule type="cellIs" dxfId="9285" priority="141" operator="greaterThan">
      <formula>20</formula>
    </cfRule>
    <cfRule type="cellIs" dxfId="9284" priority="142" operator="between">
      <formula>15</formula>
      <formula>21</formula>
    </cfRule>
    <cfRule type="cellIs" dxfId="9283" priority="143" operator="lessThan">
      <formula>15</formula>
    </cfRule>
    <cfRule type="cellIs" dxfId="9282" priority="144" operator="greaterThan">
      <formula>21</formula>
    </cfRule>
  </conditionalFormatting>
  <conditionalFormatting sqref="M9:M39">
    <cfRule type="cellIs" dxfId="9281" priority="127" operator="lessThan">
      <formula>15</formula>
    </cfRule>
    <cfRule type="cellIs" dxfId="9280" priority="128" operator="greaterThan">
      <formula>20</formula>
    </cfRule>
    <cfRule type="cellIs" dxfId="9279" priority="129" operator="between">
      <formula>15</formula>
      <formula>20</formula>
    </cfRule>
    <cfRule type="cellIs" dxfId="9278" priority="130" operator="between">
      <formula>15</formula>
      <formula>20</formula>
    </cfRule>
    <cfRule type="cellIs" dxfId="9277" priority="131" operator="lessThan">
      <formula>15</formula>
    </cfRule>
    <cfRule type="cellIs" dxfId="9276" priority="132" operator="greaterThan">
      <formula>20</formula>
    </cfRule>
    <cfRule type="cellIs" dxfId="9275" priority="133" operator="between">
      <formula>15</formula>
      <formula>21</formula>
    </cfRule>
    <cfRule type="cellIs" dxfId="9274" priority="134" operator="lessThan">
      <formula>15</formula>
    </cfRule>
    <cfRule type="cellIs" dxfId="9273" priority="135" operator="greaterThan">
      <formula>21</formula>
    </cfRule>
  </conditionalFormatting>
  <conditionalFormatting sqref="M9:M39">
    <cfRule type="cellIs" dxfId="9272" priority="118" operator="lessThan">
      <formula>15</formula>
    </cfRule>
    <cfRule type="cellIs" dxfId="9271" priority="119" operator="greaterThan">
      <formula>20</formula>
    </cfRule>
    <cfRule type="cellIs" dxfId="9270" priority="120" operator="between">
      <formula>15</formula>
      <formula>20</formula>
    </cfRule>
    <cfRule type="cellIs" dxfId="9269" priority="121" operator="between">
      <formula>15</formula>
      <formula>20</formula>
    </cfRule>
    <cfRule type="cellIs" dxfId="9268" priority="122" operator="lessThan">
      <formula>15</formula>
    </cfRule>
    <cfRule type="cellIs" dxfId="9267" priority="123" operator="greaterThan">
      <formula>20</formula>
    </cfRule>
    <cfRule type="cellIs" dxfId="9266" priority="124" operator="between">
      <formula>15</formula>
      <formula>21</formula>
    </cfRule>
    <cfRule type="cellIs" dxfId="9265" priority="125" operator="lessThan">
      <formula>15</formula>
    </cfRule>
    <cfRule type="cellIs" dxfId="9264" priority="126" operator="greaterThan">
      <formula>21</formula>
    </cfRule>
  </conditionalFormatting>
  <conditionalFormatting sqref="M9:M39">
    <cfRule type="cellIs" dxfId="9263" priority="109" operator="lessThan">
      <formula>15</formula>
    </cfRule>
    <cfRule type="cellIs" dxfId="9262" priority="110" operator="greaterThan">
      <formula>20</formula>
    </cfRule>
    <cfRule type="cellIs" dxfId="9261" priority="111" operator="between">
      <formula>15</formula>
      <formula>20</formula>
    </cfRule>
    <cfRule type="cellIs" dxfId="9260" priority="112" operator="between">
      <formula>15</formula>
      <formula>20</formula>
    </cfRule>
    <cfRule type="cellIs" dxfId="9259" priority="113" operator="lessThan">
      <formula>15</formula>
    </cfRule>
    <cfRule type="cellIs" dxfId="9258" priority="114" operator="greaterThan">
      <formula>20</formula>
    </cfRule>
    <cfRule type="cellIs" dxfId="9257" priority="115" operator="between">
      <formula>15</formula>
      <formula>21</formula>
    </cfRule>
    <cfRule type="cellIs" dxfId="9256" priority="116" operator="lessThan">
      <formula>15</formula>
    </cfRule>
    <cfRule type="cellIs" dxfId="9255" priority="117" operator="greaterThan">
      <formula>21</formula>
    </cfRule>
  </conditionalFormatting>
  <conditionalFormatting sqref="M9:M39">
    <cfRule type="cellIs" dxfId="9254" priority="100" operator="lessThan">
      <formula>15</formula>
    </cfRule>
    <cfRule type="cellIs" dxfId="9253" priority="101" operator="greaterThan">
      <formula>20</formula>
    </cfRule>
    <cfRule type="cellIs" dxfId="9252" priority="102" operator="between">
      <formula>15</formula>
      <formula>20</formula>
    </cfRule>
    <cfRule type="cellIs" dxfId="9251" priority="103" operator="between">
      <formula>15</formula>
      <formula>20</formula>
    </cfRule>
    <cfRule type="cellIs" dxfId="9250" priority="104" operator="lessThan">
      <formula>15</formula>
    </cfRule>
    <cfRule type="cellIs" dxfId="9249" priority="105" operator="greaterThan">
      <formula>20</formula>
    </cfRule>
    <cfRule type="cellIs" dxfId="9248" priority="106" operator="between">
      <formula>15</formula>
      <formula>21</formula>
    </cfRule>
    <cfRule type="cellIs" dxfId="9247" priority="107" operator="lessThan">
      <formula>15</formula>
    </cfRule>
    <cfRule type="cellIs" dxfId="9246" priority="108" operator="greaterThan">
      <formula>21</formula>
    </cfRule>
  </conditionalFormatting>
  <conditionalFormatting sqref="M9:M39">
    <cfRule type="cellIs" dxfId="9245" priority="91" operator="lessThan">
      <formula>15</formula>
    </cfRule>
    <cfRule type="cellIs" dxfId="9244" priority="92" operator="greaterThan">
      <formula>20</formula>
    </cfRule>
    <cfRule type="cellIs" dxfId="9243" priority="93" operator="between">
      <formula>15</formula>
      <formula>20</formula>
    </cfRule>
    <cfRule type="cellIs" dxfId="9242" priority="94" operator="between">
      <formula>15</formula>
      <formula>20</formula>
    </cfRule>
    <cfRule type="cellIs" dxfId="9241" priority="95" operator="lessThan">
      <formula>15</formula>
    </cfRule>
    <cfRule type="cellIs" dxfId="9240" priority="96" operator="greaterThan">
      <formula>20</formula>
    </cfRule>
    <cfRule type="cellIs" dxfId="9239" priority="97" operator="between">
      <formula>15</formula>
      <formula>21</formula>
    </cfRule>
    <cfRule type="cellIs" dxfId="9238" priority="98" operator="lessThan">
      <formula>15</formula>
    </cfRule>
    <cfRule type="cellIs" dxfId="9237" priority="99" operator="greaterThan">
      <formula>21</formula>
    </cfRule>
  </conditionalFormatting>
  <conditionalFormatting sqref="M9:M39">
    <cfRule type="cellIs" dxfId="9236" priority="82" operator="lessThan">
      <formula>15</formula>
    </cfRule>
    <cfRule type="cellIs" dxfId="9235" priority="83" operator="greaterThan">
      <formula>20</formula>
    </cfRule>
    <cfRule type="cellIs" dxfId="9234" priority="84" operator="between">
      <formula>15</formula>
      <formula>20</formula>
    </cfRule>
    <cfRule type="cellIs" dxfId="9233" priority="85" operator="between">
      <formula>15</formula>
      <formula>20</formula>
    </cfRule>
    <cfRule type="cellIs" dxfId="9232" priority="86" operator="lessThan">
      <formula>15</formula>
    </cfRule>
    <cfRule type="cellIs" dxfId="9231" priority="87" operator="greaterThan">
      <formula>20</formula>
    </cfRule>
    <cfRule type="cellIs" dxfId="9230" priority="88" operator="between">
      <formula>15</formula>
      <formula>21</formula>
    </cfRule>
    <cfRule type="cellIs" dxfId="9229" priority="89" operator="lessThan">
      <formula>15</formula>
    </cfRule>
    <cfRule type="cellIs" dxfId="9228" priority="90" operator="greaterThan">
      <formula>21</formula>
    </cfRule>
  </conditionalFormatting>
  <conditionalFormatting sqref="M9:M39">
    <cfRule type="cellIs" dxfId="9227" priority="73" operator="lessThan">
      <formula>15</formula>
    </cfRule>
    <cfRule type="cellIs" dxfId="9226" priority="74" operator="greaterThan">
      <formula>20</formula>
    </cfRule>
    <cfRule type="cellIs" dxfId="9225" priority="75" operator="between">
      <formula>15</formula>
      <formula>20</formula>
    </cfRule>
    <cfRule type="cellIs" dxfId="9224" priority="76" operator="between">
      <formula>15</formula>
      <formula>20</formula>
    </cfRule>
    <cfRule type="cellIs" dxfId="9223" priority="77" operator="lessThan">
      <formula>15</formula>
    </cfRule>
    <cfRule type="cellIs" dxfId="9222" priority="78" operator="greaterThan">
      <formula>20</formula>
    </cfRule>
    <cfRule type="cellIs" dxfId="9221" priority="79" operator="between">
      <formula>15</formula>
      <formula>21</formula>
    </cfRule>
    <cfRule type="cellIs" dxfId="9220" priority="80" operator="lessThan">
      <formula>15</formula>
    </cfRule>
    <cfRule type="cellIs" dxfId="9219" priority="81" operator="greaterThan">
      <formula>21</formula>
    </cfRule>
  </conditionalFormatting>
  <conditionalFormatting sqref="M9:M39">
    <cfRule type="cellIs" dxfId="9218" priority="64" operator="lessThan">
      <formula>15</formula>
    </cfRule>
    <cfRule type="cellIs" dxfId="9217" priority="65" operator="greaterThan">
      <formula>20</formula>
    </cfRule>
    <cfRule type="cellIs" dxfId="9216" priority="66" operator="between">
      <formula>15</formula>
      <formula>20</formula>
    </cfRule>
    <cfRule type="cellIs" dxfId="9215" priority="67" operator="between">
      <formula>15</formula>
      <formula>20</formula>
    </cfRule>
    <cfRule type="cellIs" dxfId="9214" priority="68" operator="lessThan">
      <formula>15</formula>
    </cfRule>
    <cfRule type="cellIs" dxfId="9213" priority="69" operator="greaterThan">
      <formula>20</formula>
    </cfRule>
    <cfRule type="cellIs" dxfId="9212" priority="70" operator="between">
      <formula>15</formula>
      <formula>21</formula>
    </cfRule>
    <cfRule type="cellIs" dxfId="9211" priority="71" operator="lessThan">
      <formula>15</formula>
    </cfRule>
    <cfRule type="cellIs" dxfId="9210" priority="72" operator="greaterThan">
      <formula>21</formula>
    </cfRule>
  </conditionalFormatting>
  <conditionalFormatting sqref="M9:M39">
    <cfRule type="cellIs" dxfId="9209" priority="55" operator="lessThan">
      <formula>15</formula>
    </cfRule>
    <cfRule type="cellIs" dxfId="9208" priority="56" operator="greaterThan">
      <formula>20</formula>
    </cfRule>
    <cfRule type="cellIs" dxfId="9207" priority="57" operator="between">
      <formula>15</formula>
      <formula>20</formula>
    </cfRule>
    <cfRule type="cellIs" dxfId="9206" priority="58" operator="between">
      <formula>15</formula>
      <formula>20</formula>
    </cfRule>
    <cfRule type="cellIs" dxfId="9205" priority="59" operator="lessThan">
      <formula>15</formula>
    </cfRule>
    <cfRule type="cellIs" dxfId="9204" priority="60" operator="greaterThan">
      <formula>20</formula>
    </cfRule>
    <cfRule type="cellIs" dxfId="9203" priority="61" operator="between">
      <formula>15</formula>
      <formula>21</formula>
    </cfRule>
    <cfRule type="cellIs" dxfId="9202" priority="62" operator="lessThan">
      <formula>15</formula>
    </cfRule>
    <cfRule type="cellIs" dxfId="9201" priority="63" operator="greaterThan">
      <formula>21</formula>
    </cfRule>
  </conditionalFormatting>
  <conditionalFormatting sqref="M9:M39">
    <cfRule type="cellIs" dxfId="9200" priority="46" operator="lessThan">
      <formula>15</formula>
    </cfRule>
    <cfRule type="cellIs" dxfId="9199" priority="47" operator="greaterThan">
      <formula>20</formula>
    </cfRule>
    <cfRule type="cellIs" dxfId="9198" priority="48" operator="between">
      <formula>15</formula>
      <formula>20</formula>
    </cfRule>
    <cfRule type="cellIs" dxfId="9197" priority="49" operator="between">
      <formula>15</formula>
      <formula>20</formula>
    </cfRule>
    <cfRule type="cellIs" dxfId="9196" priority="50" operator="lessThan">
      <formula>15</formula>
    </cfRule>
    <cfRule type="cellIs" dxfId="9195" priority="51" operator="greaterThan">
      <formula>20</formula>
    </cfRule>
    <cfRule type="cellIs" dxfId="9194" priority="52" operator="between">
      <formula>15</formula>
      <formula>21</formula>
    </cfRule>
    <cfRule type="cellIs" dxfId="9193" priority="53" operator="lessThan">
      <formula>15</formula>
    </cfRule>
    <cfRule type="cellIs" dxfId="9192" priority="54" operator="greaterThan">
      <formula>21</formula>
    </cfRule>
  </conditionalFormatting>
  <conditionalFormatting sqref="M9:M39">
    <cfRule type="cellIs" dxfId="9191" priority="37" operator="lessThan">
      <formula>15</formula>
    </cfRule>
    <cfRule type="cellIs" dxfId="9190" priority="38" operator="greaterThan">
      <formula>20</formula>
    </cfRule>
    <cfRule type="cellIs" dxfId="9189" priority="39" operator="between">
      <formula>15</formula>
      <formula>20</formula>
    </cfRule>
    <cfRule type="cellIs" dxfId="9188" priority="40" operator="between">
      <formula>15</formula>
      <formula>20</formula>
    </cfRule>
    <cfRule type="cellIs" dxfId="9187" priority="41" operator="lessThan">
      <formula>15</formula>
    </cfRule>
    <cfRule type="cellIs" dxfId="9186" priority="42" operator="greaterThan">
      <formula>20</formula>
    </cfRule>
    <cfRule type="cellIs" dxfId="9185" priority="43" operator="between">
      <formula>15</formula>
      <formula>21</formula>
    </cfRule>
    <cfRule type="cellIs" dxfId="9184" priority="44" operator="lessThan">
      <formula>15</formula>
    </cfRule>
    <cfRule type="cellIs" dxfId="9183" priority="45" operator="greaterThan">
      <formula>21</formula>
    </cfRule>
  </conditionalFormatting>
  <conditionalFormatting sqref="M9:M39">
    <cfRule type="cellIs" dxfId="9182" priority="28" operator="lessThan">
      <formula>15</formula>
    </cfRule>
    <cfRule type="cellIs" dxfId="9181" priority="29" operator="greaterThan">
      <formula>20</formula>
    </cfRule>
    <cfRule type="cellIs" dxfId="9180" priority="30" operator="between">
      <formula>15</formula>
      <formula>20</formula>
    </cfRule>
    <cfRule type="cellIs" dxfId="9179" priority="31" operator="between">
      <formula>15</formula>
      <formula>20</formula>
    </cfRule>
    <cfRule type="cellIs" dxfId="9178" priority="32" operator="lessThan">
      <formula>15</formula>
    </cfRule>
    <cfRule type="cellIs" dxfId="9177" priority="33" operator="greaterThan">
      <formula>20</formula>
    </cfRule>
    <cfRule type="cellIs" dxfId="9176" priority="34" operator="between">
      <formula>15</formula>
      <formula>21</formula>
    </cfRule>
    <cfRule type="cellIs" dxfId="9175" priority="35" operator="lessThan">
      <formula>15</formula>
    </cfRule>
    <cfRule type="cellIs" dxfId="9174" priority="36" operator="greaterThan">
      <formula>21</formula>
    </cfRule>
  </conditionalFormatting>
  <conditionalFormatting sqref="M9:M39">
    <cfRule type="cellIs" dxfId="9173" priority="19" operator="lessThan">
      <formula>15</formula>
    </cfRule>
    <cfRule type="cellIs" dxfId="9172" priority="20" operator="greaterThan">
      <formula>20</formula>
    </cfRule>
    <cfRule type="cellIs" dxfId="9171" priority="21" operator="between">
      <formula>15</formula>
      <formula>20</formula>
    </cfRule>
    <cfRule type="cellIs" dxfId="9170" priority="22" operator="between">
      <formula>15</formula>
      <formula>20</formula>
    </cfRule>
    <cfRule type="cellIs" dxfId="9169" priority="23" operator="lessThan">
      <formula>15</formula>
    </cfRule>
    <cfRule type="cellIs" dxfId="9168" priority="24" operator="greaterThan">
      <formula>20</formula>
    </cfRule>
    <cfRule type="cellIs" dxfId="9167" priority="25" operator="between">
      <formula>15</formula>
      <formula>21</formula>
    </cfRule>
    <cfRule type="cellIs" dxfId="9166" priority="26" operator="lessThan">
      <formula>15</formula>
    </cfRule>
    <cfRule type="cellIs" dxfId="9165" priority="27" operator="greaterThan">
      <formula>21</formula>
    </cfRule>
  </conditionalFormatting>
  <conditionalFormatting sqref="M9:M39">
    <cfRule type="cellIs" dxfId="9164" priority="10" operator="lessThan">
      <formula>15</formula>
    </cfRule>
    <cfRule type="cellIs" dxfId="9163" priority="11" operator="greaterThan">
      <formula>20</formula>
    </cfRule>
    <cfRule type="cellIs" dxfId="9162" priority="12" operator="between">
      <formula>15</formula>
      <formula>20</formula>
    </cfRule>
    <cfRule type="cellIs" dxfId="9161" priority="13" operator="between">
      <formula>15</formula>
      <formula>20</formula>
    </cfRule>
    <cfRule type="cellIs" dxfId="9160" priority="14" operator="lessThan">
      <formula>15</formula>
    </cfRule>
    <cfRule type="cellIs" dxfId="9159" priority="15" operator="greaterThan">
      <formula>20</formula>
    </cfRule>
    <cfRule type="cellIs" dxfId="9158" priority="16" operator="between">
      <formula>15</formula>
      <formula>21</formula>
    </cfRule>
    <cfRule type="cellIs" dxfId="9157" priority="17" operator="lessThan">
      <formula>15</formula>
    </cfRule>
    <cfRule type="cellIs" dxfId="9156" priority="18" operator="greaterThan">
      <formula>21</formula>
    </cfRule>
  </conditionalFormatting>
  <conditionalFormatting sqref="M9:M39">
    <cfRule type="cellIs" dxfId="9155" priority="1" operator="lessThan">
      <formula>15</formula>
    </cfRule>
    <cfRule type="cellIs" dxfId="9154" priority="2" operator="greaterThan">
      <formula>20</formula>
    </cfRule>
    <cfRule type="cellIs" dxfId="9153" priority="3" operator="between">
      <formula>15</formula>
      <formula>20</formula>
    </cfRule>
    <cfRule type="cellIs" dxfId="9152" priority="4" operator="between">
      <formula>15</formula>
      <formula>20</formula>
    </cfRule>
    <cfRule type="cellIs" dxfId="9151" priority="5" operator="lessThan">
      <formula>15</formula>
    </cfRule>
    <cfRule type="cellIs" dxfId="9150" priority="6" operator="greaterThan">
      <formula>20</formula>
    </cfRule>
    <cfRule type="cellIs" dxfId="9149" priority="7" operator="between">
      <formula>15</formula>
      <formula>21</formula>
    </cfRule>
    <cfRule type="cellIs" dxfId="9148" priority="8" operator="lessThan">
      <formula>15</formula>
    </cfRule>
    <cfRule type="cellIs" dxfId="9147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C49"/>
  <sheetViews>
    <sheetView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7109375" style="143" customWidth="1"/>
    <col min="4" max="7" width="10.140625" style="142" customWidth="1"/>
    <col min="8" max="9" width="9.28515625" style="142" customWidth="1"/>
    <col min="10" max="11" width="12.28515625" style="142" customWidth="1"/>
    <col min="12" max="13" width="12" style="143" customWidth="1"/>
    <col min="14" max="14" width="6.42578125" style="143" customWidth="1"/>
    <col min="15" max="18" width="10.710937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1153" customFormat="1" ht="15" customHeight="1">
      <c r="A4" s="1600" t="s">
        <v>33</v>
      </c>
      <c r="B4" s="1600"/>
      <c r="C4" s="316" t="str">
        <f>J4</f>
        <v>FRIT VS55</v>
      </c>
      <c r="D4" s="383"/>
      <c r="E4" s="383" t="s">
        <v>228</v>
      </c>
      <c r="F4" s="383" t="s">
        <v>230</v>
      </c>
      <c r="G4" s="383"/>
      <c r="H4" s="383"/>
      <c r="I4" s="383" t="s">
        <v>114</v>
      </c>
      <c r="J4" s="318" t="s">
        <v>947</v>
      </c>
      <c r="K4" s="319"/>
      <c r="L4" s="319"/>
      <c r="M4" s="319"/>
      <c r="O4" s="1422"/>
      <c r="P4" s="1422"/>
      <c r="Q4" s="1422"/>
      <c r="R4" s="1422"/>
      <c r="S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S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7766.6170000000002</v>
      </c>
      <c r="E8" s="388">
        <f>K8</f>
        <v>7853</v>
      </c>
      <c r="F8" s="389"/>
      <c r="G8" s="388"/>
      <c r="H8" s="387"/>
      <c r="I8" s="388"/>
      <c r="J8" s="937">
        <f>K8-K8*N8</f>
        <v>7766.6170000000002</v>
      </c>
      <c r="K8" s="937">
        <v>7853</v>
      </c>
      <c r="L8" s="462"/>
      <c r="M8" s="463"/>
      <c r="N8" s="366">
        <v>1.0999999999999999E-2</v>
      </c>
      <c r="O8" s="296" t="s">
        <v>6</v>
      </c>
      <c r="P8" s="297" t="s">
        <v>25</v>
      </c>
      <c r="Q8" s="296" t="s">
        <v>6</v>
      </c>
      <c r="R8" s="297" t="s">
        <v>25</v>
      </c>
      <c r="S8" s="143">
        <v>1800</v>
      </c>
    </row>
    <row r="9" spans="1:29" s="367" customFormat="1" ht="12" customHeight="1">
      <c r="A9" s="364">
        <v>1</v>
      </c>
      <c r="B9" s="365">
        <f>'FRIT HGE91-FHG'!B9</f>
        <v>46235</v>
      </c>
      <c r="C9" s="365" t="s">
        <v>285</v>
      </c>
      <c r="D9" s="502">
        <f>E9-E9*N9</f>
        <v>0</v>
      </c>
      <c r="E9" s="499"/>
      <c r="F9" s="586">
        <f>O9+Q9</f>
        <v>0</v>
      </c>
      <c r="G9" s="1424">
        <f>P9+R9</f>
        <v>0</v>
      </c>
      <c r="H9" s="498">
        <f>SUM($F$9:F9)/A9</f>
        <v>0</v>
      </c>
      <c r="I9" s="499">
        <f>SUM($G$9:G9)/A9</f>
        <v>0</v>
      </c>
      <c r="J9" s="443">
        <f t="shared" ref="J9:K24" si="0">J8+D9-F9</f>
        <v>7766.6170000000002</v>
      </c>
      <c r="K9" s="459">
        <f t="shared" si="0"/>
        <v>7853</v>
      </c>
      <c r="L9" s="495" t="e">
        <f>J9/H9</f>
        <v>#DIV/0!</v>
      </c>
      <c r="M9" s="464" t="e">
        <f>K9/I9</f>
        <v>#DIV/0!</v>
      </c>
      <c r="N9" s="366"/>
      <c r="O9" s="446"/>
      <c r="P9" s="446"/>
      <c r="Q9" s="446"/>
      <c r="R9" s="446"/>
      <c r="S9" s="647">
        <f>J9/$S$8</f>
        <v>4.3147872222222219</v>
      </c>
    </row>
    <row r="10" spans="1:29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502">
        <f t="shared" ref="D10:D39" si="1">E10-E10*N10</f>
        <v>0</v>
      </c>
      <c r="E10" s="499"/>
      <c r="F10" s="586">
        <f t="shared" ref="F10:G39" si="2">O10+Q10</f>
        <v>900</v>
      </c>
      <c r="G10" s="1424">
        <f t="shared" si="2"/>
        <v>911</v>
      </c>
      <c r="H10" s="498">
        <f>SUM($F$9:F10)/A10</f>
        <v>450</v>
      </c>
      <c r="I10" s="499">
        <f>SUM($G$9:G10)/A10</f>
        <v>455.5</v>
      </c>
      <c r="J10" s="443">
        <f t="shared" si="0"/>
        <v>6866.6170000000002</v>
      </c>
      <c r="K10" s="459">
        <f t="shared" si="0"/>
        <v>6942</v>
      </c>
      <c r="L10" s="495">
        <f t="shared" ref="L10:M39" si="3">J10/H10</f>
        <v>15.259148888888889</v>
      </c>
      <c r="M10" s="464">
        <f t="shared" si="3"/>
        <v>15.240395170142701</v>
      </c>
      <c r="N10" s="366"/>
      <c r="O10" s="446"/>
      <c r="P10" s="446"/>
      <c r="Q10" s="446">
        <v>900</v>
      </c>
      <c r="R10" s="446">
        <v>911</v>
      </c>
      <c r="S10" s="647">
        <f t="shared" ref="S10:S39" si="4">J10/$S$8</f>
        <v>3.8147872222222223</v>
      </c>
    </row>
    <row r="11" spans="1:29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502">
        <f t="shared" si="1"/>
        <v>0</v>
      </c>
      <c r="E11" s="499"/>
      <c r="F11" s="586">
        <f t="shared" si="2"/>
        <v>0</v>
      </c>
      <c r="G11" s="1424">
        <f t="shared" si="2"/>
        <v>0</v>
      </c>
      <c r="H11" s="498">
        <f>SUM($F$9:F11)/A11</f>
        <v>300</v>
      </c>
      <c r="I11" s="499">
        <f>SUM($G$9:G11)/A11</f>
        <v>303.66666666666669</v>
      </c>
      <c r="J11" s="443">
        <f t="shared" si="0"/>
        <v>6866.6170000000002</v>
      </c>
      <c r="K11" s="459">
        <f t="shared" si="0"/>
        <v>6942</v>
      </c>
      <c r="L11" s="495">
        <f t="shared" si="3"/>
        <v>22.888723333333335</v>
      </c>
      <c r="M11" s="464">
        <f t="shared" si="3"/>
        <v>22.86059275521405</v>
      </c>
      <c r="N11" s="366"/>
      <c r="O11" s="446"/>
      <c r="P11" s="446"/>
      <c r="Q11" s="446"/>
      <c r="R11" s="446"/>
      <c r="S11" s="647">
        <f t="shared" si="4"/>
        <v>3.8147872222222223</v>
      </c>
    </row>
    <row r="12" spans="1:29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502">
        <f t="shared" si="1"/>
        <v>0</v>
      </c>
      <c r="E12" s="499"/>
      <c r="F12" s="586">
        <f t="shared" si="2"/>
        <v>900</v>
      </c>
      <c r="G12" s="1424">
        <f t="shared" si="2"/>
        <v>911</v>
      </c>
      <c r="H12" s="498">
        <f>SUM($F$9:F12)/A12</f>
        <v>450</v>
      </c>
      <c r="I12" s="499">
        <f>SUM($G$9:G12)/A12</f>
        <v>455.5</v>
      </c>
      <c r="J12" s="443">
        <f t="shared" si="0"/>
        <v>5966.6170000000002</v>
      </c>
      <c r="K12" s="459">
        <f t="shared" si="0"/>
        <v>6031</v>
      </c>
      <c r="L12" s="495">
        <f t="shared" si="3"/>
        <v>13.259148888888889</v>
      </c>
      <c r="M12" s="464">
        <f t="shared" si="3"/>
        <v>13.240395170142701</v>
      </c>
      <c r="N12" s="366"/>
      <c r="O12" s="446"/>
      <c r="P12" s="446"/>
      <c r="Q12" s="446">
        <v>900</v>
      </c>
      <c r="R12" s="446">
        <v>911</v>
      </c>
      <c r="S12" s="647">
        <f t="shared" si="4"/>
        <v>3.3147872222222223</v>
      </c>
    </row>
    <row r="13" spans="1:29" s="367" customFormat="1" ht="12" customHeight="1">
      <c r="A13" s="504">
        <v>5</v>
      </c>
      <c r="B13" s="365">
        <f>'FRIT HGE91-FHG'!B13</f>
        <v>46239</v>
      </c>
      <c r="C13" s="365" t="s">
        <v>285</v>
      </c>
      <c r="D13" s="502">
        <f t="shared" si="1"/>
        <v>0</v>
      </c>
      <c r="E13" s="499"/>
      <c r="F13" s="586">
        <f t="shared" si="2"/>
        <v>900</v>
      </c>
      <c r="G13" s="1424">
        <f t="shared" si="2"/>
        <v>905</v>
      </c>
      <c r="H13" s="504">
        <f>SUM($F$9:F13)/A13</f>
        <v>540</v>
      </c>
      <c r="I13" s="499">
        <f>SUM($G$9:G13)/A13</f>
        <v>545.4</v>
      </c>
      <c r="J13" s="504">
        <f t="shared" si="0"/>
        <v>5066.6170000000002</v>
      </c>
      <c r="K13" s="459">
        <f t="shared" si="0"/>
        <v>5126</v>
      </c>
      <c r="L13" s="505">
        <f t="shared" si="3"/>
        <v>9.3826240740740747</v>
      </c>
      <c r="M13" s="464">
        <f t="shared" si="3"/>
        <v>9.3986065273193997</v>
      </c>
      <c r="N13" s="366"/>
      <c r="O13" s="446"/>
      <c r="P13" s="446"/>
      <c r="Q13" s="446">
        <v>900</v>
      </c>
      <c r="R13" s="446">
        <v>905</v>
      </c>
      <c r="S13" s="647">
        <f t="shared" si="4"/>
        <v>2.8147872222222223</v>
      </c>
    </row>
    <row r="14" spans="1:29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502">
        <f t="shared" si="1"/>
        <v>0</v>
      </c>
      <c r="E14" s="499"/>
      <c r="F14" s="586">
        <f t="shared" si="2"/>
        <v>900</v>
      </c>
      <c r="G14" s="1424">
        <f t="shared" si="2"/>
        <v>905</v>
      </c>
      <c r="H14" s="498">
        <f>SUM($F$9:F14)/A14</f>
        <v>600</v>
      </c>
      <c r="I14" s="499">
        <f>SUM($G$9:G14)/A14</f>
        <v>605.33333333333337</v>
      </c>
      <c r="J14" s="443">
        <f t="shared" si="0"/>
        <v>4166.6170000000002</v>
      </c>
      <c r="K14" s="459">
        <f t="shared" si="0"/>
        <v>4221</v>
      </c>
      <c r="L14" s="495">
        <f t="shared" si="3"/>
        <v>6.9443616666666665</v>
      </c>
      <c r="M14" s="464">
        <f t="shared" si="3"/>
        <v>6.9730176211453738</v>
      </c>
      <c r="N14" s="366"/>
      <c r="O14" s="446"/>
      <c r="P14" s="446"/>
      <c r="Q14" s="446">
        <v>900</v>
      </c>
      <c r="R14" s="446">
        <v>905</v>
      </c>
      <c r="S14" s="647">
        <f t="shared" si="4"/>
        <v>2.3147872222222223</v>
      </c>
    </row>
    <row r="15" spans="1:29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502">
        <f t="shared" si="1"/>
        <v>0</v>
      </c>
      <c r="E15" s="499"/>
      <c r="F15" s="586">
        <f t="shared" si="2"/>
        <v>900</v>
      </c>
      <c r="G15" s="1424">
        <f t="shared" si="2"/>
        <v>905</v>
      </c>
      <c r="H15" s="498">
        <f>SUM($F$9:F15)/A15</f>
        <v>642.85714285714289</v>
      </c>
      <c r="I15" s="499">
        <f>SUM($G$9:G15)/A15</f>
        <v>648.14285714285711</v>
      </c>
      <c r="J15" s="443">
        <f t="shared" si="0"/>
        <v>3266.6170000000002</v>
      </c>
      <c r="K15" s="459">
        <f t="shared" si="0"/>
        <v>3316</v>
      </c>
      <c r="L15" s="495">
        <f t="shared" si="3"/>
        <v>5.081404222222222</v>
      </c>
      <c r="M15" s="464">
        <f t="shared" si="3"/>
        <v>5.1161560502534718</v>
      </c>
      <c r="N15" s="366"/>
      <c r="O15" s="446"/>
      <c r="P15" s="446"/>
      <c r="Q15" s="446">
        <v>900</v>
      </c>
      <c r="R15" s="446">
        <v>905</v>
      </c>
      <c r="S15" s="647">
        <f t="shared" si="4"/>
        <v>1.8147872222222223</v>
      </c>
    </row>
    <row r="16" spans="1:29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502">
        <f t="shared" si="1"/>
        <v>0</v>
      </c>
      <c r="E16" s="499"/>
      <c r="F16" s="586">
        <f t="shared" si="2"/>
        <v>1800</v>
      </c>
      <c r="G16" s="1424">
        <f t="shared" si="2"/>
        <v>1808</v>
      </c>
      <c r="H16" s="498">
        <f>SUM($F$9:F16)/A16</f>
        <v>787.5</v>
      </c>
      <c r="I16" s="499">
        <f>SUM($G$9:G16)/A16</f>
        <v>793.125</v>
      </c>
      <c r="J16" s="443">
        <f t="shared" si="0"/>
        <v>1466.6170000000002</v>
      </c>
      <c r="K16" s="459">
        <f t="shared" si="0"/>
        <v>1508</v>
      </c>
      <c r="L16" s="495">
        <f t="shared" si="3"/>
        <v>1.8623707936507938</v>
      </c>
      <c r="M16" s="464">
        <f t="shared" si="3"/>
        <v>1.9013396375098504</v>
      </c>
      <c r="N16" s="366"/>
      <c r="O16" s="446"/>
      <c r="P16" s="446"/>
      <c r="Q16" s="446">
        <v>1800</v>
      </c>
      <c r="R16" s="446">
        <v>1808</v>
      </c>
      <c r="S16" s="647">
        <f t="shared" si="4"/>
        <v>0.81478722222222233</v>
      </c>
    </row>
    <row r="17" spans="1:19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502">
        <f t="shared" si="1"/>
        <v>0</v>
      </c>
      <c r="E17" s="499"/>
      <c r="F17" s="586">
        <f t="shared" si="2"/>
        <v>900</v>
      </c>
      <c r="G17" s="1424">
        <f t="shared" si="2"/>
        <v>904</v>
      </c>
      <c r="H17" s="498">
        <f>SUM($F$9:F17)/A17</f>
        <v>800</v>
      </c>
      <c r="I17" s="499">
        <f>SUM($G$9:G17)/A17</f>
        <v>805.44444444444446</v>
      </c>
      <c r="J17" s="443">
        <f t="shared" si="0"/>
        <v>566.61700000000019</v>
      </c>
      <c r="K17" s="459">
        <f t="shared" si="0"/>
        <v>604</v>
      </c>
      <c r="L17" s="495">
        <f t="shared" si="3"/>
        <v>0.70827125000000024</v>
      </c>
      <c r="M17" s="464">
        <f t="shared" si="3"/>
        <v>0.74989653745344187</v>
      </c>
      <c r="N17" s="366"/>
      <c r="O17" s="446"/>
      <c r="P17" s="446"/>
      <c r="Q17" s="446">
        <v>900</v>
      </c>
      <c r="R17" s="446">
        <v>904</v>
      </c>
      <c r="S17" s="647">
        <f t="shared" si="4"/>
        <v>0.31478722222222233</v>
      </c>
    </row>
    <row r="18" spans="1:19" s="367" customFormat="1" ht="12" customHeight="1">
      <c r="A18" s="504">
        <v>10</v>
      </c>
      <c r="B18" s="365">
        <f>'FRIT HGE91-FHG'!B18</f>
        <v>46244</v>
      </c>
      <c r="C18" s="365" t="s">
        <v>285</v>
      </c>
      <c r="D18" s="502">
        <f t="shared" si="1"/>
        <v>0</v>
      </c>
      <c r="E18" s="499"/>
      <c r="F18" s="586">
        <f t="shared" si="2"/>
        <v>960</v>
      </c>
      <c r="G18" s="1424">
        <f t="shared" si="2"/>
        <v>963</v>
      </c>
      <c r="H18" s="504">
        <f>SUM($F$9:F18)/A18</f>
        <v>816</v>
      </c>
      <c r="I18" s="499">
        <f>SUM($G$9:G18)/A18</f>
        <v>821.2</v>
      </c>
      <c r="J18" s="504">
        <f t="shared" si="0"/>
        <v>-393.38299999999981</v>
      </c>
      <c r="K18" s="459">
        <f t="shared" si="0"/>
        <v>-359</v>
      </c>
      <c r="L18" s="505">
        <f t="shared" si="3"/>
        <v>-0.48208700980392133</v>
      </c>
      <c r="M18" s="464">
        <f t="shared" si="3"/>
        <v>-0.43716512420847536</v>
      </c>
      <c r="N18" s="366"/>
      <c r="O18" s="446"/>
      <c r="P18" s="446"/>
      <c r="Q18" s="446">
        <v>960</v>
      </c>
      <c r="R18" s="446">
        <v>963</v>
      </c>
      <c r="S18" s="647">
        <f t="shared" si="4"/>
        <v>-0.218546111111111</v>
      </c>
    </row>
    <row r="19" spans="1:19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502">
        <f t="shared" si="1"/>
        <v>0</v>
      </c>
      <c r="E19" s="499"/>
      <c r="F19" s="586">
        <f t="shared" si="2"/>
        <v>0</v>
      </c>
      <c r="G19" s="1424">
        <f t="shared" si="2"/>
        <v>0</v>
      </c>
      <c r="H19" s="498">
        <f>SUM($F$9:F19)/A19</f>
        <v>741.81818181818187</v>
      </c>
      <c r="I19" s="499">
        <f>SUM($G$9:G19)/A19</f>
        <v>746.5454545454545</v>
      </c>
      <c r="J19" s="443">
        <f t="shared" si="0"/>
        <v>-393.38299999999981</v>
      </c>
      <c r="K19" s="459">
        <f t="shared" si="0"/>
        <v>-359</v>
      </c>
      <c r="L19" s="495">
        <f t="shared" si="3"/>
        <v>-0.53029571078431348</v>
      </c>
      <c r="M19" s="464">
        <f t="shared" si="3"/>
        <v>-0.48088163662932298</v>
      </c>
      <c r="N19" s="366"/>
      <c r="O19" s="446"/>
      <c r="P19" s="446"/>
      <c r="Q19" s="446"/>
      <c r="R19" s="446"/>
      <c r="S19" s="647">
        <f t="shared" si="4"/>
        <v>-0.218546111111111</v>
      </c>
    </row>
    <row r="20" spans="1:19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921">
        <f t="shared" si="1"/>
        <v>0</v>
      </c>
      <c r="E20" s="499"/>
      <c r="F20" s="586">
        <f t="shared" si="2"/>
        <v>0</v>
      </c>
      <c r="G20" s="1424">
        <f t="shared" si="2"/>
        <v>0</v>
      </c>
      <c r="H20" s="498">
        <f>SUM($F$9:F20)/A20</f>
        <v>680</v>
      </c>
      <c r="I20" s="499">
        <f>SUM($G$9:G20)/A20</f>
        <v>684.33333333333337</v>
      </c>
      <c r="J20" s="443">
        <f t="shared" si="0"/>
        <v>-393.38299999999981</v>
      </c>
      <c r="K20" s="459">
        <f t="shared" si="0"/>
        <v>-359</v>
      </c>
      <c r="L20" s="495">
        <f t="shared" si="3"/>
        <v>-0.57850441176470557</v>
      </c>
      <c r="M20" s="464">
        <f t="shared" si="3"/>
        <v>-0.52459814905017044</v>
      </c>
      <c r="N20" s="366"/>
      <c r="O20" s="446"/>
      <c r="P20" s="446"/>
      <c r="Q20" s="446"/>
      <c r="R20" s="446"/>
      <c r="S20" s="647">
        <f t="shared" si="4"/>
        <v>-0.218546111111111</v>
      </c>
    </row>
    <row r="21" spans="1:19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502">
        <f t="shared" si="1"/>
        <v>0</v>
      </c>
      <c r="E21" s="499"/>
      <c r="F21" s="586">
        <f t="shared" si="2"/>
        <v>0</v>
      </c>
      <c r="G21" s="1424">
        <f t="shared" si="2"/>
        <v>0</v>
      </c>
      <c r="H21" s="498">
        <f>SUM($F$9:F21)/A21</f>
        <v>627.69230769230774</v>
      </c>
      <c r="I21" s="499">
        <f>SUM($G$9:G21)/A21</f>
        <v>631.69230769230774</v>
      </c>
      <c r="J21" s="443">
        <f t="shared" si="0"/>
        <v>-393.38299999999981</v>
      </c>
      <c r="K21" s="459">
        <f>K20+E21-G21</f>
        <v>-359</v>
      </c>
      <c r="L21" s="495">
        <f t="shared" si="3"/>
        <v>-0.62671311274509767</v>
      </c>
      <c r="M21" s="464">
        <f t="shared" si="3"/>
        <v>-0.56831466147101795</v>
      </c>
      <c r="N21" s="366"/>
      <c r="O21" s="446"/>
      <c r="P21" s="446"/>
      <c r="Q21" s="446"/>
      <c r="R21" s="446"/>
      <c r="S21" s="647">
        <f t="shared" si="4"/>
        <v>-0.218546111111111</v>
      </c>
    </row>
    <row r="22" spans="1:19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502">
        <f t="shared" si="1"/>
        <v>0</v>
      </c>
      <c r="E22" s="499"/>
      <c r="F22" s="586">
        <f t="shared" si="2"/>
        <v>0</v>
      </c>
      <c r="G22" s="1424">
        <f t="shared" si="2"/>
        <v>0</v>
      </c>
      <c r="H22" s="498">
        <f>SUM($F$9:F22)/A22</f>
        <v>582.85714285714289</v>
      </c>
      <c r="I22" s="499">
        <f>SUM($G$9:G22)/A22</f>
        <v>586.57142857142856</v>
      </c>
      <c r="J22" s="443">
        <f t="shared" si="0"/>
        <v>-393.38299999999981</v>
      </c>
      <c r="K22" s="459">
        <f>K21+E22-G22</f>
        <v>-359</v>
      </c>
      <c r="L22" s="495">
        <f t="shared" si="3"/>
        <v>-0.67492181372548987</v>
      </c>
      <c r="M22" s="464">
        <f t="shared" si="3"/>
        <v>-0.61203117389186557</v>
      </c>
      <c r="N22" s="366"/>
      <c r="O22" s="446"/>
      <c r="P22" s="446"/>
      <c r="Q22" s="446"/>
      <c r="R22" s="446"/>
      <c r="S22" s="647">
        <f t="shared" si="4"/>
        <v>-0.218546111111111</v>
      </c>
    </row>
    <row r="23" spans="1:19" s="367" customFormat="1" ht="12" customHeight="1">
      <c r="A23" s="504">
        <v>15</v>
      </c>
      <c r="B23" s="365">
        <f>'FRIT HGE91-FHG'!B23</f>
        <v>46249</v>
      </c>
      <c r="C23" s="365" t="s">
        <v>285</v>
      </c>
      <c r="D23" s="502">
        <f t="shared" si="1"/>
        <v>0</v>
      </c>
      <c r="E23" s="499"/>
      <c r="F23" s="586">
        <f t="shared" si="2"/>
        <v>0</v>
      </c>
      <c r="G23" s="1424">
        <f t="shared" si="2"/>
        <v>0</v>
      </c>
      <c r="H23" s="504">
        <f>SUM($F$9:F23)/A23</f>
        <v>544</v>
      </c>
      <c r="I23" s="499">
        <f>SUM($G$9:G23)/A23</f>
        <v>547.4666666666667</v>
      </c>
      <c r="J23" s="504">
        <f t="shared" si="0"/>
        <v>-393.38299999999981</v>
      </c>
      <c r="K23" s="459">
        <f t="shared" si="0"/>
        <v>-359</v>
      </c>
      <c r="L23" s="505">
        <f t="shared" si="3"/>
        <v>-0.72313051470588197</v>
      </c>
      <c r="M23" s="464">
        <f t="shared" si="3"/>
        <v>-0.65574768631271307</v>
      </c>
      <c r="N23" s="366"/>
      <c r="O23" s="446"/>
      <c r="P23" s="446"/>
      <c r="Q23" s="446"/>
      <c r="R23" s="446"/>
      <c r="S23" s="647">
        <f t="shared" si="4"/>
        <v>-0.218546111111111</v>
      </c>
    </row>
    <row r="24" spans="1:19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502">
        <f t="shared" si="1"/>
        <v>0</v>
      </c>
      <c r="E24" s="499"/>
      <c r="F24" s="586">
        <f t="shared" si="2"/>
        <v>0</v>
      </c>
      <c r="G24" s="1424">
        <f t="shared" si="2"/>
        <v>0</v>
      </c>
      <c r="H24" s="498">
        <f>SUM($F$9:F24)/A24</f>
        <v>510</v>
      </c>
      <c r="I24" s="499">
        <f>SUM($G$9:G24)/A24</f>
        <v>513.25</v>
      </c>
      <c r="J24" s="443">
        <f t="shared" si="0"/>
        <v>-393.38299999999981</v>
      </c>
      <c r="K24" s="459">
        <f>K23+E24-G24</f>
        <v>-359</v>
      </c>
      <c r="L24" s="495">
        <f t="shared" si="3"/>
        <v>-0.77133921568627417</v>
      </c>
      <c r="M24" s="464">
        <f t="shared" si="3"/>
        <v>-0.69946419873356069</v>
      </c>
      <c r="N24" s="366"/>
      <c r="O24" s="446"/>
      <c r="P24" s="446"/>
      <c r="Q24" s="446"/>
      <c r="R24" s="446"/>
      <c r="S24" s="647">
        <f t="shared" si="4"/>
        <v>-0.218546111111111</v>
      </c>
    </row>
    <row r="25" spans="1:19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502">
        <f t="shared" si="1"/>
        <v>0</v>
      </c>
      <c r="E25" s="499"/>
      <c r="F25" s="586">
        <f t="shared" si="2"/>
        <v>0</v>
      </c>
      <c r="G25" s="1424">
        <f t="shared" si="2"/>
        <v>0</v>
      </c>
      <c r="H25" s="498">
        <f>SUM($F$9:F25)/A25</f>
        <v>480</v>
      </c>
      <c r="I25" s="499">
        <f>SUM($G$9:G25)/A25</f>
        <v>483.05882352941177</v>
      </c>
      <c r="J25" s="443">
        <f t="shared" ref="J25:K39" si="5">J24+D25-F25</f>
        <v>-393.38299999999981</v>
      </c>
      <c r="K25" s="459">
        <f>K24+E25-G25</f>
        <v>-359</v>
      </c>
      <c r="L25" s="495">
        <f t="shared" si="3"/>
        <v>-0.81954791666666627</v>
      </c>
      <c r="M25" s="464">
        <f t="shared" si="3"/>
        <v>-0.7431807111544082</v>
      </c>
      <c r="N25" s="366"/>
      <c r="O25" s="446"/>
      <c r="P25" s="446"/>
      <c r="Q25" s="446"/>
      <c r="R25" s="446"/>
      <c r="S25" s="647">
        <f t="shared" si="4"/>
        <v>-0.218546111111111</v>
      </c>
    </row>
    <row r="26" spans="1:19" s="367" customFormat="1" ht="11.25" customHeight="1">
      <c r="A26" s="364">
        <v>18</v>
      </c>
      <c r="B26" s="365">
        <f>'FRIT HGE91-FHG'!B26</f>
        <v>46252</v>
      </c>
      <c r="C26" s="365" t="s">
        <v>285</v>
      </c>
      <c r="D26" s="502">
        <f t="shared" si="1"/>
        <v>0</v>
      </c>
      <c r="E26" s="499"/>
      <c r="F26" s="586">
        <f t="shared" si="2"/>
        <v>0</v>
      </c>
      <c r="G26" s="1424">
        <f t="shared" si="2"/>
        <v>0</v>
      </c>
      <c r="H26" s="498">
        <f>SUM($F$9:F26)/A26</f>
        <v>453.33333333333331</v>
      </c>
      <c r="I26" s="499">
        <f>SUM($G$9:G26)/A26</f>
        <v>456.22222222222223</v>
      </c>
      <c r="J26" s="443">
        <f t="shared" si="5"/>
        <v>-393.38299999999981</v>
      </c>
      <c r="K26" s="459">
        <f>K25+E26-G26</f>
        <v>-359</v>
      </c>
      <c r="L26" s="495">
        <f t="shared" si="3"/>
        <v>-0.86775661764705847</v>
      </c>
      <c r="M26" s="464">
        <f t="shared" si="3"/>
        <v>-0.78689722357525571</v>
      </c>
      <c r="N26" s="366"/>
      <c r="O26" s="446"/>
      <c r="P26" s="446"/>
      <c r="Q26" s="446"/>
      <c r="R26" s="446"/>
      <c r="S26" s="647">
        <f t="shared" si="4"/>
        <v>-0.218546111111111</v>
      </c>
    </row>
    <row r="27" spans="1:19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502">
        <f t="shared" si="1"/>
        <v>0</v>
      </c>
      <c r="E27" s="499"/>
      <c r="F27" s="586">
        <f t="shared" si="2"/>
        <v>0</v>
      </c>
      <c r="G27" s="1424">
        <f t="shared" si="2"/>
        <v>0</v>
      </c>
      <c r="H27" s="498">
        <f>SUM($F$9:F27)/A27</f>
        <v>429.4736842105263</v>
      </c>
      <c r="I27" s="499">
        <f>SUM($G$9:G27)/A27</f>
        <v>432.21052631578948</v>
      </c>
      <c r="J27" s="443">
        <f t="shared" si="5"/>
        <v>-393.38299999999981</v>
      </c>
      <c r="K27" s="459">
        <f>K26+E27-G27</f>
        <v>-359</v>
      </c>
      <c r="L27" s="495">
        <f t="shared" si="3"/>
        <v>-0.91596531862745056</v>
      </c>
      <c r="M27" s="464">
        <f t="shared" si="3"/>
        <v>-0.83061373599610322</v>
      </c>
      <c r="N27" s="366"/>
      <c r="O27" s="446"/>
      <c r="P27" s="446"/>
      <c r="Q27" s="446"/>
      <c r="R27" s="446"/>
      <c r="S27" s="647">
        <f t="shared" si="4"/>
        <v>-0.218546111111111</v>
      </c>
    </row>
    <row r="28" spans="1:19" s="367" customFormat="1" ht="12" customHeight="1">
      <c r="A28" s="504">
        <v>20</v>
      </c>
      <c r="B28" s="365">
        <f>'FRIT HGE91-FHG'!B28</f>
        <v>46254</v>
      </c>
      <c r="C28" s="365" t="s">
        <v>285</v>
      </c>
      <c r="D28" s="502">
        <f t="shared" si="1"/>
        <v>0</v>
      </c>
      <c r="E28" s="499"/>
      <c r="F28" s="586">
        <f t="shared" si="2"/>
        <v>0</v>
      </c>
      <c r="G28" s="1424">
        <f t="shared" si="2"/>
        <v>0</v>
      </c>
      <c r="H28" s="504">
        <f>SUM($F$9:F28)/A28</f>
        <v>408</v>
      </c>
      <c r="I28" s="499">
        <f>SUM($G$9:G28)/A28</f>
        <v>410.6</v>
      </c>
      <c r="J28" s="504">
        <f t="shared" si="5"/>
        <v>-393.38299999999981</v>
      </c>
      <c r="K28" s="459">
        <f t="shared" si="5"/>
        <v>-359</v>
      </c>
      <c r="L28" s="505">
        <f t="shared" si="3"/>
        <v>-0.96417401960784266</v>
      </c>
      <c r="M28" s="464">
        <f t="shared" si="3"/>
        <v>-0.87433024841695073</v>
      </c>
      <c r="N28" s="366"/>
      <c r="O28" s="446"/>
      <c r="P28" s="446"/>
      <c r="Q28" s="446"/>
      <c r="R28" s="446"/>
      <c r="S28" s="647">
        <f t="shared" si="4"/>
        <v>-0.218546111111111</v>
      </c>
    </row>
    <row r="29" spans="1:19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502">
        <f t="shared" si="1"/>
        <v>0</v>
      </c>
      <c r="E29" s="499"/>
      <c r="F29" s="586">
        <f t="shared" si="2"/>
        <v>0</v>
      </c>
      <c r="G29" s="1424">
        <f t="shared" si="2"/>
        <v>0</v>
      </c>
      <c r="H29" s="498">
        <f>SUM($F$9:F29)/A29</f>
        <v>388.57142857142856</v>
      </c>
      <c r="I29" s="499">
        <f>SUM($G$9:G29)/A29</f>
        <v>391.04761904761904</v>
      </c>
      <c r="J29" s="443">
        <f t="shared" si="5"/>
        <v>-393.38299999999981</v>
      </c>
      <c r="K29" s="459">
        <f t="shared" si="5"/>
        <v>-359</v>
      </c>
      <c r="L29" s="495">
        <f t="shared" si="3"/>
        <v>-1.0123827205882348</v>
      </c>
      <c r="M29" s="464">
        <f t="shared" si="3"/>
        <v>-0.91804676083779835</v>
      </c>
      <c r="N29" s="366"/>
      <c r="O29" s="446"/>
      <c r="P29" s="446"/>
      <c r="Q29" s="446"/>
      <c r="R29" s="446"/>
      <c r="S29" s="647">
        <f t="shared" si="4"/>
        <v>-0.218546111111111</v>
      </c>
    </row>
    <row r="30" spans="1:19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502">
        <f t="shared" si="1"/>
        <v>0</v>
      </c>
      <c r="E30" s="499"/>
      <c r="F30" s="586">
        <f t="shared" si="2"/>
        <v>0</v>
      </c>
      <c r="G30" s="1424">
        <f t="shared" si="2"/>
        <v>0</v>
      </c>
      <c r="H30" s="498">
        <f>SUM($F$9:F30)/A30</f>
        <v>370.90909090909093</v>
      </c>
      <c r="I30" s="499">
        <f>SUM($G$9:G30)/A30</f>
        <v>373.27272727272725</v>
      </c>
      <c r="J30" s="443">
        <f t="shared" si="5"/>
        <v>-393.38299999999981</v>
      </c>
      <c r="K30" s="459">
        <f t="shared" si="5"/>
        <v>-359</v>
      </c>
      <c r="L30" s="495">
        <f t="shared" si="3"/>
        <v>-1.060591421568627</v>
      </c>
      <c r="M30" s="464">
        <f t="shared" si="3"/>
        <v>-0.96176327325864597</v>
      </c>
      <c r="N30" s="366"/>
      <c r="O30" s="446"/>
      <c r="P30" s="446"/>
      <c r="Q30" s="446"/>
      <c r="R30" s="446"/>
      <c r="S30" s="647">
        <f t="shared" si="4"/>
        <v>-0.218546111111111</v>
      </c>
    </row>
    <row r="31" spans="1:19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502">
        <f t="shared" si="1"/>
        <v>0</v>
      </c>
      <c r="E31" s="499"/>
      <c r="F31" s="586">
        <f t="shared" si="2"/>
        <v>0</v>
      </c>
      <c r="G31" s="1424">
        <f t="shared" si="2"/>
        <v>0</v>
      </c>
      <c r="H31" s="498">
        <f>SUM($F$9:F31)/A31</f>
        <v>354.78260869565219</v>
      </c>
      <c r="I31" s="499">
        <f>SUM($G$9:G31)/A31</f>
        <v>357.04347826086956</v>
      </c>
      <c r="J31" s="443">
        <f t="shared" si="5"/>
        <v>-393.38299999999981</v>
      </c>
      <c r="K31" s="459">
        <f t="shared" si="5"/>
        <v>-359</v>
      </c>
      <c r="L31" s="495">
        <f t="shared" si="3"/>
        <v>-1.1088001225490189</v>
      </c>
      <c r="M31" s="464">
        <f t="shared" si="3"/>
        <v>-1.0054797856794935</v>
      </c>
      <c r="N31" s="366"/>
      <c r="O31" s="446"/>
      <c r="P31" s="446"/>
      <c r="Q31" s="446"/>
      <c r="R31" s="446"/>
      <c r="S31" s="647">
        <f t="shared" si="4"/>
        <v>-0.218546111111111</v>
      </c>
    </row>
    <row r="32" spans="1:19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502">
        <f t="shared" si="1"/>
        <v>0</v>
      </c>
      <c r="E32" s="499"/>
      <c r="F32" s="586">
        <f t="shared" si="2"/>
        <v>0</v>
      </c>
      <c r="G32" s="1424">
        <f t="shared" si="2"/>
        <v>0</v>
      </c>
      <c r="H32" s="498">
        <f>SUM($F$9:F32)/A32</f>
        <v>340</v>
      </c>
      <c r="I32" s="499">
        <f>SUM($G$9:G32)/A32</f>
        <v>342.16666666666669</v>
      </c>
      <c r="J32" s="443">
        <f t="shared" si="5"/>
        <v>-393.38299999999981</v>
      </c>
      <c r="K32" s="459">
        <f t="shared" si="5"/>
        <v>-359</v>
      </c>
      <c r="L32" s="495">
        <f t="shared" si="3"/>
        <v>-1.1570088235294111</v>
      </c>
      <c r="M32" s="464">
        <f t="shared" si="3"/>
        <v>-1.0491962981003409</v>
      </c>
      <c r="N32" s="366"/>
      <c r="O32" s="446"/>
      <c r="P32" s="446"/>
      <c r="Q32" s="446"/>
      <c r="R32" s="446"/>
      <c r="S32" s="647">
        <f t="shared" si="4"/>
        <v>-0.218546111111111</v>
      </c>
    </row>
    <row r="33" spans="1:19" s="367" customFormat="1" ht="12" customHeight="1">
      <c r="A33" s="460">
        <v>25</v>
      </c>
      <c r="B33" s="365">
        <f>'FRIT HGE91-FHG'!B33</f>
        <v>46259</v>
      </c>
      <c r="C33" s="365" t="s">
        <v>285</v>
      </c>
      <c r="D33" s="502">
        <f t="shared" si="1"/>
        <v>0</v>
      </c>
      <c r="E33" s="499"/>
      <c r="F33" s="586">
        <f t="shared" si="2"/>
        <v>0</v>
      </c>
      <c r="G33" s="1424">
        <f t="shared" si="2"/>
        <v>0</v>
      </c>
      <c r="H33" s="460">
        <f>SUM($F$9:F33)/A33</f>
        <v>326.39999999999998</v>
      </c>
      <c r="I33" s="499">
        <f>SUM($G$9:G33)/A33</f>
        <v>328.48</v>
      </c>
      <c r="J33" s="460">
        <f t="shared" si="5"/>
        <v>-393.38299999999981</v>
      </c>
      <c r="K33" s="459">
        <f t="shared" si="5"/>
        <v>-359</v>
      </c>
      <c r="L33" s="506">
        <f t="shared" si="3"/>
        <v>-1.2052175245098034</v>
      </c>
      <c r="M33" s="464">
        <f t="shared" si="3"/>
        <v>-1.0929128105211885</v>
      </c>
      <c r="N33" s="366"/>
      <c r="O33" s="446"/>
      <c r="P33" s="446"/>
      <c r="Q33" s="446"/>
      <c r="R33" s="446"/>
      <c r="S33" s="647">
        <f t="shared" si="4"/>
        <v>-0.218546111111111</v>
      </c>
    </row>
    <row r="34" spans="1:19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502">
        <f t="shared" si="1"/>
        <v>0</v>
      </c>
      <c r="E34" s="499"/>
      <c r="F34" s="586">
        <f t="shared" si="2"/>
        <v>0</v>
      </c>
      <c r="G34" s="1424">
        <f t="shared" si="2"/>
        <v>0</v>
      </c>
      <c r="H34" s="498">
        <f>SUM($F$9:F34)/A34</f>
        <v>313.84615384615387</v>
      </c>
      <c r="I34" s="499">
        <f>SUM($G$9:G34)/A34</f>
        <v>315.84615384615387</v>
      </c>
      <c r="J34" s="443">
        <f t="shared" si="5"/>
        <v>-393.38299999999981</v>
      </c>
      <c r="K34" s="459">
        <f t="shared" si="5"/>
        <v>-359</v>
      </c>
      <c r="L34" s="495">
        <f t="shared" si="3"/>
        <v>-1.2534262254901953</v>
      </c>
      <c r="M34" s="464">
        <f t="shared" si="3"/>
        <v>-1.1366293229420359</v>
      </c>
      <c r="N34" s="366"/>
      <c r="O34" s="446"/>
      <c r="P34" s="446"/>
      <c r="Q34" s="446"/>
      <c r="R34" s="446"/>
      <c r="S34" s="647">
        <f t="shared" si="4"/>
        <v>-0.218546111111111</v>
      </c>
    </row>
    <row r="35" spans="1:19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2">
        <f t="shared" si="1"/>
        <v>0</v>
      </c>
      <c r="E35" s="499"/>
      <c r="F35" s="586">
        <f t="shared" si="2"/>
        <v>0</v>
      </c>
      <c r="G35" s="1424">
        <f t="shared" si="2"/>
        <v>0</v>
      </c>
      <c r="H35" s="498">
        <f>SUM($F$9:F35)/A35</f>
        <v>302.22222222222223</v>
      </c>
      <c r="I35" s="499">
        <f>SUM($G$9:G35)/A35</f>
        <v>304.14814814814815</v>
      </c>
      <c r="J35" s="443">
        <f t="shared" si="5"/>
        <v>-393.38299999999981</v>
      </c>
      <c r="K35" s="459">
        <f t="shared" si="5"/>
        <v>-359</v>
      </c>
      <c r="L35" s="495">
        <f t="shared" si="3"/>
        <v>-1.3016349264705875</v>
      </c>
      <c r="M35" s="464">
        <f t="shared" si="3"/>
        <v>-1.1803458353628835</v>
      </c>
      <c r="N35" s="366"/>
      <c r="O35" s="446"/>
      <c r="P35" s="446"/>
      <c r="Q35" s="446"/>
      <c r="R35" s="446"/>
      <c r="S35" s="647">
        <f t="shared" si="4"/>
        <v>-0.218546111111111</v>
      </c>
    </row>
    <row r="36" spans="1:19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2">
        <f t="shared" si="1"/>
        <v>0</v>
      </c>
      <c r="E36" s="499"/>
      <c r="F36" s="586">
        <f t="shared" si="2"/>
        <v>0</v>
      </c>
      <c r="G36" s="1424">
        <f t="shared" si="2"/>
        <v>0</v>
      </c>
      <c r="H36" s="498">
        <f>SUM($F$9:F36)/A36</f>
        <v>291.42857142857144</v>
      </c>
      <c r="I36" s="499">
        <f>SUM($G$9:G36)/A36</f>
        <v>293.28571428571428</v>
      </c>
      <c r="J36" s="443">
        <f t="shared" si="5"/>
        <v>-393.38299999999981</v>
      </c>
      <c r="K36" s="459">
        <f t="shared" si="5"/>
        <v>-359</v>
      </c>
      <c r="L36" s="495">
        <f t="shared" si="3"/>
        <v>-1.3498436274509797</v>
      </c>
      <c r="M36" s="464">
        <f t="shared" si="3"/>
        <v>-1.2240623477837311</v>
      </c>
      <c r="N36" s="366"/>
      <c r="O36" s="446"/>
      <c r="P36" s="446"/>
      <c r="Q36" s="446"/>
      <c r="R36" s="446"/>
      <c r="S36" s="647">
        <f t="shared" si="4"/>
        <v>-0.218546111111111</v>
      </c>
    </row>
    <row r="37" spans="1:19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2">
        <f t="shared" si="1"/>
        <v>0</v>
      </c>
      <c r="E37" s="499"/>
      <c r="F37" s="586">
        <f t="shared" si="2"/>
        <v>0</v>
      </c>
      <c r="G37" s="1424">
        <f t="shared" si="2"/>
        <v>0</v>
      </c>
      <c r="H37" s="498">
        <f>SUM($F$9:F37)/A37</f>
        <v>281.37931034482756</v>
      </c>
      <c r="I37" s="499">
        <f>SUM($G$9:G37)/A37</f>
        <v>283.17241379310343</v>
      </c>
      <c r="J37" s="443">
        <f t="shared" si="5"/>
        <v>-393.38299999999981</v>
      </c>
      <c r="K37" s="459">
        <f t="shared" si="5"/>
        <v>-359</v>
      </c>
      <c r="L37" s="495">
        <f t="shared" si="3"/>
        <v>-1.3980523284313719</v>
      </c>
      <c r="M37" s="464">
        <f t="shared" si="3"/>
        <v>-1.2677788602045788</v>
      </c>
      <c r="N37" s="366"/>
      <c r="O37" s="446"/>
      <c r="P37" s="446"/>
      <c r="Q37" s="446"/>
      <c r="R37" s="446"/>
      <c r="S37" s="647">
        <f t="shared" si="4"/>
        <v>-0.218546111111111</v>
      </c>
    </row>
    <row r="38" spans="1:19" s="367" customFormat="1" ht="12" customHeight="1">
      <c r="A38" s="504">
        <v>30</v>
      </c>
      <c r="B38" s="365">
        <f>'FRIT HGE91-FHG'!B38</f>
        <v>46264</v>
      </c>
      <c r="C38" s="365" t="s">
        <v>285</v>
      </c>
      <c r="D38" s="502">
        <f t="shared" si="1"/>
        <v>0</v>
      </c>
      <c r="E38" s="499"/>
      <c r="F38" s="586">
        <f t="shared" si="2"/>
        <v>0</v>
      </c>
      <c r="G38" s="1424">
        <f t="shared" si="2"/>
        <v>0</v>
      </c>
      <c r="H38" s="504">
        <f>SUM($F$9:F38)/A38</f>
        <v>272</v>
      </c>
      <c r="I38" s="499">
        <f>SUM($G$9:G38)/A38</f>
        <v>273.73333333333335</v>
      </c>
      <c r="J38" s="504">
        <f t="shared" si="5"/>
        <v>-393.38299999999981</v>
      </c>
      <c r="K38" s="459">
        <f t="shared" si="5"/>
        <v>-359</v>
      </c>
      <c r="L38" s="505">
        <f t="shared" si="3"/>
        <v>-1.4462610294117639</v>
      </c>
      <c r="M38" s="464">
        <f t="shared" si="3"/>
        <v>-1.3114953726254261</v>
      </c>
      <c r="N38" s="366"/>
      <c r="O38" s="446"/>
      <c r="P38" s="446"/>
      <c r="Q38" s="446"/>
      <c r="R38" s="446"/>
      <c r="S38" s="647">
        <f t="shared" si="4"/>
        <v>-0.218546111111111</v>
      </c>
    </row>
    <row r="39" spans="1:19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502">
        <f t="shared" si="1"/>
        <v>0</v>
      </c>
      <c r="E39" s="499"/>
      <c r="F39" s="586">
        <f t="shared" si="2"/>
        <v>0</v>
      </c>
      <c r="G39" s="1424">
        <f t="shared" si="2"/>
        <v>0</v>
      </c>
      <c r="H39" s="498">
        <f>SUM($F$9:F39)/A39</f>
        <v>263.22580645161293</v>
      </c>
      <c r="I39" s="499">
        <f>SUM($G$9:G39)/A39</f>
        <v>264.90322580645159</v>
      </c>
      <c r="J39" s="443">
        <f t="shared" si="5"/>
        <v>-393.38299999999981</v>
      </c>
      <c r="K39" s="459">
        <f t="shared" si="5"/>
        <v>-359</v>
      </c>
      <c r="L39" s="495">
        <f t="shared" si="3"/>
        <v>-1.4944697303921559</v>
      </c>
      <c r="M39" s="464">
        <f t="shared" si="3"/>
        <v>-1.3552118850462738</v>
      </c>
      <c r="N39" s="366"/>
      <c r="O39" s="446"/>
      <c r="P39" s="446"/>
      <c r="Q39" s="446"/>
      <c r="R39" s="446"/>
      <c r="S39" s="647">
        <f t="shared" si="4"/>
        <v>-0.218546111111111</v>
      </c>
    </row>
    <row r="40" spans="1:19" s="374" customFormat="1" ht="12" customHeight="1">
      <c r="A40" s="1154" t="s">
        <v>29</v>
      </c>
      <c r="B40" s="1155"/>
      <c r="C40" s="1156"/>
      <c r="D40" s="388">
        <f>SUM(D9:D39)</f>
        <v>0</v>
      </c>
      <c r="E40" s="923">
        <f>SUM(E9:E39)</f>
        <v>0</v>
      </c>
      <c r="F40" s="389">
        <f>SUM(F9:F39)</f>
        <v>8160</v>
      </c>
      <c r="G40" s="496">
        <f>SUM(G9:G39)</f>
        <v>8212</v>
      </c>
      <c r="H40" s="389"/>
      <c r="I40" s="496"/>
      <c r="J40" s="389">
        <f>J39</f>
        <v>-393.38299999999981</v>
      </c>
      <c r="K40" s="461">
        <f>K39</f>
        <v>-359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8160</v>
      </c>
      <c r="R40" s="496">
        <f>SUM(R9:R39)</f>
        <v>8212</v>
      </c>
    </row>
    <row r="41" spans="1:19" s="374" customFormat="1" ht="12" customHeight="1">
      <c r="A41" s="1154" t="s">
        <v>15</v>
      </c>
      <c r="B41" s="1155"/>
      <c r="C41" s="1156"/>
      <c r="D41" s="388">
        <f>D8+D40</f>
        <v>7766.6170000000002</v>
      </c>
      <c r="E41" s="388">
        <f>E8+E40</f>
        <v>7853</v>
      </c>
      <c r="F41" s="389">
        <f>F40</f>
        <v>8160</v>
      </c>
      <c r="G41" s="496">
        <f>G40</f>
        <v>8212</v>
      </c>
      <c r="H41" s="389"/>
      <c r="I41" s="496"/>
      <c r="J41" s="389">
        <f>D41-F41</f>
        <v>-393.38299999999981</v>
      </c>
      <c r="K41" s="389">
        <f>E41-G41</f>
        <v>-359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N6:N7"/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</mergeCells>
  <conditionalFormatting sqref="M9:M39">
    <cfRule type="cellIs" dxfId="9146" priority="163" operator="lessThan">
      <formula>15</formula>
    </cfRule>
    <cfRule type="cellIs" dxfId="9145" priority="164" operator="greaterThan">
      <formula>20</formula>
    </cfRule>
    <cfRule type="cellIs" dxfId="9144" priority="165" operator="between">
      <formula>15</formula>
      <formula>20</formula>
    </cfRule>
    <cfRule type="cellIs" dxfId="9143" priority="166" operator="between">
      <formula>15</formula>
      <formula>20</formula>
    </cfRule>
    <cfRule type="cellIs" dxfId="9142" priority="167" operator="lessThan">
      <formula>15</formula>
    </cfRule>
    <cfRule type="cellIs" dxfId="9141" priority="168" operator="greaterThan">
      <formula>20</formula>
    </cfRule>
    <cfRule type="cellIs" dxfId="9140" priority="169" operator="between">
      <formula>15</formula>
      <formula>21</formula>
    </cfRule>
    <cfRule type="cellIs" dxfId="9139" priority="170" operator="lessThan">
      <formula>15</formula>
    </cfRule>
    <cfRule type="cellIs" dxfId="9138" priority="171" operator="greaterThan">
      <formula>21</formula>
    </cfRule>
  </conditionalFormatting>
  <conditionalFormatting sqref="M9:M39">
    <cfRule type="cellIs" dxfId="9137" priority="154" operator="lessThan">
      <formula>15</formula>
    </cfRule>
    <cfRule type="cellIs" dxfId="9136" priority="155" operator="greaterThan">
      <formula>20</formula>
    </cfRule>
    <cfRule type="cellIs" dxfId="9135" priority="156" operator="between">
      <formula>15</formula>
      <formula>20</formula>
    </cfRule>
    <cfRule type="cellIs" dxfId="9134" priority="157" operator="between">
      <formula>15</formula>
      <formula>20</formula>
    </cfRule>
    <cfRule type="cellIs" dxfId="9133" priority="158" operator="lessThan">
      <formula>15</formula>
    </cfRule>
    <cfRule type="cellIs" dxfId="9132" priority="159" operator="greaterThan">
      <formula>20</formula>
    </cfRule>
    <cfRule type="cellIs" dxfId="9131" priority="160" operator="between">
      <formula>15</formula>
      <formula>21</formula>
    </cfRule>
    <cfRule type="cellIs" dxfId="9130" priority="161" operator="lessThan">
      <formula>15</formula>
    </cfRule>
    <cfRule type="cellIs" dxfId="9129" priority="162" operator="greaterThan">
      <formula>21</formula>
    </cfRule>
  </conditionalFormatting>
  <conditionalFormatting sqref="M9:M39">
    <cfRule type="cellIs" dxfId="9128" priority="145" operator="lessThan">
      <formula>15</formula>
    </cfRule>
    <cfRule type="cellIs" dxfId="9127" priority="146" operator="greaterThan">
      <formula>20</formula>
    </cfRule>
    <cfRule type="cellIs" dxfId="9126" priority="147" operator="between">
      <formula>15</formula>
      <formula>20</formula>
    </cfRule>
    <cfRule type="cellIs" dxfId="9125" priority="148" operator="between">
      <formula>15</formula>
      <formula>20</formula>
    </cfRule>
    <cfRule type="cellIs" dxfId="9124" priority="149" operator="lessThan">
      <formula>15</formula>
    </cfRule>
    <cfRule type="cellIs" dxfId="9123" priority="150" operator="greaterThan">
      <formula>20</formula>
    </cfRule>
    <cfRule type="cellIs" dxfId="9122" priority="151" operator="between">
      <formula>15</formula>
      <formula>21</formula>
    </cfRule>
    <cfRule type="cellIs" dxfId="9121" priority="152" operator="lessThan">
      <formula>15</formula>
    </cfRule>
    <cfRule type="cellIs" dxfId="9120" priority="153" operator="greaterThan">
      <formula>21</formula>
    </cfRule>
  </conditionalFormatting>
  <conditionalFormatting sqref="M9:M39">
    <cfRule type="cellIs" dxfId="9119" priority="136" operator="lessThan">
      <formula>15</formula>
    </cfRule>
    <cfRule type="cellIs" dxfId="9118" priority="137" operator="greaterThan">
      <formula>20</formula>
    </cfRule>
    <cfRule type="cellIs" dxfId="9117" priority="138" operator="between">
      <formula>15</formula>
      <formula>20</formula>
    </cfRule>
    <cfRule type="cellIs" dxfId="9116" priority="139" operator="between">
      <formula>15</formula>
      <formula>20</formula>
    </cfRule>
    <cfRule type="cellIs" dxfId="9115" priority="140" operator="lessThan">
      <formula>15</formula>
    </cfRule>
    <cfRule type="cellIs" dxfId="9114" priority="141" operator="greaterThan">
      <formula>20</formula>
    </cfRule>
    <cfRule type="cellIs" dxfId="9113" priority="142" operator="between">
      <formula>15</formula>
      <formula>21</formula>
    </cfRule>
    <cfRule type="cellIs" dxfId="9112" priority="143" operator="lessThan">
      <formula>15</formula>
    </cfRule>
    <cfRule type="cellIs" dxfId="9111" priority="144" operator="greaterThan">
      <formula>21</formula>
    </cfRule>
  </conditionalFormatting>
  <conditionalFormatting sqref="M9:M39">
    <cfRule type="cellIs" dxfId="9110" priority="127" operator="lessThan">
      <formula>15</formula>
    </cfRule>
    <cfRule type="cellIs" dxfId="9109" priority="128" operator="greaterThan">
      <formula>20</formula>
    </cfRule>
    <cfRule type="cellIs" dxfId="9108" priority="129" operator="between">
      <formula>15</formula>
      <formula>20</formula>
    </cfRule>
    <cfRule type="cellIs" dxfId="9107" priority="130" operator="between">
      <formula>15</formula>
      <formula>20</formula>
    </cfRule>
    <cfRule type="cellIs" dxfId="9106" priority="131" operator="lessThan">
      <formula>15</formula>
    </cfRule>
    <cfRule type="cellIs" dxfId="9105" priority="132" operator="greaterThan">
      <formula>20</formula>
    </cfRule>
    <cfRule type="cellIs" dxfId="9104" priority="133" operator="between">
      <formula>15</formula>
      <formula>21</formula>
    </cfRule>
    <cfRule type="cellIs" dxfId="9103" priority="134" operator="lessThan">
      <formula>15</formula>
    </cfRule>
    <cfRule type="cellIs" dxfId="9102" priority="135" operator="greaterThan">
      <formula>21</formula>
    </cfRule>
  </conditionalFormatting>
  <conditionalFormatting sqref="M9:M39">
    <cfRule type="cellIs" dxfId="9101" priority="118" operator="lessThan">
      <formula>15</formula>
    </cfRule>
    <cfRule type="cellIs" dxfId="9100" priority="119" operator="greaterThan">
      <formula>20</formula>
    </cfRule>
    <cfRule type="cellIs" dxfId="9099" priority="120" operator="between">
      <formula>15</formula>
      <formula>20</formula>
    </cfRule>
    <cfRule type="cellIs" dxfId="9098" priority="121" operator="between">
      <formula>15</formula>
      <formula>20</formula>
    </cfRule>
    <cfRule type="cellIs" dxfId="9097" priority="122" operator="lessThan">
      <formula>15</formula>
    </cfRule>
    <cfRule type="cellIs" dxfId="9096" priority="123" operator="greaterThan">
      <formula>20</formula>
    </cfRule>
    <cfRule type="cellIs" dxfId="9095" priority="124" operator="between">
      <formula>15</formula>
      <formula>21</formula>
    </cfRule>
    <cfRule type="cellIs" dxfId="9094" priority="125" operator="lessThan">
      <formula>15</formula>
    </cfRule>
    <cfRule type="cellIs" dxfId="9093" priority="126" operator="greaterThan">
      <formula>21</formula>
    </cfRule>
  </conditionalFormatting>
  <conditionalFormatting sqref="M9:M39">
    <cfRule type="cellIs" dxfId="9092" priority="109" operator="lessThan">
      <formula>15</formula>
    </cfRule>
    <cfRule type="cellIs" dxfId="9091" priority="110" operator="greaterThan">
      <formula>20</formula>
    </cfRule>
    <cfRule type="cellIs" dxfId="9090" priority="111" operator="between">
      <formula>15</formula>
      <formula>20</formula>
    </cfRule>
    <cfRule type="cellIs" dxfId="9089" priority="112" operator="between">
      <formula>15</formula>
      <formula>20</formula>
    </cfRule>
    <cfRule type="cellIs" dxfId="9088" priority="113" operator="lessThan">
      <formula>15</formula>
    </cfRule>
    <cfRule type="cellIs" dxfId="9087" priority="114" operator="greaterThan">
      <formula>20</formula>
    </cfRule>
    <cfRule type="cellIs" dxfId="9086" priority="115" operator="between">
      <formula>15</formula>
      <formula>21</formula>
    </cfRule>
    <cfRule type="cellIs" dxfId="9085" priority="116" operator="lessThan">
      <formula>15</formula>
    </cfRule>
    <cfRule type="cellIs" dxfId="9084" priority="117" operator="greaterThan">
      <formula>21</formula>
    </cfRule>
  </conditionalFormatting>
  <conditionalFormatting sqref="M9:M39">
    <cfRule type="cellIs" dxfId="9083" priority="100" operator="lessThan">
      <formula>15</formula>
    </cfRule>
    <cfRule type="cellIs" dxfId="9082" priority="101" operator="greaterThan">
      <formula>20</formula>
    </cfRule>
    <cfRule type="cellIs" dxfId="9081" priority="102" operator="between">
      <formula>15</formula>
      <formula>20</formula>
    </cfRule>
    <cfRule type="cellIs" dxfId="9080" priority="103" operator="between">
      <formula>15</formula>
      <formula>20</formula>
    </cfRule>
    <cfRule type="cellIs" dxfId="9079" priority="104" operator="lessThan">
      <formula>15</formula>
    </cfRule>
    <cfRule type="cellIs" dxfId="9078" priority="105" operator="greaterThan">
      <formula>20</formula>
    </cfRule>
    <cfRule type="cellIs" dxfId="9077" priority="106" operator="between">
      <formula>15</formula>
      <formula>21</formula>
    </cfRule>
    <cfRule type="cellIs" dxfId="9076" priority="107" operator="lessThan">
      <formula>15</formula>
    </cfRule>
    <cfRule type="cellIs" dxfId="9075" priority="108" operator="greaterThan">
      <formula>21</formula>
    </cfRule>
  </conditionalFormatting>
  <conditionalFormatting sqref="M9:M39">
    <cfRule type="cellIs" dxfId="9074" priority="91" operator="lessThan">
      <formula>15</formula>
    </cfRule>
    <cfRule type="cellIs" dxfId="9073" priority="92" operator="greaterThan">
      <formula>20</formula>
    </cfRule>
    <cfRule type="cellIs" dxfId="9072" priority="93" operator="between">
      <formula>15</formula>
      <formula>20</formula>
    </cfRule>
    <cfRule type="cellIs" dxfId="9071" priority="94" operator="between">
      <formula>15</formula>
      <formula>20</formula>
    </cfRule>
    <cfRule type="cellIs" dxfId="9070" priority="95" operator="lessThan">
      <formula>15</formula>
    </cfRule>
    <cfRule type="cellIs" dxfId="9069" priority="96" operator="greaterThan">
      <formula>20</formula>
    </cfRule>
    <cfRule type="cellIs" dxfId="9068" priority="97" operator="between">
      <formula>15</formula>
      <formula>21</formula>
    </cfRule>
    <cfRule type="cellIs" dxfId="9067" priority="98" operator="lessThan">
      <formula>15</formula>
    </cfRule>
    <cfRule type="cellIs" dxfId="9066" priority="99" operator="greaterThan">
      <formula>21</formula>
    </cfRule>
  </conditionalFormatting>
  <conditionalFormatting sqref="M9:M39">
    <cfRule type="cellIs" dxfId="9065" priority="82" operator="lessThan">
      <formula>15</formula>
    </cfRule>
    <cfRule type="cellIs" dxfId="9064" priority="83" operator="greaterThan">
      <formula>20</formula>
    </cfRule>
    <cfRule type="cellIs" dxfId="9063" priority="84" operator="between">
      <formula>15</formula>
      <formula>20</formula>
    </cfRule>
    <cfRule type="cellIs" dxfId="9062" priority="85" operator="between">
      <formula>15</formula>
      <formula>20</formula>
    </cfRule>
    <cfRule type="cellIs" dxfId="9061" priority="86" operator="lessThan">
      <formula>15</formula>
    </cfRule>
    <cfRule type="cellIs" dxfId="9060" priority="87" operator="greaterThan">
      <formula>20</formula>
    </cfRule>
    <cfRule type="cellIs" dxfId="9059" priority="88" operator="between">
      <formula>15</formula>
      <formula>21</formula>
    </cfRule>
    <cfRule type="cellIs" dxfId="9058" priority="89" operator="lessThan">
      <formula>15</formula>
    </cfRule>
    <cfRule type="cellIs" dxfId="9057" priority="90" operator="greaterThan">
      <formula>21</formula>
    </cfRule>
  </conditionalFormatting>
  <conditionalFormatting sqref="M9:M39">
    <cfRule type="cellIs" dxfId="9056" priority="73" operator="lessThan">
      <formula>15</formula>
    </cfRule>
    <cfRule type="cellIs" dxfId="9055" priority="74" operator="greaterThan">
      <formula>20</formula>
    </cfRule>
    <cfRule type="cellIs" dxfId="9054" priority="75" operator="between">
      <formula>15</formula>
      <formula>20</formula>
    </cfRule>
    <cfRule type="cellIs" dxfId="9053" priority="76" operator="between">
      <formula>15</formula>
      <formula>20</formula>
    </cfRule>
    <cfRule type="cellIs" dxfId="9052" priority="77" operator="lessThan">
      <formula>15</formula>
    </cfRule>
    <cfRule type="cellIs" dxfId="9051" priority="78" operator="greaterThan">
      <formula>20</formula>
    </cfRule>
    <cfRule type="cellIs" dxfId="9050" priority="79" operator="between">
      <formula>15</formula>
      <formula>21</formula>
    </cfRule>
    <cfRule type="cellIs" dxfId="9049" priority="80" operator="lessThan">
      <formula>15</formula>
    </cfRule>
    <cfRule type="cellIs" dxfId="9048" priority="81" operator="greaterThan">
      <formula>21</formula>
    </cfRule>
  </conditionalFormatting>
  <conditionalFormatting sqref="M9:M39">
    <cfRule type="cellIs" dxfId="9047" priority="64" operator="lessThan">
      <formula>15</formula>
    </cfRule>
    <cfRule type="cellIs" dxfId="9046" priority="65" operator="greaterThan">
      <formula>20</formula>
    </cfRule>
    <cfRule type="cellIs" dxfId="9045" priority="66" operator="between">
      <formula>15</formula>
      <formula>20</formula>
    </cfRule>
    <cfRule type="cellIs" dxfId="9044" priority="67" operator="between">
      <formula>15</formula>
      <formula>20</formula>
    </cfRule>
    <cfRule type="cellIs" dxfId="9043" priority="68" operator="lessThan">
      <formula>15</formula>
    </cfRule>
    <cfRule type="cellIs" dxfId="9042" priority="69" operator="greaterThan">
      <formula>20</formula>
    </cfRule>
    <cfRule type="cellIs" dxfId="9041" priority="70" operator="between">
      <formula>15</formula>
      <formula>21</formula>
    </cfRule>
    <cfRule type="cellIs" dxfId="9040" priority="71" operator="lessThan">
      <formula>15</formula>
    </cfRule>
    <cfRule type="cellIs" dxfId="9039" priority="72" operator="greaterThan">
      <formula>21</formula>
    </cfRule>
  </conditionalFormatting>
  <conditionalFormatting sqref="M9:M39">
    <cfRule type="cellIs" dxfId="9038" priority="55" operator="lessThan">
      <formula>15</formula>
    </cfRule>
    <cfRule type="cellIs" dxfId="9037" priority="56" operator="greaterThan">
      <formula>20</formula>
    </cfRule>
    <cfRule type="cellIs" dxfId="9036" priority="57" operator="between">
      <formula>15</formula>
      <formula>20</formula>
    </cfRule>
    <cfRule type="cellIs" dxfId="9035" priority="58" operator="between">
      <formula>15</formula>
      <formula>20</formula>
    </cfRule>
    <cfRule type="cellIs" dxfId="9034" priority="59" operator="lessThan">
      <formula>15</formula>
    </cfRule>
    <cfRule type="cellIs" dxfId="9033" priority="60" operator="greaterThan">
      <formula>20</formula>
    </cfRule>
    <cfRule type="cellIs" dxfId="9032" priority="61" operator="between">
      <formula>15</formula>
      <formula>21</formula>
    </cfRule>
    <cfRule type="cellIs" dxfId="9031" priority="62" operator="lessThan">
      <formula>15</formula>
    </cfRule>
    <cfRule type="cellIs" dxfId="9030" priority="63" operator="greaterThan">
      <formula>21</formula>
    </cfRule>
  </conditionalFormatting>
  <conditionalFormatting sqref="M9:M39">
    <cfRule type="cellIs" dxfId="9029" priority="46" operator="lessThan">
      <formula>15</formula>
    </cfRule>
    <cfRule type="cellIs" dxfId="9028" priority="47" operator="greaterThan">
      <formula>20</formula>
    </cfRule>
    <cfRule type="cellIs" dxfId="9027" priority="48" operator="between">
      <formula>15</formula>
      <formula>20</formula>
    </cfRule>
    <cfRule type="cellIs" dxfId="9026" priority="49" operator="between">
      <formula>15</formula>
      <formula>20</formula>
    </cfRule>
    <cfRule type="cellIs" dxfId="9025" priority="50" operator="lessThan">
      <formula>15</formula>
    </cfRule>
    <cfRule type="cellIs" dxfId="9024" priority="51" operator="greaterThan">
      <formula>20</formula>
    </cfRule>
    <cfRule type="cellIs" dxfId="9023" priority="52" operator="between">
      <formula>15</formula>
      <formula>21</formula>
    </cfRule>
    <cfRule type="cellIs" dxfId="9022" priority="53" operator="lessThan">
      <formula>15</formula>
    </cfRule>
    <cfRule type="cellIs" dxfId="9021" priority="54" operator="greaterThan">
      <formula>21</formula>
    </cfRule>
  </conditionalFormatting>
  <conditionalFormatting sqref="M9:M39">
    <cfRule type="cellIs" dxfId="9020" priority="37" operator="lessThan">
      <formula>15</formula>
    </cfRule>
    <cfRule type="cellIs" dxfId="9019" priority="38" operator="greaterThan">
      <formula>20</formula>
    </cfRule>
    <cfRule type="cellIs" dxfId="9018" priority="39" operator="between">
      <formula>15</formula>
      <formula>20</formula>
    </cfRule>
    <cfRule type="cellIs" dxfId="9017" priority="40" operator="between">
      <formula>15</formula>
      <formula>20</formula>
    </cfRule>
    <cfRule type="cellIs" dxfId="9016" priority="41" operator="lessThan">
      <formula>15</formula>
    </cfRule>
    <cfRule type="cellIs" dxfId="9015" priority="42" operator="greaterThan">
      <formula>20</formula>
    </cfRule>
    <cfRule type="cellIs" dxfId="9014" priority="43" operator="between">
      <formula>15</formula>
      <formula>21</formula>
    </cfRule>
    <cfRule type="cellIs" dxfId="9013" priority="44" operator="lessThan">
      <formula>15</formula>
    </cfRule>
    <cfRule type="cellIs" dxfId="9012" priority="45" operator="greaterThan">
      <formula>21</formula>
    </cfRule>
  </conditionalFormatting>
  <conditionalFormatting sqref="M9:M39">
    <cfRule type="cellIs" dxfId="9011" priority="28" operator="lessThan">
      <formula>15</formula>
    </cfRule>
    <cfRule type="cellIs" dxfId="9010" priority="29" operator="greaterThan">
      <formula>20</formula>
    </cfRule>
    <cfRule type="cellIs" dxfId="9009" priority="30" operator="between">
      <formula>15</formula>
      <formula>20</formula>
    </cfRule>
    <cfRule type="cellIs" dxfId="9008" priority="31" operator="between">
      <formula>15</formula>
      <formula>20</formula>
    </cfRule>
    <cfRule type="cellIs" dxfId="9007" priority="32" operator="lessThan">
      <formula>15</formula>
    </cfRule>
    <cfRule type="cellIs" dxfId="9006" priority="33" operator="greaterThan">
      <formula>20</formula>
    </cfRule>
    <cfRule type="cellIs" dxfId="9005" priority="34" operator="between">
      <formula>15</formula>
      <formula>21</formula>
    </cfRule>
    <cfRule type="cellIs" dxfId="9004" priority="35" operator="lessThan">
      <formula>15</formula>
    </cfRule>
    <cfRule type="cellIs" dxfId="9003" priority="36" operator="greaterThan">
      <formula>21</formula>
    </cfRule>
  </conditionalFormatting>
  <conditionalFormatting sqref="M9:M39">
    <cfRule type="cellIs" dxfId="9002" priority="19" operator="lessThan">
      <formula>15</formula>
    </cfRule>
    <cfRule type="cellIs" dxfId="9001" priority="20" operator="greaterThan">
      <formula>20</formula>
    </cfRule>
    <cfRule type="cellIs" dxfId="9000" priority="21" operator="between">
      <formula>15</formula>
      <formula>20</formula>
    </cfRule>
    <cfRule type="cellIs" dxfId="8999" priority="22" operator="between">
      <formula>15</formula>
      <formula>20</formula>
    </cfRule>
    <cfRule type="cellIs" dxfId="8998" priority="23" operator="lessThan">
      <formula>15</formula>
    </cfRule>
    <cfRule type="cellIs" dxfId="8997" priority="24" operator="greaterThan">
      <formula>20</formula>
    </cfRule>
    <cfRule type="cellIs" dxfId="8996" priority="25" operator="between">
      <formula>15</formula>
      <formula>21</formula>
    </cfRule>
    <cfRule type="cellIs" dxfId="8995" priority="26" operator="lessThan">
      <formula>15</formula>
    </cfRule>
    <cfRule type="cellIs" dxfId="8994" priority="27" operator="greaterThan">
      <formula>21</formula>
    </cfRule>
  </conditionalFormatting>
  <conditionalFormatting sqref="M9:M39">
    <cfRule type="cellIs" dxfId="8993" priority="10" operator="lessThan">
      <formula>15</formula>
    </cfRule>
    <cfRule type="cellIs" dxfId="8992" priority="11" operator="greaterThan">
      <formula>20</formula>
    </cfRule>
    <cfRule type="cellIs" dxfId="8991" priority="12" operator="between">
      <formula>15</formula>
      <formula>20</formula>
    </cfRule>
    <cfRule type="cellIs" dxfId="8990" priority="13" operator="between">
      <formula>15</formula>
      <formula>20</formula>
    </cfRule>
    <cfRule type="cellIs" dxfId="8989" priority="14" operator="lessThan">
      <formula>15</formula>
    </cfRule>
    <cfRule type="cellIs" dxfId="8988" priority="15" operator="greaterThan">
      <formula>20</formula>
    </cfRule>
    <cfRule type="cellIs" dxfId="8987" priority="16" operator="between">
      <formula>15</formula>
      <formula>21</formula>
    </cfRule>
    <cfRule type="cellIs" dxfId="8986" priority="17" operator="lessThan">
      <formula>15</formula>
    </cfRule>
    <cfRule type="cellIs" dxfId="8985" priority="18" operator="greaterThan">
      <formula>21</formula>
    </cfRule>
  </conditionalFormatting>
  <conditionalFormatting sqref="M9:M39">
    <cfRule type="cellIs" dxfId="8984" priority="1" operator="lessThan">
      <formula>15</formula>
    </cfRule>
    <cfRule type="cellIs" dxfId="8983" priority="2" operator="greaterThan">
      <formula>20</formula>
    </cfRule>
    <cfRule type="cellIs" dxfId="8982" priority="3" operator="between">
      <formula>15</formula>
      <formula>20</formula>
    </cfRule>
    <cfRule type="cellIs" dxfId="8981" priority="4" operator="between">
      <formula>15</formula>
      <formula>20</formula>
    </cfRule>
    <cfRule type="cellIs" dxfId="8980" priority="5" operator="lessThan">
      <formula>15</formula>
    </cfRule>
    <cfRule type="cellIs" dxfId="8979" priority="6" operator="greaterThan">
      <formula>20</formula>
    </cfRule>
    <cfRule type="cellIs" dxfId="8978" priority="7" operator="between">
      <formula>15</formula>
      <formula>21</formula>
    </cfRule>
    <cfRule type="cellIs" dxfId="8977" priority="8" operator="lessThan">
      <formula>15</formula>
    </cfRule>
    <cfRule type="cellIs" dxfId="8976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zoomScale="115" zoomScaleNormal="115" workbookViewId="0">
      <pane ySplit="8" topLeftCell="A21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4" width="6.42578125" style="143" customWidth="1"/>
    <col min="15" max="15" width="8.42578125" style="143" customWidth="1"/>
    <col min="16" max="16" width="6.42578125" style="143" customWidth="1"/>
    <col min="17" max="17" width="9" style="143" customWidth="1"/>
    <col min="18" max="18" width="6.42578125" style="143" customWidth="1"/>
    <col min="19" max="19" width="11.5703125" style="143" bestFit="1" customWidth="1"/>
    <col min="20" max="20" width="9.42578125" style="143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4.25" customHeight="1">
      <c r="A4" s="1600" t="s">
        <v>33</v>
      </c>
      <c r="B4" s="1600"/>
      <c r="C4" s="316" t="s">
        <v>282</v>
      </c>
      <c r="D4" s="383"/>
      <c r="E4" s="383" t="s">
        <v>228</v>
      </c>
      <c r="F4" s="383" t="s">
        <v>232</v>
      </c>
      <c r="G4" s="383"/>
      <c r="I4" s="383" t="s">
        <v>114</v>
      </c>
      <c r="J4" s="316" t="s">
        <v>135</v>
      </c>
      <c r="K4" s="319"/>
      <c r="L4" s="319"/>
      <c r="M4" s="319"/>
      <c r="O4" s="1422"/>
      <c r="P4" s="1422"/>
      <c r="Q4" s="1422"/>
      <c r="R4" s="1422"/>
      <c r="S4" s="143"/>
      <c r="T4" s="143"/>
      <c r="U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  <c r="T6" s="143"/>
      <c r="U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J8</f>
        <v>91236</v>
      </c>
      <c r="E8" s="388">
        <f>K8</f>
        <v>0</v>
      </c>
      <c r="F8" s="389">
        <f>F40</f>
        <v>18200</v>
      </c>
      <c r="G8" s="388"/>
      <c r="H8" s="387"/>
      <c r="I8" s="388"/>
      <c r="J8" s="324">
        <v>91236</v>
      </c>
      <c r="K8" s="633"/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1300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334</v>
      </c>
      <c r="D9" s="502"/>
      <c r="E9" s="499"/>
      <c r="F9" s="446">
        <f>O9+Q9</f>
        <v>975</v>
      </c>
      <c r="G9" s="503"/>
      <c r="H9" s="498">
        <f>SUM($F$9:F9)/A9</f>
        <v>975</v>
      </c>
      <c r="I9" s="499">
        <f>SUM($G$9:G9)/A9</f>
        <v>0</v>
      </c>
      <c r="J9" s="443">
        <f>J8+D9-F9</f>
        <v>90261</v>
      </c>
      <c r="K9" s="459"/>
      <c r="L9" s="495">
        <f>J9/H9</f>
        <v>92.575384615384621</v>
      </c>
      <c r="M9" s="464" t="e">
        <f>K9/I9</f>
        <v>#DIV/0!</v>
      </c>
      <c r="N9" s="366"/>
      <c r="O9" s="586">
        <v>600</v>
      </c>
      <c r="P9" s="586"/>
      <c r="Q9" s="586">
        <v>375</v>
      </c>
      <c r="R9" s="586"/>
      <c r="S9" s="647">
        <f>J9/$S$8</f>
        <v>69.431538461538466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334</v>
      </c>
      <c r="D10" s="502"/>
      <c r="E10" s="499"/>
      <c r="F10" s="446">
        <f t="shared" ref="F10:F39" si="0">O10+Q10</f>
        <v>675</v>
      </c>
      <c r="G10" s="503"/>
      <c r="H10" s="498">
        <f>SUM($F$9:F10)/A10</f>
        <v>825</v>
      </c>
      <c r="I10" s="499">
        <f>SUM($G$9:G10)/A10</f>
        <v>0</v>
      </c>
      <c r="J10" s="443">
        <f t="shared" ref="J10:J39" si="1">J9+D10-F10</f>
        <v>89586</v>
      </c>
      <c r="K10" s="459">
        <f t="shared" ref="K10:K39" si="2">K9+E10-G10</f>
        <v>0</v>
      </c>
      <c r="L10" s="495">
        <f>J10/H10</f>
        <v>108.58909090909091</v>
      </c>
      <c r="M10" s="464" t="e">
        <f t="shared" ref="M10:M16" si="3">K10/I10</f>
        <v>#DIV/0!</v>
      </c>
      <c r="N10" s="366"/>
      <c r="O10" s="586">
        <v>300</v>
      </c>
      <c r="P10" s="586"/>
      <c r="Q10" s="586">
        <v>375</v>
      </c>
      <c r="R10" s="586"/>
      <c r="S10" s="647">
        <f t="shared" ref="S10:S39" si="4">J10/$S$8</f>
        <v>68.912307692307692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334</v>
      </c>
      <c r="D11" s="502"/>
      <c r="E11" s="499"/>
      <c r="F11" s="446">
        <f t="shared" si="0"/>
        <v>1350</v>
      </c>
      <c r="G11" s="503"/>
      <c r="H11" s="498">
        <f>SUM($F$9:F11)/A11</f>
        <v>1000</v>
      </c>
      <c r="I11" s="499">
        <f>SUM($G$9:G11)/A11</f>
        <v>0</v>
      </c>
      <c r="J11" s="443">
        <f t="shared" si="1"/>
        <v>88236</v>
      </c>
      <c r="K11" s="459">
        <f t="shared" si="2"/>
        <v>0</v>
      </c>
      <c r="L11" s="495">
        <f t="shared" ref="L11:L39" si="5">J11/H11</f>
        <v>88.236000000000004</v>
      </c>
      <c r="M11" s="464" t="e">
        <f t="shared" si="3"/>
        <v>#DIV/0!</v>
      </c>
      <c r="N11" s="366"/>
      <c r="O11" s="586">
        <v>600</v>
      </c>
      <c r="P11" s="586"/>
      <c r="Q11" s="586">
        <v>750</v>
      </c>
      <c r="R11" s="586"/>
      <c r="S11" s="647">
        <f t="shared" si="4"/>
        <v>67.873846153846159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334</v>
      </c>
      <c r="D12" s="502"/>
      <c r="E12" s="499"/>
      <c r="F12" s="446">
        <f t="shared" si="0"/>
        <v>1350</v>
      </c>
      <c r="G12" s="503"/>
      <c r="H12" s="498">
        <f>SUM($F$9:F12)/A12</f>
        <v>1087.5</v>
      </c>
      <c r="I12" s="499">
        <f>SUM($G$9:G12)/A12</f>
        <v>0</v>
      </c>
      <c r="J12" s="443">
        <f t="shared" si="1"/>
        <v>86886</v>
      </c>
      <c r="K12" s="459">
        <f t="shared" si="2"/>
        <v>0</v>
      </c>
      <c r="L12" s="495">
        <f t="shared" si="5"/>
        <v>79.895172413793105</v>
      </c>
      <c r="M12" s="464" t="e">
        <f t="shared" si="3"/>
        <v>#DIV/0!</v>
      </c>
      <c r="N12" s="366"/>
      <c r="O12" s="586">
        <v>600</v>
      </c>
      <c r="P12" s="586"/>
      <c r="Q12" s="586">
        <v>750</v>
      </c>
      <c r="R12" s="586"/>
      <c r="S12" s="647">
        <f t="shared" si="4"/>
        <v>66.835384615384612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334</v>
      </c>
      <c r="D13" s="502"/>
      <c r="E13" s="499"/>
      <c r="F13" s="446">
        <f t="shared" si="0"/>
        <v>1350</v>
      </c>
      <c r="G13" s="503"/>
      <c r="H13" s="504">
        <f>SUM($F$9:F13)/A13</f>
        <v>1140</v>
      </c>
      <c r="I13" s="499">
        <f>SUM($G$9:G13)/A13</f>
        <v>0</v>
      </c>
      <c r="J13" s="504">
        <f t="shared" si="1"/>
        <v>85536</v>
      </c>
      <c r="K13" s="459">
        <f t="shared" si="2"/>
        <v>0</v>
      </c>
      <c r="L13" s="505">
        <f t="shared" si="5"/>
        <v>75.031578947368416</v>
      </c>
      <c r="M13" s="464" t="e">
        <f t="shared" si="3"/>
        <v>#DIV/0!</v>
      </c>
      <c r="N13" s="366"/>
      <c r="O13" s="586">
        <v>600</v>
      </c>
      <c r="P13" s="586"/>
      <c r="Q13" s="586">
        <v>750</v>
      </c>
      <c r="R13" s="586"/>
      <c r="S13" s="647">
        <f t="shared" si="4"/>
        <v>65.796923076923079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334</v>
      </c>
      <c r="D14" s="502"/>
      <c r="E14" s="499"/>
      <c r="F14" s="446">
        <f t="shared" si="0"/>
        <v>1400</v>
      </c>
      <c r="G14" s="503"/>
      <c r="H14" s="498">
        <f>SUM($F$9:F14)/A14</f>
        <v>1183.3333333333333</v>
      </c>
      <c r="I14" s="499">
        <f>SUM($G$9:G14)/A14</f>
        <v>0</v>
      </c>
      <c r="J14" s="443">
        <f t="shared" si="1"/>
        <v>84136</v>
      </c>
      <c r="K14" s="459">
        <f t="shared" si="2"/>
        <v>0</v>
      </c>
      <c r="L14" s="495">
        <f t="shared" si="5"/>
        <v>71.100845070422537</v>
      </c>
      <c r="M14" s="464" t="e">
        <f t="shared" si="3"/>
        <v>#DIV/0!</v>
      </c>
      <c r="N14" s="366"/>
      <c r="O14" s="586">
        <v>400</v>
      </c>
      <c r="P14" s="586"/>
      <c r="Q14" s="586">
        <v>1000</v>
      </c>
      <c r="R14" s="586"/>
      <c r="S14" s="647">
        <f t="shared" si="4"/>
        <v>64.72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334</v>
      </c>
      <c r="D15" s="502"/>
      <c r="E15" s="499"/>
      <c r="F15" s="446">
        <f t="shared" si="0"/>
        <v>775</v>
      </c>
      <c r="G15" s="503"/>
      <c r="H15" s="498">
        <f>SUM($F$9:F15)/A15</f>
        <v>1125</v>
      </c>
      <c r="I15" s="499">
        <f>SUM($G$9:G15)/A15</f>
        <v>0</v>
      </c>
      <c r="J15" s="443">
        <f t="shared" si="1"/>
        <v>83361</v>
      </c>
      <c r="K15" s="459">
        <f t="shared" si="2"/>
        <v>0</v>
      </c>
      <c r="L15" s="495">
        <f t="shared" si="5"/>
        <v>74.098666666666674</v>
      </c>
      <c r="M15" s="464" t="e">
        <f t="shared" si="3"/>
        <v>#DIV/0!</v>
      </c>
      <c r="N15" s="366"/>
      <c r="O15" s="586">
        <v>400</v>
      </c>
      <c r="P15" s="586"/>
      <c r="Q15" s="586">
        <v>375</v>
      </c>
      <c r="R15" s="586"/>
      <c r="S15" s="647">
        <f t="shared" si="4"/>
        <v>64.123846153846159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334</v>
      </c>
      <c r="D16" s="502"/>
      <c r="E16" s="499"/>
      <c r="F16" s="446">
        <f t="shared" si="0"/>
        <v>625</v>
      </c>
      <c r="G16" s="503"/>
      <c r="H16" s="498">
        <f>SUM($F$9:F16)/A16</f>
        <v>1062.5</v>
      </c>
      <c r="I16" s="499">
        <f>SUM($G$9:G16)/A16</f>
        <v>0</v>
      </c>
      <c r="J16" s="443">
        <f t="shared" si="1"/>
        <v>82736</v>
      </c>
      <c r="K16" s="459">
        <f t="shared" si="2"/>
        <v>0</v>
      </c>
      <c r="L16" s="495">
        <f t="shared" si="5"/>
        <v>77.869176470588229</v>
      </c>
      <c r="M16" s="464" t="e">
        <f t="shared" si="3"/>
        <v>#DIV/0!</v>
      </c>
      <c r="N16" s="366"/>
      <c r="O16" s="586">
        <v>500</v>
      </c>
      <c r="P16" s="586"/>
      <c r="Q16" s="586">
        <v>125</v>
      </c>
      <c r="R16" s="586"/>
      <c r="S16" s="647">
        <f t="shared" si="4"/>
        <v>63.643076923076926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334</v>
      </c>
      <c r="D17" s="502"/>
      <c r="E17" s="499"/>
      <c r="F17" s="446">
        <f t="shared" si="0"/>
        <v>1100</v>
      </c>
      <c r="G17" s="503"/>
      <c r="H17" s="498">
        <f>SUM($F$9:F17)/A17</f>
        <v>1066.6666666666667</v>
      </c>
      <c r="I17" s="499">
        <f>SUM($G$9:G17)/A17</f>
        <v>0</v>
      </c>
      <c r="J17" s="443">
        <f t="shared" si="1"/>
        <v>81636</v>
      </c>
      <c r="K17" s="459">
        <f t="shared" si="2"/>
        <v>0</v>
      </c>
      <c r="L17" s="495">
        <f t="shared" si="5"/>
        <v>76.533749999999998</v>
      </c>
      <c r="M17" s="464" t="e">
        <f t="shared" ref="M17:M39" si="6">K17/I17</f>
        <v>#DIV/0!</v>
      </c>
      <c r="N17" s="366"/>
      <c r="O17" s="586">
        <v>600</v>
      </c>
      <c r="P17" s="586"/>
      <c r="Q17" s="586">
        <v>500</v>
      </c>
      <c r="R17" s="586"/>
      <c r="S17" s="647">
        <f t="shared" si="4"/>
        <v>62.796923076923079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334</v>
      </c>
      <c r="D18" s="502"/>
      <c r="E18" s="499"/>
      <c r="F18" s="446">
        <f t="shared" si="0"/>
        <v>1200</v>
      </c>
      <c r="G18" s="503"/>
      <c r="H18" s="504">
        <f>SUM($F$9:F18)/A18</f>
        <v>1080</v>
      </c>
      <c r="I18" s="499">
        <f>SUM($G$9:G18)/A18</f>
        <v>0</v>
      </c>
      <c r="J18" s="504">
        <f t="shared" si="1"/>
        <v>80436</v>
      </c>
      <c r="K18" s="459">
        <f t="shared" si="2"/>
        <v>0</v>
      </c>
      <c r="L18" s="505">
        <f t="shared" si="5"/>
        <v>74.477777777777774</v>
      </c>
      <c r="M18" s="464" t="e">
        <f t="shared" si="6"/>
        <v>#DIV/0!</v>
      </c>
      <c r="N18" s="366"/>
      <c r="O18" s="586">
        <v>600</v>
      </c>
      <c r="P18" s="586"/>
      <c r="Q18" s="586">
        <v>600</v>
      </c>
      <c r="R18" s="586"/>
      <c r="S18" s="647">
        <f t="shared" si="4"/>
        <v>61.873846153846152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334</v>
      </c>
      <c r="D19" s="502"/>
      <c r="E19" s="499"/>
      <c r="F19" s="446">
        <f t="shared" si="0"/>
        <v>600</v>
      </c>
      <c r="G19" s="503"/>
      <c r="H19" s="498">
        <f>SUM($F$9:F19)/A19</f>
        <v>1036.3636363636363</v>
      </c>
      <c r="I19" s="499">
        <f>SUM($G$9:G19)/A19</f>
        <v>0</v>
      </c>
      <c r="J19" s="443">
        <f t="shared" si="1"/>
        <v>79836</v>
      </c>
      <c r="K19" s="459">
        <f t="shared" si="2"/>
        <v>0</v>
      </c>
      <c r="L19" s="495">
        <f t="shared" si="5"/>
        <v>77.034736842105275</v>
      </c>
      <c r="M19" s="464" t="e">
        <f t="shared" si="6"/>
        <v>#DIV/0!</v>
      </c>
      <c r="N19" s="366"/>
      <c r="O19" s="586">
        <v>300</v>
      </c>
      <c r="P19" s="586"/>
      <c r="Q19" s="586">
        <v>300</v>
      </c>
      <c r="R19" s="586"/>
      <c r="S19" s="647">
        <f t="shared" si="4"/>
        <v>61.412307692307692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334</v>
      </c>
      <c r="D20" s="502"/>
      <c r="E20" s="499"/>
      <c r="F20" s="446">
        <f t="shared" si="0"/>
        <v>1100</v>
      </c>
      <c r="G20" s="503"/>
      <c r="H20" s="498">
        <f>SUM($F$9:F20)/A20</f>
        <v>1041.6666666666667</v>
      </c>
      <c r="I20" s="499">
        <f>SUM($G$9:G20)/A20</f>
        <v>0</v>
      </c>
      <c r="J20" s="443">
        <f t="shared" si="1"/>
        <v>78736</v>
      </c>
      <c r="K20" s="459">
        <f t="shared" si="2"/>
        <v>0</v>
      </c>
      <c r="L20" s="495">
        <f t="shared" si="5"/>
        <v>75.586559999999992</v>
      </c>
      <c r="M20" s="464" t="e">
        <f t="shared" si="6"/>
        <v>#DIV/0!</v>
      </c>
      <c r="N20" s="366"/>
      <c r="O20" s="586">
        <v>600</v>
      </c>
      <c r="P20" s="586"/>
      <c r="Q20" s="586">
        <v>500</v>
      </c>
      <c r="R20" s="586"/>
      <c r="S20" s="647">
        <f t="shared" si="4"/>
        <v>60.566153846153846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334</v>
      </c>
      <c r="D21" s="502"/>
      <c r="E21" s="499"/>
      <c r="F21" s="446">
        <f t="shared" si="0"/>
        <v>900</v>
      </c>
      <c r="G21" s="503"/>
      <c r="H21" s="498">
        <f>SUM($F$9:F21)/A21</f>
        <v>1030.7692307692307</v>
      </c>
      <c r="I21" s="499">
        <f>SUM($G$9:G21)/A21</f>
        <v>0</v>
      </c>
      <c r="J21" s="443">
        <f t="shared" si="1"/>
        <v>77836</v>
      </c>
      <c r="K21" s="459">
        <f t="shared" si="2"/>
        <v>0</v>
      </c>
      <c r="L21" s="495">
        <f t="shared" si="5"/>
        <v>75.512537313432844</v>
      </c>
      <c r="M21" s="464" t="e">
        <f t="shared" si="6"/>
        <v>#DIV/0!</v>
      </c>
      <c r="N21" s="366"/>
      <c r="O21" s="586">
        <v>300</v>
      </c>
      <c r="P21" s="586"/>
      <c r="Q21" s="586">
        <v>600</v>
      </c>
      <c r="R21" s="586"/>
      <c r="S21" s="647">
        <f t="shared" si="4"/>
        <v>59.873846153846152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334</v>
      </c>
      <c r="D22" s="502"/>
      <c r="E22" s="499"/>
      <c r="F22" s="446">
        <f t="shared" si="0"/>
        <v>1200</v>
      </c>
      <c r="G22" s="503"/>
      <c r="H22" s="498">
        <f>SUM($F$9:F22)/A22</f>
        <v>1042.8571428571429</v>
      </c>
      <c r="I22" s="499">
        <f>SUM($G$9:G22)/A22</f>
        <v>0</v>
      </c>
      <c r="J22" s="443">
        <f t="shared" si="1"/>
        <v>76636</v>
      </c>
      <c r="K22" s="459">
        <f t="shared" si="2"/>
        <v>0</v>
      </c>
      <c r="L22" s="495">
        <f t="shared" si="5"/>
        <v>73.486575342465756</v>
      </c>
      <c r="M22" s="464" t="e">
        <f t="shared" si="6"/>
        <v>#DIV/0!</v>
      </c>
      <c r="N22" s="366"/>
      <c r="O22" s="586">
        <v>600</v>
      </c>
      <c r="P22" s="586"/>
      <c r="Q22" s="586">
        <v>600</v>
      </c>
      <c r="R22" s="586"/>
      <c r="S22" s="647">
        <f t="shared" si="4"/>
        <v>58.950769230769232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334</v>
      </c>
      <c r="D23" s="502"/>
      <c r="E23" s="499"/>
      <c r="F23" s="446">
        <f t="shared" si="0"/>
        <v>1200</v>
      </c>
      <c r="G23" s="503"/>
      <c r="H23" s="504">
        <f>SUM($F$9:F23)/A23</f>
        <v>1053.3333333333333</v>
      </c>
      <c r="I23" s="499">
        <f>SUM($G$9:G23)/A23</f>
        <v>0</v>
      </c>
      <c r="J23" s="504">
        <f t="shared" si="1"/>
        <v>75436</v>
      </c>
      <c r="K23" s="459">
        <f t="shared" si="2"/>
        <v>0</v>
      </c>
      <c r="L23" s="505">
        <f t="shared" si="5"/>
        <v>71.616455696202536</v>
      </c>
      <c r="M23" s="464" t="e">
        <f t="shared" si="6"/>
        <v>#DIV/0!</v>
      </c>
      <c r="N23" s="366"/>
      <c r="O23" s="586">
        <v>600</v>
      </c>
      <c r="P23" s="586"/>
      <c r="Q23" s="586">
        <v>600</v>
      </c>
      <c r="R23" s="586"/>
      <c r="S23" s="647">
        <f t="shared" si="4"/>
        <v>58.027692307692305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334</v>
      </c>
      <c r="D24" s="502"/>
      <c r="E24" s="499"/>
      <c r="F24" s="446">
        <f t="shared" si="0"/>
        <v>1200</v>
      </c>
      <c r="G24" s="503"/>
      <c r="H24" s="498">
        <f>SUM($F$9:F24)/A24</f>
        <v>1062.5</v>
      </c>
      <c r="I24" s="499">
        <f>SUM($G$9:G24)/A24</f>
        <v>0</v>
      </c>
      <c r="J24" s="443">
        <f t="shared" si="1"/>
        <v>74236</v>
      </c>
      <c r="K24" s="459">
        <f t="shared" si="2"/>
        <v>0</v>
      </c>
      <c r="L24" s="495">
        <f t="shared" si="5"/>
        <v>69.869176470588229</v>
      </c>
      <c r="M24" s="464" t="e">
        <f t="shared" si="6"/>
        <v>#DIV/0!</v>
      </c>
      <c r="N24" s="366"/>
      <c r="O24" s="586">
        <v>600</v>
      </c>
      <c r="P24" s="586"/>
      <c r="Q24" s="586">
        <v>600</v>
      </c>
      <c r="R24" s="586"/>
      <c r="S24" s="647">
        <f t="shared" si="4"/>
        <v>57.104615384615386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334</v>
      </c>
      <c r="D25" s="502"/>
      <c r="E25" s="499"/>
      <c r="F25" s="446">
        <f t="shared" si="0"/>
        <v>1200</v>
      </c>
      <c r="G25" s="503"/>
      <c r="H25" s="498">
        <f>SUM($F$9:F25)/A25</f>
        <v>1070.5882352941176</v>
      </c>
      <c r="I25" s="499">
        <f>SUM($G$9:G25)/A25</f>
        <v>0</v>
      </c>
      <c r="J25" s="443">
        <f t="shared" si="1"/>
        <v>73036</v>
      </c>
      <c r="K25" s="459">
        <f t="shared" si="2"/>
        <v>0</v>
      </c>
      <c r="L25" s="495">
        <f t="shared" si="5"/>
        <v>68.220439560439559</v>
      </c>
      <c r="M25" s="464" t="e">
        <f t="shared" si="6"/>
        <v>#DIV/0!</v>
      </c>
      <c r="N25" s="366"/>
      <c r="O25" s="586">
        <v>600</v>
      </c>
      <c r="P25" s="586"/>
      <c r="Q25" s="586">
        <v>600</v>
      </c>
      <c r="R25" s="586"/>
      <c r="S25" s="647">
        <f t="shared" si="4"/>
        <v>56.181538461538459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334</v>
      </c>
      <c r="D26" s="502"/>
      <c r="E26" s="499"/>
      <c r="F26" s="446">
        <f t="shared" si="0"/>
        <v>0</v>
      </c>
      <c r="G26" s="503"/>
      <c r="H26" s="498">
        <f>SUM($F$9:F26)/A26</f>
        <v>1011.1111111111111</v>
      </c>
      <c r="I26" s="499">
        <f>SUM($G$9:G26)/A26</f>
        <v>0</v>
      </c>
      <c r="J26" s="443">
        <f t="shared" si="1"/>
        <v>73036</v>
      </c>
      <c r="K26" s="459">
        <f t="shared" si="2"/>
        <v>0</v>
      </c>
      <c r="L26" s="495">
        <f t="shared" si="5"/>
        <v>72.233406593406599</v>
      </c>
      <c r="M26" s="464" t="e">
        <f t="shared" si="6"/>
        <v>#DIV/0!</v>
      </c>
      <c r="N26" s="366"/>
      <c r="O26" s="586"/>
      <c r="P26" s="586"/>
      <c r="Q26" s="586"/>
      <c r="R26" s="586"/>
      <c r="S26" s="647">
        <f t="shared" si="4"/>
        <v>56.181538461538459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334</v>
      </c>
      <c r="D27" s="502"/>
      <c r="E27" s="499"/>
      <c r="F27" s="446">
        <f t="shared" si="0"/>
        <v>0</v>
      </c>
      <c r="G27" s="503"/>
      <c r="H27" s="498">
        <f>SUM($F$9:F27)/A27</f>
        <v>957.89473684210532</v>
      </c>
      <c r="I27" s="499">
        <f>SUM($G$9:G27)/A27</f>
        <v>0</v>
      </c>
      <c r="J27" s="443">
        <f t="shared" si="1"/>
        <v>73036</v>
      </c>
      <c r="K27" s="459">
        <f t="shared" si="2"/>
        <v>0</v>
      </c>
      <c r="L27" s="495">
        <f t="shared" si="5"/>
        <v>76.246373626373625</v>
      </c>
      <c r="M27" s="464" t="e">
        <f t="shared" si="6"/>
        <v>#DIV/0!</v>
      </c>
      <c r="N27" s="366"/>
      <c r="O27" s="586"/>
      <c r="P27" s="586"/>
      <c r="Q27" s="586"/>
      <c r="R27" s="586"/>
      <c r="S27" s="647">
        <f t="shared" si="4"/>
        <v>56.181538461538459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334</v>
      </c>
      <c r="D28" s="502"/>
      <c r="E28" s="499"/>
      <c r="F28" s="446">
        <f t="shared" si="0"/>
        <v>0</v>
      </c>
      <c r="G28" s="503"/>
      <c r="H28" s="504">
        <f>SUM($F$9:F28)/A28</f>
        <v>910</v>
      </c>
      <c r="I28" s="499">
        <f>SUM($G$9:G28)/A28</f>
        <v>0</v>
      </c>
      <c r="J28" s="504">
        <f t="shared" si="1"/>
        <v>73036</v>
      </c>
      <c r="K28" s="459">
        <f t="shared" si="2"/>
        <v>0</v>
      </c>
      <c r="L28" s="505">
        <f t="shared" si="5"/>
        <v>80.259340659340666</v>
      </c>
      <c r="M28" s="464" t="e">
        <f t="shared" si="6"/>
        <v>#DIV/0!</v>
      </c>
      <c r="N28" s="366"/>
      <c r="O28" s="586"/>
      <c r="P28" s="586"/>
      <c r="Q28" s="586"/>
      <c r="R28" s="586"/>
      <c r="S28" s="647">
        <f t="shared" si="4"/>
        <v>56.181538461538459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334</v>
      </c>
      <c r="D29" s="502"/>
      <c r="E29" s="499"/>
      <c r="F29" s="446">
        <f t="shared" si="0"/>
        <v>0</v>
      </c>
      <c r="G29" s="503"/>
      <c r="H29" s="498">
        <f>SUM($F$9:F29)/A29</f>
        <v>866.66666666666663</v>
      </c>
      <c r="I29" s="499">
        <f>SUM($G$9:G29)/A29</f>
        <v>0</v>
      </c>
      <c r="J29" s="443">
        <f t="shared" si="1"/>
        <v>73036</v>
      </c>
      <c r="K29" s="459">
        <f t="shared" si="2"/>
        <v>0</v>
      </c>
      <c r="L29" s="495">
        <f t="shared" si="5"/>
        <v>84.272307692307692</v>
      </c>
      <c r="M29" s="464" t="e">
        <f t="shared" si="6"/>
        <v>#DIV/0!</v>
      </c>
      <c r="N29" s="366"/>
      <c r="O29" s="586"/>
      <c r="P29" s="586"/>
      <c r="Q29" s="586"/>
      <c r="R29" s="586"/>
      <c r="S29" s="647">
        <f t="shared" si="4"/>
        <v>56.181538461538459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334</v>
      </c>
      <c r="D30" s="502"/>
      <c r="E30" s="499"/>
      <c r="F30" s="446">
        <f t="shared" si="0"/>
        <v>0</v>
      </c>
      <c r="G30" s="503"/>
      <c r="H30" s="498">
        <f>SUM($F$9:F30)/A30</f>
        <v>827.27272727272725</v>
      </c>
      <c r="I30" s="499">
        <f>SUM($G$9:G30)/A30</f>
        <v>0</v>
      </c>
      <c r="J30" s="443">
        <f t="shared" si="1"/>
        <v>73036</v>
      </c>
      <c r="K30" s="459">
        <f t="shared" si="2"/>
        <v>0</v>
      </c>
      <c r="L30" s="495">
        <f t="shared" si="5"/>
        <v>88.285274725274732</v>
      </c>
      <c r="M30" s="464" t="e">
        <f t="shared" si="6"/>
        <v>#DIV/0!</v>
      </c>
      <c r="N30" s="366"/>
      <c r="O30" s="586"/>
      <c r="P30" s="586"/>
      <c r="Q30" s="586"/>
      <c r="R30" s="586"/>
      <c r="S30" s="647">
        <f t="shared" si="4"/>
        <v>56.181538461538459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334</v>
      </c>
      <c r="D31" s="502"/>
      <c r="E31" s="499"/>
      <c r="F31" s="446">
        <f t="shared" si="0"/>
        <v>0</v>
      </c>
      <c r="G31" s="503"/>
      <c r="H31" s="498">
        <f>SUM($F$9:F31)/A31</f>
        <v>791.304347826087</v>
      </c>
      <c r="I31" s="499">
        <f>SUM($G$9:G31)/A31</f>
        <v>0</v>
      </c>
      <c r="J31" s="443">
        <f t="shared" si="1"/>
        <v>73036</v>
      </c>
      <c r="K31" s="459">
        <f t="shared" si="2"/>
        <v>0</v>
      </c>
      <c r="L31" s="495">
        <f t="shared" si="5"/>
        <v>92.298241758241758</v>
      </c>
      <c r="M31" s="464" t="e">
        <f t="shared" si="6"/>
        <v>#DIV/0!</v>
      </c>
      <c r="N31" s="366"/>
      <c r="O31" s="586"/>
      <c r="P31" s="586"/>
      <c r="Q31" s="586"/>
      <c r="R31" s="586"/>
      <c r="S31" s="647">
        <f t="shared" si="4"/>
        <v>56.181538461538459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334</v>
      </c>
      <c r="D32" s="502"/>
      <c r="E32" s="499"/>
      <c r="F32" s="446">
        <f t="shared" si="0"/>
        <v>0</v>
      </c>
      <c r="G32" s="503"/>
      <c r="H32" s="498">
        <f>SUM($F$9:F32)/A32</f>
        <v>758.33333333333337</v>
      </c>
      <c r="I32" s="499">
        <f>SUM($G$9:G32)/A32</f>
        <v>0</v>
      </c>
      <c r="J32" s="443">
        <f t="shared" si="1"/>
        <v>73036</v>
      </c>
      <c r="K32" s="459">
        <f t="shared" si="2"/>
        <v>0</v>
      </c>
      <c r="L32" s="495">
        <f t="shared" si="5"/>
        <v>96.311208791208784</v>
      </c>
      <c r="M32" s="464" t="e">
        <f t="shared" si="6"/>
        <v>#DIV/0!</v>
      </c>
      <c r="N32" s="366"/>
      <c r="O32" s="586"/>
      <c r="P32" s="586"/>
      <c r="Q32" s="586"/>
      <c r="R32" s="586"/>
      <c r="S32" s="647">
        <f t="shared" si="4"/>
        <v>56.181538461538459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334</v>
      </c>
      <c r="D33" s="502"/>
      <c r="E33" s="499"/>
      <c r="F33" s="446">
        <f t="shared" si="0"/>
        <v>0</v>
      </c>
      <c r="G33" s="503"/>
      <c r="H33" s="460">
        <f>SUM($F$9:F33)/A33</f>
        <v>728</v>
      </c>
      <c r="I33" s="499">
        <f>SUM($G$9:G33)/A33</f>
        <v>0</v>
      </c>
      <c r="J33" s="460">
        <f t="shared" si="1"/>
        <v>73036</v>
      </c>
      <c r="K33" s="459">
        <f t="shared" si="2"/>
        <v>0</v>
      </c>
      <c r="L33" s="506">
        <f t="shared" si="5"/>
        <v>100.32417582417582</v>
      </c>
      <c r="M33" s="464" t="e">
        <f t="shared" si="6"/>
        <v>#DIV/0!</v>
      </c>
      <c r="N33" s="366"/>
      <c r="O33" s="586"/>
      <c r="P33" s="586"/>
      <c r="Q33" s="586"/>
      <c r="R33" s="586"/>
      <c r="S33" s="647">
        <f t="shared" si="4"/>
        <v>56.181538461538459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334</v>
      </c>
      <c r="D34" s="502"/>
      <c r="E34" s="499"/>
      <c r="F34" s="446">
        <f t="shared" si="0"/>
        <v>0</v>
      </c>
      <c r="G34" s="503"/>
      <c r="H34" s="498">
        <f>SUM($F$9:F34)/A34</f>
        <v>700</v>
      </c>
      <c r="I34" s="499">
        <f>SUM($G$9:G34)/A34</f>
        <v>0</v>
      </c>
      <c r="J34" s="443">
        <f t="shared" si="1"/>
        <v>73036</v>
      </c>
      <c r="K34" s="459">
        <f t="shared" si="2"/>
        <v>0</v>
      </c>
      <c r="L34" s="495">
        <f t="shared" si="5"/>
        <v>104.33714285714285</v>
      </c>
      <c r="M34" s="464" t="e">
        <f t="shared" si="6"/>
        <v>#DIV/0!</v>
      </c>
      <c r="N34" s="366"/>
      <c r="O34" s="586"/>
      <c r="P34" s="586"/>
      <c r="Q34" s="586"/>
      <c r="R34" s="586"/>
      <c r="S34" s="647">
        <f t="shared" si="4"/>
        <v>56.181538461538459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334</v>
      </c>
      <c r="D35" s="502"/>
      <c r="E35" s="499"/>
      <c r="F35" s="446">
        <f t="shared" si="0"/>
        <v>0</v>
      </c>
      <c r="G35" s="503"/>
      <c r="H35" s="498">
        <f>SUM($F$9:F35)/A35</f>
        <v>674.07407407407402</v>
      </c>
      <c r="I35" s="499">
        <f>SUM($G$9:G35)/A35</f>
        <v>0</v>
      </c>
      <c r="J35" s="443">
        <f t="shared" si="1"/>
        <v>73036</v>
      </c>
      <c r="K35" s="459">
        <f t="shared" si="2"/>
        <v>0</v>
      </c>
      <c r="L35" s="495">
        <f t="shared" si="5"/>
        <v>108.35010989010991</v>
      </c>
      <c r="M35" s="464" t="e">
        <f t="shared" si="6"/>
        <v>#DIV/0!</v>
      </c>
      <c r="N35" s="366"/>
      <c r="O35" s="586"/>
      <c r="P35" s="586"/>
      <c r="Q35" s="586"/>
      <c r="R35" s="586"/>
      <c r="S35" s="647">
        <f t="shared" si="4"/>
        <v>56.181538461538459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334</v>
      </c>
      <c r="D36" s="502"/>
      <c r="E36" s="499"/>
      <c r="F36" s="446">
        <f t="shared" si="0"/>
        <v>0</v>
      </c>
      <c r="G36" s="503"/>
      <c r="H36" s="498">
        <f>SUM($F$9:F36)/A36</f>
        <v>650</v>
      </c>
      <c r="I36" s="499">
        <f>SUM($G$9:G36)/A36</f>
        <v>0</v>
      </c>
      <c r="J36" s="443">
        <f t="shared" si="1"/>
        <v>73036</v>
      </c>
      <c r="K36" s="459">
        <f t="shared" si="2"/>
        <v>0</v>
      </c>
      <c r="L36" s="495">
        <f t="shared" si="5"/>
        <v>112.36307692307692</v>
      </c>
      <c r="M36" s="464" t="e">
        <f t="shared" si="6"/>
        <v>#DIV/0!</v>
      </c>
      <c r="N36" s="366"/>
      <c r="O36" s="586"/>
      <c r="P36" s="586"/>
      <c r="Q36" s="586"/>
      <c r="R36" s="586"/>
      <c r="S36" s="647">
        <f t="shared" si="4"/>
        <v>56.181538461538459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334</v>
      </c>
      <c r="D37" s="502"/>
      <c r="E37" s="499"/>
      <c r="F37" s="446">
        <f t="shared" si="0"/>
        <v>0</v>
      </c>
      <c r="G37" s="503"/>
      <c r="H37" s="498">
        <f>SUM($F$9:F37)/A37</f>
        <v>627.58620689655174</v>
      </c>
      <c r="I37" s="499">
        <f>SUM($G$9:G37)/A37</f>
        <v>0</v>
      </c>
      <c r="J37" s="443">
        <f t="shared" si="1"/>
        <v>73036</v>
      </c>
      <c r="K37" s="459">
        <f t="shared" si="2"/>
        <v>0</v>
      </c>
      <c r="L37" s="495">
        <f t="shared" si="5"/>
        <v>116.37604395604396</v>
      </c>
      <c r="M37" s="464" t="e">
        <f t="shared" si="6"/>
        <v>#DIV/0!</v>
      </c>
      <c r="N37" s="366"/>
      <c r="O37" s="586"/>
      <c r="P37" s="586"/>
      <c r="Q37" s="586"/>
      <c r="R37" s="586"/>
      <c r="S37" s="647">
        <f t="shared" si="4"/>
        <v>56.181538461538459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334</v>
      </c>
      <c r="D38" s="502"/>
      <c r="E38" s="499"/>
      <c r="F38" s="446">
        <f t="shared" si="0"/>
        <v>0</v>
      </c>
      <c r="G38" s="503"/>
      <c r="H38" s="504">
        <f>SUM($F$9:F38)/A38</f>
        <v>606.66666666666663</v>
      </c>
      <c r="I38" s="499">
        <f>SUM($G$9:G38)/A38</f>
        <v>0</v>
      </c>
      <c r="J38" s="504">
        <f t="shared" si="1"/>
        <v>73036</v>
      </c>
      <c r="K38" s="459">
        <f t="shared" si="2"/>
        <v>0</v>
      </c>
      <c r="L38" s="505">
        <f t="shared" si="5"/>
        <v>120.389010989011</v>
      </c>
      <c r="M38" s="464" t="e">
        <f t="shared" si="6"/>
        <v>#DIV/0!</v>
      </c>
      <c r="N38" s="366"/>
      <c r="O38" s="586"/>
      <c r="P38" s="586"/>
      <c r="Q38" s="586"/>
      <c r="R38" s="586"/>
      <c r="S38" s="647">
        <f t="shared" si="4"/>
        <v>56.181538461538459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/>
      <c r="E39" s="499"/>
      <c r="F39" s="446">
        <f t="shared" si="0"/>
        <v>0</v>
      </c>
      <c r="G39" s="503"/>
      <c r="H39" s="498">
        <f>SUM($F$9:F39)/A39</f>
        <v>587.09677419354841</v>
      </c>
      <c r="I39" s="499">
        <f>SUM($G$9:G39)/A39</f>
        <v>0</v>
      </c>
      <c r="J39" s="443">
        <f t="shared" si="1"/>
        <v>73036</v>
      </c>
      <c r="K39" s="459">
        <f t="shared" si="2"/>
        <v>0</v>
      </c>
      <c r="L39" s="495">
        <f t="shared" si="5"/>
        <v>124.40197802197801</v>
      </c>
      <c r="M39" s="464" t="e">
        <f t="shared" si="6"/>
        <v>#DIV/0!</v>
      </c>
      <c r="N39" s="366"/>
      <c r="O39" s="586"/>
      <c r="P39" s="586"/>
      <c r="Q39" s="586"/>
      <c r="R39" s="586"/>
      <c r="S39" s="647">
        <f t="shared" si="4"/>
        <v>56.181538461538459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18200</v>
      </c>
      <c r="G40" s="496">
        <f>SUM(G9:G39)</f>
        <v>0</v>
      </c>
      <c r="H40" s="389"/>
      <c r="I40" s="496"/>
      <c r="J40" s="389">
        <f>J39</f>
        <v>73036</v>
      </c>
      <c r="K40" s="461">
        <f>K39</f>
        <v>0</v>
      </c>
      <c r="L40" s="464"/>
      <c r="M40" s="464"/>
      <c r="N40" s="507"/>
      <c r="O40" s="389">
        <f>SUM(O9:O39)</f>
        <v>8800</v>
      </c>
      <c r="P40" s="496">
        <f>SUM(P9:P39)</f>
        <v>0</v>
      </c>
      <c r="Q40" s="389">
        <f>SUM(Q9:Q39)</f>
        <v>9400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91236</v>
      </c>
      <c r="E41" s="388">
        <f>E8+E40</f>
        <v>0</v>
      </c>
      <c r="F41" s="389">
        <f>F40</f>
        <v>18200</v>
      </c>
      <c r="G41" s="496">
        <f>G40</f>
        <v>0</v>
      </c>
      <c r="H41" s="389"/>
      <c r="I41" s="496"/>
      <c r="J41" s="389">
        <f>D41-F41</f>
        <v>73036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8975" priority="316" operator="lessThan">
      <formula>15</formula>
    </cfRule>
    <cfRule type="cellIs" dxfId="8974" priority="317" operator="greaterThan">
      <formula>20</formula>
    </cfRule>
    <cfRule type="cellIs" dxfId="8973" priority="318" operator="between">
      <formula>15</formula>
      <formula>20</formula>
    </cfRule>
    <cfRule type="cellIs" dxfId="8972" priority="319" operator="between">
      <formula>15</formula>
      <formula>20</formula>
    </cfRule>
    <cfRule type="cellIs" dxfId="8971" priority="320" operator="lessThan">
      <formula>15</formula>
    </cfRule>
    <cfRule type="cellIs" dxfId="8970" priority="321" operator="greaterThan">
      <formula>20</formula>
    </cfRule>
    <cfRule type="cellIs" dxfId="8969" priority="322" operator="between">
      <formula>15</formula>
      <formula>21</formula>
    </cfRule>
    <cfRule type="cellIs" dxfId="8968" priority="323" operator="lessThan">
      <formula>15</formula>
    </cfRule>
    <cfRule type="cellIs" dxfId="8967" priority="324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49"/>
  <sheetViews>
    <sheetView workbookViewId="0">
      <pane ySplit="8" topLeftCell="A30" activePane="bottomLeft" state="frozen"/>
      <selection activeCell="D10" sqref="D10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6.57031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4" width="6.42578125" style="143" customWidth="1"/>
    <col min="15" max="15" width="11.5703125" style="143" bestFit="1" customWidth="1"/>
    <col min="16" max="16" width="9.42578125" style="143" bestFit="1" customWidth="1"/>
    <col min="17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3.5" customHeight="1">
      <c r="A4" s="1600" t="s">
        <v>33</v>
      </c>
      <c r="B4" s="1600"/>
      <c r="C4" s="316" t="s">
        <v>304</v>
      </c>
      <c r="D4" s="383"/>
      <c r="E4" s="383" t="s">
        <v>228</v>
      </c>
      <c r="F4" s="383" t="s">
        <v>232</v>
      </c>
      <c r="G4" s="383"/>
      <c r="I4" s="383" t="s">
        <v>114</v>
      </c>
      <c r="J4" s="316" t="s">
        <v>240</v>
      </c>
      <c r="K4" s="319"/>
      <c r="L4" s="319"/>
      <c r="M4" s="319"/>
      <c r="O4" s="143"/>
    </row>
    <row r="5" spans="1:25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/>
      <c r="H8" s="387"/>
      <c r="I8" s="388"/>
      <c r="J8" s="624">
        <v>0</v>
      </c>
      <c r="K8" s="624">
        <v>0</v>
      </c>
      <c r="L8" s="462"/>
      <c r="M8" s="463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/>
      <c r="E9" s="499"/>
      <c r="F9" s="446"/>
      <c r="G9" s="503"/>
      <c r="H9" s="498">
        <f>SUM($F$9:F9)/A9</f>
        <v>0</v>
      </c>
      <c r="I9" s="499">
        <f>SUM($G$9:G9)/A9</f>
        <v>0</v>
      </c>
      <c r="J9" s="443">
        <f>J8+D9-F9</f>
        <v>0</v>
      </c>
      <c r="K9" s="459"/>
      <c r="L9" s="495" t="e">
        <f>J9/H9</f>
        <v>#DIV/0!</v>
      </c>
      <c r="M9" s="464" t="e">
        <f>K9/I9</f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/>
      <c r="E10" s="499"/>
      <c r="F10" s="446"/>
      <c r="G10" s="503"/>
      <c r="H10" s="498">
        <f>SUM($F$9:F10)/A10</f>
        <v>0</v>
      </c>
      <c r="I10" s="499">
        <f>SUM($G$9:G10)/A10</f>
        <v>0</v>
      </c>
      <c r="J10" s="443">
        <f t="shared" ref="J10:K25" si="0">J9+D10-F10</f>
        <v>0</v>
      </c>
      <c r="K10" s="459">
        <f t="shared" si="0"/>
        <v>0</v>
      </c>
      <c r="L10" s="495" t="e">
        <f>J10/H10</f>
        <v>#DIV/0!</v>
      </c>
      <c r="M10" s="464" t="e">
        <f t="shared" ref="M10:M39" si="1">K10/I10</f>
        <v>#DIV/0!</v>
      </c>
      <c r="N10" s="366"/>
      <c r="O10" s="647">
        <f t="shared" ref="O10:O39" si="2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/>
      <c r="E11" s="499"/>
      <c r="F11" s="446"/>
      <c r="G11" s="503"/>
      <c r="H11" s="498">
        <f>SUM($F$9:F11)/A11</f>
        <v>0</v>
      </c>
      <c r="I11" s="499">
        <f>SUM($G$9:G11)/A11</f>
        <v>0</v>
      </c>
      <c r="J11" s="443">
        <f t="shared" si="0"/>
        <v>0</v>
      </c>
      <c r="K11" s="459">
        <f t="shared" si="0"/>
        <v>0</v>
      </c>
      <c r="L11" s="495" t="e">
        <f t="shared" ref="L11:L39" si="3">J11/H11</f>
        <v>#DIV/0!</v>
      </c>
      <c r="M11" s="464" t="e">
        <f t="shared" si="1"/>
        <v>#DIV/0!</v>
      </c>
      <c r="N11" s="366"/>
      <c r="O11" s="647">
        <f t="shared" si="2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/>
      <c r="E12" s="499"/>
      <c r="F12" s="446"/>
      <c r="G12" s="503"/>
      <c r="H12" s="498">
        <f>SUM($F$9:F12)/A12</f>
        <v>0</v>
      </c>
      <c r="I12" s="499">
        <f>SUM($G$9:G12)/A12</f>
        <v>0</v>
      </c>
      <c r="J12" s="443">
        <f t="shared" si="0"/>
        <v>0</v>
      </c>
      <c r="K12" s="459">
        <f t="shared" si="0"/>
        <v>0</v>
      </c>
      <c r="L12" s="495" t="e">
        <f t="shared" si="3"/>
        <v>#DIV/0!</v>
      </c>
      <c r="M12" s="464" t="e">
        <f t="shared" si="1"/>
        <v>#DIV/0!</v>
      </c>
      <c r="N12" s="366"/>
      <c r="O12" s="647">
        <f t="shared" si="2"/>
        <v>0</v>
      </c>
    </row>
    <row r="13" spans="1:25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/>
      <c r="E13" s="499"/>
      <c r="F13" s="446"/>
      <c r="G13" s="503"/>
      <c r="H13" s="504">
        <f>SUM($F$9:F13)/A13</f>
        <v>0</v>
      </c>
      <c r="I13" s="499">
        <f>SUM($G$9:G13)/A13</f>
        <v>0</v>
      </c>
      <c r="J13" s="504">
        <f t="shared" si="0"/>
        <v>0</v>
      </c>
      <c r="K13" s="459">
        <f t="shared" si="0"/>
        <v>0</v>
      </c>
      <c r="L13" s="505" t="e">
        <f t="shared" si="3"/>
        <v>#DIV/0!</v>
      </c>
      <c r="M13" s="464" t="e">
        <f t="shared" si="1"/>
        <v>#DIV/0!</v>
      </c>
      <c r="N13" s="366"/>
      <c r="O13" s="647">
        <f t="shared" si="2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/>
      <c r="E14" s="499"/>
      <c r="F14" s="446"/>
      <c r="G14" s="503"/>
      <c r="H14" s="498">
        <f>SUM($F$9:F14)/A14</f>
        <v>0</v>
      </c>
      <c r="I14" s="499">
        <f>SUM($G$9:G14)/A14</f>
        <v>0</v>
      </c>
      <c r="J14" s="443">
        <f t="shared" si="0"/>
        <v>0</v>
      </c>
      <c r="K14" s="459">
        <f t="shared" si="0"/>
        <v>0</v>
      </c>
      <c r="L14" s="495" t="e">
        <f t="shared" si="3"/>
        <v>#DIV/0!</v>
      </c>
      <c r="M14" s="464" t="e">
        <f t="shared" si="1"/>
        <v>#DIV/0!</v>
      </c>
      <c r="N14" s="366"/>
      <c r="O14" s="647">
        <f t="shared" si="2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/>
      <c r="E15" s="499"/>
      <c r="F15" s="446"/>
      <c r="G15" s="503"/>
      <c r="H15" s="498">
        <f>SUM($F$9:F15)/A15</f>
        <v>0</v>
      </c>
      <c r="I15" s="499">
        <f>SUM($G$9:G15)/A15</f>
        <v>0</v>
      </c>
      <c r="J15" s="443">
        <f t="shared" si="0"/>
        <v>0</v>
      </c>
      <c r="K15" s="459">
        <f t="shared" si="0"/>
        <v>0</v>
      </c>
      <c r="L15" s="495" t="e">
        <f t="shared" si="3"/>
        <v>#DIV/0!</v>
      </c>
      <c r="M15" s="464" t="e">
        <f t="shared" si="1"/>
        <v>#DIV/0!</v>
      </c>
      <c r="N15" s="366"/>
      <c r="O15" s="647">
        <f t="shared" si="2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/>
      <c r="E16" s="499"/>
      <c r="F16" s="446"/>
      <c r="G16" s="503"/>
      <c r="H16" s="498">
        <f>SUM($F$9:F16)/A16</f>
        <v>0</v>
      </c>
      <c r="I16" s="499">
        <f>SUM($G$9:G16)/A16</f>
        <v>0</v>
      </c>
      <c r="J16" s="443">
        <f t="shared" si="0"/>
        <v>0</v>
      </c>
      <c r="K16" s="459">
        <f t="shared" si="0"/>
        <v>0</v>
      </c>
      <c r="L16" s="495" t="e">
        <f t="shared" si="3"/>
        <v>#DIV/0!</v>
      </c>
      <c r="M16" s="464" t="e">
        <f t="shared" si="1"/>
        <v>#DIV/0!</v>
      </c>
      <c r="N16" s="366"/>
      <c r="O16" s="647">
        <f t="shared" si="2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/>
      <c r="E17" s="499"/>
      <c r="F17" s="446"/>
      <c r="G17" s="503"/>
      <c r="H17" s="498">
        <f>SUM($F$9:F17)/A17</f>
        <v>0</v>
      </c>
      <c r="I17" s="499">
        <f>SUM($G$9:G17)/A17</f>
        <v>0</v>
      </c>
      <c r="J17" s="443">
        <f t="shared" si="0"/>
        <v>0</v>
      </c>
      <c r="K17" s="459">
        <f t="shared" si="0"/>
        <v>0</v>
      </c>
      <c r="L17" s="495" t="e">
        <f t="shared" si="3"/>
        <v>#DIV/0!</v>
      </c>
      <c r="M17" s="464" t="e">
        <f t="shared" si="1"/>
        <v>#DIV/0!</v>
      </c>
      <c r="N17" s="366"/>
      <c r="O17" s="647">
        <f t="shared" si="2"/>
        <v>0</v>
      </c>
    </row>
    <row r="18" spans="1:15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/>
      <c r="E18" s="499"/>
      <c r="F18" s="446"/>
      <c r="G18" s="503"/>
      <c r="H18" s="504">
        <f>SUM($F$9:F18)/A18</f>
        <v>0</v>
      </c>
      <c r="I18" s="499">
        <f>SUM($G$9:G18)/A18</f>
        <v>0</v>
      </c>
      <c r="J18" s="504">
        <f t="shared" si="0"/>
        <v>0</v>
      </c>
      <c r="K18" s="459">
        <f t="shared" si="0"/>
        <v>0</v>
      </c>
      <c r="L18" s="505" t="e">
        <f t="shared" si="3"/>
        <v>#DIV/0!</v>
      </c>
      <c r="M18" s="464" t="e">
        <f t="shared" si="1"/>
        <v>#DIV/0!</v>
      </c>
      <c r="N18" s="366"/>
      <c r="O18" s="647">
        <f t="shared" si="2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/>
      <c r="E19" s="499"/>
      <c r="F19" s="446"/>
      <c r="G19" s="503"/>
      <c r="H19" s="498">
        <f>SUM($F$9:F19)/A19</f>
        <v>0</v>
      </c>
      <c r="I19" s="499">
        <f>SUM($G$9:G19)/A19</f>
        <v>0</v>
      </c>
      <c r="J19" s="443">
        <f t="shared" si="0"/>
        <v>0</v>
      </c>
      <c r="K19" s="459">
        <f t="shared" si="0"/>
        <v>0</v>
      </c>
      <c r="L19" s="495" t="e">
        <f t="shared" si="3"/>
        <v>#DIV/0!</v>
      </c>
      <c r="M19" s="464" t="e">
        <f t="shared" si="1"/>
        <v>#DIV/0!</v>
      </c>
      <c r="N19" s="366"/>
      <c r="O19" s="647">
        <f t="shared" si="2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/>
      <c r="E20" s="499"/>
      <c r="F20" s="446"/>
      <c r="G20" s="503"/>
      <c r="H20" s="498">
        <f>SUM($F$9:F20)/A20</f>
        <v>0</v>
      </c>
      <c r="I20" s="499">
        <f>SUM($G$9:G20)/A20</f>
        <v>0</v>
      </c>
      <c r="J20" s="443">
        <f t="shared" si="0"/>
        <v>0</v>
      </c>
      <c r="K20" s="459">
        <f t="shared" si="0"/>
        <v>0</v>
      </c>
      <c r="L20" s="495" t="e">
        <f t="shared" si="3"/>
        <v>#DIV/0!</v>
      </c>
      <c r="M20" s="464" t="e">
        <f t="shared" si="1"/>
        <v>#DIV/0!</v>
      </c>
      <c r="N20" s="366"/>
      <c r="O20" s="647">
        <f t="shared" si="2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/>
      <c r="E21" s="499"/>
      <c r="F21" s="446"/>
      <c r="G21" s="503"/>
      <c r="H21" s="498">
        <f>SUM($F$9:F21)/A21</f>
        <v>0</v>
      </c>
      <c r="I21" s="499">
        <f>SUM($G$9:G21)/A21</f>
        <v>0</v>
      </c>
      <c r="J21" s="443">
        <f t="shared" si="0"/>
        <v>0</v>
      </c>
      <c r="K21" s="459">
        <f t="shared" si="0"/>
        <v>0</v>
      </c>
      <c r="L21" s="495" t="e">
        <f t="shared" si="3"/>
        <v>#DIV/0!</v>
      </c>
      <c r="M21" s="464" t="e">
        <f t="shared" si="1"/>
        <v>#DIV/0!</v>
      </c>
      <c r="N21" s="366"/>
      <c r="O21" s="647">
        <f t="shared" si="2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/>
      <c r="E22" s="499"/>
      <c r="F22" s="446"/>
      <c r="G22" s="503"/>
      <c r="H22" s="498">
        <f>SUM($F$9:F22)/A22</f>
        <v>0</v>
      </c>
      <c r="I22" s="499">
        <f>SUM($G$9:G22)/A22</f>
        <v>0</v>
      </c>
      <c r="J22" s="443">
        <f t="shared" si="0"/>
        <v>0</v>
      </c>
      <c r="K22" s="459">
        <f t="shared" si="0"/>
        <v>0</v>
      </c>
      <c r="L22" s="495" t="e">
        <f t="shared" si="3"/>
        <v>#DIV/0!</v>
      </c>
      <c r="M22" s="464" t="e">
        <f t="shared" si="1"/>
        <v>#DIV/0!</v>
      </c>
      <c r="N22" s="366"/>
      <c r="O22" s="647">
        <f t="shared" si="2"/>
        <v>0</v>
      </c>
    </row>
    <row r="23" spans="1:15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/>
      <c r="E23" s="499"/>
      <c r="F23" s="446"/>
      <c r="G23" s="503"/>
      <c r="H23" s="504">
        <f>SUM($F$9:F23)/A23</f>
        <v>0</v>
      </c>
      <c r="I23" s="499">
        <f>SUM($G$9:G23)/A23</f>
        <v>0</v>
      </c>
      <c r="J23" s="504">
        <f t="shared" si="0"/>
        <v>0</v>
      </c>
      <c r="K23" s="459">
        <f t="shared" si="0"/>
        <v>0</v>
      </c>
      <c r="L23" s="505" t="e">
        <f t="shared" si="3"/>
        <v>#DIV/0!</v>
      </c>
      <c r="M23" s="464" t="e">
        <f t="shared" si="1"/>
        <v>#DIV/0!</v>
      </c>
      <c r="N23" s="366"/>
      <c r="O23" s="647">
        <f t="shared" si="2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/>
      <c r="E24" s="499"/>
      <c r="F24" s="446"/>
      <c r="G24" s="503"/>
      <c r="H24" s="498">
        <f>SUM($F$9:F24)/A24</f>
        <v>0</v>
      </c>
      <c r="I24" s="499">
        <f>SUM($G$9:G24)/A24</f>
        <v>0</v>
      </c>
      <c r="J24" s="443">
        <f t="shared" si="0"/>
        <v>0</v>
      </c>
      <c r="K24" s="459">
        <f t="shared" si="0"/>
        <v>0</v>
      </c>
      <c r="L24" s="495" t="e">
        <f t="shared" si="3"/>
        <v>#DIV/0!</v>
      </c>
      <c r="M24" s="464" t="e">
        <f t="shared" si="1"/>
        <v>#DIV/0!</v>
      </c>
      <c r="N24" s="366"/>
      <c r="O24" s="647">
        <f t="shared" si="2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/>
      <c r="F25" s="446"/>
      <c r="G25" s="503"/>
      <c r="H25" s="498">
        <f>SUM($F$9:F25)/A25</f>
        <v>0</v>
      </c>
      <c r="I25" s="499">
        <f>SUM($G$9:G25)/A25</f>
        <v>0</v>
      </c>
      <c r="J25" s="443">
        <f t="shared" si="0"/>
        <v>0</v>
      </c>
      <c r="K25" s="459">
        <f t="shared" si="0"/>
        <v>0</v>
      </c>
      <c r="L25" s="495" t="e">
        <f t="shared" si="3"/>
        <v>#DIV/0!</v>
      </c>
      <c r="M25" s="464" t="e">
        <f t="shared" si="1"/>
        <v>#DIV/0!</v>
      </c>
      <c r="N25" s="366"/>
      <c r="O25" s="647">
        <f t="shared" si="2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/>
      <c r="E26" s="499"/>
      <c r="F26" s="446"/>
      <c r="G26" s="503"/>
      <c r="H26" s="498">
        <f>SUM($F$9:F26)/A26</f>
        <v>0</v>
      </c>
      <c r="I26" s="499">
        <f>SUM($G$9:G26)/A26</f>
        <v>0</v>
      </c>
      <c r="J26" s="443">
        <f t="shared" ref="J26:K39" si="4">J25+D26-F26</f>
        <v>0</v>
      </c>
      <c r="K26" s="459">
        <f t="shared" si="4"/>
        <v>0</v>
      </c>
      <c r="L26" s="495" t="e">
        <f t="shared" si="3"/>
        <v>#DIV/0!</v>
      </c>
      <c r="M26" s="464" t="e">
        <f t="shared" si="1"/>
        <v>#DIV/0!</v>
      </c>
      <c r="N26" s="366"/>
      <c r="O26" s="647">
        <f t="shared" si="2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/>
      <c r="E27" s="499"/>
      <c r="F27" s="446"/>
      <c r="G27" s="503"/>
      <c r="H27" s="498">
        <f>SUM($F$9:F27)/A27</f>
        <v>0</v>
      </c>
      <c r="I27" s="499">
        <f>SUM($G$9:G27)/A27</f>
        <v>0</v>
      </c>
      <c r="J27" s="443">
        <f t="shared" si="4"/>
        <v>0</v>
      </c>
      <c r="K27" s="459">
        <f t="shared" si="4"/>
        <v>0</v>
      </c>
      <c r="L27" s="495" t="e">
        <f t="shared" si="3"/>
        <v>#DIV/0!</v>
      </c>
      <c r="M27" s="464" t="e">
        <f t="shared" si="1"/>
        <v>#DIV/0!</v>
      </c>
      <c r="N27" s="366"/>
      <c r="O27" s="647">
        <f t="shared" si="2"/>
        <v>0</v>
      </c>
    </row>
    <row r="28" spans="1:15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/>
      <c r="E28" s="499"/>
      <c r="F28" s="446"/>
      <c r="G28" s="503"/>
      <c r="H28" s="504">
        <f>SUM($F$9:F28)/A28</f>
        <v>0</v>
      </c>
      <c r="I28" s="499">
        <f>SUM($G$9:G28)/A28</f>
        <v>0</v>
      </c>
      <c r="J28" s="504">
        <f t="shared" si="4"/>
        <v>0</v>
      </c>
      <c r="K28" s="459">
        <f t="shared" si="4"/>
        <v>0</v>
      </c>
      <c r="L28" s="505" t="e">
        <f t="shared" si="3"/>
        <v>#DIV/0!</v>
      </c>
      <c r="M28" s="464" t="e">
        <f t="shared" si="1"/>
        <v>#DIV/0!</v>
      </c>
      <c r="N28" s="366"/>
      <c r="O28" s="647">
        <f t="shared" si="2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/>
      <c r="E29" s="499"/>
      <c r="F29" s="446"/>
      <c r="G29" s="503"/>
      <c r="H29" s="498">
        <f>SUM($F$9:F29)/A29</f>
        <v>0</v>
      </c>
      <c r="I29" s="499">
        <f>SUM($G$9:G29)/A29</f>
        <v>0</v>
      </c>
      <c r="J29" s="443">
        <f t="shared" si="4"/>
        <v>0</v>
      </c>
      <c r="K29" s="459">
        <f t="shared" si="4"/>
        <v>0</v>
      </c>
      <c r="L29" s="495" t="e">
        <f t="shared" si="3"/>
        <v>#DIV/0!</v>
      </c>
      <c r="M29" s="464" t="e">
        <f t="shared" si="1"/>
        <v>#DIV/0!</v>
      </c>
      <c r="N29" s="366"/>
      <c r="O29" s="647">
        <f t="shared" si="2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/>
      <c r="E30" s="499"/>
      <c r="F30" s="446"/>
      <c r="G30" s="503"/>
      <c r="H30" s="498">
        <f>SUM($F$9:F30)/A30</f>
        <v>0</v>
      </c>
      <c r="I30" s="499">
        <f>SUM($G$9:G30)/A30</f>
        <v>0</v>
      </c>
      <c r="J30" s="443">
        <f t="shared" si="4"/>
        <v>0</v>
      </c>
      <c r="K30" s="459">
        <f t="shared" si="4"/>
        <v>0</v>
      </c>
      <c r="L30" s="495" t="e">
        <f t="shared" si="3"/>
        <v>#DIV/0!</v>
      </c>
      <c r="M30" s="464" t="e">
        <f t="shared" si="1"/>
        <v>#DIV/0!</v>
      </c>
      <c r="N30" s="366"/>
      <c r="O30" s="647">
        <f t="shared" si="2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/>
      <c r="E31" s="499"/>
      <c r="F31" s="446"/>
      <c r="G31" s="503"/>
      <c r="H31" s="498">
        <f>SUM($F$9:F31)/A31</f>
        <v>0</v>
      </c>
      <c r="I31" s="499">
        <f>SUM($G$9:G31)/A31</f>
        <v>0</v>
      </c>
      <c r="J31" s="443">
        <f t="shared" si="4"/>
        <v>0</v>
      </c>
      <c r="K31" s="459">
        <f t="shared" si="4"/>
        <v>0</v>
      </c>
      <c r="L31" s="495" t="e">
        <f t="shared" si="3"/>
        <v>#DIV/0!</v>
      </c>
      <c r="M31" s="464" t="e">
        <f t="shared" si="1"/>
        <v>#DIV/0!</v>
      </c>
      <c r="N31" s="366"/>
      <c r="O31" s="647">
        <f t="shared" si="2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/>
      <c r="E32" s="499"/>
      <c r="F32" s="446"/>
      <c r="G32" s="503"/>
      <c r="H32" s="498">
        <f>SUM($F$9:F32)/A32</f>
        <v>0</v>
      </c>
      <c r="I32" s="499">
        <f>SUM($G$9:G32)/A32</f>
        <v>0</v>
      </c>
      <c r="J32" s="443">
        <f t="shared" si="4"/>
        <v>0</v>
      </c>
      <c r="K32" s="459">
        <f t="shared" si="4"/>
        <v>0</v>
      </c>
      <c r="L32" s="495" t="e">
        <f t="shared" si="3"/>
        <v>#DIV/0!</v>
      </c>
      <c r="M32" s="464" t="e">
        <f t="shared" si="1"/>
        <v>#DIV/0!</v>
      </c>
      <c r="N32" s="366"/>
      <c r="O32" s="647">
        <f t="shared" si="2"/>
        <v>0</v>
      </c>
    </row>
    <row r="33" spans="1:15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/>
      <c r="E33" s="499"/>
      <c r="F33" s="446"/>
      <c r="G33" s="503"/>
      <c r="H33" s="460">
        <f>SUM($F$9:F33)/A33</f>
        <v>0</v>
      </c>
      <c r="I33" s="499">
        <f>SUM($G$9:G33)/A33</f>
        <v>0</v>
      </c>
      <c r="J33" s="460">
        <f t="shared" si="4"/>
        <v>0</v>
      </c>
      <c r="K33" s="459">
        <f t="shared" si="4"/>
        <v>0</v>
      </c>
      <c r="L33" s="506" t="e">
        <f t="shared" si="3"/>
        <v>#DIV/0!</v>
      </c>
      <c r="M33" s="464" t="e">
        <f t="shared" si="1"/>
        <v>#DIV/0!</v>
      </c>
      <c r="N33" s="366"/>
      <c r="O33" s="647">
        <f t="shared" si="2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/>
      <c r="E34" s="499"/>
      <c r="F34" s="446"/>
      <c r="G34" s="503"/>
      <c r="H34" s="498">
        <f>SUM($F$9:F34)/A34</f>
        <v>0</v>
      </c>
      <c r="I34" s="499">
        <f>SUM($G$9:G34)/A34</f>
        <v>0</v>
      </c>
      <c r="J34" s="443">
        <f t="shared" si="4"/>
        <v>0</v>
      </c>
      <c r="K34" s="459">
        <f t="shared" si="4"/>
        <v>0</v>
      </c>
      <c r="L34" s="495" t="e">
        <f t="shared" si="3"/>
        <v>#DIV/0!</v>
      </c>
      <c r="M34" s="464" t="e">
        <f t="shared" si="1"/>
        <v>#DIV/0!</v>
      </c>
      <c r="N34" s="366"/>
      <c r="O34" s="647">
        <f t="shared" si="2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/>
      <c r="E35" s="499"/>
      <c r="F35" s="446"/>
      <c r="G35" s="503"/>
      <c r="H35" s="498">
        <f>SUM($F$9:F35)/A35</f>
        <v>0</v>
      </c>
      <c r="I35" s="499">
        <f>SUM($G$9:G35)/A35</f>
        <v>0</v>
      </c>
      <c r="J35" s="443">
        <f t="shared" si="4"/>
        <v>0</v>
      </c>
      <c r="K35" s="459">
        <f t="shared" si="4"/>
        <v>0</v>
      </c>
      <c r="L35" s="495" t="e">
        <f t="shared" si="3"/>
        <v>#DIV/0!</v>
      </c>
      <c r="M35" s="464" t="e">
        <f t="shared" si="1"/>
        <v>#DIV/0!</v>
      </c>
      <c r="N35" s="366"/>
      <c r="O35" s="647">
        <f t="shared" si="2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/>
      <c r="E36" s="499"/>
      <c r="F36" s="446"/>
      <c r="G36" s="503"/>
      <c r="H36" s="498">
        <f>SUM($F$9:F36)/A36</f>
        <v>0</v>
      </c>
      <c r="I36" s="499">
        <f>SUM($G$9:G36)/A36</f>
        <v>0</v>
      </c>
      <c r="J36" s="443">
        <f t="shared" si="4"/>
        <v>0</v>
      </c>
      <c r="K36" s="459">
        <f t="shared" si="4"/>
        <v>0</v>
      </c>
      <c r="L36" s="495" t="e">
        <f t="shared" si="3"/>
        <v>#DIV/0!</v>
      </c>
      <c r="M36" s="464" t="e">
        <f t="shared" si="1"/>
        <v>#DIV/0!</v>
      </c>
      <c r="N36" s="366"/>
      <c r="O36" s="647">
        <f t="shared" si="2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/>
      <c r="E37" s="499"/>
      <c r="F37" s="446"/>
      <c r="G37" s="503"/>
      <c r="H37" s="498">
        <f>SUM($F$9:F37)/A37</f>
        <v>0</v>
      </c>
      <c r="I37" s="499">
        <f>SUM($G$9:G37)/A37</f>
        <v>0</v>
      </c>
      <c r="J37" s="443">
        <f t="shared" si="4"/>
        <v>0</v>
      </c>
      <c r="K37" s="459">
        <f t="shared" si="4"/>
        <v>0</v>
      </c>
      <c r="L37" s="495" t="e">
        <f t="shared" si="3"/>
        <v>#DIV/0!</v>
      </c>
      <c r="M37" s="464" t="e">
        <f t="shared" si="1"/>
        <v>#DIV/0!</v>
      </c>
      <c r="N37" s="366"/>
      <c r="O37" s="647">
        <f t="shared" si="2"/>
        <v>0</v>
      </c>
    </row>
    <row r="38" spans="1:15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/>
      <c r="E38" s="499"/>
      <c r="F38" s="446"/>
      <c r="G38" s="503"/>
      <c r="H38" s="504">
        <f>SUM($F$9:F38)/A38</f>
        <v>0</v>
      </c>
      <c r="I38" s="499">
        <f>SUM($G$9:G38)/A38</f>
        <v>0</v>
      </c>
      <c r="J38" s="504">
        <f t="shared" si="4"/>
        <v>0</v>
      </c>
      <c r="K38" s="459">
        <f t="shared" si="4"/>
        <v>0</v>
      </c>
      <c r="L38" s="505" t="e">
        <f t="shared" si="3"/>
        <v>#DIV/0!</v>
      </c>
      <c r="M38" s="464" t="e">
        <f t="shared" si="1"/>
        <v>#DIV/0!</v>
      </c>
      <c r="N38" s="366"/>
      <c r="O38" s="647">
        <f t="shared" si="2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/>
      <c r="E39" s="499"/>
      <c r="F39" s="446"/>
      <c r="G39" s="503"/>
      <c r="H39" s="498">
        <f>SUM($F$9:F39)/A39</f>
        <v>0</v>
      </c>
      <c r="I39" s="499">
        <f>SUM($G$9:G39)/A39</f>
        <v>0</v>
      </c>
      <c r="J39" s="443">
        <f t="shared" si="4"/>
        <v>0</v>
      </c>
      <c r="K39" s="459">
        <f t="shared" si="4"/>
        <v>0</v>
      </c>
      <c r="L39" s="495" t="e">
        <f t="shared" si="3"/>
        <v>#DIV/0!</v>
      </c>
      <c r="M39" s="464" t="e">
        <f t="shared" si="1"/>
        <v>#DIV/0!</v>
      </c>
      <c r="N39" s="366"/>
      <c r="O39" s="647">
        <f t="shared" si="2"/>
        <v>0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</row>
    <row r="42" spans="1:15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5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5">
      <c r="D47" s="143"/>
      <c r="E47" s="143"/>
      <c r="F47" s="143"/>
      <c r="G47" s="143"/>
      <c r="H47" s="143"/>
      <c r="I47" s="143"/>
      <c r="J47" s="143"/>
      <c r="K47" s="143"/>
    </row>
    <row r="48" spans="1:15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2">
    <mergeCell ref="A8:C8"/>
    <mergeCell ref="A3:N3"/>
    <mergeCell ref="A4:B4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8966" priority="334" operator="lessThan">
      <formula>15</formula>
    </cfRule>
    <cfRule type="cellIs" dxfId="8965" priority="335" operator="greaterThan">
      <formula>20</formula>
    </cfRule>
    <cfRule type="cellIs" dxfId="8964" priority="336" operator="between">
      <formula>15</formula>
      <formula>20</formula>
    </cfRule>
    <cfRule type="cellIs" dxfId="8963" priority="337" operator="between">
      <formula>15</formula>
      <formula>20</formula>
    </cfRule>
    <cfRule type="cellIs" dxfId="8962" priority="338" operator="lessThan">
      <formula>15</formula>
    </cfRule>
    <cfRule type="cellIs" dxfId="8961" priority="339" operator="greaterThan">
      <formula>20</formula>
    </cfRule>
    <cfRule type="cellIs" dxfId="8960" priority="340" operator="between">
      <formula>15</formula>
      <formula>21</formula>
    </cfRule>
    <cfRule type="cellIs" dxfId="8959" priority="341" operator="lessThan">
      <formula>15</formula>
    </cfRule>
    <cfRule type="cellIs" dxfId="8958" priority="342" operator="greaterThan">
      <formula>21</formula>
    </cfRule>
  </conditionalFormatting>
  <conditionalFormatting sqref="M9:M39">
    <cfRule type="cellIs" dxfId="8957" priority="1" operator="lessThan">
      <formula>15</formula>
    </cfRule>
    <cfRule type="cellIs" dxfId="8956" priority="2" operator="greaterThan">
      <formula>20</formula>
    </cfRule>
    <cfRule type="cellIs" dxfId="8955" priority="3" operator="between">
      <formula>15</formula>
      <formula>20</formula>
    </cfRule>
    <cfRule type="cellIs" dxfId="8954" priority="4" operator="between">
      <formula>15</formula>
      <formula>20</formula>
    </cfRule>
    <cfRule type="cellIs" dxfId="8953" priority="5" operator="lessThan">
      <formula>15</formula>
    </cfRule>
    <cfRule type="cellIs" dxfId="8952" priority="6" operator="greaterThan">
      <formula>20</formula>
    </cfRule>
    <cfRule type="cellIs" dxfId="8951" priority="7" operator="between">
      <formula>15</formula>
      <formula>21</formula>
    </cfRule>
    <cfRule type="cellIs" dxfId="8950" priority="8" operator="lessThan">
      <formula>15</formula>
    </cfRule>
    <cfRule type="cellIs" dxfId="8949" priority="9" operator="greaterThan">
      <formula>21</formula>
    </cfRule>
  </conditionalFormatting>
  <hyperlinks>
    <hyperlink ref="M5" location="'TỔNG HỢP THÁNG'!A1" display="'TỔNG HỢP THÁNG'!A1"/>
  </hyperlinks>
  <pageMargins left="0.31496062992125984" right="0" top="0" bottom="0" header="0.21" footer="0.2"/>
  <pageSetup paperSize="9" orientation="landscape" verticalDpi="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workbookViewId="0">
      <pane ySplit="8" topLeftCell="A21" activePane="bottomLeft" state="frozen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8" width="6.42578125" style="143" customWidth="1"/>
    <col min="19" max="19" width="11.5703125" style="143" bestFit="1" customWidth="1"/>
    <col min="20" max="20" width="9.42578125" style="143" bestFit="1" customWidth="1"/>
    <col min="21" max="16384" width="9.28515625" style="143"/>
  </cols>
  <sheetData>
    <row r="1" spans="1:29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421"/>
      <c r="P3" s="1421"/>
      <c r="Q3" s="1421"/>
      <c r="R3" s="1421"/>
    </row>
    <row r="4" spans="1:29" s="376" customFormat="1" ht="12.75" customHeight="1">
      <c r="A4" s="1600" t="s">
        <v>33</v>
      </c>
      <c r="B4" s="1600"/>
      <c r="C4" s="316" t="s">
        <v>305</v>
      </c>
      <c r="D4" s="383"/>
      <c r="E4" s="383" t="s">
        <v>228</v>
      </c>
      <c r="F4" s="383" t="s">
        <v>233</v>
      </c>
      <c r="G4" s="383"/>
      <c r="I4" s="383" t="s">
        <v>114</v>
      </c>
      <c r="J4" s="316" t="s">
        <v>136</v>
      </c>
      <c r="K4" s="319"/>
      <c r="L4" s="319"/>
      <c r="M4" s="319"/>
      <c r="O4" s="1422"/>
      <c r="P4" s="1422"/>
      <c r="Q4" s="1422"/>
      <c r="R4" s="1422"/>
      <c r="S4" s="143"/>
      <c r="T4" s="143"/>
      <c r="U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508" t="s">
        <v>292</v>
      </c>
      <c r="M5" s="375" t="str">
        <f>'FRIT HGE91-FHG'!M5</f>
        <v>THA1</v>
      </c>
      <c r="S5" s="143"/>
      <c r="T5" s="143"/>
      <c r="U5" s="143"/>
    </row>
    <row r="6" spans="1:29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593" t="s">
        <v>341</v>
      </c>
      <c r="P6" s="1594"/>
      <c r="Q6" s="1593" t="s">
        <v>244</v>
      </c>
      <c r="R6" s="1594"/>
      <c r="S6" s="143"/>
    </row>
    <row r="7" spans="1:29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595"/>
      <c r="P7" s="1596"/>
      <c r="Q7" s="1595"/>
      <c r="R7" s="1596"/>
      <c r="S7" s="143"/>
    </row>
    <row r="8" spans="1:29" s="305" customFormat="1" ht="12" customHeight="1">
      <c r="A8" s="1597" t="s">
        <v>3</v>
      </c>
      <c r="B8" s="1598"/>
      <c r="C8" s="1599"/>
      <c r="D8" s="387">
        <f>E8</f>
        <v>0</v>
      </c>
      <c r="E8" s="388">
        <f>K8</f>
        <v>0</v>
      </c>
      <c r="F8" s="389"/>
      <c r="G8" s="388"/>
      <c r="H8" s="387"/>
      <c r="I8" s="388"/>
      <c r="J8" s="741">
        <v>7220</v>
      </c>
      <c r="K8" s="632"/>
      <c r="L8" s="462"/>
      <c r="M8" s="463"/>
      <c r="N8" s="366"/>
      <c r="O8" s="296" t="s">
        <v>6</v>
      </c>
      <c r="P8" s="297" t="s">
        <v>25</v>
      </c>
      <c r="Q8" s="296" t="s">
        <v>6</v>
      </c>
      <c r="R8" s="297" t="s">
        <v>25</v>
      </c>
      <c r="S8" s="143">
        <v>70</v>
      </c>
    </row>
    <row r="9" spans="1:29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/>
      <c r="E9" s="499"/>
      <c r="F9" s="446"/>
      <c r="G9" s="503"/>
      <c r="H9" s="498">
        <f>SUM($F$9:F9)/A9</f>
        <v>0</v>
      </c>
      <c r="I9" s="499">
        <f>SUM($G$9:G9)/B9</f>
        <v>0</v>
      </c>
      <c r="J9" s="443">
        <f>J8+D9-F9</f>
        <v>7220</v>
      </c>
      <c r="K9" s="459">
        <f>K8+E9-G9</f>
        <v>0</v>
      </c>
      <c r="L9" s="495"/>
      <c r="M9" s="464" t="e">
        <f>K9/I9</f>
        <v>#DIV/0!</v>
      </c>
      <c r="N9" s="366"/>
      <c r="O9" s="446"/>
      <c r="P9" s="446"/>
      <c r="Q9" s="446"/>
      <c r="R9" s="446"/>
      <c r="S9" s="647">
        <f>J9/$S$8</f>
        <v>103.14285714285714</v>
      </c>
    </row>
    <row r="10" spans="1:29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/>
      <c r="E10" s="499"/>
      <c r="F10" s="446"/>
      <c r="G10" s="503"/>
      <c r="H10" s="498">
        <f>SUM($F$9:F10)/A10</f>
        <v>0</v>
      </c>
      <c r="I10" s="499">
        <f>SUM($G$9:G10)/B10</f>
        <v>0</v>
      </c>
      <c r="J10" s="443">
        <f t="shared" ref="J10:J39" si="0">J9+D10-F10</f>
        <v>7220</v>
      </c>
      <c r="K10" s="459">
        <f t="shared" ref="K10:K39" si="1">K9+E10-G10</f>
        <v>0</v>
      </c>
      <c r="L10" s="495"/>
      <c r="M10" s="464" t="e">
        <f t="shared" ref="M10:M39" si="2">K10/I10</f>
        <v>#DIV/0!</v>
      </c>
      <c r="N10" s="366"/>
      <c r="O10" s="446"/>
      <c r="P10" s="446"/>
      <c r="Q10" s="446"/>
      <c r="R10" s="446"/>
      <c r="S10" s="647">
        <f t="shared" ref="S10:S39" si="3">J10/$S$8</f>
        <v>103.14285714285714</v>
      </c>
    </row>
    <row r="11" spans="1:29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/>
      <c r="E11" s="499"/>
      <c r="F11" s="446"/>
      <c r="G11" s="503"/>
      <c r="H11" s="498">
        <f>SUM($F$9:F11)/A11</f>
        <v>0</v>
      </c>
      <c r="I11" s="499">
        <f>SUM($G$9:G11)/B11</f>
        <v>0</v>
      </c>
      <c r="J11" s="443">
        <f t="shared" si="0"/>
        <v>7220</v>
      </c>
      <c r="K11" s="459">
        <f t="shared" si="1"/>
        <v>0</v>
      </c>
      <c r="L11" s="495"/>
      <c r="M11" s="464" t="e">
        <f t="shared" si="2"/>
        <v>#DIV/0!</v>
      </c>
      <c r="N11" s="366"/>
      <c r="O11" s="446"/>
      <c r="P11" s="446"/>
      <c r="Q11" s="446"/>
      <c r="R11" s="446"/>
      <c r="S11" s="647">
        <f t="shared" si="3"/>
        <v>103.14285714285714</v>
      </c>
    </row>
    <row r="12" spans="1:29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/>
      <c r="E12" s="499"/>
      <c r="F12" s="446"/>
      <c r="G12" s="503"/>
      <c r="H12" s="498">
        <f>SUM($F$9:F12)/A12</f>
        <v>0</v>
      </c>
      <c r="I12" s="499">
        <f>SUM($G$9:G12)/B12</f>
        <v>0</v>
      </c>
      <c r="J12" s="443">
        <f t="shared" si="0"/>
        <v>7220</v>
      </c>
      <c r="K12" s="459">
        <f t="shared" si="1"/>
        <v>0</v>
      </c>
      <c r="L12" s="495"/>
      <c r="M12" s="464" t="e">
        <f t="shared" si="2"/>
        <v>#DIV/0!</v>
      </c>
      <c r="N12" s="366"/>
      <c r="O12" s="446"/>
      <c r="P12" s="446"/>
      <c r="Q12" s="446"/>
      <c r="R12" s="446"/>
      <c r="S12" s="647">
        <f t="shared" si="3"/>
        <v>103.14285714285714</v>
      </c>
    </row>
    <row r="13" spans="1:29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/>
      <c r="E13" s="499"/>
      <c r="F13" s="446"/>
      <c r="G13" s="503"/>
      <c r="H13" s="504">
        <f>SUM($F$9:F13)/A13</f>
        <v>0</v>
      </c>
      <c r="I13" s="499">
        <f>SUM($G$9:G13)/B13</f>
        <v>0</v>
      </c>
      <c r="J13" s="443">
        <f t="shared" si="0"/>
        <v>7220</v>
      </c>
      <c r="K13" s="459">
        <f t="shared" si="1"/>
        <v>0</v>
      </c>
      <c r="L13" s="505"/>
      <c r="M13" s="464" t="e">
        <f t="shared" si="2"/>
        <v>#DIV/0!</v>
      </c>
      <c r="N13" s="366"/>
      <c r="O13" s="446"/>
      <c r="P13" s="446"/>
      <c r="Q13" s="446"/>
      <c r="R13" s="446"/>
      <c r="S13" s="647">
        <f t="shared" si="3"/>
        <v>103.14285714285714</v>
      </c>
    </row>
    <row r="14" spans="1:29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/>
      <c r="E14" s="499"/>
      <c r="F14" s="446"/>
      <c r="G14" s="503"/>
      <c r="H14" s="498">
        <f>SUM($F$9:F14)/A14</f>
        <v>0</v>
      </c>
      <c r="I14" s="499">
        <f>SUM($G$9:G14)/B14</f>
        <v>0</v>
      </c>
      <c r="J14" s="443">
        <f t="shared" si="0"/>
        <v>7220</v>
      </c>
      <c r="K14" s="459">
        <f t="shared" si="1"/>
        <v>0</v>
      </c>
      <c r="L14" s="495"/>
      <c r="M14" s="464" t="e">
        <f t="shared" si="2"/>
        <v>#DIV/0!</v>
      </c>
      <c r="N14" s="366"/>
      <c r="O14" s="446"/>
      <c r="P14" s="446"/>
      <c r="Q14" s="446"/>
      <c r="R14" s="446"/>
      <c r="S14" s="647">
        <f t="shared" si="3"/>
        <v>103.14285714285714</v>
      </c>
    </row>
    <row r="15" spans="1:29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/>
      <c r="E15" s="499"/>
      <c r="F15" s="446"/>
      <c r="G15" s="503"/>
      <c r="H15" s="498">
        <f>SUM($F$9:F15)/A15</f>
        <v>0</v>
      </c>
      <c r="I15" s="499">
        <f>SUM($G$9:G15)/B15</f>
        <v>0</v>
      </c>
      <c r="J15" s="443">
        <f t="shared" si="0"/>
        <v>7220</v>
      </c>
      <c r="K15" s="459">
        <f t="shared" si="1"/>
        <v>0</v>
      </c>
      <c r="L15" s="495"/>
      <c r="M15" s="464" t="e">
        <f t="shared" si="2"/>
        <v>#DIV/0!</v>
      </c>
      <c r="N15" s="366"/>
      <c r="O15" s="446"/>
      <c r="P15" s="446"/>
      <c r="Q15" s="446"/>
      <c r="R15" s="446"/>
      <c r="S15" s="647">
        <f t="shared" si="3"/>
        <v>103.14285714285714</v>
      </c>
    </row>
    <row r="16" spans="1:29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/>
      <c r="E16" s="499"/>
      <c r="F16" s="446"/>
      <c r="G16" s="503"/>
      <c r="H16" s="498">
        <f>SUM($F$9:F16)/A16</f>
        <v>0</v>
      </c>
      <c r="I16" s="499">
        <f>SUM($G$9:G16)/B16</f>
        <v>0</v>
      </c>
      <c r="J16" s="443">
        <f t="shared" si="0"/>
        <v>7220</v>
      </c>
      <c r="K16" s="459">
        <f t="shared" si="1"/>
        <v>0</v>
      </c>
      <c r="L16" s="495"/>
      <c r="M16" s="464" t="e">
        <f t="shared" si="2"/>
        <v>#DIV/0!</v>
      </c>
      <c r="N16" s="366"/>
      <c r="O16" s="446"/>
      <c r="P16" s="446"/>
      <c r="Q16" s="446"/>
      <c r="R16" s="446"/>
      <c r="S16" s="647">
        <f t="shared" si="3"/>
        <v>103.14285714285714</v>
      </c>
    </row>
    <row r="17" spans="1:19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/>
      <c r="E17" s="499"/>
      <c r="F17" s="446"/>
      <c r="G17" s="503"/>
      <c r="H17" s="498">
        <f>SUM($F$9:F17)/A17</f>
        <v>0</v>
      </c>
      <c r="I17" s="499">
        <f>SUM($G$9:G17)/B17</f>
        <v>0</v>
      </c>
      <c r="J17" s="443">
        <f t="shared" si="0"/>
        <v>7220</v>
      </c>
      <c r="K17" s="459">
        <f t="shared" si="1"/>
        <v>0</v>
      </c>
      <c r="L17" s="495"/>
      <c r="M17" s="464" t="e">
        <f t="shared" si="2"/>
        <v>#DIV/0!</v>
      </c>
      <c r="N17" s="366"/>
      <c r="O17" s="446"/>
      <c r="P17" s="446"/>
      <c r="Q17" s="446"/>
      <c r="R17" s="446"/>
      <c r="S17" s="647">
        <f t="shared" si="3"/>
        <v>103.14285714285714</v>
      </c>
    </row>
    <row r="18" spans="1:19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/>
      <c r="E18" s="499"/>
      <c r="F18" s="446"/>
      <c r="G18" s="503"/>
      <c r="H18" s="504">
        <f>SUM($F$9:F18)/A18</f>
        <v>0</v>
      </c>
      <c r="I18" s="499">
        <f>SUM($G$9:G18)/B18</f>
        <v>0</v>
      </c>
      <c r="J18" s="443">
        <f t="shared" si="0"/>
        <v>7220</v>
      </c>
      <c r="K18" s="459">
        <f t="shared" si="1"/>
        <v>0</v>
      </c>
      <c r="L18" s="505"/>
      <c r="M18" s="464" t="e">
        <f t="shared" si="2"/>
        <v>#DIV/0!</v>
      </c>
      <c r="N18" s="366"/>
      <c r="O18" s="446"/>
      <c r="P18" s="446"/>
      <c r="Q18" s="446"/>
      <c r="R18" s="446"/>
      <c r="S18" s="647">
        <f t="shared" si="3"/>
        <v>103.14285714285714</v>
      </c>
    </row>
    <row r="19" spans="1:19" s="367" customFormat="1" ht="12" customHeight="1">
      <c r="A19" s="364">
        <v>11</v>
      </c>
      <c r="B19" s="365">
        <f>'FRIT HGE91-FHG'!B19</f>
        <v>46245</v>
      </c>
      <c r="C19" s="331" t="s">
        <v>104</v>
      </c>
      <c r="D19" s="502"/>
      <c r="E19" s="499"/>
      <c r="F19" s="446"/>
      <c r="G19" s="503"/>
      <c r="H19" s="498">
        <f>SUM($F$9:F19)/A19</f>
        <v>0</v>
      </c>
      <c r="I19" s="499">
        <f>SUM($G$9:G19)/B19</f>
        <v>0</v>
      </c>
      <c r="J19" s="443">
        <f t="shared" si="0"/>
        <v>7220</v>
      </c>
      <c r="K19" s="459">
        <f t="shared" si="1"/>
        <v>0</v>
      </c>
      <c r="L19" s="495"/>
      <c r="M19" s="464" t="e">
        <f t="shared" si="2"/>
        <v>#DIV/0!</v>
      </c>
      <c r="N19" s="366"/>
      <c r="O19" s="446"/>
      <c r="P19" s="446"/>
      <c r="Q19" s="446"/>
      <c r="R19" s="446"/>
      <c r="S19" s="647">
        <f t="shared" si="3"/>
        <v>103.14285714285714</v>
      </c>
    </row>
    <row r="20" spans="1:19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/>
      <c r="E20" s="499"/>
      <c r="F20" s="446"/>
      <c r="G20" s="503"/>
      <c r="H20" s="498">
        <f>SUM($F$9:F20)/A20</f>
        <v>0</v>
      </c>
      <c r="I20" s="499">
        <f>SUM($G$9:G20)/B20</f>
        <v>0</v>
      </c>
      <c r="J20" s="443">
        <f t="shared" si="0"/>
        <v>7220</v>
      </c>
      <c r="K20" s="459">
        <f t="shared" si="1"/>
        <v>0</v>
      </c>
      <c r="L20" s="495"/>
      <c r="M20" s="464" t="e">
        <f t="shared" si="2"/>
        <v>#DIV/0!</v>
      </c>
      <c r="N20" s="366"/>
      <c r="O20" s="446"/>
      <c r="P20" s="446"/>
      <c r="Q20" s="446"/>
      <c r="R20" s="446"/>
      <c r="S20" s="647">
        <f t="shared" si="3"/>
        <v>103.14285714285714</v>
      </c>
    </row>
    <row r="21" spans="1:19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/>
      <c r="E21" s="499"/>
      <c r="F21" s="446"/>
      <c r="G21" s="503"/>
      <c r="H21" s="498">
        <f>SUM($F$9:F21)/A21</f>
        <v>0</v>
      </c>
      <c r="I21" s="499">
        <f>SUM($G$9:G21)/B21</f>
        <v>0</v>
      </c>
      <c r="J21" s="443">
        <f t="shared" si="0"/>
        <v>7220</v>
      </c>
      <c r="K21" s="459">
        <f t="shared" si="1"/>
        <v>0</v>
      </c>
      <c r="L21" s="495"/>
      <c r="M21" s="464" t="e">
        <f t="shared" si="2"/>
        <v>#DIV/0!</v>
      </c>
      <c r="N21" s="366"/>
      <c r="O21" s="446"/>
      <c r="P21" s="446"/>
      <c r="Q21" s="446"/>
      <c r="R21" s="446"/>
      <c r="S21" s="647">
        <f t="shared" si="3"/>
        <v>103.14285714285714</v>
      </c>
    </row>
    <row r="22" spans="1:19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/>
      <c r="E22" s="499"/>
      <c r="F22" s="446"/>
      <c r="G22" s="503"/>
      <c r="H22" s="498">
        <f>SUM($F$9:F22)/A22</f>
        <v>0</v>
      </c>
      <c r="I22" s="499">
        <f>SUM($G$9:G22)/B22</f>
        <v>0</v>
      </c>
      <c r="J22" s="443">
        <f t="shared" si="0"/>
        <v>7220</v>
      </c>
      <c r="K22" s="459">
        <f t="shared" si="1"/>
        <v>0</v>
      </c>
      <c r="L22" s="495"/>
      <c r="M22" s="464" t="e">
        <f t="shared" si="2"/>
        <v>#DIV/0!</v>
      </c>
      <c r="N22" s="366"/>
      <c r="O22" s="446"/>
      <c r="P22" s="446"/>
      <c r="Q22" s="446"/>
      <c r="R22" s="446"/>
      <c r="S22" s="647">
        <f t="shared" si="3"/>
        <v>103.14285714285714</v>
      </c>
    </row>
    <row r="23" spans="1:19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/>
      <c r="E23" s="499"/>
      <c r="F23" s="446"/>
      <c r="G23" s="503"/>
      <c r="H23" s="504">
        <f>SUM($F$9:F23)/A23</f>
        <v>0</v>
      </c>
      <c r="I23" s="499">
        <f>SUM($G$9:G23)/B23</f>
        <v>0</v>
      </c>
      <c r="J23" s="443">
        <f t="shared" si="0"/>
        <v>7220</v>
      </c>
      <c r="K23" s="459">
        <f t="shared" si="1"/>
        <v>0</v>
      </c>
      <c r="L23" s="505"/>
      <c r="M23" s="464" t="e">
        <f t="shared" si="2"/>
        <v>#DIV/0!</v>
      </c>
      <c r="N23" s="366"/>
      <c r="O23" s="446"/>
      <c r="P23" s="446"/>
      <c r="Q23" s="446"/>
      <c r="R23" s="446"/>
      <c r="S23" s="647">
        <f t="shared" si="3"/>
        <v>103.14285714285714</v>
      </c>
    </row>
    <row r="24" spans="1:19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/>
      <c r="E24" s="499"/>
      <c r="F24" s="446"/>
      <c r="G24" s="503"/>
      <c r="H24" s="498">
        <f>SUM($F$9:F24)/A24</f>
        <v>0</v>
      </c>
      <c r="I24" s="499">
        <f>SUM($G$9:G24)/B24</f>
        <v>0</v>
      </c>
      <c r="J24" s="443">
        <f t="shared" si="0"/>
        <v>7220</v>
      </c>
      <c r="K24" s="459">
        <f t="shared" si="1"/>
        <v>0</v>
      </c>
      <c r="L24" s="495"/>
      <c r="M24" s="464" t="e">
        <f t="shared" si="2"/>
        <v>#DIV/0!</v>
      </c>
      <c r="N24" s="366"/>
      <c r="O24" s="446"/>
      <c r="P24" s="446"/>
      <c r="Q24" s="446"/>
      <c r="R24" s="446"/>
      <c r="S24" s="647">
        <f t="shared" si="3"/>
        <v>103.14285714285714</v>
      </c>
    </row>
    <row r="25" spans="1:19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/>
      <c r="F25" s="446"/>
      <c r="G25" s="503"/>
      <c r="H25" s="498">
        <f>SUM($F$9:F25)/A25</f>
        <v>0</v>
      </c>
      <c r="I25" s="499">
        <f>SUM($G$9:G25)/B25</f>
        <v>0</v>
      </c>
      <c r="J25" s="443">
        <f t="shared" si="0"/>
        <v>7220</v>
      </c>
      <c r="K25" s="459">
        <f t="shared" si="1"/>
        <v>0</v>
      </c>
      <c r="L25" s="495"/>
      <c r="M25" s="464" t="e">
        <f t="shared" si="2"/>
        <v>#DIV/0!</v>
      </c>
      <c r="N25" s="366"/>
      <c r="O25" s="446"/>
      <c r="P25" s="446"/>
      <c r="Q25" s="446"/>
      <c r="R25" s="446"/>
      <c r="S25" s="647">
        <f t="shared" si="3"/>
        <v>103.14285714285714</v>
      </c>
    </row>
    <row r="26" spans="1:19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/>
      <c r="E26" s="499"/>
      <c r="F26" s="446"/>
      <c r="G26" s="503"/>
      <c r="H26" s="498">
        <f>SUM($F$9:F26)/A26</f>
        <v>0</v>
      </c>
      <c r="I26" s="499">
        <f>SUM($G$9:G26)/B26</f>
        <v>0</v>
      </c>
      <c r="J26" s="443">
        <f t="shared" si="0"/>
        <v>7220</v>
      </c>
      <c r="K26" s="459">
        <f t="shared" si="1"/>
        <v>0</v>
      </c>
      <c r="L26" s="495"/>
      <c r="M26" s="464" t="e">
        <f t="shared" si="2"/>
        <v>#DIV/0!</v>
      </c>
      <c r="N26" s="366"/>
      <c r="O26" s="446"/>
      <c r="P26" s="446"/>
      <c r="Q26" s="446"/>
      <c r="R26" s="446"/>
      <c r="S26" s="647">
        <f t="shared" si="3"/>
        <v>103.14285714285714</v>
      </c>
    </row>
    <row r="27" spans="1:19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/>
      <c r="E27" s="499"/>
      <c r="F27" s="446"/>
      <c r="G27" s="503"/>
      <c r="H27" s="498">
        <f>SUM($F$9:F27)/A27</f>
        <v>0</v>
      </c>
      <c r="I27" s="499">
        <f>SUM($G$9:G27)/B27</f>
        <v>0</v>
      </c>
      <c r="J27" s="443">
        <f t="shared" si="0"/>
        <v>7220</v>
      </c>
      <c r="K27" s="459">
        <f t="shared" si="1"/>
        <v>0</v>
      </c>
      <c r="L27" s="495"/>
      <c r="M27" s="464" t="e">
        <f t="shared" si="2"/>
        <v>#DIV/0!</v>
      </c>
      <c r="N27" s="366"/>
      <c r="O27" s="446"/>
      <c r="P27" s="446"/>
      <c r="Q27" s="446"/>
      <c r="R27" s="446"/>
      <c r="S27" s="647">
        <f t="shared" si="3"/>
        <v>103.14285714285714</v>
      </c>
    </row>
    <row r="28" spans="1:19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/>
      <c r="E28" s="499"/>
      <c r="F28" s="446"/>
      <c r="G28" s="503"/>
      <c r="H28" s="504">
        <f>SUM($F$9:F28)/A28</f>
        <v>0</v>
      </c>
      <c r="I28" s="499">
        <f>SUM($G$9:G28)/B28</f>
        <v>0</v>
      </c>
      <c r="J28" s="443">
        <f t="shared" si="0"/>
        <v>7220</v>
      </c>
      <c r="K28" s="459">
        <f t="shared" si="1"/>
        <v>0</v>
      </c>
      <c r="L28" s="505"/>
      <c r="M28" s="464" t="e">
        <f t="shared" si="2"/>
        <v>#DIV/0!</v>
      </c>
      <c r="N28" s="366"/>
      <c r="O28" s="446"/>
      <c r="P28" s="446"/>
      <c r="Q28" s="446"/>
      <c r="R28" s="446"/>
      <c r="S28" s="647">
        <f t="shared" si="3"/>
        <v>103.14285714285714</v>
      </c>
    </row>
    <row r="29" spans="1:19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/>
      <c r="E29" s="499"/>
      <c r="F29" s="446"/>
      <c r="G29" s="503"/>
      <c r="H29" s="498">
        <f>SUM($F$9:F29)/A29</f>
        <v>0</v>
      </c>
      <c r="I29" s="499">
        <f>SUM($G$9:G29)/B29</f>
        <v>0</v>
      </c>
      <c r="J29" s="443">
        <f t="shared" si="0"/>
        <v>7220</v>
      </c>
      <c r="K29" s="459">
        <f t="shared" si="1"/>
        <v>0</v>
      </c>
      <c r="L29" s="495"/>
      <c r="M29" s="464" t="e">
        <f t="shared" si="2"/>
        <v>#DIV/0!</v>
      </c>
      <c r="N29" s="366"/>
      <c r="O29" s="446"/>
      <c r="P29" s="446"/>
      <c r="Q29" s="446"/>
      <c r="R29" s="446"/>
      <c r="S29" s="647">
        <f t="shared" si="3"/>
        <v>103.14285714285714</v>
      </c>
    </row>
    <row r="30" spans="1:19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/>
      <c r="E30" s="499"/>
      <c r="F30" s="446"/>
      <c r="G30" s="503"/>
      <c r="H30" s="498">
        <f>SUM($F$9:F30)/A30</f>
        <v>0</v>
      </c>
      <c r="I30" s="499">
        <f>SUM($G$9:G30)/B30</f>
        <v>0</v>
      </c>
      <c r="J30" s="443">
        <f t="shared" si="0"/>
        <v>7220</v>
      </c>
      <c r="K30" s="459">
        <f t="shared" si="1"/>
        <v>0</v>
      </c>
      <c r="L30" s="495"/>
      <c r="M30" s="464" t="e">
        <f t="shared" si="2"/>
        <v>#DIV/0!</v>
      </c>
      <c r="N30" s="366"/>
      <c r="O30" s="446"/>
      <c r="P30" s="446"/>
      <c r="Q30" s="446"/>
      <c r="R30" s="446"/>
      <c r="S30" s="647">
        <f t="shared" si="3"/>
        <v>103.14285714285714</v>
      </c>
    </row>
    <row r="31" spans="1:19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/>
      <c r="E31" s="499"/>
      <c r="F31" s="446"/>
      <c r="G31" s="503"/>
      <c r="H31" s="498">
        <f>SUM($F$9:F31)/A31</f>
        <v>0</v>
      </c>
      <c r="I31" s="499">
        <f>SUM($G$9:G31)/B31</f>
        <v>0</v>
      </c>
      <c r="J31" s="443">
        <f t="shared" si="0"/>
        <v>7220</v>
      </c>
      <c r="K31" s="459">
        <f t="shared" si="1"/>
        <v>0</v>
      </c>
      <c r="L31" s="495"/>
      <c r="M31" s="464" t="e">
        <f t="shared" si="2"/>
        <v>#DIV/0!</v>
      </c>
      <c r="N31" s="366"/>
      <c r="O31" s="446"/>
      <c r="P31" s="446"/>
      <c r="Q31" s="446"/>
      <c r="R31" s="446"/>
      <c r="S31" s="647">
        <f t="shared" si="3"/>
        <v>103.14285714285714</v>
      </c>
    </row>
    <row r="32" spans="1:19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/>
      <c r="E32" s="499"/>
      <c r="F32" s="446"/>
      <c r="G32" s="503"/>
      <c r="H32" s="498">
        <f>SUM($F$9:F32)/A32</f>
        <v>0</v>
      </c>
      <c r="I32" s="499">
        <f>SUM($G$9:G32)/B32</f>
        <v>0</v>
      </c>
      <c r="J32" s="443">
        <f t="shared" si="0"/>
        <v>7220</v>
      </c>
      <c r="K32" s="459">
        <f t="shared" si="1"/>
        <v>0</v>
      </c>
      <c r="L32" s="495"/>
      <c r="M32" s="464" t="e">
        <f t="shared" si="2"/>
        <v>#DIV/0!</v>
      </c>
      <c r="N32" s="366"/>
      <c r="O32" s="446"/>
      <c r="P32" s="446"/>
      <c r="Q32" s="446"/>
      <c r="R32" s="446"/>
      <c r="S32" s="647">
        <f t="shared" si="3"/>
        <v>103.14285714285714</v>
      </c>
    </row>
    <row r="33" spans="1:19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/>
      <c r="E33" s="499"/>
      <c r="F33" s="446"/>
      <c r="G33" s="503"/>
      <c r="H33" s="460">
        <f>SUM($F$9:F33)/A33</f>
        <v>0</v>
      </c>
      <c r="I33" s="499">
        <f>SUM($G$9:G33)/B33</f>
        <v>0</v>
      </c>
      <c r="J33" s="443">
        <f t="shared" si="0"/>
        <v>7220</v>
      </c>
      <c r="K33" s="459">
        <f t="shared" si="1"/>
        <v>0</v>
      </c>
      <c r="L33" s="506"/>
      <c r="M33" s="464" t="e">
        <f t="shared" si="2"/>
        <v>#DIV/0!</v>
      </c>
      <c r="N33" s="366"/>
      <c r="O33" s="446"/>
      <c r="P33" s="446"/>
      <c r="Q33" s="446"/>
      <c r="R33" s="446"/>
      <c r="S33" s="647">
        <f t="shared" si="3"/>
        <v>103.14285714285714</v>
      </c>
    </row>
    <row r="34" spans="1:19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/>
      <c r="E34" s="499"/>
      <c r="F34" s="446"/>
      <c r="G34" s="503"/>
      <c r="H34" s="498">
        <f>SUM($F$9:F34)/A34</f>
        <v>0</v>
      </c>
      <c r="I34" s="499">
        <f>SUM($G$9:G34)/B34</f>
        <v>0</v>
      </c>
      <c r="J34" s="443">
        <f t="shared" si="0"/>
        <v>7220</v>
      </c>
      <c r="K34" s="459">
        <f t="shared" si="1"/>
        <v>0</v>
      </c>
      <c r="L34" s="495"/>
      <c r="M34" s="464" t="e">
        <f t="shared" si="2"/>
        <v>#DIV/0!</v>
      </c>
      <c r="N34" s="366"/>
      <c r="O34" s="446"/>
      <c r="P34" s="446"/>
      <c r="Q34" s="446"/>
      <c r="R34" s="446"/>
      <c r="S34" s="647">
        <f t="shared" si="3"/>
        <v>103.14285714285714</v>
      </c>
    </row>
    <row r="35" spans="1:19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/>
      <c r="E35" s="499"/>
      <c r="F35" s="446"/>
      <c r="G35" s="503"/>
      <c r="H35" s="498">
        <f>SUM($F$9:F35)/A35</f>
        <v>0</v>
      </c>
      <c r="I35" s="499">
        <f>SUM($G$9:G35)/B35</f>
        <v>0</v>
      </c>
      <c r="J35" s="443">
        <f t="shared" si="0"/>
        <v>7220</v>
      </c>
      <c r="K35" s="459">
        <f t="shared" si="1"/>
        <v>0</v>
      </c>
      <c r="L35" s="495"/>
      <c r="M35" s="464" t="e">
        <f t="shared" si="2"/>
        <v>#DIV/0!</v>
      </c>
      <c r="N35" s="366"/>
      <c r="O35" s="446"/>
      <c r="P35" s="446"/>
      <c r="Q35" s="446"/>
      <c r="R35" s="446"/>
      <c r="S35" s="647">
        <f t="shared" si="3"/>
        <v>103.14285714285714</v>
      </c>
    </row>
    <row r="36" spans="1:19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/>
      <c r="E36" s="499"/>
      <c r="F36" s="446"/>
      <c r="G36" s="503"/>
      <c r="H36" s="498">
        <f>SUM($F$9:F36)/A36</f>
        <v>0</v>
      </c>
      <c r="I36" s="499">
        <f>SUM($G$9:G36)/B36</f>
        <v>0</v>
      </c>
      <c r="J36" s="443">
        <f t="shared" si="0"/>
        <v>7220</v>
      </c>
      <c r="K36" s="459">
        <f t="shared" si="1"/>
        <v>0</v>
      </c>
      <c r="L36" s="495"/>
      <c r="M36" s="464" t="e">
        <f t="shared" si="2"/>
        <v>#DIV/0!</v>
      </c>
      <c r="N36" s="366"/>
      <c r="O36" s="446"/>
      <c r="P36" s="446"/>
      <c r="Q36" s="446"/>
      <c r="R36" s="446"/>
      <c r="S36" s="647">
        <f t="shared" si="3"/>
        <v>103.14285714285714</v>
      </c>
    </row>
    <row r="37" spans="1:19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/>
      <c r="E37" s="499"/>
      <c r="F37" s="446"/>
      <c r="G37" s="503"/>
      <c r="H37" s="498">
        <f>SUM($F$9:F37)/A37</f>
        <v>0</v>
      </c>
      <c r="I37" s="499">
        <f>SUM($G$9:G37)/B37</f>
        <v>0</v>
      </c>
      <c r="J37" s="443">
        <f t="shared" si="0"/>
        <v>7220</v>
      </c>
      <c r="K37" s="459">
        <f t="shared" si="1"/>
        <v>0</v>
      </c>
      <c r="L37" s="495"/>
      <c r="M37" s="464" t="e">
        <f t="shared" si="2"/>
        <v>#DIV/0!</v>
      </c>
      <c r="N37" s="366"/>
      <c r="O37" s="446"/>
      <c r="P37" s="446"/>
      <c r="Q37" s="446"/>
      <c r="R37" s="446"/>
      <c r="S37" s="647">
        <f t="shared" si="3"/>
        <v>103.14285714285714</v>
      </c>
    </row>
    <row r="38" spans="1:19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/>
      <c r="E38" s="499"/>
      <c r="F38" s="446"/>
      <c r="G38" s="503"/>
      <c r="H38" s="504">
        <f>SUM($F$9:F38)/A38</f>
        <v>0</v>
      </c>
      <c r="I38" s="499">
        <f>SUM($G$9:G38)/B38</f>
        <v>0</v>
      </c>
      <c r="J38" s="443">
        <f t="shared" si="0"/>
        <v>7220</v>
      </c>
      <c r="K38" s="459">
        <f t="shared" si="1"/>
        <v>0</v>
      </c>
      <c r="L38" s="505"/>
      <c r="M38" s="464" t="e">
        <f t="shared" si="2"/>
        <v>#DIV/0!</v>
      </c>
      <c r="N38" s="366"/>
      <c r="O38" s="446"/>
      <c r="P38" s="446"/>
      <c r="Q38" s="446"/>
      <c r="R38" s="446"/>
      <c r="S38" s="647">
        <f t="shared" si="3"/>
        <v>103.14285714285714</v>
      </c>
    </row>
    <row r="39" spans="1:19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/>
      <c r="E39" s="499"/>
      <c r="F39" s="446"/>
      <c r="G39" s="503"/>
      <c r="H39" s="498">
        <f>SUM($F$9:F39)/A39</f>
        <v>0</v>
      </c>
      <c r="I39" s="499">
        <f>SUM($G$9:G39)/B39</f>
        <v>0</v>
      </c>
      <c r="J39" s="443">
        <f t="shared" si="0"/>
        <v>7220</v>
      </c>
      <c r="K39" s="459">
        <f t="shared" si="1"/>
        <v>0</v>
      </c>
      <c r="L39" s="495"/>
      <c r="M39" s="464" t="e">
        <f t="shared" si="2"/>
        <v>#DIV/0!</v>
      </c>
      <c r="N39" s="366"/>
      <c r="O39" s="446"/>
      <c r="P39" s="446"/>
      <c r="Q39" s="446"/>
      <c r="R39" s="446"/>
      <c r="S39" s="647">
        <f t="shared" si="3"/>
        <v>103.14285714285714</v>
      </c>
    </row>
    <row r="40" spans="1:19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7220</v>
      </c>
      <c r="K40" s="461">
        <f>K39</f>
        <v>0</v>
      </c>
      <c r="L40" s="464"/>
      <c r="M40" s="464"/>
      <c r="N40" s="507"/>
      <c r="O40" s="389">
        <f>SUM(O9:O39)</f>
        <v>0</v>
      </c>
      <c r="P40" s="496">
        <f>SUM(P9:P39)</f>
        <v>0</v>
      </c>
      <c r="Q40" s="389">
        <f>SUM(Q9:Q39)</f>
        <v>0</v>
      </c>
      <c r="R40" s="496">
        <f>SUM(R9:R39)</f>
        <v>0</v>
      </c>
    </row>
    <row r="41" spans="1:19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J40</f>
        <v>7220</v>
      </c>
      <c r="K41" s="389">
        <f>E41-G41</f>
        <v>0</v>
      </c>
      <c r="L41" s="464"/>
      <c r="M41" s="464"/>
      <c r="N41" s="507"/>
      <c r="O41" s="507"/>
      <c r="P41" s="507"/>
      <c r="Q41" s="507"/>
      <c r="R41" s="507"/>
    </row>
    <row r="42" spans="1:19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9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9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9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9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9">
      <c r="D47" s="143"/>
      <c r="E47" s="143"/>
      <c r="F47" s="143"/>
      <c r="G47" s="143"/>
      <c r="H47" s="143"/>
      <c r="I47" s="143"/>
      <c r="J47" s="143"/>
      <c r="K47" s="143"/>
    </row>
    <row r="48" spans="1:19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4">
    <mergeCell ref="O6:P7"/>
    <mergeCell ref="Q6:R7"/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8948" priority="352" operator="lessThan">
      <formula>15</formula>
    </cfRule>
    <cfRule type="cellIs" dxfId="8947" priority="353" operator="greaterThan">
      <formula>20</formula>
    </cfRule>
    <cfRule type="cellIs" dxfId="8946" priority="354" operator="between">
      <formula>15</formula>
      <formula>20</formula>
    </cfRule>
    <cfRule type="cellIs" dxfId="8945" priority="355" operator="between">
      <formula>15</formula>
      <formula>20</formula>
    </cfRule>
    <cfRule type="cellIs" dxfId="8944" priority="356" operator="lessThan">
      <formula>15</formula>
    </cfRule>
    <cfRule type="cellIs" dxfId="8943" priority="357" operator="greaterThan">
      <formula>20</formula>
    </cfRule>
    <cfRule type="cellIs" dxfId="8942" priority="358" operator="between">
      <formula>15</formula>
      <formula>21</formula>
    </cfRule>
    <cfRule type="cellIs" dxfId="8941" priority="359" operator="lessThan">
      <formula>15</formula>
    </cfRule>
    <cfRule type="cellIs" dxfId="8940" priority="360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49"/>
  <sheetViews>
    <sheetView workbookViewId="0">
      <pane ySplit="8" topLeftCell="A27" activePane="bottomLeft" state="frozen"/>
      <selection activeCell="D10" sqref="D10"/>
      <selection pane="bottomLeft" activeCell="M5" sqref="M5"/>
    </sheetView>
  </sheetViews>
  <sheetFormatPr defaultColWidth="9.28515625" defaultRowHeight="15"/>
  <cols>
    <col min="1" max="1" width="4.7109375" style="143" customWidth="1"/>
    <col min="2" max="2" width="7.5703125" style="143" customWidth="1"/>
    <col min="3" max="3" width="15.140625" style="143" customWidth="1"/>
    <col min="4" max="7" width="10.140625" style="142" customWidth="1"/>
    <col min="8" max="9" width="9.28515625" style="142" customWidth="1"/>
    <col min="10" max="11" width="10.28515625" style="142" customWidth="1"/>
    <col min="12" max="13" width="12" style="143" customWidth="1"/>
    <col min="14" max="14" width="6.42578125" style="143" customWidth="1"/>
    <col min="15" max="15" width="11.5703125" style="143" bestFit="1" customWidth="1"/>
    <col min="16" max="16" width="9.42578125" style="143" bestFit="1" customWidth="1"/>
    <col min="17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4.25" customHeight="1">
      <c r="A4" s="1600" t="s">
        <v>33</v>
      </c>
      <c r="B4" s="1600"/>
      <c r="C4" s="316" t="s">
        <v>281</v>
      </c>
      <c r="D4" s="383"/>
      <c r="E4" s="383" t="s">
        <v>228</v>
      </c>
      <c r="F4" s="383" t="s">
        <v>233</v>
      </c>
      <c r="G4" s="383"/>
      <c r="I4" s="383" t="s">
        <v>114</v>
      </c>
      <c r="J4" s="316" t="s">
        <v>138</v>
      </c>
      <c r="K4" s="319"/>
      <c r="L4" s="319"/>
      <c r="M4" s="319"/>
      <c r="O4" s="143"/>
    </row>
    <row r="5" spans="1:25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tr">
        <f>'FRIT HGE91-FHG'!M5</f>
        <v>THA1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D8</f>
        <v>0</v>
      </c>
      <c r="F8" s="389"/>
      <c r="G8" s="388"/>
      <c r="H8" s="387"/>
      <c r="I8" s="388"/>
      <c r="J8" s="624">
        <v>0</v>
      </c>
      <c r="K8" s="624">
        <v>0</v>
      </c>
      <c r="L8" s="462"/>
      <c r="M8" s="463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502"/>
      <c r="E9" s="499"/>
      <c r="F9" s="446"/>
      <c r="G9" s="503"/>
      <c r="H9" s="498">
        <f>SUM($F$9:F9)/A9</f>
        <v>0</v>
      </c>
      <c r="I9" s="499">
        <f>SUM($G$9:G9)/A9</f>
        <v>0</v>
      </c>
      <c r="J9" s="443">
        <f t="shared" ref="J9:K11" si="0">J8+D9-F9</f>
        <v>0</v>
      </c>
      <c r="K9" s="459">
        <f t="shared" si="0"/>
        <v>0</v>
      </c>
      <c r="L9" s="495" t="e">
        <f>J9/H9</f>
        <v>#DIV/0!</v>
      </c>
      <c r="M9" s="464" t="e">
        <f>K9/I9</f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502"/>
      <c r="E10" s="499"/>
      <c r="F10" s="446"/>
      <c r="G10" s="503"/>
      <c r="H10" s="498">
        <f>SUM($F$8:F10)/A10</f>
        <v>0</v>
      </c>
      <c r="I10" s="499">
        <f>SUM($G$8:G10)/A10</f>
        <v>0</v>
      </c>
      <c r="J10" s="443">
        <f t="shared" si="0"/>
        <v>0</v>
      </c>
      <c r="K10" s="459">
        <f t="shared" si="0"/>
        <v>0</v>
      </c>
      <c r="L10" s="495" t="e">
        <f t="shared" ref="L10:M39" si="1">J10/H10</f>
        <v>#DIV/0!</v>
      </c>
      <c r="M10" s="464" t="e">
        <f t="shared" si="1"/>
        <v>#DIV/0!</v>
      </c>
      <c r="N10" s="366"/>
      <c r="O10" s="647">
        <f t="shared" ref="O10:O39" si="2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502"/>
      <c r="E11" s="499"/>
      <c r="F11" s="446"/>
      <c r="G11" s="503"/>
      <c r="H11" s="498">
        <f>SUM($F$8:F11)/A11</f>
        <v>0</v>
      </c>
      <c r="I11" s="499">
        <f>SUM($G$8:G11)/A11</f>
        <v>0</v>
      </c>
      <c r="J11" s="443">
        <f t="shared" si="0"/>
        <v>0</v>
      </c>
      <c r="K11" s="459">
        <f t="shared" si="0"/>
        <v>0</v>
      </c>
      <c r="L11" s="495" t="e">
        <f t="shared" si="1"/>
        <v>#DIV/0!</v>
      </c>
      <c r="M11" s="464" t="e">
        <f t="shared" si="1"/>
        <v>#DIV/0!</v>
      </c>
      <c r="N11" s="366"/>
      <c r="O11" s="647">
        <f t="shared" si="2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02"/>
      <c r="E12" s="499"/>
      <c r="F12" s="446"/>
      <c r="G12" s="503"/>
      <c r="H12" s="498">
        <f>SUM($F$8:F12)/A12</f>
        <v>0</v>
      </c>
      <c r="I12" s="499">
        <f>SUM($G$8:G12)/A12</f>
        <v>0</v>
      </c>
      <c r="J12" s="443">
        <f t="shared" ref="J12:K27" si="3">J11+D12-F12</f>
        <v>0</v>
      </c>
      <c r="K12" s="459">
        <f t="shared" si="3"/>
        <v>0</v>
      </c>
      <c r="L12" s="495" t="e">
        <f t="shared" si="1"/>
        <v>#DIV/0!</v>
      </c>
      <c r="M12" s="464" t="e">
        <f t="shared" si="1"/>
        <v>#DIV/0!</v>
      </c>
      <c r="N12" s="366"/>
      <c r="O12" s="647">
        <f t="shared" si="2"/>
        <v>0</v>
      </c>
    </row>
    <row r="13" spans="1:25" s="367" customFormat="1" ht="12" customHeight="1">
      <c r="A13" s="504">
        <v>5</v>
      </c>
      <c r="B13" s="365">
        <f>'FRIT HGE91-FHG'!B13</f>
        <v>46239</v>
      </c>
      <c r="C13" s="331" t="s">
        <v>285</v>
      </c>
      <c r="D13" s="502"/>
      <c r="E13" s="499"/>
      <c r="F13" s="446"/>
      <c r="G13" s="503"/>
      <c r="H13" s="504">
        <f>SUM($F$8:F13)/A13</f>
        <v>0</v>
      </c>
      <c r="I13" s="499">
        <f>SUM($G$8:G13)/A13</f>
        <v>0</v>
      </c>
      <c r="J13" s="504">
        <f t="shared" si="3"/>
        <v>0</v>
      </c>
      <c r="K13" s="459">
        <f t="shared" si="3"/>
        <v>0</v>
      </c>
      <c r="L13" s="505" t="e">
        <f t="shared" si="1"/>
        <v>#DIV/0!</v>
      </c>
      <c r="M13" s="464" t="e">
        <f t="shared" si="1"/>
        <v>#DIV/0!</v>
      </c>
      <c r="N13" s="366"/>
      <c r="O13" s="647">
        <f t="shared" si="2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02"/>
      <c r="E14" s="499"/>
      <c r="F14" s="446"/>
      <c r="G14" s="503"/>
      <c r="H14" s="498">
        <f>SUM($F$8:F14)/A14</f>
        <v>0</v>
      </c>
      <c r="I14" s="499">
        <f>SUM($G$8:G14)/A14</f>
        <v>0</v>
      </c>
      <c r="J14" s="443">
        <f t="shared" si="3"/>
        <v>0</v>
      </c>
      <c r="K14" s="459">
        <f t="shared" si="3"/>
        <v>0</v>
      </c>
      <c r="L14" s="495" t="e">
        <f t="shared" si="1"/>
        <v>#DIV/0!</v>
      </c>
      <c r="M14" s="464" t="e">
        <f t="shared" si="1"/>
        <v>#DIV/0!</v>
      </c>
      <c r="N14" s="366"/>
      <c r="O14" s="647">
        <f t="shared" si="2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02"/>
      <c r="E15" s="499"/>
      <c r="F15" s="446"/>
      <c r="G15" s="503"/>
      <c r="H15" s="498">
        <f>SUM($F$8:F15)/A15</f>
        <v>0</v>
      </c>
      <c r="I15" s="499">
        <f>SUM($G$8:G15)/A15</f>
        <v>0</v>
      </c>
      <c r="J15" s="443">
        <f t="shared" si="3"/>
        <v>0</v>
      </c>
      <c r="K15" s="459">
        <f t="shared" si="3"/>
        <v>0</v>
      </c>
      <c r="L15" s="495" t="e">
        <f t="shared" si="1"/>
        <v>#DIV/0!</v>
      </c>
      <c r="M15" s="464" t="e">
        <f t="shared" si="1"/>
        <v>#DIV/0!</v>
      </c>
      <c r="N15" s="366"/>
      <c r="O15" s="647">
        <f t="shared" si="2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02"/>
      <c r="E16" s="499"/>
      <c r="F16" s="446"/>
      <c r="G16" s="503"/>
      <c r="H16" s="498">
        <f>SUM($F$8:F16)/A16</f>
        <v>0</v>
      </c>
      <c r="I16" s="499">
        <f>SUM($G$8:G16)/A16</f>
        <v>0</v>
      </c>
      <c r="J16" s="443">
        <f t="shared" si="3"/>
        <v>0</v>
      </c>
      <c r="K16" s="459">
        <f t="shared" si="3"/>
        <v>0</v>
      </c>
      <c r="L16" s="495" t="e">
        <f t="shared" si="1"/>
        <v>#DIV/0!</v>
      </c>
      <c r="M16" s="464" t="e">
        <f t="shared" si="1"/>
        <v>#DIV/0!</v>
      </c>
      <c r="N16" s="366"/>
      <c r="O16" s="647">
        <f t="shared" si="2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02"/>
      <c r="E17" s="499"/>
      <c r="F17" s="446"/>
      <c r="G17" s="503"/>
      <c r="H17" s="498">
        <f>SUM($F$8:F17)/A17</f>
        <v>0</v>
      </c>
      <c r="I17" s="499">
        <f>SUM($G$8:G17)/A17</f>
        <v>0</v>
      </c>
      <c r="J17" s="443">
        <f t="shared" si="3"/>
        <v>0</v>
      </c>
      <c r="K17" s="459">
        <f t="shared" si="3"/>
        <v>0</v>
      </c>
      <c r="L17" s="495" t="e">
        <f t="shared" si="1"/>
        <v>#DIV/0!</v>
      </c>
      <c r="M17" s="464" t="e">
        <f t="shared" si="1"/>
        <v>#DIV/0!</v>
      </c>
      <c r="N17" s="366"/>
      <c r="O17" s="647">
        <f t="shared" si="2"/>
        <v>0</v>
      </c>
    </row>
    <row r="18" spans="1:15" s="367" customFormat="1" ht="12" customHeight="1">
      <c r="A18" s="504">
        <v>10</v>
      </c>
      <c r="B18" s="365">
        <f>'FRIT HGE91-FHG'!B18</f>
        <v>46244</v>
      </c>
      <c r="C18" s="331" t="s">
        <v>285</v>
      </c>
      <c r="D18" s="502"/>
      <c r="E18" s="499"/>
      <c r="F18" s="446"/>
      <c r="G18" s="503"/>
      <c r="H18" s="504">
        <f>SUM($F$8:F18)/A18</f>
        <v>0</v>
      </c>
      <c r="I18" s="499">
        <f>SUM($G$8:G18)/A18</f>
        <v>0</v>
      </c>
      <c r="J18" s="504">
        <f t="shared" si="3"/>
        <v>0</v>
      </c>
      <c r="K18" s="459">
        <f t="shared" si="3"/>
        <v>0</v>
      </c>
      <c r="L18" s="505" t="e">
        <f t="shared" si="1"/>
        <v>#DIV/0!</v>
      </c>
      <c r="M18" s="464" t="e">
        <f t="shared" si="1"/>
        <v>#DIV/0!</v>
      </c>
      <c r="N18" s="366"/>
      <c r="O18" s="647">
        <f t="shared" si="2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02"/>
      <c r="E19" s="499"/>
      <c r="F19" s="446"/>
      <c r="G19" s="503"/>
      <c r="H19" s="498">
        <f>SUM($F$8:F19)/A19</f>
        <v>0</v>
      </c>
      <c r="I19" s="499">
        <f>SUM($G$8:G19)/A19</f>
        <v>0</v>
      </c>
      <c r="J19" s="443">
        <f t="shared" si="3"/>
        <v>0</v>
      </c>
      <c r="K19" s="459">
        <f t="shared" si="3"/>
        <v>0</v>
      </c>
      <c r="L19" s="495" t="e">
        <f t="shared" si="1"/>
        <v>#DIV/0!</v>
      </c>
      <c r="M19" s="464" t="e">
        <f t="shared" si="1"/>
        <v>#DIV/0!</v>
      </c>
      <c r="N19" s="366"/>
      <c r="O19" s="647">
        <f t="shared" si="2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02"/>
      <c r="E20" s="499"/>
      <c r="F20" s="446"/>
      <c r="G20" s="503"/>
      <c r="H20" s="498">
        <f>SUM($F$8:F20)/A20</f>
        <v>0</v>
      </c>
      <c r="I20" s="499">
        <f>SUM($G$8:G20)/A20</f>
        <v>0</v>
      </c>
      <c r="J20" s="443">
        <f t="shared" si="3"/>
        <v>0</v>
      </c>
      <c r="K20" s="459">
        <f t="shared" si="3"/>
        <v>0</v>
      </c>
      <c r="L20" s="495" t="e">
        <f t="shared" si="1"/>
        <v>#DIV/0!</v>
      </c>
      <c r="M20" s="464" t="e">
        <f t="shared" si="1"/>
        <v>#DIV/0!</v>
      </c>
      <c r="N20" s="366"/>
      <c r="O20" s="647">
        <f t="shared" si="2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02"/>
      <c r="E21" s="499"/>
      <c r="F21" s="446"/>
      <c r="G21" s="503"/>
      <c r="H21" s="498">
        <f>SUM($F$8:F21)/A21</f>
        <v>0</v>
      </c>
      <c r="I21" s="499">
        <f>SUM($G$8:G21)/A21</f>
        <v>0</v>
      </c>
      <c r="J21" s="443">
        <f t="shared" si="3"/>
        <v>0</v>
      </c>
      <c r="K21" s="459">
        <f>K20+E21-G21</f>
        <v>0</v>
      </c>
      <c r="L21" s="495" t="e">
        <f t="shared" si="1"/>
        <v>#DIV/0!</v>
      </c>
      <c r="M21" s="464" t="e">
        <f t="shared" si="1"/>
        <v>#DIV/0!</v>
      </c>
      <c r="N21" s="366"/>
      <c r="O21" s="647">
        <f t="shared" si="2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02"/>
      <c r="E22" s="499"/>
      <c r="F22" s="446"/>
      <c r="G22" s="503"/>
      <c r="H22" s="498">
        <f>SUM($F$8:F22)/A22</f>
        <v>0</v>
      </c>
      <c r="I22" s="499">
        <f>SUM($G$8:G22)/A22</f>
        <v>0</v>
      </c>
      <c r="J22" s="443">
        <f t="shared" si="3"/>
        <v>0</v>
      </c>
      <c r="K22" s="459">
        <f>K21+E22-G22</f>
        <v>0</v>
      </c>
      <c r="L22" s="495" t="e">
        <f t="shared" si="1"/>
        <v>#DIV/0!</v>
      </c>
      <c r="M22" s="464" t="e">
        <f t="shared" si="1"/>
        <v>#DIV/0!</v>
      </c>
      <c r="N22" s="366"/>
      <c r="O22" s="647">
        <f t="shared" si="2"/>
        <v>0</v>
      </c>
    </row>
    <row r="23" spans="1:15" s="367" customFormat="1" ht="12" customHeight="1">
      <c r="A23" s="504">
        <v>15</v>
      </c>
      <c r="B23" s="365">
        <f>'FRIT HGE91-FHG'!B23</f>
        <v>46249</v>
      </c>
      <c r="C23" s="331" t="s">
        <v>285</v>
      </c>
      <c r="D23" s="502"/>
      <c r="E23" s="499"/>
      <c r="F23" s="446"/>
      <c r="G23" s="503"/>
      <c r="H23" s="504">
        <f>SUM($F$8:F23)/A23</f>
        <v>0</v>
      </c>
      <c r="I23" s="499">
        <f>SUM($G$8:G23)/A23</f>
        <v>0</v>
      </c>
      <c r="J23" s="504">
        <f t="shared" si="3"/>
        <v>0</v>
      </c>
      <c r="K23" s="459">
        <f t="shared" si="3"/>
        <v>0</v>
      </c>
      <c r="L23" s="505" t="e">
        <f t="shared" si="1"/>
        <v>#DIV/0!</v>
      </c>
      <c r="M23" s="464" t="e">
        <f t="shared" si="1"/>
        <v>#DIV/0!</v>
      </c>
      <c r="N23" s="366"/>
      <c r="O23" s="647">
        <f t="shared" si="2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02"/>
      <c r="E24" s="499"/>
      <c r="F24" s="446"/>
      <c r="G24" s="503"/>
      <c r="H24" s="498">
        <f>SUM($F$8:F24)/A24</f>
        <v>0</v>
      </c>
      <c r="I24" s="499">
        <f>SUM($G$8:G24)/A24</f>
        <v>0</v>
      </c>
      <c r="J24" s="443">
        <f t="shared" si="3"/>
        <v>0</v>
      </c>
      <c r="K24" s="459">
        <f>K23+E24-G24</f>
        <v>0</v>
      </c>
      <c r="L24" s="495" t="e">
        <f t="shared" si="1"/>
        <v>#DIV/0!</v>
      </c>
      <c r="M24" s="464" t="e">
        <f t="shared" si="1"/>
        <v>#DIV/0!</v>
      </c>
      <c r="N24" s="366"/>
      <c r="O24" s="647">
        <f t="shared" si="2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02"/>
      <c r="E25" s="499"/>
      <c r="F25" s="446"/>
      <c r="G25" s="503"/>
      <c r="H25" s="498">
        <f>SUM($F$8:F25)/A25</f>
        <v>0</v>
      </c>
      <c r="I25" s="499">
        <f>SUM($G$8:G25)/A25</f>
        <v>0</v>
      </c>
      <c r="J25" s="443">
        <f t="shared" si="3"/>
        <v>0</v>
      </c>
      <c r="K25" s="459">
        <f>K24+E25-G25</f>
        <v>0</v>
      </c>
      <c r="L25" s="495" t="e">
        <f t="shared" si="1"/>
        <v>#DIV/0!</v>
      </c>
      <c r="M25" s="464" t="e">
        <f t="shared" si="1"/>
        <v>#DIV/0!</v>
      </c>
      <c r="N25" s="366"/>
      <c r="O25" s="647">
        <f t="shared" si="2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02"/>
      <c r="E26" s="499"/>
      <c r="F26" s="446"/>
      <c r="G26" s="503"/>
      <c r="H26" s="498">
        <f>SUM($F$8:F26)/A26</f>
        <v>0</v>
      </c>
      <c r="I26" s="499">
        <f>SUM($G$8:G26)/A26</f>
        <v>0</v>
      </c>
      <c r="J26" s="443">
        <f t="shared" si="3"/>
        <v>0</v>
      </c>
      <c r="K26" s="459">
        <f>K25+E26-G26</f>
        <v>0</v>
      </c>
      <c r="L26" s="495" t="e">
        <f t="shared" si="1"/>
        <v>#DIV/0!</v>
      </c>
      <c r="M26" s="464" t="e">
        <f t="shared" si="1"/>
        <v>#DIV/0!</v>
      </c>
      <c r="N26" s="366"/>
      <c r="O26" s="647">
        <f t="shared" si="2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02"/>
      <c r="E27" s="499"/>
      <c r="F27" s="446"/>
      <c r="G27" s="503"/>
      <c r="H27" s="498">
        <f>SUM($F$8:F27)/A27</f>
        <v>0</v>
      </c>
      <c r="I27" s="499">
        <f>SUM($G$8:G27)/A27</f>
        <v>0</v>
      </c>
      <c r="J27" s="443">
        <f t="shared" si="3"/>
        <v>0</v>
      </c>
      <c r="K27" s="459">
        <f>K26+E27-G27</f>
        <v>0</v>
      </c>
      <c r="L27" s="495" t="e">
        <f t="shared" si="1"/>
        <v>#DIV/0!</v>
      </c>
      <c r="M27" s="464" t="e">
        <f t="shared" si="1"/>
        <v>#DIV/0!</v>
      </c>
      <c r="N27" s="366"/>
      <c r="O27" s="647">
        <f t="shared" si="2"/>
        <v>0</v>
      </c>
    </row>
    <row r="28" spans="1:15" s="367" customFormat="1" ht="12" customHeight="1">
      <c r="A28" s="504">
        <v>20</v>
      </c>
      <c r="B28" s="365">
        <f>'FRIT HGE91-FHG'!B28</f>
        <v>46254</v>
      </c>
      <c r="C28" s="331" t="s">
        <v>285</v>
      </c>
      <c r="D28" s="502"/>
      <c r="E28" s="499"/>
      <c r="F28" s="446"/>
      <c r="G28" s="503"/>
      <c r="H28" s="504">
        <f>SUM($F$8:F28)/A28</f>
        <v>0</v>
      </c>
      <c r="I28" s="499">
        <f>SUM($G$8:G28)/A28</f>
        <v>0</v>
      </c>
      <c r="J28" s="504">
        <f t="shared" ref="J28:K39" si="4">J27+D28-F28</f>
        <v>0</v>
      </c>
      <c r="K28" s="459">
        <f t="shared" si="4"/>
        <v>0</v>
      </c>
      <c r="L28" s="505" t="e">
        <f t="shared" si="1"/>
        <v>#DIV/0!</v>
      </c>
      <c r="M28" s="464" t="e">
        <f t="shared" si="1"/>
        <v>#DIV/0!</v>
      </c>
      <c r="N28" s="366"/>
      <c r="O28" s="647">
        <f t="shared" si="2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02"/>
      <c r="E29" s="499"/>
      <c r="F29" s="446"/>
      <c r="G29" s="503"/>
      <c r="H29" s="498">
        <f>SUM($F$8:F29)/A29</f>
        <v>0</v>
      </c>
      <c r="I29" s="499">
        <f>SUM($G$8:G29)/A29</f>
        <v>0</v>
      </c>
      <c r="J29" s="443">
        <f t="shared" si="4"/>
        <v>0</v>
      </c>
      <c r="K29" s="459">
        <f t="shared" si="4"/>
        <v>0</v>
      </c>
      <c r="L29" s="495" t="e">
        <f t="shared" si="1"/>
        <v>#DIV/0!</v>
      </c>
      <c r="M29" s="464" t="e">
        <f t="shared" si="1"/>
        <v>#DIV/0!</v>
      </c>
      <c r="N29" s="366"/>
      <c r="O29" s="647">
        <f t="shared" si="2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02"/>
      <c r="E30" s="499"/>
      <c r="F30" s="446"/>
      <c r="G30" s="503"/>
      <c r="H30" s="498">
        <f>SUM($F$8:F30)/A30</f>
        <v>0</v>
      </c>
      <c r="I30" s="499">
        <f>SUM($G$8:G30)/A30</f>
        <v>0</v>
      </c>
      <c r="J30" s="443">
        <f t="shared" si="4"/>
        <v>0</v>
      </c>
      <c r="K30" s="459">
        <f t="shared" si="4"/>
        <v>0</v>
      </c>
      <c r="L30" s="495" t="e">
        <f t="shared" si="1"/>
        <v>#DIV/0!</v>
      </c>
      <c r="M30" s="464" t="e">
        <f t="shared" si="1"/>
        <v>#DIV/0!</v>
      </c>
      <c r="N30" s="366"/>
      <c r="O30" s="647">
        <f t="shared" si="2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02"/>
      <c r="E31" s="499"/>
      <c r="F31" s="446"/>
      <c r="G31" s="503"/>
      <c r="H31" s="498">
        <f>SUM($F$8:F31)/A31</f>
        <v>0</v>
      </c>
      <c r="I31" s="499">
        <f>SUM($G$8:G31)/A31</f>
        <v>0</v>
      </c>
      <c r="J31" s="443">
        <f t="shared" si="4"/>
        <v>0</v>
      </c>
      <c r="K31" s="459">
        <f t="shared" si="4"/>
        <v>0</v>
      </c>
      <c r="L31" s="495" t="e">
        <f t="shared" si="1"/>
        <v>#DIV/0!</v>
      </c>
      <c r="M31" s="464" t="e">
        <f t="shared" si="1"/>
        <v>#DIV/0!</v>
      </c>
      <c r="N31" s="366"/>
      <c r="O31" s="647">
        <f t="shared" si="2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02"/>
      <c r="E32" s="499"/>
      <c r="F32" s="446"/>
      <c r="G32" s="503"/>
      <c r="H32" s="498">
        <f>SUM($F$8:F32)/A32</f>
        <v>0</v>
      </c>
      <c r="I32" s="499">
        <f>SUM($G$8:G32)/A32</f>
        <v>0</v>
      </c>
      <c r="J32" s="443">
        <f t="shared" si="4"/>
        <v>0</v>
      </c>
      <c r="K32" s="459">
        <f t="shared" si="4"/>
        <v>0</v>
      </c>
      <c r="L32" s="495" t="e">
        <f t="shared" si="1"/>
        <v>#DIV/0!</v>
      </c>
      <c r="M32" s="464" t="e">
        <f t="shared" si="1"/>
        <v>#DIV/0!</v>
      </c>
      <c r="N32" s="366"/>
      <c r="O32" s="647">
        <f t="shared" si="2"/>
        <v>0</v>
      </c>
    </row>
    <row r="33" spans="1:15" s="367" customFormat="1" ht="12" customHeight="1">
      <c r="A33" s="460">
        <v>25</v>
      </c>
      <c r="B33" s="365">
        <f>'FRIT HGE91-FHG'!B33</f>
        <v>46259</v>
      </c>
      <c r="C33" s="331" t="s">
        <v>285</v>
      </c>
      <c r="D33" s="502"/>
      <c r="E33" s="499"/>
      <c r="F33" s="446"/>
      <c r="G33" s="503"/>
      <c r="H33" s="460">
        <f>SUM($F$8:F33)/A33</f>
        <v>0</v>
      </c>
      <c r="I33" s="499">
        <f>SUM($G$8:G33)/A33</f>
        <v>0</v>
      </c>
      <c r="J33" s="460">
        <f t="shared" si="4"/>
        <v>0</v>
      </c>
      <c r="K33" s="459">
        <f t="shared" si="4"/>
        <v>0</v>
      </c>
      <c r="L33" s="506" t="e">
        <f t="shared" si="1"/>
        <v>#DIV/0!</v>
      </c>
      <c r="M33" s="464" t="e">
        <f t="shared" si="1"/>
        <v>#DIV/0!</v>
      </c>
      <c r="N33" s="366"/>
      <c r="O33" s="647">
        <f t="shared" si="2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02"/>
      <c r="E34" s="499"/>
      <c r="F34" s="446"/>
      <c r="G34" s="503"/>
      <c r="H34" s="498">
        <f>SUM($F$8:F34)/A34</f>
        <v>0</v>
      </c>
      <c r="I34" s="499">
        <f>SUM($G$8:G34)/A34</f>
        <v>0</v>
      </c>
      <c r="J34" s="443">
        <f t="shared" si="4"/>
        <v>0</v>
      </c>
      <c r="K34" s="459">
        <f t="shared" si="4"/>
        <v>0</v>
      </c>
      <c r="L34" s="495" t="e">
        <f t="shared" si="1"/>
        <v>#DIV/0!</v>
      </c>
      <c r="M34" s="464" t="e">
        <f t="shared" si="1"/>
        <v>#DIV/0!</v>
      </c>
      <c r="N34" s="366"/>
      <c r="O34" s="647">
        <f t="shared" si="2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2"/>
      <c r="E35" s="499"/>
      <c r="F35" s="446"/>
      <c r="G35" s="503"/>
      <c r="H35" s="498">
        <f>SUM($F$8:F35)/A35</f>
        <v>0</v>
      </c>
      <c r="I35" s="499">
        <f>SUM($G$8:G35)/A35</f>
        <v>0</v>
      </c>
      <c r="J35" s="443">
        <f t="shared" si="4"/>
        <v>0</v>
      </c>
      <c r="K35" s="459">
        <f t="shared" si="4"/>
        <v>0</v>
      </c>
      <c r="L35" s="495" t="e">
        <f t="shared" si="1"/>
        <v>#DIV/0!</v>
      </c>
      <c r="M35" s="464" t="e">
        <f t="shared" si="1"/>
        <v>#DIV/0!</v>
      </c>
      <c r="N35" s="366"/>
      <c r="O35" s="647">
        <f t="shared" si="2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2"/>
      <c r="E36" s="499"/>
      <c r="F36" s="446"/>
      <c r="G36" s="503"/>
      <c r="H36" s="498">
        <f>SUM($F$8:F36)/A36</f>
        <v>0</v>
      </c>
      <c r="I36" s="499">
        <f>SUM($G$8:G36)/A36</f>
        <v>0</v>
      </c>
      <c r="J36" s="443">
        <f t="shared" si="4"/>
        <v>0</v>
      </c>
      <c r="K36" s="459">
        <f t="shared" si="4"/>
        <v>0</v>
      </c>
      <c r="L36" s="495" t="e">
        <f t="shared" si="1"/>
        <v>#DIV/0!</v>
      </c>
      <c r="M36" s="464" t="e">
        <f t="shared" si="1"/>
        <v>#DIV/0!</v>
      </c>
      <c r="N36" s="366"/>
      <c r="O36" s="647">
        <f t="shared" si="2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2"/>
      <c r="E37" s="499"/>
      <c r="F37" s="446"/>
      <c r="G37" s="503"/>
      <c r="H37" s="498">
        <f>SUM($F$8:F37)/A37</f>
        <v>0</v>
      </c>
      <c r="I37" s="499">
        <f>SUM($G$8:G37)/A37</f>
        <v>0</v>
      </c>
      <c r="J37" s="443">
        <f t="shared" si="4"/>
        <v>0</v>
      </c>
      <c r="K37" s="459">
        <f t="shared" si="4"/>
        <v>0</v>
      </c>
      <c r="L37" s="495" t="e">
        <f t="shared" si="1"/>
        <v>#DIV/0!</v>
      </c>
      <c r="M37" s="464" t="e">
        <f t="shared" si="1"/>
        <v>#DIV/0!</v>
      </c>
      <c r="N37" s="366"/>
      <c r="O37" s="647">
        <f t="shared" si="2"/>
        <v>0</v>
      </c>
    </row>
    <row r="38" spans="1:15" s="367" customFormat="1" ht="12" customHeight="1">
      <c r="A38" s="504">
        <v>30</v>
      </c>
      <c r="B38" s="365">
        <f>'FRIT HGE91-FHG'!B38</f>
        <v>46264</v>
      </c>
      <c r="C38" s="331" t="s">
        <v>285</v>
      </c>
      <c r="D38" s="502"/>
      <c r="E38" s="499"/>
      <c r="F38" s="446"/>
      <c r="G38" s="503"/>
      <c r="H38" s="504">
        <f>SUM($F$8:F38)/A38</f>
        <v>0</v>
      </c>
      <c r="I38" s="499">
        <f>SUM($G$8:G38)/A38</f>
        <v>0</v>
      </c>
      <c r="J38" s="504">
        <f t="shared" si="4"/>
        <v>0</v>
      </c>
      <c r="K38" s="459">
        <f t="shared" si="4"/>
        <v>0</v>
      </c>
      <c r="L38" s="505" t="e">
        <f t="shared" si="1"/>
        <v>#DIV/0!</v>
      </c>
      <c r="M38" s="464" t="e">
        <f t="shared" si="1"/>
        <v>#DIV/0!</v>
      </c>
      <c r="N38" s="366"/>
      <c r="O38" s="647">
        <f t="shared" si="2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02"/>
      <c r="E39" s="499"/>
      <c r="F39" s="446"/>
      <c r="G39" s="503"/>
      <c r="H39" s="498">
        <f>SUM($F$8:F39)/A39</f>
        <v>0</v>
      </c>
      <c r="I39" s="499">
        <f>SUM($G$8:G39)/A39</f>
        <v>0</v>
      </c>
      <c r="J39" s="443">
        <f t="shared" si="4"/>
        <v>0</v>
      </c>
      <c r="K39" s="459">
        <f t="shared" si="4"/>
        <v>0</v>
      </c>
      <c r="L39" s="495" t="e">
        <f t="shared" si="1"/>
        <v>#DIV/0!</v>
      </c>
      <c r="M39" s="464" t="e">
        <f t="shared" si="1"/>
        <v>#DIV/0!</v>
      </c>
      <c r="N39" s="366"/>
      <c r="O39" s="647">
        <f t="shared" si="2"/>
        <v>0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464"/>
      <c r="M40" s="464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464"/>
      <c r="M41" s="464"/>
      <c r="N41" s="507"/>
    </row>
    <row r="42" spans="1:15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5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</row>
    <row r="47" spans="1:15">
      <c r="D47" s="143"/>
      <c r="E47" s="143"/>
      <c r="F47" s="143"/>
      <c r="G47" s="143"/>
      <c r="H47" s="143"/>
      <c r="I47" s="143"/>
      <c r="J47" s="143"/>
      <c r="K47" s="143"/>
    </row>
    <row r="48" spans="1:15">
      <c r="D48" s="143"/>
      <c r="E48" s="143"/>
      <c r="F48" s="143"/>
      <c r="G48" s="143"/>
      <c r="H48" s="143"/>
      <c r="I48" s="143"/>
      <c r="J48" s="143"/>
      <c r="K48" s="143"/>
    </row>
    <row r="49" s="143" customFormat="1"/>
  </sheetData>
  <mergeCells count="12">
    <mergeCell ref="A8:C8"/>
    <mergeCell ref="A4:B4"/>
    <mergeCell ref="A3:N3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9:M39">
    <cfRule type="cellIs" dxfId="8939" priority="307" operator="lessThan">
      <formula>15</formula>
    </cfRule>
    <cfRule type="cellIs" dxfId="8938" priority="308" operator="greaterThan">
      <formula>20</formula>
    </cfRule>
    <cfRule type="cellIs" dxfId="8937" priority="309" operator="between">
      <formula>15</formula>
      <formula>20</formula>
    </cfRule>
    <cfRule type="cellIs" dxfId="8936" priority="310" operator="between">
      <formula>15</formula>
      <formula>20</formula>
    </cfRule>
    <cfRule type="cellIs" dxfId="8935" priority="311" operator="lessThan">
      <formula>15</formula>
    </cfRule>
    <cfRule type="cellIs" dxfId="8934" priority="312" operator="greaterThan">
      <formula>20</formula>
    </cfRule>
    <cfRule type="cellIs" dxfId="8933" priority="313" operator="between">
      <formula>15</formula>
      <formula>21</formula>
    </cfRule>
    <cfRule type="cellIs" dxfId="8932" priority="314" operator="lessThan">
      <formula>15</formula>
    </cfRule>
    <cfRule type="cellIs" dxfId="8931" priority="315" operator="greaterThan">
      <formula>21</formula>
    </cfRule>
  </conditionalFormatting>
  <conditionalFormatting sqref="M9:M39">
    <cfRule type="cellIs" dxfId="8930" priority="10" operator="lessThan">
      <formula>15</formula>
    </cfRule>
    <cfRule type="cellIs" dxfId="8929" priority="11" operator="greaterThan">
      <formula>20</formula>
    </cfRule>
    <cfRule type="cellIs" dxfId="8928" priority="12" operator="between">
      <formula>15</formula>
      <formula>20</formula>
    </cfRule>
    <cfRule type="cellIs" dxfId="8927" priority="13" operator="between">
      <formula>15</formula>
      <formula>20</formula>
    </cfRule>
    <cfRule type="cellIs" dxfId="8926" priority="14" operator="lessThan">
      <formula>15</formula>
    </cfRule>
    <cfRule type="cellIs" dxfId="8925" priority="15" operator="greaterThan">
      <formula>20</formula>
    </cfRule>
    <cfRule type="cellIs" dxfId="8924" priority="16" operator="between">
      <formula>15</formula>
      <formula>21</formula>
    </cfRule>
    <cfRule type="cellIs" dxfId="8923" priority="17" operator="lessThan">
      <formula>15</formula>
    </cfRule>
    <cfRule type="cellIs" dxfId="8922" priority="18" operator="greaterThan">
      <formula>21</formula>
    </cfRule>
  </conditionalFormatting>
  <conditionalFormatting sqref="M9:M39">
    <cfRule type="cellIs" dxfId="8921" priority="1" operator="lessThan">
      <formula>15</formula>
    </cfRule>
    <cfRule type="cellIs" dxfId="8920" priority="2" operator="greaterThan">
      <formula>20</formula>
    </cfRule>
    <cfRule type="cellIs" dxfId="8919" priority="3" operator="between">
      <formula>15</formula>
      <formula>20</formula>
    </cfRule>
    <cfRule type="cellIs" dxfId="8918" priority="4" operator="between">
      <formula>15</formula>
      <formula>20</formula>
    </cfRule>
    <cfRule type="cellIs" dxfId="8917" priority="5" operator="lessThan">
      <formula>15</formula>
    </cfRule>
    <cfRule type="cellIs" dxfId="8916" priority="6" operator="greaterThan">
      <formula>20</formula>
    </cfRule>
    <cfRule type="cellIs" dxfId="8915" priority="7" operator="between">
      <formula>15</formula>
      <formula>21</formula>
    </cfRule>
    <cfRule type="cellIs" dxfId="8914" priority="8" operator="lessThan">
      <formula>15</formula>
    </cfRule>
    <cfRule type="cellIs" dxfId="8913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48"/>
  <sheetViews>
    <sheetView workbookViewId="0">
      <pane ySplit="8" topLeftCell="A18" activePane="bottomLeft" state="frozen"/>
      <selection pane="bottomLeft" activeCell="L27" sqref="L27"/>
    </sheetView>
  </sheetViews>
  <sheetFormatPr defaultColWidth="9.28515625" defaultRowHeight="16.5"/>
  <cols>
    <col min="1" max="1" width="4.85546875" style="42" customWidth="1"/>
    <col min="2" max="2" width="9" style="42" customWidth="1"/>
    <col min="3" max="3" width="14.7109375" style="42" customWidth="1"/>
    <col min="4" max="10" width="10.140625" style="6" customWidth="1"/>
    <col min="11" max="11" width="14.7109375" style="42" customWidth="1"/>
    <col min="12" max="12" width="9.85546875" style="6" customWidth="1"/>
    <col min="13" max="14" width="9.5703125" style="6" customWidth="1"/>
    <col min="15" max="15" width="11.5703125" style="143" bestFit="1" customWidth="1"/>
    <col min="16" max="16" width="11.5703125" style="42" customWidth="1"/>
    <col min="17" max="17" width="9.28515625" style="42" customWidth="1"/>
    <col min="18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142"/>
      <c r="M1" s="142"/>
      <c r="N1" s="142"/>
      <c r="O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M2" s="142"/>
      <c r="N2" s="142"/>
      <c r="O2" s="323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500"/>
    </row>
    <row r="4" spans="1:26" s="347" customFormat="1" ht="14.25" customHeight="1">
      <c r="A4" s="1600" t="s">
        <v>33</v>
      </c>
      <c r="B4" s="1600"/>
      <c r="C4" s="318" t="str">
        <f>J4</f>
        <v>MÀU XANH CIK-AZ1476</v>
      </c>
      <c r="D4" s="383"/>
      <c r="E4" s="383" t="s">
        <v>228</v>
      </c>
      <c r="F4" s="383" t="s">
        <v>234</v>
      </c>
      <c r="G4" s="383"/>
      <c r="H4" s="684"/>
      <c r="I4" s="325" t="s">
        <v>114</v>
      </c>
      <c r="J4" s="318" t="s">
        <v>461</v>
      </c>
      <c r="K4" s="319"/>
      <c r="L4" s="383"/>
      <c r="M4" s="383"/>
      <c r="N4" s="383"/>
      <c r="O4" s="143"/>
    </row>
    <row r="5" spans="1:26" s="324" customFormat="1" ht="14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508" t="s">
        <v>292</v>
      </c>
      <c r="K5" s="375" t="s">
        <v>149</v>
      </c>
      <c r="L5" s="343"/>
      <c r="M5" s="343"/>
      <c r="N5" s="343"/>
      <c r="O5" s="143"/>
    </row>
    <row r="6" spans="1:26" s="355" customFormat="1" ht="12.75" customHeight="1">
      <c r="A6" s="1616" t="s">
        <v>2</v>
      </c>
      <c r="B6" s="1618" t="s">
        <v>1</v>
      </c>
      <c r="C6" s="1618" t="s">
        <v>24</v>
      </c>
      <c r="D6" s="1622" t="s">
        <v>250</v>
      </c>
      <c r="E6" s="1623"/>
      <c r="F6" s="1622" t="s">
        <v>249</v>
      </c>
      <c r="G6" s="1623"/>
      <c r="H6" s="1624" t="s">
        <v>265</v>
      </c>
      <c r="I6" s="1622" t="s">
        <v>253</v>
      </c>
      <c r="J6" s="1623"/>
      <c r="K6" s="1624" t="s">
        <v>30</v>
      </c>
      <c r="L6" s="1620" t="s">
        <v>343</v>
      </c>
      <c r="M6" s="1620" t="s">
        <v>244</v>
      </c>
      <c r="N6" s="1626" t="s">
        <v>824</v>
      </c>
      <c r="O6" s="143"/>
    </row>
    <row r="7" spans="1:26" s="355" customFormat="1" ht="12.75" customHeight="1">
      <c r="A7" s="1617"/>
      <c r="B7" s="1619"/>
      <c r="C7" s="1619"/>
      <c r="D7" s="685" t="s">
        <v>10</v>
      </c>
      <c r="E7" s="685" t="s">
        <v>58</v>
      </c>
      <c r="F7" s="685" t="s">
        <v>10</v>
      </c>
      <c r="G7" s="685" t="s">
        <v>58</v>
      </c>
      <c r="H7" s="1625"/>
      <c r="I7" s="685" t="s">
        <v>10</v>
      </c>
      <c r="J7" s="685" t="s">
        <v>58</v>
      </c>
      <c r="K7" s="1625"/>
      <c r="L7" s="1621"/>
      <c r="M7" s="1621"/>
      <c r="N7" s="1626"/>
      <c r="O7" s="143"/>
    </row>
    <row r="8" spans="1:26" s="305" customFormat="1" ht="12" customHeight="1">
      <c r="A8" s="1597" t="s">
        <v>3</v>
      </c>
      <c r="B8" s="1598"/>
      <c r="C8" s="1599"/>
      <c r="D8" s="532">
        <f>I8</f>
        <v>555</v>
      </c>
      <c r="E8" s="532">
        <f>J8</f>
        <v>111</v>
      </c>
      <c r="F8" s="533">
        <f>F40</f>
        <v>705</v>
      </c>
      <c r="G8" s="534">
        <f>G40</f>
        <v>141</v>
      </c>
      <c r="H8" s="532"/>
      <c r="I8" s="324">
        <v>555</v>
      </c>
      <c r="J8" s="631">
        <f>I8/5</f>
        <v>111</v>
      </c>
      <c r="K8" s="535"/>
      <c r="L8" s="688"/>
      <c r="M8" s="688"/>
      <c r="N8" s="688"/>
      <c r="O8" s="143">
        <v>18</v>
      </c>
    </row>
    <row r="9" spans="1:26" s="333" customFormat="1" ht="15">
      <c r="A9" s="364">
        <v>1</v>
      </c>
      <c r="B9" s="365">
        <f>'FRIT HGE91-FHG'!B9</f>
        <v>46235</v>
      </c>
      <c r="C9" s="331" t="s">
        <v>334</v>
      </c>
      <c r="D9" s="536"/>
      <c r="E9" s="537">
        <f>D9/6</f>
        <v>0</v>
      </c>
      <c r="F9" s="536">
        <f>L9+M9+N9</f>
        <v>125</v>
      </c>
      <c r="G9" s="536">
        <f>F9/5</f>
        <v>25</v>
      </c>
      <c r="H9" s="538">
        <f>SUM($F$9:F9)/A9</f>
        <v>125</v>
      </c>
      <c r="I9" s="539">
        <f>I8+D9-F9</f>
        <v>430</v>
      </c>
      <c r="J9" s="540">
        <f>I9/5</f>
        <v>86</v>
      </c>
      <c r="K9" s="536">
        <f>I9/H9</f>
        <v>3.44</v>
      </c>
      <c r="L9" s="1499">
        <v>25</v>
      </c>
      <c r="M9" s="1499">
        <v>100</v>
      </c>
      <c r="N9" s="1499"/>
      <c r="O9" s="647">
        <f>I9/$O$8</f>
        <v>23.888888888888889</v>
      </c>
      <c r="P9" s="305"/>
      <c r="Q9" s="305"/>
    </row>
    <row r="10" spans="1:26" s="333" customFormat="1" ht="12" customHeight="1">
      <c r="A10" s="364">
        <v>2</v>
      </c>
      <c r="B10" s="365">
        <f>'FRIT HGE91-FHG'!B10</f>
        <v>46236</v>
      </c>
      <c r="C10" s="331" t="s">
        <v>334</v>
      </c>
      <c r="D10" s="536"/>
      <c r="E10" s="537">
        <f t="shared" ref="E10:E39" si="0">D10/6</f>
        <v>0</v>
      </c>
      <c r="F10" s="536">
        <f t="shared" ref="F10:F39" si="1">L10+M10+N10</f>
        <v>0</v>
      </c>
      <c r="G10" s="536">
        <f t="shared" ref="G10:G39" si="2">F10/5</f>
        <v>0</v>
      </c>
      <c r="H10" s="538">
        <f>SUM($F$9:F10)/A10</f>
        <v>62.5</v>
      </c>
      <c r="I10" s="539">
        <f t="shared" ref="I10:I39" si="3">I9+D10-F10</f>
        <v>430</v>
      </c>
      <c r="J10" s="540">
        <f t="shared" ref="J10:J39" si="4">I10/5</f>
        <v>86</v>
      </c>
      <c r="K10" s="536">
        <f t="shared" ref="K10:K39" si="5">I10/H10</f>
        <v>6.88</v>
      </c>
      <c r="L10" s="1499"/>
      <c r="M10" s="1499"/>
      <c r="N10" s="1499"/>
      <c r="O10" s="647">
        <f t="shared" ref="O10:O39" si="6">I10/$O$8</f>
        <v>23.888888888888889</v>
      </c>
      <c r="P10" s="305"/>
      <c r="Q10" s="305"/>
    </row>
    <row r="11" spans="1:26" s="333" customFormat="1" ht="12" customHeight="1">
      <c r="A11" s="364">
        <v>3</v>
      </c>
      <c r="B11" s="365">
        <f>'FRIT HGE91-FHG'!B11</f>
        <v>46237</v>
      </c>
      <c r="C11" s="331" t="s">
        <v>334</v>
      </c>
      <c r="D11" s="536"/>
      <c r="E11" s="537">
        <f t="shared" si="0"/>
        <v>0</v>
      </c>
      <c r="F11" s="536">
        <f t="shared" si="1"/>
        <v>70</v>
      </c>
      <c r="G11" s="536">
        <f t="shared" si="2"/>
        <v>14</v>
      </c>
      <c r="H11" s="538">
        <f>SUM($F$9:F11)/A11</f>
        <v>65</v>
      </c>
      <c r="I11" s="539">
        <f t="shared" si="3"/>
        <v>360</v>
      </c>
      <c r="J11" s="540">
        <f t="shared" si="4"/>
        <v>72</v>
      </c>
      <c r="K11" s="536">
        <f t="shared" si="5"/>
        <v>5.5384615384615383</v>
      </c>
      <c r="L11" s="1499">
        <v>10</v>
      </c>
      <c r="M11" s="1499">
        <v>60</v>
      </c>
      <c r="N11" s="1499"/>
      <c r="O11" s="647">
        <f t="shared" si="6"/>
        <v>20</v>
      </c>
      <c r="P11" s="305"/>
      <c r="Q11" s="305"/>
    </row>
    <row r="12" spans="1:26" s="367" customFormat="1" ht="12" customHeight="1">
      <c r="A12" s="364">
        <v>4</v>
      </c>
      <c r="B12" s="365">
        <f>'FRIT HGE91-FHG'!B12</f>
        <v>46238</v>
      </c>
      <c r="C12" s="331" t="s">
        <v>334</v>
      </c>
      <c r="D12" s="536"/>
      <c r="E12" s="537">
        <f t="shared" si="0"/>
        <v>0</v>
      </c>
      <c r="F12" s="536">
        <f t="shared" si="1"/>
        <v>40</v>
      </c>
      <c r="G12" s="536">
        <f t="shared" si="2"/>
        <v>8</v>
      </c>
      <c r="H12" s="538">
        <f>SUM($F$9:F12)/A12</f>
        <v>58.75</v>
      </c>
      <c r="I12" s="539">
        <f t="shared" si="3"/>
        <v>320</v>
      </c>
      <c r="J12" s="540">
        <f t="shared" si="4"/>
        <v>64</v>
      </c>
      <c r="K12" s="536">
        <f t="shared" si="5"/>
        <v>5.4468085106382977</v>
      </c>
      <c r="L12" s="1499"/>
      <c r="M12" s="1499">
        <v>40</v>
      </c>
      <c r="N12" s="1499"/>
      <c r="O12" s="647">
        <f t="shared" si="6"/>
        <v>17.777777777777779</v>
      </c>
      <c r="P12" s="305"/>
      <c r="Q12" s="305"/>
    </row>
    <row r="13" spans="1:26" s="367" customFormat="1" ht="12" customHeight="1">
      <c r="A13" s="401">
        <v>5</v>
      </c>
      <c r="B13" s="365">
        <f>'FRIT HGE91-FHG'!B13</f>
        <v>46239</v>
      </c>
      <c r="C13" s="331" t="s">
        <v>334</v>
      </c>
      <c r="D13" s="536"/>
      <c r="E13" s="537">
        <f t="shared" si="0"/>
        <v>0</v>
      </c>
      <c r="F13" s="536">
        <f t="shared" si="1"/>
        <v>95</v>
      </c>
      <c r="G13" s="536">
        <f t="shared" si="2"/>
        <v>19</v>
      </c>
      <c r="H13" s="541">
        <f>SUM($F$9:F13)/A13</f>
        <v>66</v>
      </c>
      <c r="I13" s="542">
        <f t="shared" si="3"/>
        <v>225</v>
      </c>
      <c r="J13" s="540">
        <f t="shared" si="4"/>
        <v>45</v>
      </c>
      <c r="K13" s="536">
        <f t="shared" si="5"/>
        <v>3.4090909090909092</v>
      </c>
      <c r="L13" s="1499">
        <v>35</v>
      </c>
      <c r="M13" s="1499">
        <v>60</v>
      </c>
      <c r="N13" s="1499"/>
      <c r="O13" s="647">
        <f t="shared" si="6"/>
        <v>12.5</v>
      </c>
      <c r="P13" s="305"/>
      <c r="Q13" s="305"/>
    </row>
    <row r="14" spans="1:26" s="367" customFormat="1" ht="12" customHeight="1">
      <c r="A14" s="364">
        <v>6</v>
      </c>
      <c r="B14" s="365">
        <f>'FRIT HGE91-FHG'!B14</f>
        <v>46240</v>
      </c>
      <c r="C14" s="331" t="s">
        <v>334</v>
      </c>
      <c r="D14" s="536"/>
      <c r="E14" s="537">
        <f t="shared" si="0"/>
        <v>0</v>
      </c>
      <c r="F14" s="536">
        <f t="shared" si="1"/>
        <v>0</v>
      </c>
      <c r="G14" s="536">
        <f t="shared" si="2"/>
        <v>0</v>
      </c>
      <c r="H14" s="538">
        <f>SUM($F$9:F14)/A14</f>
        <v>55</v>
      </c>
      <c r="I14" s="539">
        <f t="shared" si="3"/>
        <v>225</v>
      </c>
      <c r="J14" s="540">
        <f t="shared" si="4"/>
        <v>45</v>
      </c>
      <c r="K14" s="536">
        <f t="shared" si="5"/>
        <v>4.0909090909090908</v>
      </c>
      <c r="L14" s="1499"/>
      <c r="M14" s="1499"/>
      <c r="N14" s="1499"/>
      <c r="O14" s="647">
        <f t="shared" si="6"/>
        <v>12.5</v>
      </c>
      <c r="P14" s="305"/>
      <c r="Q14" s="305"/>
    </row>
    <row r="15" spans="1:26" s="367" customFormat="1" ht="12" customHeight="1">
      <c r="A15" s="364">
        <v>7</v>
      </c>
      <c r="B15" s="365">
        <f>'FRIT HGE91-FHG'!B15</f>
        <v>46241</v>
      </c>
      <c r="C15" s="331" t="s">
        <v>334</v>
      </c>
      <c r="D15" s="536"/>
      <c r="E15" s="537">
        <f t="shared" si="0"/>
        <v>0</v>
      </c>
      <c r="F15" s="536">
        <f t="shared" si="1"/>
        <v>0</v>
      </c>
      <c r="G15" s="536">
        <f t="shared" si="2"/>
        <v>0</v>
      </c>
      <c r="H15" s="538">
        <f>SUM($F$9:F15)/A15</f>
        <v>47.142857142857146</v>
      </c>
      <c r="I15" s="539">
        <f t="shared" si="3"/>
        <v>225</v>
      </c>
      <c r="J15" s="540">
        <f t="shared" si="4"/>
        <v>45</v>
      </c>
      <c r="K15" s="536">
        <f t="shared" si="5"/>
        <v>4.7727272727272725</v>
      </c>
      <c r="L15" s="1499"/>
      <c r="M15" s="1499"/>
      <c r="N15" s="1499"/>
      <c r="O15" s="647">
        <f t="shared" si="6"/>
        <v>12.5</v>
      </c>
      <c r="P15" s="305"/>
      <c r="Q15" s="305"/>
    </row>
    <row r="16" spans="1:26" s="367" customFormat="1" ht="12" customHeight="1">
      <c r="A16" s="364">
        <v>8</v>
      </c>
      <c r="B16" s="365">
        <f>'FRIT HGE91-FHG'!B16</f>
        <v>46242</v>
      </c>
      <c r="C16" s="331" t="s">
        <v>334</v>
      </c>
      <c r="D16" s="536"/>
      <c r="E16" s="537">
        <f t="shared" si="0"/>
        <v>0</v>
      </c>
      <c r="F16" s="536">
        <f t="shared" si="1"/>
        <v>15</v>
      </c>
      <c r="G16" s="536">
        <f t="shared" si="2"/>
        <v>3</v>
      </c>
      <c r="H16" s="538">
        <f>SUM($F$9:F16)/A16</f>
        <v>43.125</v>
      </c>
      <c r="I16" s="539">
        <f t="shared" si="3"/>
        <v>210</v>
      </c>
      <c r="J16" s="540">
        <f t="shared" si="4"/>
        <v>42</v>
      </c>
      <c r="K16" s="536">
        <f t="shared" si="5"/>
        <v>4.8695652173913047</v>
      </c>
      <c r="L16" s="1499">
        <v>15</v>
      </c>
      <c r="M16" s="1499"/>
      <c r="N16" s="1499"/>
      <c r="O16" s="647">
        <f t="shared" si="6"/>
        <v>11.666666666666666</v>
      </c>
      <c r="P16" s="305"/>
      <c r="Q16" s="305"/>
    </row>
    <row r="17" spans="1:17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36"/>
      <c r="E17" s="537">
        <f t="shared" si="0"/>
        <v>0</v>
      </c>
      <c r="F17" s="536">
        <f t="shared" si="1"/>
        <v>0</v>
      </c>
      <c r="G17" s="536">
        <f t="shared" si="2"/>
        <v>0</v>
      </c>
      <c r="H17" s="538">
        <f>SUM($F$9:F17)/A17</f>
        <v>38.333333333333336</v>
      </c>
      <c r="I17" s="539">
        <f t="shared" si="3"/>
        <v>210</v>
      </c>
      <c r="J17" s="540">
        <f t="shared" si="4"/>
        <v>42</v>
      </c>
      <c r="K17" s="536">
        <f t="shared" si="5"/>
        <v>5.4782608695652169</v>
      </c>
      <c r="L17" s="1499"/>
      <c r="M17" s="1499"/>
      <c r="N17" s="1499"/>
      <c r="O17" s="647">
        <f t="shared" si="6"/>
        <v>11.666666666666666</v>
      </c>
      <c r="P17" s="305"/>
      <c r="Q17" s="305"/>
    </row>
    <row r="18" spans="1:17" s="367" customFormat="1" ht="12" customHeight="1">
      <c r="A18" s="401">
        <v>10</v>
      </c>
      <c r="B18" s="365">
        <f>'FRIT HGE91-FHG'!B18</f>
        <v>46244</v>
      </c>
      <c r="C18" s="331" t="s">
        <v>285</v>
      </c>
      <c r="D18" s="536"/>
      <c r="E18" s="537">
        <f t="shared" si="0"/>
        <v>0</v>
      </c>
      <c r="F18" s="536">
        <f t="shared" si="1"/>
        <v>35</v>
      </c>
      <c r="G18" s="536">
        <f t="shared" si="2"/>
        <v>7</v>
      </c>
      <c r="H18" s="541">
        <f>SUM($F$9:F18)/A18</f>
        <v>38</v>
      </c>
      <c r="I18" s="542">
        <f t="shared" si="3"/>
        <v>175</v>
      </c>
      <c r="J18" s="540">
        <f t="shared" si="4"/>
        <v>35</v>
      </c>
      <c r="K18" s="536">
        <f t="shared" si="5"/>
        <v>4.6052631578947372</v>
      </c>
      <c r="L18" s="1499">
        <v>35</v>
      </c>
      <c r="M18" s="1499"/>
      <c r="N18" s="1499"/>
      <c r="O18" s="647">
        <f t="shared" si="6"/>
        <v>9.7222222222222214</v>
      </c>
      <c r="P18" s="305"/>
      <c r="Q18" s="305"/>
    </row>
    <row r="19" spans="1:17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36"/>
      <c r="E19" s="537">
        <f t="shared" si="0"/>
        <v>0</v>
      </c>
      <c r="F19" s="536">
        <f t="shared" si="1"/>
        <v>120</v>
      </c>
      <c r="G19" s="536">
        <f t="shared" si="2"/>
        <v>24</v>
      </c>
      <c r="H19" s="538">
        <f>SUM($F$9:F19)/A19</f>
        <v>45.454545454545453</v>
      </c>
      <c r="I19" s="539">
        <f t="shared" si="3"/>
        <v>55</v>
      </c>
      <c r="J19" s="540">
        <f t="shared" si="4"/>
        <v>11</v>
      </c>
      <c r="K19" s="536">
        <f t="shared" si="5"/>
        <v>1.21</v>
      </c>
      <c r="L19" s="1499">
        <v>40</v>
      </c>
      <c r="M19" s="1499">
        <v>80</v>
      </c>
      <c r="N19" s="1499"/>
      <c r="O19" s="647">
        <f t="shared" si="6"/>
        <v>3.0555555555555554</v>
      </c>
      <c r="P19" s="333"/>
    </row>
    <row r="20" spans="1:17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36">
        <v>240</v>
      </c>
      <c r="E20" s="537">
        <f t="shared" si="0"/>
        <v>40</v>
      </c>
      <c r="F20" s="536">
        <f t="shared" si="1"/>
        <v>30</v>
      </c>
      <c r="G20" s="536">
        <f t="shared" si="2"/>
        <v>6</v>
      </c>
      <c r="H20" s="538">
        <f>SUM($F$9:F20)/A20</f>
        <v>44.166666666666664</v>
      </c>
      <c r="I20" s="539">
        <f t="shared" si="3"/>
        <v>265</v>
      </c>
      <c r="J20" s="540">
        <f t="shared" si="4"/>
        <v>53</v>
      </c>
      <c r="K20" s="536">
        <f t="shared" si="5"/>
        <v>6</v>
      </c>
      <c r="L20" s="1499">
        <v>30</v>
      </c>
      <c r="M20" s="1499"/>
      <c r="N20" s="1499"/>
      <c r="O20" s="647">
        <f t="shared" si="6"/>
        <v>14.722222222222221</v>
      </c>
      <c r="P20" s="333"/>
    </row>
    <row r="21" spans="1:17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36"/>
      <c r="E21" s="537">
        <f t="shared" si="0"/>
        <v>0</v>
      </c>
      <c r="F21" s="536">
        <f t="shared" si="1"/>
        <v>50</v>
      </c>
      <c r="G21" s="536">
        <f t="shared" si="2"/>
        <v>10</v>
      </c>
      <c r="H21" s="538">
        <f>SUM($F$9:F21)/A21</f>
        <v>44.615384615384613</v>
      </c>
      <c r="I21" s="539">
        <f t="shared" si="3"/>
        <v>215</v>
      </c>
      <c r="J21" s="540">
        <f t="shared" si="4"/>
        <v>43</v>
      </c>
      <c r="K21" s="536">
        <f t="shared" si="5"/>
        <v>4.8189655172413799</v>
      </c>
      <c r="L21" s="1499">
        <v>10</v>
      </c>
      <c r="M21" s="1499">
        <v>40</v>
      </c>
      <c r="N21" s="1499"/>
      <c r="O21" s="647">
        <f t="shared" si="6"/>
        <v>11.944444444444445</v>
      </c>
      <c r="P21" s="333"/>
    </row>
    <row r="22" spans="1:17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36"/>
      <c r="E22" s="537">
        <f t="shared" si="0"/>
        <v>0</v>
      </c>
      <c r="F22" s="536">
        <f t="shared" si="1"/>
        <v>35</v>
      </c>
      <c r="G22" s="536">
        <f t="shared" si="2"/>
        <v>7</v>
      </c>
      <c r="H22" s="538">
        <f>SUM($F$9:F22)/A22</f>
        <v>43.928571428571431</v>
      </c>
      <c r="I22" s="539">
        <f t="shared" si="3"/>
        <v>180</v>
      </c>
      <c r="J22" s="540">
        <f t="shared" si="4"/>
        <v>36</v>
      </c>
      <c r="K22" s="536">
        <f t="shared" si="5"/>
        <v>4.0975609756097562</v>
      </c>
      <c r="L22" s="1499">
        <v>35</v>
      </c>
      <c r="M22" s="1499"/>
      <c r="N22" s="1499"/>
      <c r="O22" s="647">
        <f t="shared" si="6"/>
        <v>10</v>
      </c>
      <c r="P22" s="333"/>
    </row>
    <row r="23" spans="1:17" s="367" customFormat="1" ht="12" customHeight="1">
      <c r="A23" s="401">
        <v>15</v>
      </c>
      <c r="B23" s="365">
        <f>'FRIT HGE91-FHG'!B23</f>
        <v>46249</v>
      </c>
      <c r="C23" s="331" t="s">
        <v>285</v>
      </c>
      <c r="D23" s="536"/>
      <c r="E23" s="537">
        <f t="shared" si="0"/>
        <v>0</v>
      </c>
      <c r="F23" s="536">
        <f t="shared" si="1"/>
        <v>80</v>
      </c>
      <c r="G23" s="536">
        <f t="shared" si="2"/>
        <v>16</v>
      </c>
      <c r="H23" s="541">
        <f>SUM($F$9:F23)/A23</f>
        <v>46.333333333333336</v>
      </c>
      <c r="I23" s="542">
        <f t="shared" si="3"/>
        <v>100</v>
      </c>
      <c r="J23" s="540">
        <f t="shared" si="4"/>
        <v>20</v>
      </c>
      <c r="K23" s="536">
        <f t="shared" si="5"/>
        <v>2.1582733812949639</v>
      </c>
      <c r="L23" s="1499">
        <v>40</v>
      </c>
      <c r="M23" s="1499">
        <v>40</v>
      </c>
      <c r="N23" s="1499"/>
      <c r="O23" s="647">
        <f t="shared" si="6"/>
        <v>5.5555555555555554</v>
      </c>
      <c r="P23" s="333"/>
    </row>
    <row r="24" spans="1:17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36"/>
      <c r="E24" s="537">
        <f t="shared" si="0"/>
        <v>0</v>
      </c>
      <c r="F24" s="536">
        <f t="shared" si="1"/>
        <v>0</v>
      </c>
      <c r="G24" s="536">
        <f t="shared" si="2"/>
        <v>0</v>
      </c>
      <c r="H24" s="538">
        <f>SUM($F$9:F24)/A24</f>
        <v>43.4375</v>
      </c>
      <c r="I24" s="539">
        <f t="shared" si="3"/>
        <v>100</v>
      </c>
      <c r="J24" s="540">
        <f t="shared" si="4"/>
        <v>20</v>
      </c>
      <c r="K24" s="536">
        <f t="shared" si="5"/>
        <v>2.3021582733812949</v>
      </c>
      <c r="L24" s="1499"/>
      <c r="M24" s="1499"/>
      <c r="N24" s="1499"/>
      <c r="O24" s="647">
        <f t="shared" si="6"/>
        <v>5.5555555555555554</v>
      </c>
      <c r="P24" s="333"/>
    </row>
    <row r="25" spans="1:17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36">
        <v>300</v>
      </c>
      <c r="E25" s="537">
        <f t="shared" si="0"/>
        <v>50</v>
      </c>
      <c r="F25" s="536">
        <f t="shared" si="1"/>
        <v>0</v>
      </c>
      <c r="G25" s="536">
        <f t="shared" si="2"/>
        <v>0</v>
      </c>
      <c r="H25" s="538">
        <f>SUM($F$9:F25)/A25</f>
        <v>40.882352941176471</v>
      </c>
      <c r="I25" s="539">
        <f t="shared" si="3"/>
        <v>400</v>
      </c>
      <c r="J25" s="540">
        <f t="shared" si="4"/>
        <v>80</v>
      </c>
      <c r="K25" s="536">
        <f t="shared" si="5"/>
        <v>9.7841726618705032</v>
      </c>
      <c r="L25" s="1499"/>
      <c r="M25" s="1499"/>
      <c r="N25" s="1499"/>
      <c r="O25" s="647">
        <f t="shared" si="6"/>
        <v>22.222222222222221</v>
      </c>
      <c r="P25" s="333"/>
    </row>
    <row r="26" spans="1:17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36"/>
      <c r="E26" s="537">
        <f t="shared" si="0"/>
        <v>0</v>
      </c>
      <c r="F26" s="536">
        <f t="shared" si="1"/>
        <v>10</v>
      </c>
      <c r="G26" s="536">
        <f t="shared" si="2"/>
        <v>2</v>
      </c>
      <c r="H26" s="538">
        <f>SUM($F$9:F26)/A26</f>
        <v>39.166666666666664</v>
      </c>
      <c r="I26" s="539">
        <f t="shared" si="3"/>
        <v>390</v>
      </c>
      <c r="J26" s="540">
        <f t="shared" si="4"/>
        <v>78</v>
      </c>
      <c r="K26" s="536">
        <f t="shared" si="5"/>
        <v>9.9574468085106389</v>
      </c>
      <c r="L26" s="1499">
        <v>10</v>
      </c>
      <c r="M26" s="1499"/>
      <c r="N26" s="1499"/>
      <c r="O26" s="647">
        <f t="shared" si="6"/>
        <v>21.666666666666668</v>
      </c>
      <c r="P26" s="333"/>
    </row>
    <row r="27" spans="1:17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36"/>
      <c r="E27" s="537">
        <f t="shared" si="0"/>
        <v>0</v>
      </c>
      <c r="F27" s="536">
        <f t="shared" si="1"/>
        <v>0</v>
      </c>
      <c r="G27" s="536">
        <f t="shared" si="2"/>
        <v>0</v>
      </c>
      <c r="H27" s="538">
        <f>SUM($F$9:F27)/A27</f>
        <v>37.10526315789474</v>
      </c>
      <c r="I27" s="539">
        <f t="shared" si="3"/>
        <v>390</v>
      </c>
      <c r="J27" s="540">
        <f t="shared" si="4"/>
        <v>78</v>
      </c>
      <c r="K27" s="536">
        <f t="shared" si="5"/>
        <v>10.51063829787234</v>
      </c>
      <c r="L27" s="1499"/>
      <c r="M27" s="1499"/>
      <c r="N27" s="1499"/>
      <c r="O27" s="647">
        <f t="shared" si="6"/>
        <v>21.666666666666668</v>
      </c>
      <c r="P27" s="333"/>
    </row>
    <row r="28" spans="1:17" s="367" customFormat="1" ht="12" customHeight="1">
      <c r="A28" s="401">
        <v>20</v>
      </c>
      <c r="B28" s="365">
        <f>'FRIT HGE91-FHG'!B28</f>
        <v>46254</v>
      </c>
      <c r="C28" s="331" t="s">
        <v>285</v>
      </c>
      <c r="D28" s="536"/>
      <c r="E28" s="537">
        <f t="shared" si="0"/>
        <v>0</v>
      </c>
      <c r="F28" s="536">
        <f t="shared" si="1"/>
        <v>0</v>
      </c>
      <c r="G28" s="536">
        <f t="shared" si="2"/>
        <v>0</v>
      </c>
      <c r="H28" s="541">
        <f>SUM($F$9:F28)/A28</f>
        <v>35.25</v>
      </c>
      <c r="I28" s="542">
        <f t="shared" si="3"/>
        <v>390</v>
      </c>
      <c r="J28" s="540">
        <f t="shared" si="4"/>
        <v>78</v>
      </c>
      <c r="K28" s="536">
        <f t="shared" si="5"/>
        <v>11.063829787234043</v>
      </c>
      <c r="L28" s="1499"/>
      <c r="M28" s="1499"/>
      <c r="N28" s="1499"/>
      <c r="O28" s="647">
        <f t="shared" si="6"/>
        <v>21.666666666666668</v>
      </c>
      <c r="P28" s="333"/>
    </row>
    <row r="29" spans="1:17" s="367" customFormat="1" ht="11.25" customHeight="1">
      <c r="A29" s="364">
        <v>21</v>
      </c>
      <c r="B29" s="365">
        <f>'FRIT HGE91-FHG'!B29</f>
        <v>46255</v>
      </c>
      <c r="C29" s="331" t="s">
        <v>285</v>
      </c>
      <c r="D29" s="536"/>
      <c r="E29" s="537">
        <f t="shared" si="0"/>
        <v>0</v>
      </c>
      <c r="F29" s="536">
        <f t="shared" si="1"/>
        <v>0</v>
      </c>
      <c r="G29" s="536">
        <f t="shared" si="2"/>
        <v>0</v>
      </c>
      <c r="H29" s="538">
        <f>SUM($F$9:F29)/A29</f>
        <v>33.571428571428569</v>
      </c>
      <c r="I29" s="539">
        <f t="shared" si="3"/>
        <v>390</v>
      </c>
      <c r="J29" s="540">
        <f t="shared" si="4"/>
        <v>78</v>
      </c>
      <c r="K29" s="536">
        <f t="shared" si="5"/>
        <v>11.617021276595745</v>
      </c>
      <c r="L29" s="1499"/>
      <c r="M29" s="1499"/>
      <c r="N29" s="1499"/>
      <c r="O29" s="647">
        <f t="shared" si="6"/>
        <v>21.666666666666668</v>
      </c>
      <c r="P29" s="333"/>
    </row>
    <row r="30" spans="1:17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36"/>
      <c r="E30" s="537">
        <f t="shared" si="0"/>
        <v>0</v>
      </c>
      <c r="F30" s="536">
        <f t="shared" si="1"/>
        <v>0</v>
      </c>
      <c r="G30" s="536">
        <f t="shared" si="2"/>
        <v>0</v>
      </c>
      <c r="H30" s="538">
        <f>SUM($F$9:F30)/A30</f>
        <v>32.045454545454547</v>
      </c>
      <c r="I30" s="539">
        <f t="shared" si="3"/>
        <v>390</v>
      </c>
      <c r="J30" s="540">
        <f t="shared" si="4"/>
        <v>78</v>
      </c>
      <c r="K30" s="536">
        <f t="shared" si="5"/>
        <v>12.170212765957446</v>
      </c>
      <c r="L30" s="1499"/>
      <c r="M30" s="1499"/>
      <c r="N30" s="1499"/>
      <c r="O30" s="647">
        <f t="shared" si="6"/>
        <v>21.666666666666668</v>
      </c>
      <c r="P30" s="333"/>
    </row>
    <row r="31" spans="1:17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36"/>
      <c r="E31" s="537">
        <f t="shared" si="0"/>
        <v>0</v>
      </c>
      <c r="F31" s="536">
        <f t="shared" si="1"/>
        <v>0</v>
      </c>
      <c r="G31" s="536">
        <f t="shared" si="2"/>
        <v>0</v>
      </c>
      <c r="H31" s="538">
        <f>SUM($F$9:F31)/A31</f>
        <v>30.652173913043477</v>
      </c>
      <c r="I31" s="539">
        <f t="shared" si="3"/>
        <v>390</v>
      </c>
      <c r="J31" s="540">
        <f t="shared" si="4"/>
        <v>78</v>
      </c>
      <c r="K31" s="536">
        <f t="shared" si="5"/>
        <v>12.723404255319149</v>
      </c>
      <c r="L31" s="1499"/>
      <c r="M31" s="1499"/>
      <c r="N31" s="1499"/>
      <c r="O31" s="647">
        <f t="shared" si="6"/>
        <v>21.666666666666668</v>
      </c>
      <c r="P31" s="333"/>
    </row>
    <row r="32" spans="1:17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36"/>
      <c r="E32" s="537">
        <f t="shared" si="0"/>
        <v>0</v>
      </c>
      <c r="F32" s="536">
        <f t="shared" si="1"/>
        <v>0</v>
      </c>
      <c r="G32" s="536">
        <f t="shared" si="2"/>
        <v>0</v>
      </c>
      <c r="H32" s="538">
        <f>SUM($F$9:F32)/A32</f>
        <v>29.375</v>
      </c>
      <c r="I32" s="539">
        <f t="shared" si="3"/>
        <v>390</v>
      </c>
      <c r="J32" s="540">
        <f t="shared" si="4"/>
        <v>78</v>
      </c>
      <c r="K32" s="536">
        <f t="shared" si="5"/>
        <v>13.276595744680851</v>
      </c>
      <c r="L32" s="1499"/>
      <c r="M32" s="1499"/>
      <c r="N32" s="1499"/>
      <c r="O32" s="647">
        <f t="shared" si="6"/>
        <v>21.666666666666668</v>
      </c>
      <c r="P32" s="333"/>
    </row>
    <row r="33" spans="1:16" s="367" customFormat="1" ht="12" customHeight="1">
      <c r="A33" s="402">
        <v>25</v>
      </c>
      <c r="B33" s="365">
        <f>'FRIT HGE91-FHG'!B33</f>
        <v>46259</v>
      </c>
      <c r="C33" s="331" t="s">
        <v>285</v>
      </c>
      <c r="D33" s="536"/>
      <c r="E33" s="537">
        <f t="shared" si="0"/>
        <v>0</v>
      </c>
      <c r="F33" s="536">
        <f t="shared" si="1"/>
        <v>0</v>
      </c>
      <c r="G33" s="536">
        <f t="shared" si="2"/>
        <v>0</v>
      </c>
      <c r="H33" s="543">
        <f>SUM($F$9:F33)/A33</f>
        <v>28.2</v>
      </c>
      <c r="I33" s="544">
        <f t="shared" si="3"/>
        <v>390</v>
      </c>
      <c r="J33" s="540">
        <f t="shared" si="4"/>
        <v>78</v>
      </c>
      <c r="K33" s="536">
        <f>I33/H33</f>
        <v>13.829787234042554</v>
      </c>
      <c r="L33" s="1499"/>
      <c r="M33" s="1499"/>
      <c r="N33" s="1499"/>
      <c r="O33" s="647">
        <f t="shared" si="6"/>
        <v>21.666666666666668</v>
      </c>
      <c r="P33" s="333"/>
    </row>
    <row r="34" spans="1:16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36"/>
      <c r="E34" s="537">
        <f t="shared" si="0"/>
        <v>0</v>
      </c>
      <c r="F34" s="536">
        <f t="shared" si="1"/>
        <v>0</v>
      </c>
      <c r="G34" s="536">
        <f t="shared" si="2"/>
        <v>0</v>
      </c>
      <c r="H34" s="538">
        <f>SUM($F$9:F34)/A34</f>
        <v>27.115384615384617</v>
      </c>
      <c r="I34" s="539">
        <f t="shared" si="3"/>
        <v>390</v>
      </c>
      <c r="J34" s="540">
        <f t="shared" si="4"/>
        <v>78</v>
      </c>
      <c r="K34" s="536">
        <f t="shared" si="5"/>
        <v>14.382978723404255</v>
      </c>
      <c r="L34" s="1499"/>
      <c r="M34" s="1499"/>
      <c r="N34" s="1499"/>
      <c r="O34" s="647">
        <f t="shared" si="6"/>
        <v>21.666666666666668</v>
      </c>
    </row>
    <row r="35" spans="1:16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36"/>
      <c r="E35" s="537">
        <f t="shared" si="0"/>
        <v>0</v>
      </c>
      <c r="F35" s="536">
        <f t="shared" si="1"/>
        <v>0</v>
      </c>
      <c r="G35" s="536">
        <f t="shared" si="2"/>
        <v>0</v>
      </c>
      <c r="H35" s="538">
        <f>SUM($F$9:F35)/A35</f>
        <v>26.111111111111111</v>
      </c>
      <c r="I35" s="539">
        <f t="shared" si="3"/>
        <v>390</v>
      </c>
      <c r="J35" s="540">
        <f t="shared" si="4"/>
        <v>78</v>
      </c>
      <c r="K35" s="536">
        <f t="shared" si="5"/>
        <v>14.936170212765958</v>
      </c>
      <c r="L35" s="1499"/>
      <c r="M35" s="1499"/>
      <c r="N35" s="1499"/>
      <c r="O35" s="647">
        <f t="shared" si="6"/>
        <v>21.666666666666668</v>
      </c>
    </row>
    <row r="36" spans="1:16" s="367" customFormat="1" ht="12" customHeight="1">
      <c r="A36" s="364">
        <v>28</v>
      </c>
      <c r="B36" s="365">
        <f>'FRIT HGE91-FHG'!B36</f>
        <v>46262</v>
      </c>
      <c r="C36" s="331" t="s">
        <v>346</v>
      </c>
      <c r="D36" s="536"/>
      <c r="E36" s="537">
        <f t="shared" si="0"/>
        <v>0</v>
      </c>
      <c r="F36" s="536">
        <f t="shared" si="1"/>
        <v>0</v>
      </c>
      <c r="G36" s="536">
        <f t="shared" si="2"/>
        <v>0</v>
      </c>
      <c r="H36" s="538">
        <f>SUM($F$9:F36)/A36</f>
        <v>25.178571428571427</v>
      </c>
      <c r="I36" s="539">
        <f t="shared" si="3"/>
        <v>390</v>
      </c>
      <c r="J36" s="540">
        <f t="shared" si="4"/>
        <v>78</v>
      </c>
      <c r="K36" s="536">
        <f t="shared" si="5"/>
        <v>15.48936170212766</v>
      </c>
      <c r="L36" s="1499"/>
      <c r="M36" s="1499"/>
      <c r="N36" s="1499"/>
      <c r="O36" s="647">
        <f>I36/$O$8</f>
        <v>21.666666666666668</v>
      </c>
    </row>
    <row r="37" spans="1:16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36"/>
      <c r="E37" s="537">
        <f t="shared" si="0"/>
        <v>0</v>
      </c>
      <c r="F37" s="536">
        <f t="shared" si="1"/>
        <v>0</v>
      </c>
      <c r="G37" s="536">
        <f t="shared" si="2"/>
        <v>0</v>
      </c>
      <c r="H37" s="538">
        <f>SUM($F$9:F37)/A37</f>
        <v>24.310344827586206</v>
      </c>
      <c r="I37" s="539">
        <f t="shared" si="3"/>
        <v>390</v>
      </c>
      <c r="J37" s="540">
        <f t="shared" si="4"/>
        <v>78</v>
      </c>
      <c r="K37" s="536">
        <f t="shared" si="5"/>
        <v>16.042553191489361</v>
      </c>
      <c r="L37" s="1499"/>
      <c r="M37" s="1499"/>
      <c r="N37" s="1499"/>
      <c r="O37" s="647">
        <f t="shared" si="6"/>
        <v>21.666666666666668</v>
      </c>
    </row>
    <row r="38" spans="1:16" s="367" customFormat="1" ht="12" customHeight="1">
      <c r="A38" s="401">
        <v>30</v>
      </c>
      <c r="B38" s="365">
        <f>'FRIT HGE91-FHG'!B38</f>
        <v>46264</v>
      </c>
      <c r="C38" s="331" t="s">
        <v>346</v>
      </c>
      <c r="D38" s="536"/>
      <c r="E38" s="537">
        <f t="shared" si="0"/>
        <v>0</v>
      </c>
      <c r="F38" s="536">
        <f t="shared" si="1"/>
        <v>0</v>
      </c>
      <c r="G38" s="536">
        <f t="shared" si="2"/>
        <v>0</v>
      </c>
      <c r="H38" s="541">
        <f>SUM($F$9:F38)/A38</f>
        <v>23.5</v>
      </c>
      <c r="I38" s="542">
        <f t="shared" si="3"/>
        <v>390</v>
      </c>
      <c r="J38" s="540">
        <f t="shared" si="4"/>
        <v>78</v>
      </c>
      <c r="K38" s="536">
        <f t="shared" si="5"/>
        <v>16.595744680851062</v>
      </c>
      <c r="L38" s="1499"/>
      <c r="M38" s="1499"/>
      <c r="N38" s="1499"/>
      <c r="O38" s="647">
        <f t="shared" si="6"/>
        <v>21.666666666666668</v>
      </c>
    </row>
    <row r="39" spans="1:16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36"/>
      <c r="E39" s="537">
        <f t="shared" si="0"/>
        <v>0</v>
      </c>
      <c r="F39" s="536">
        <f t="shared" si="1"/>
        <v>0</v>
      </c>
      <c r="G39" s="536">
        <f t="shared" si="2"/>
        <v>0</v>
      </c>
      <c r="H39" s="538">
        <f>SUM($F$9:F39)/A39</f>
        <v>22.741935483870968</v>
      </c>
      <c r="I39" s="539">
        <f t="shared" si="3"/>
        <v>390</v>
      </c>
      <c r="J39" s="540">
        <f t="shared" si="4"/>
        <v>78</v>
      </c>
      <c r="K39" s="536">
        <f t="shared" si="5"/>
        <v>17.148936170212767</v>
      </c>
      <c r="L39" s="1499"/>
      <c r="M39" s="1499"/>
      <c r="N39" s="1499"/>
      <c r="O39" s="647">
        <f t="shared" si="6"/>
        <v>21.666666666666668</v>
      </c>
    </row>
    <row r="40" spans="1:16" s="374" customFormat="1" ht="12" customHeight="1">
      <c r="A40" s="1613" t="s">
        <v>29</v>
      </c>
      <c r="B40" s="1614"/>
      <c r="C40" s="1615"/>
      <c r="D40" s="545">
        <f>SUM(D9:D39)</f>
        <v>540</v>
      </c>
      <c r="E40" s="545">
        <f>SUM(E9:E39)</f>
        <v>90</v>
      </c>
      <c r="F40" s="533">
        <f>SUM(F9:F39)</f>
        <v>705</v>
      </c>
      <c r="G40" s="546">
        <f>SUM(G9:G39)</f>
        <v>141</v>
      </c>
      <c r="H40" s="533"/>
      <c r="I40" s="547">
        <f>I39</f>
        <v>390</v>
      </c>
      <c r="J40" s="547">
        <f>J39</f>
        <v>78</v>
      </c>
      <c r="K40" s="532"/>
      <c r="L40" s="691">
        <f>SUM(L9:L39)</f>
        <v>285</v>
      </c>
      <c r="M40" s="691">
        <f t="shared" ref="M40:N40" si="7">SUM(M9:M39)</f>
        <v>420</v>
      </c>
      <c r="N40" s="691">
        <f t="shared" si="7"/>
        <v>0</v>
      </c>
    </row>
    <row r="41" spans="1:16" s="374" customFormat="1" ht="12" customHeight="1">
      <c r="A41" s="1613" t="s">
        <v>15</v>
      </c>
      <c r="B41" s="1614"/>
      <c r="C41" s="1615"/>
      <c r="D41" s="545">
        <f>D8+D40</f>
        <v>1095</v>
      </c>
      <c r="E41" s="545">
        <f>E8+E40</f>
        <v>201</v>
      </c>
      <c r="F41" s="533">
        <f>F40</f>
        <v>705</v>
      </c>
      <c r="G41" s="546">
        <f>G40</f>
        <v>141</v>
      </c>
      <c r="H41" s="533"/>
      <c r="I41" s="533">
        <f>D41-F41</f>
        <v>390</v>
      </c>
      <c r="J41" s="533">
        <f>E41-G41</f>
        <v>60</v>
      </c>
      <c r="K41" s="532"/>
      <c r="L41" s="694"/>
      <c r="M41" s="694"/>
      <c r="N41" s="694"/>
    </row>
    <row r="42" spans="1:16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L42" s="343"/>
      <c r="M42" s="343"/>
      <c r="N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6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  <c r="L46" s="343"/>
      <c r="M46" s="343"/>
      <c r="N46" s="343"/>
    </row>
    <row r="47" spans="1:16">
      <c r="D47" s="42"/>
      <c r="E47" s="42"/>
      <c r="F47" s="42"/>
      <c r="G47" s="42"/>
      <c r="H47" s="42"/>
      <c r="I47" s="42"/>
      <c r="J47" s="260"/>
    </row>
    <row r="48" spans="1:16">
      <c r="J48" s="260"/>
    </row>
  </sheetData>
  <mergeCells count="16">
    <mergeCell ref="A4:B4"/>
    <mergeCell ref="A3:O3"/>
    <mergeCell ref="L6:L7"/>
    <mergeCell ref="M6:M7"/>
    <mergeCell ref="A8:C8"/>
    <mergeCell ref="D6:E6"/>
    <mergeCell ref="F6:G6"/>
    <mergeCell ref="H6:H7"/>
    <mergeCell ref="I6:J6"/>
    <mergeCell ref="K6:K7"/>
    <mergeCell ref="N6:N7"/>
    <mergeCell ref="A40:C40"/>
    <mergeCell ref="A41:C41"/>
    <mergeCell ref="A6:A7"/>
    <mergeCell ref="B6:B7"/>
    <mergeCell ref="C6:C7"/>
  </mergeCells>
  <conditionalFormatting sqref="K40:K41">
    <cfRule type="cellIs" dxfId="8912" priority="25" operator="between">
      <formula>15</formula>
      <formula>20</formula>
    </cfRule>
    <cfRule type="cellIs" dxfId="8911" priority="26" operator="lessThan">
      <formula>15</formula>
    </cfRule>
    <cfRule type="cellIs" dxfId="8910" priority="27" operator="greaterThan">
      <formula>20</formula>
    </cfRule>
  </conditionalFormatting>
  <conditionalFormatting sqref="K9:K39">
    <cfRule type="cellIs" dxfId="8909" priority="1" operator="between">
      <formula>15</formula>
      <formula>20</formula>
    </cfRule>
    <cfRule type="cellIs" dxfId="8908" priority="2" operator="lessThan">
      <formula>15</formula>
    </cfRule>
    <cfRule type="cellIs" dxfId="8907" priority="3" operator="greaterThan">
      <formula>20</formula>
    </cfRule>
  </conditionalFormatting>
  <hyperlinks>
    <hyperlink ref="K5" location="'TỔNG HỢP THÁNG'!A1" display="'TỔNG HỢP THÁNG'!A1"/>
  </hyperlinks>
  <pageMargins left="0.39370078740157483" right="0" top="0" bottom="0" header="0.23622047244094491" footer="0.31496062992125984"/>
  <pageSetup paperSize="8" orientation="landscape" horizontalDpi="4294967292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A48"/>
  <sheetViews>
    <sheetView zoomScaleSheetLayoutView="78" workbookViewId="0">
      <pane ySplit="8" topLeftCell="A12" activePane="bottomLeft" state="frozen"/>
      <selection pane="bottomLeft" activeCell="A26" sqref="A26:XFD26"/>
    </sheetView>
  </sheetViews>
  <sheetFormatPr defaultColWidth="9.28515625" defaultRowHeight="16.5"/>
  <cols>
    <col min="1" max="1" width="4.85546875" style="42" customWidth="1"/>
    <col min="2" max="2" width="9" style="42" customWidth="1"/>
    <col min="3" max="3" width="15.85546875" style="42" customWidth="1"/>
    <col min="4" max="10" width="10.85546875" style="6" customWidth="1"/>
    <col min="11" max="11" width="14.7109375" style="42" customWidth="1"/>
    <col min="12" max="12" width="9.85546875" style="6" customWidth="1"/>
    <col min="13" max="15" width="9.5703125" style="6" customWidth="1"/>
    <col min="16" max="16" width="11.5703125" style="143" bestFit="1" customWidth="1"/>
    <col min="17" max="17" width="10.85546875" style="42" customWidth="1"/>
    <col min="18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142"/>
      <c r="M1" s="142"/>
      <c r="N1" s="142"/>
      <c r="O1" s="142"/>
      <c r="P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>
        <v>228</v>
      </c>
      <c r="J2" s="324">
        <v>38</v>
      </c>
      <c r="K2" s="183" t="s">
        <v>113</v>
      </c>
      <c r="L2" s="142"/>
      <c r="M2" s="142"/>
      <c r="N2" s="142"/>
      <c r="O2" s="142"/>
      <c r="P2" s="323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500"/>
      <c r="P3" s="1500"/>
    </row>
    <row r="4" spans="1:27" s="376" customFormat="1" ht="14.25" customHeight="1">
      <c r="A4" s="1600" t="s">
        <v>33</v>
      </c>
      <c r="B4" s="1600"/>
      <c r="C4" s="318" t="str">
        <f>J4</f>
        <v>MÀU NÂU CIK-MA5455</v>
      </c>
      <c r="D4" s="383"/>
      <c r="E4" s="383" t="s">
        <v>228</v>
      </c>
      <c r="F4" s="383" t="s">
        <v>234</v>
      </c>
      <c r="G4" s="383"/>
      <c r="I4" s="325" t="s">
        <v>114</v>
      </c>
      <c r="J4" s="318" t="s">
        <v>267</v>
      </c>
      <c r="K4" s="319"/>
      <c r="L4" s="383"/>
      <c r="M4" s="383"/>
      <c r="N4" s="383"/>
      <c r="O4" s="383"/>
      <c r="P4" s="143"/>
    </row>
    <row r="5" spans="1:27" s="324" customFormat="1" ht="14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508" t="s">
        <v>292</v>
      </c>
      <c r="K5" s="375" t="s">
        <v>149</v>
      </c>
      <c r="L5" s="343"/>
      <c r="M5" s="343"/>
      <c r="N5" s="343"/>
      <c r="O5" s="343"/>
      <c r="P5" s="143"/>
    </row>
    <row r="6" spans="1:27" s="355" customFormat="1" ht="12.75" customHeight="1">
      <c r="A6" s="1630" t="s">
        <v>2</v>
      </c>
      <c r="B6" s="1631" t="s">
        <v>1</v>
      </c>
      <c r="C6" s="1631" t="s">
        <v>24</v>
      </c>
      <c r="D6" s="1629" t="s">
        <v>250</v>
      </c>
      <c r="E6" s="1629"/>
      <c r="F6" s="1629" t="s">
        <v>249</v>
      </c>
      <c r="G6" s="1629"/>
      <c r="H6" s="1629" t="s">
        <v>265</v>
      </c>
      <c r="I6" s="1629" t="s">
        <v>253</v>
      </c>
      <c r="J6" s="1629"/>
      <c r="K6" s="1629" t="s">
        <v>30</v>
      </c>
      <c r="L6" s="1620" t="s">
        <v>343</v>
      </c>
      <c r="M6" s="1620" t="s">
        <v>244</v>
      </c>
      <c r="N6" s="1620" t="s">
        <v>342</v>
      </c>
      <c r="O6" s="1626" t="s">
        <v>824</v>
      </c>
      <c r="P6" s="143"/>
    </row>
    <row r="7" spans="1:27" s="355" customFormat="1" ht="12.75" customHeight="1">
      <c r="A7" s="1630"/>
      <c r="B7" s="1631"/>
      <c r="C7" s="1631"/>
      <c r="D7" s="407" t="s">
        <v>10</v>
      </c>
      <c r="E7" s="407" t="s">
        <v>58</v>
      </c>
      <c r="F7" s="407" t="s">
        <v>10</v>
      </c>
      <c r="G7" s="407" t="s">
        <v>58</v>
      </c>
      <c r="H7" s="1629"/>
      <c r="I7" s="407" t="s">
        <v>10</v>
      </c>
      <c r="J7" s="407" t="s">
        <v>58</v>
      </c>
      <c r="K7" s="1629"/>
      <c r="L7" s="1621"/>
      <c r="M7" s="1621"/>
      <c r="N7" s="1621"/>
      <c r="O7" s="1626"/>
      <c r="P7" s="143"/>
    </row>
    <row r="8" spans="1:27" s="305" customFormat="1" ht="12" customHeight="1">
      <c r="A8" s="1627" t="s">
        <v>3</v>
      </c>
      <c r="B8" s="1627"/>
      <c r="C8" s="1627"/>
      <c r="D8" s="406">
        <f>I8</f>
        <v>252</v>
      </c>
      <c r="E8" s="406">
        <f>J8</f>
        <v>42</v>
      </c>
      <c r="F8" s="509">
        <f>F40</f>
        <v>174</v>
      </c>
      <c r="G8" s="510">
        <f>G40</f>
        <v>29</v>
      </c>
      <c r="H8" s="406"/>
      <c r="I8" s="324">
        <v>252</v>
      </c>
      <c r="J8" s="628">
        <f>I8/6</f>
        <v>42</v>
      </c>
      <c r="K8" s="399"/>
      <c r="L8" s="688"/>
      <c r="M8" s="688"/>
      <c r="N8" s="688"/>
      <c r="O8" s="1021"/>
      <c r="P8" s="143">
        <v>12</v>
      </c>
    </row>
    <row r="9" spans="1:27" s="333" customFormat="1" ht="12" customHeight="1">
      <c r="A9" s="364">
        <v>1</v>
      </c>
      <c r="B9" s="365">
        <f>'FRIT HGE91-FHG'!B9</f>
        <v>46235</v>
      </c>
      <c r="C9" s="331" t="s">
        <v>285</v>
      </c>
      <c r="D9" s="511"/>
      <c r="E9" s="512">
        <f>D9/6</f>
        <v>0</v>
      </c>
      <c r="F9" s="511">
        <f>L9+M9+N9+O9</f>
        <v>6</v>
      </c>
      <c r="G9" s="511">
        <f>F9/6</f>
        <v>1</v>
      </c>
      <c r="H9" s="513">
        <f>SUM($F$9:F9)/A9</f>
        <v>6</v>
      </c>
      <c r="I9" s="514">
        <f>I8+D9-F9</f>
        <v>246</v>
      </c>
      <c r="J9" s="515">
        <f>I9/6</f>
        <v>41</v>
      </c>
      <c r="K9" s="400">
        <f>I9/H9</f>
        <v>41</v>
      </c>
      <c r="L9" s="1499">
        <v>6</v>
      </c>
      <c r="M9" s="1499"/>
      <c r="N9" s="1499"/>
      <c r="O9" s="1499"/>
      <c r="P9" s="647">
        <f>I9/$P$8</f>
        <v>20.5</v>
      </c>
    </row>
    <row r="10" spans="1:27" s="333" customFormat="1" ht="12" customHeight="1">
      <c r="A10" s="364">
        <v>2</v>
      </c>
      <c r="B10" s="365">
        <f>'FRIT HGE91-FHG'!B10</f>
        <v>46236</v>
      </c>
      <c r="C10" s="331" t="s">
        <v>285</v>
      </c>
      <c r="D10" s="511"/>
      <c r="E10" s="512">
        <f t="shared" ref="E10:E39" si="0">D10/6</f>
        <v>0</v>
      </c>
      <c r="F10" s="511">
        <f t="shared" ref="F10:F39" si="1">L10+M10+N10+O10</f>
        <v>0</v>
      </c>
      <c r="G10" s="511">
        <f t="shared" ref="G10:G39" si="2">F10/6</f>
        <v>0</v>
      </c>
      <c r="H10" s="513">
        <f>SUM($F$9:F10)/A10</f>
        <v>3</v>
      </c>
      <c r="I10" s="514">
        <f t="shared" ref="I10:I39" si="3">I9+D10-F10</f>
        <v>246</v>
      </c>
      <c r="J10" s="515">
        <f t="shared" ref="J10:J39" si="4">I10/6</f>
        <v>41</v>
      </c>
      <c r="K10" s="400">
        <f t="shared" ref="K10:K39" si="5">I10/H10</f>
        <v>82</v>
      </c>
      <c r="L10" s="1499"/>
      <c r="M10" s="1499"/>
      <c r="N10" s="1499"/>
      <c r="O10" s="1499"/>
      <c r="P10" s="647">
        <f t="shared" ref="P10:P39" si="6">I10/$P$8</f>
        <v>20.5</v>
      </c>
    </row>
    <row r="11" spans="1:27" s="333" customFormat="1" ht="12" customHeight="1">
      <c r="A11" s="364">
        <v>3</v>
      </c>
      <c r="B11" s="365">
        <f>'FRIT HGE91-FHG'!B11</f>
        <v>46237</v>
      </c>
      <c r="C11" s="331" t="s">
        <v>285</v>
      </c>
      <c r="D11" s="511"/>
      <c r="E11" s="512">
        <f t="shared" si="0"/>
        <v>0</v>
      </c>
      <c r="F11" s="511">
        <f t="shared" si="1"/>
        <v>6</v>
      </c>
      <c r="G11" s="511">
        <f t="shared" si="2"/>
        <v>1</v>
      </c>
      <c r="H11" s="513">
        <f>SUM($F$9:F11)/A11</f>
        <v>4</v>
      </c>
      <c r="I11" s="514">
        <f t="shared" si="3"/>
        <v>240</v>
      </c>
      <c r="J11" s="515">
        <f t="shared" si="4"/>
        <v>40</v>
      </c>
      <c r="K11" s="400">
        <f t="shared" si="5"/>
        <v>60</v>
      </c>
      <c r="L11" s="1499">
        <v>6</v>
      </c>
      <c r="M11" s="1499"/>
      <c r="N11" s="1499"/>
      <c r="O11" s="1499"/>
      <c r="P11" s="647">
        <f t="shared" si="6"/>
        <v>20</v>
      </c>
    </row>
    <row r="12" spans="1:27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11"/>
      <c r="E12" s="512">
        <f t="shared" si="0"/>
        <v>0</v>
      </c>
      <c r="F12" s="511">
        <f t="shared" si="1"/>
        <v>0</v>
      </c>
      <c r="G12" s="511">
        <f t="shared" si="2"/>
        <v>0</v>
      </c>
      <c r="H12" s="513">
        <f>SUM($F$9:F12)/A12</f>
        <v>3</v>
      </c>
      <c r="I12" s="514">
        <f t="shared" si="3"/>
        <v>240</v>
      </c>
      <c r="J12" s="515">
        <f t="shared" si="4"/>
        <v>40</v>
      </c>
      <c r="K12" s="400">
        <f t="shared" si="5"/>
        <v>80</v>
      </c>
      <c r="L12" s="1499"/>
      <c r="M12" s="1499"/>
      <c r="N12" s="1499"/>
      <c r="O12" s="1499"/>
      <c r="P12" s="647">
        <f t="shared" si="6"/>
        <v>20</v>
      </c>
      <c r="Q12" s="333"/>
    </row>
    <row r="13" spans="1:27" s="367" customFormat="1" ht="12" customHeight="1">
      <c r="A13" s="401">
        <v>5</v>
      </c>
      <c r="B13" s="365">
        <f>'FRIT HGE91-FHG'!B13</f>
        <v>46239</v>
      </c>
      <c r="C13" s="331" t="s">
        <v>285</v>
      </c>
      <c r="D13" s="511"/>
      <c r="E13" s="512">
        <f t="shared" si="0"/>
        <v>0</v>
      </c>
      <c r="F13" s="511">
        <f t="shared" si="1"/>
        <v>24</v>
      </c>
      <c r="G13" s="511">
        <f t="shared" si="2"/>
        <v>4</v>
      </c>
      <c r="H13" s="516">
        <f>SUM($F$9:F13)/A13</f>
        <v>7.2</v>
      </c>
      <c r="I13" s="517">
        <f t="shared" si="3"/>
        <v>216</v>
      </c>
      <c r="J13" s="515">
        <f t="shared" si="4"/>
        <v>36</v>
      </c>
      <c r="K13" s="400">
        <f t="shared" si="5"/>
        <v>30</v>
      </c>
      <c r="L13" s="1499"/>
      <c r="M13" s="1499">
        <v>24</v>
      </c>
      <c r="N13" s="1499"/>
      <c r="O13" s="1499"/>
      <c r="P13" s="647">
        <f t="shared" si="6"/>
        <v>18</v>
      </c>
      <c r="Q13" s="333"/>
    </row>
    <row r="14" spans="1:27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11"/>
      <c r="E14" s="512">
        <f t="shared" si="0"/>
        <v>0</v>
      </c>
      <c r="F14" s="511">
        <f t="shared" si="1"/>
        <v>0</v>
      </c>
      <c r="G14" s="511">
        <f t="shared" si="2"/>
        <v>0</v>
      </c>
      <c r="H14" s="513">
        <f>SUM($F$9:F14)/A14</f>
        <v>6</v>
      </c>
      <c r="I14" s="514">
        <f t="shared" si="3"/>
        <v>216</v>
      </c>
      <c r="J14" s="515">
        <f t="shared" si="4"/>
        <v>36</v>
      </c>
      <c r="K14" s="400">
        <f t="shared" si="5"/>
        <v>36</v>
      </c>
      <c r="L14" s="1499"/>
      <c r="M14" s="1499"/>
      <c r="N14" s="1499"/>
      <c r="O14" s="1499"/>
      <c r="P14" s="647">
        <f t="shared" si="6"/>
        <v>18</v>
      </c>
      <c r="Q14" s="333"/>
    </row>
    <row r="15" spans="1:27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11"/>
      <c r="E15" s="512">
        <f t="shared" si="0"/>
        <v>0</v>
      </c>
      <c r="F15" s="511">
        <f t="shared" si="1"/>
        <v>6</v>
      </c>
      <c r="G15" s="511">
        <f t="shared" si="2"/>
        <v>1</v>
      </c>
      <c r="H15" s="513">
        <f>SUM($F$9:F15)/A15</f>
        <v>6</v>
      </c>
      <c r="I15" s="514">
        <f t="shared" si="3"/>
        <v>210</v>
      </c>
      <c r="J15" s="515">
        <f t="shared" si="4"/>
        <v>35</v>
      </c>
      <c r="K15" s="400">
        <f t="shared" si="5"/>
        <v>35</v>
      </c>
      <c r="L15" s="1499">
        <v>6</v>
      </c>
      <c r="M15" s="1499"/>
      <c r="N15" s="1499"/>
      <c r="O15" s="1499"/>
      <c r="P15" s="647">
        <f t="shared" si="6"/>
        <v>17.5</v>
      </c>
      <c r="Q15" s="333"/>
    </row>
    <row r="16" spans="1:27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11"/>
      <c r="E16" s="512">
        <f t="shared" si="0"/>
        <v>0</v>
      </c>
      <c r="F16" s="511">
        <f t="shared" si="1"/>
        <v>6</v>
      </c>
      <c r="G16" s="511">
        <f t="shared" si="2"/>
        <v>1</v>
      </c>
      <c r="H16" s="513">
        <f>SUM($F$9:F16)/A16</f>
        <v>6</v>
      </c>
      <c r="I16" s="514">
        <f t="shared" si="3"/>
        <v>204</v>
      </c>
      <c r="J16" s="515">
        <f t="shared" si="4"/>
        <v>34</v>
      </c>
      <c r="K16" s="400">
        <f t="shared" si="5"/>
        <v>34</v>
      </c>
      <c r="L16" s="1499">
        <v>6</v>
      </c>
      <c r="M16" s="1499"/>
      <c r="N16" s="1499"/>
      <c r="O16" s="1499"/>
      <c r="P16" s="647">
        <f t="shared" si="6"/>
        <v>17</v>
      </c>
      <c r="Q16" s="333"/>
    </row>
    <row r="17" spans="1:17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11"/>
      <c r="E17" s="512">
        <f t="shared" si="0"/>
        <v>0</v>
      </c>
      <c r="F17" s="511">
        <f t="shared" si="1"/>
        <v>0</v>
      </c>
      <c r="G17" s="511">
        <f t="shared" si="2"/>
        <v>0</v>
      </c>
      <c r="H17" s="513">
        <f>SUM($F$9:F17)/A17</f>
        <v>5.333333333333333</v>
      </c>
      <c r="I17" s="514">
        <f t="shared" si="3"/>
        <v>204</v>
      </c>
      <c r="J17" s="515">
        <f t="shared" si="4"/>
        <v>34</v>
      </c>
      <c r="K17" s="400">
        <f t="shared" si="5"/>
        <v>38.25</v>
      </c>
      <c r="L17" s="1499"/>
      <c r="M17" s="1499"/>
      <c r="N17" s="1499"/>
      <c r="O17" s="1499"/>
      <c r="P17" s="647">
        <f t="shared" si="6"/>
        <v>17</v>
      </c>
      <c r="Q17" s="333"/>
    </row>
    <row r="18" spans="1:17" s="367" customFormat="1" ht="12" customHeight="1">
      <c r="A18" s="401">
        <v>10</v>
      </c>
      <c r="B18" s="365">
        <f>'FRIT HGE91-FHG'!B18</f>
        <v>46244</v>
      </c>
      <c r="C18" s="331" t="s">
        <v>285</v>
      </c>
      <c r="D18" s="511"/>
      <c r="E18" s="512">
        <f t="shared" si="0"/>
        <v>0</v>
      </c>
      <c r="F18" s="511">
        <f t="shared" si="1"/>
        <v>6</v>
      </c>
      <c r="G18" s="511">
        <f t="shared" si="2"/>
        <v>1</v>
      </c>
      <c r="H18" s="516">
        <f>SUM($F$9:F18)/A18</f>
        <v>5.4</v>
      </c>
      <c r="I18" s="517">
        <f t="shared" si="3"/>
        <v>198</v>
      </c>
      <c r="J18" s="515">
        <f t="shared" si="4"/>
        <v>33</v>
      </c>
      <c r="K18" s="400">
        <f t="shared" si="5"/>
        <v>36.666666666666664</v>
      </c>
      <c r="L18" s="1499">
        <v>6</v>
      </c>
      <c r="M18" s="1499"/>
      <c r="N18" s="1499"/>
      <c r="O18" s="1499"/>
      <c r="P18" s="647">
        <f t="shared" si="6"/>
        <v>16.5</v>
      </c>
      <c r="Q18" s="333"/>
    </row>
    <row r="19" spans="1:17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11"/>
      <c r="E19" s="512">
        <f t="shared" si="0"/>
        <v>0</v>
      </c>
      <c r="F19" s="511">
        <f t="shared" si="1"/>
        <v>12</v>
      </c>
      <c r="G19" s="511">
        <f t="shared" si="2"/>
        <v>2</v>
      </c>
      <c r="H19" s="513">
        <f>SUM($F$9:F19)/A19</f>
        <v>6</v>
      </c>
      <c r="I19" s="514">
        <f t="shared" si="3"/>
        <v>186</v>
      </c>
      <c r="J19" s="515">
        <f t="shared" si="4"/>
        <v>31</v>
      </c>
      <c r="K19" s="400">
        <f t="shared" si="5"/>
        <v>31</v>
      </c>
      <c r="L19" s="1499">
        <v>12</v>
      </c>
      <c r="M19" s="1499"/>
      <c r="N19" s="1499"/>
      <c r="O19" s="1499"/>
      <c r="P19" s="647">
        <f t="shared" si="6"/>
        <v>15.5</v>
      </c>
      <c r="Q19" s="333"/>
    </row>
    <row r="20" spans="1:17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11"/>
      <c r="E20" s="512">
        <f t="shared" si="0"/>
        <v>0</v>
      </c>
      <c r="F20" s="511">
        <f t="shared" si="1"/>
        <v>0</v>
      </c>
      <c r="G20" s="511">
        <f t="shared" si="2"/>
        <v>0</v>
      </c>
      <c r="H20" s="513">
        <f>SUM($F$9:F20)/A20</f>
        <v>5.5</v>
      </c>
      <c r="I20" s="514">
        <f t="shared" si="3"/>
        <v>186</v>
      </c>
      <c r="J20" s="515">
        <f t="shared" si="4"/>
        <v>31</v>
      </c>
      <c r="K20" s="400">
        <f t="shared" si="5"/>
        <v>33.81818181818182</v>
      </c>
      <c r="L20" s="1499"/>
      <c r="M20" s="1499"/>
      <c r="N20" s="1499"/>
      <c r="O20" s="1499"/>
      <c r="P20" s="647">
        <f t="shared" si="6"/>
        <v>15.5</v>
      </c>
      <c r="Q20" s="333"/>
    </row>
    <row r="21" spans="1:17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11"/>
      <c r="E21" s="512">
        <f t="shared" si="0"/>
        <v>0</v>
      </c>
      <c r="F21" s="511">
        <f t="shared" si="1"/>
        <v>54</v>
      </c>
      <c r="G21" s="511">
        <f t="shared" si="2"/>
        <v>9</v>
      </c>
      <c r="H21" s="513">
        <f>SUM($F$9:F21)/A21</f>
        <v>9.2307692307692299</v>
      </c>
      <c r="I21" s="514">
        <f t="shared" si="3"/>
        <v>132</v>
      </c>
      <c r="J21" s="515">
        <f t="shared" si="4"/>
        <v>22</v>
      </c>
      <c r="K21" s="400">
        <f t="shared" si="5"/>
        <v>14.3</v>
      </c>
      <c r="L21" s="1499">
        <v>6</v>
      </c>
      <c r="M21" s="1499">
        <v>48</v>
      </c>
      <c r="N21" s="1499"/>
      <c r="O21" s="1499"/>
      <c r="P21" s="647">
        <f t="shared" si="6"/>
        <v>11</v>
      </c>
      <c r="Q21" s="333"/>
    </row>
    <row r="22" spans="1:17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11"/>
      <c r="E22" s="512">
        <f t="shared" si="0"/>
        <v>0</v>
      </c>
      <c r="F22" s="511">
        <f t="shared" si="1"/>
        <v>6</v>
      </c>
      <c r="G22" s="511">
        <f t="shared" si="2"/>
        <v>1</v>
      </c>
      <c r="H22" s="513">
        <f>SUM($F$9:F22)/A22</f>
        <v>9</v>
      </c>
      <c r="I22" s="514">
        <f t="shared" si="3"/>
        <v>126</v>
      </c>
      <c r="J22" s="515">
        <f t="shared" si="4"/>
        <v>21</v>
      </c>
      <c r="K22" s="400">
        <f t="shared" si="5"/>
        <v>14</v>
      </c>
      <c r="L22" s="1499">
        <v>6</v>
      </c>
      <c r="M22" s="1499"/>
      <c r="N22" s="1499"/>
      <c r="O22" s="1499"/>
      <c r="P22" s="647">
        <f t="shared" si="6"/>
        <v>10.5</v>
      </c>
    </row>
    <row r="23" spans="1:17" s="367" customFormat="1" ht="12" customHeight="1">
      <c r="A23" s="401">
        <v>15</v>
      </c>
      <c r="B23" s="365">
        <f>'FRIT HGE91-FHG'!B23</f>
        <v>46249</v>
      </c>
      <c r="C23" s="331" t="s">
        <v>285</v>
      </c>
      <c r="D23" s="511"/>
      <c r="E23" s="512">
        <f t="shared" si="0"/>
        <v>0</v>
      </c>
      <c r="F23" s="511">
        <f t="shared" si="1"/>
        <v>36</v>
      </c>
      <c r="G23" s="511">
        <f t="shared" si="2"/>
        <v>6</v>
      </c>
      <c r="H23" s="516">
        <f>SUM($F$9:F23)/A23</f>
        <v>10.8</v>
      </c>
      <c r="I23" s="517">
        <f t="shared" si="3"/>
        <v>90</v>
      </c>
      <c r="J23" s="515">
        <f t="shared" si="4"/>
        <v>15</v>
      </c>
      <c r="K23" s="400">
        <f t="shared" si="5"/>
        <v>8.3333333333333321</v>
      </c>
      <c r="L23" s="1499">
        <v>12</v>
      </c>
      <c r="M23" s="1499">
        <v>24</v>
      </c>
      <c r="N23" s="1499"/>
      <c r="O23" s="1499"/>
      <c r="P23" s="647">
        <f t="shared" si="6"/>
        <v>7.5</v>
      </c>
    </row>
    <row r="24" spans="1:17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11"/>
      <c r="E24" s="512">
        <f>D24/6</f>
        <v>0</v>
      </c>
      <c r="F24" s="511">
        <f t="shared" si="1"/>
        <v>0</v>
      </c>
      <c r="G24" s="511">
        <f t="shared" si="2"/>
        <v>0</v>
      </c>
      <c r="H24" s="513">
        <f>SUM($F$9:F24)/A24</f>
        <v>10.125</v>
      </c>
      <c r="I24" s="514">
        <f>I23+D24-F24</f>
        <v>90</v>
      </c>
      <c r="J24" s="515">
        <f t="shared" si="4"/>
        <v>15</v>
      </c>
      <c r="K24" s="400">
        <f t="shared" si="5"/>
        <v>8.8888888888888893</v>
      </c>
      <c r="L24" s="1499"/>
      <c r="M24" s="1499"/>
      <c r="N24" s="1499"/>
      <c r="O24" s="1499"/>
      <c r="P24" s="647">
        <f t="shared" si="6"/>
        <v>7.5</v>
      </c>
    </row>
    <row r="25" spans="1:17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11">
        <v>120</v>
      </c>
      <c r="E25" s="512">
        <f t="shared" si="0"/>
        <v>20</v>
      </c>
      <c r="F25" s="511">
        <f t="shared" si="1"/>
        <v>12</v>
      </c>
      <c r="G25" s="511">
        <f t="shared" si="2"/>
        <v>2</v>
      </c>
      <c r="H25" s="513">
        <f>SUM($F$9:F25)/A25</f>
        <v>10.235294117647058</v>
      </c>
      <c r="I25" s="514">
        <f t="shared" si="3"/>
        <v>198</v>
      </c>
      <c r="J25" s="515">
        <f t="shared" si="4"/>
        <v>33</v>
      </c>
      <c r="K25" s="400">
        <f t="shared" si="5"/>
        <v>19.344827586206897</v>
      </c>
      <c r="L25" s="1499">
        <v>12</v>
      </c>
      <c r="M25" s="1499"/>
      <c r="N25" s="1499"/>
      <c r="O25" s="1499"/>
      <c r="P25" s="647">
        <f t="shared" si="6"/>
        <v>16.5</v>
      </c>
    </row>
    <row r="26" spans="1:17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11"/>
      <c r="E26" s="512">
        <f t="shared" si="0"/>
        <v>0</v>
      </c>
      <c r="F26" s="511">
        <f t="shared" si="1"/>
        <v>0</v>
      </c>
      <c r="G26" s="511">
        <f t="shared" si="2"/>
        <v>0</v>
      </c>
      <c r="H26" s="513">
        <f>SUM($F$9:F26)/A26</f>
        <v>9.6666666666666661</v>
      </c>
      <c r="I26" s="514">
        <f t="shared" si="3"/>
        <v>198</v>
      </c>
      <c r="J26" s="515">
        <f t="shared" si="4"/>
        <v>33</v>
      </c>
      <c r="K26" s="400">
        <f t="shared" si="5"/>
        <v>20.482758620689655</v>
      </c>
      <c r="L26" s="1499"/>
      <c r="M26" s="1499"/>
      <c r="N26" s="1499"/>
      <c r="O26" s="1499"/>
      <c r="P26" s="647">
        <f t="shared" si="6"/>
        <v>16.5</v>
      </c>
    </row>
    <row r="27" spans="1:17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11"/>
      <c r="E27" s="512">
        <f t="shared" si="0"/>
        <v>0</v>
      </c>
      <c r="F27" s="511">
        <f t="shared" si="1"/>
        <v>0</v>
      </c>
      <c r="G27" s="511">
        <f t="shared" si="2"/>
        <v>0</v>
      </c>
      <c r="H27" s="513">
        <f>SUM($F$9:F27)/A27</f>
        <v>9.1578947368421044</v>
      </c>
      <c r="I27" s="514">
        <f t="shared" si="3"/>
        <v>198</v>
      </c>
      <c r="J27" s="515">
        <f t="shared" si="4"/>
        <v>33</v>
      </c>
      <c r="K27" s="400">
        <f t="shared" si="5"/>
        <v>21.620689655172416</v>
      </c>
      <c r="L27" s="1499"/>
      <c r="M27" s="1499"/>
      <c r="N27" s="1499"/>
      <c r="O27" s="1499"/>
      <c r="P27" s="647">
        <f t="shared" si="6"/>
        <v>16.5</v>
      </c>
    </row>
    <row r="28" spans="1:17" s="367" customFormat="1" ht="12.75" customHeight="1">
      <c r="A28" s="401">
        <v>20</v>
      </c>
      <c r="B28" s="365">
        <f>'FRIT HGE91-FHG'!B28</f>
        <v>46254</v>
      </c>
      <c r="C28" s="331" t="s">
        <v>285</v>
      </c>
      <c r="D28" s="511"/>
      <c r="E28" s="512">
        <f t="shared" si="0"/>
        <v>0</v>
      </c>
      <c r="F28" s="511">
        <f t="shared" si="1"/>
        <v>0</v>
      </c>
      <c r="G28" s="511">
        <f t="shared" si="2"/>
        <v>0</v>
      </c>
      <c r="H28" s="516">
        <f>SUM($F$9:F28)/A28</f>
        <v>8.6999999999999993</v>
      </c>
      <c r="I28" s="517">
        <f t="shared" si="3"/>
        <v>198</v>
      </c>
      <c r="J28" s="515">
        <f t="shared" si="4"/>
        <v>33</v>
      </c>
      <c r="K28" s="400">
        <f t="shared" si="5"/>
        <v>22.758620689655174</v>
      </c>
      <c r="L28" s="1499"/>
      <c r="M28" s="1499"/>
      <c r="N28" s="1499"/>
      <c r="O28" s="1499"/>
      <c r="P28" s="647">
        <f t="shared" si="6"/>
        <v>16.5</v>
      </c>
    </row>
    <row r="29" spans="1:17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11"/>
      <c r="E29" s="512">
        <f t="shared" si="0"/>
        <v>0</v>
      </c>
      <c r="F29" s="511">
        <f t="shared" si="1"/>
        <v>0</v>
      </c>
      <c r="G29" s="511">
        <f t="shared" si="2"/>
        <v>0</v>
      </c>
      <c r="H29" s="513">
        <f>SUM($F$9:F29)/A29</f>
        <v>8.2857142857142865</v>
      </c>
      <c r="I29" s="514">
        <f t="shared" si="3"/>
        <v>198</v>
      </c>
      <c r="J29" s="515">
        <f t="shared" si="4"/>
        <v>33</v>
      </c>
      <c r="K29" s="400">
        <f t="shared" si="5"/>
        <v>23.896551724137929</v>
      </c>
      <c r="L29" s="1499"/>
      <c r="M29" s="1499"/>
      <c r="N29" s="1499"/>
      <c r="O29" s="1499"/>
      <c r="P29" s="647">
        <f t="shared" si="6"/>
        <v>16.5</v>
      </c>
    </row>
    <row r="30" spans="1:17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11"/>
      <c r="E30" s="512">
        <f t="shared" si="0"/>
        <v>0</v>
      </c>
      <c r="F30" s="511">
        <f t="shared" si="1"/>
        <v>0</v>
      </c>
      <c r="G30" s="511">
        <f t="shared" si="2"/>
        <v>0</v>
      </c>
      <c r="H30" s="513">
        <f>SUM($F$9:F30)/A30</f>
        <v>7.9090909090909092</v>
      </c>
      <c r="I30" s="514">
        <f t="shared" si="3"/>
        <v>198</v>
      </c>
      <c r="J30" s="515">
        <f t="shared" si="4"/>
        <v>33</v>
      </c>
      <c r="K30" s="400">
        <f t="shared" si="5"/>
        <v>25.03448275862069</v>
      </c>
      <c r="L30" s="1499"/>
      <c r="M30" s="1499"/>
      <c r="N30" s="1499"/>
      <c r="O30" s="1499"/>
      <c r="P30" s="647">
        <f t="shared" si="6"/>
        <v>16.5</v>
      </c>
    </row>
    <row r="31" spans="1:17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11"/>
      <c r="E31" s="512">
        <f t="shared" si="0"/>
        <v>0</v>
      </c>
      <c r="F31" s="511">
        <f t="shared" si="1"/>
        <v>0</v>
      </c>
      <c r="G31" s="511">
        <f t="shared" si="2"/>
        <v>0</v>
      </c>
      <c r="H31" s="513">
        <f>SUM($F$9:F31)/A31</f>
        <v>7.5652173913043477</v>
      </c>
      <c r="I31" s="514">
        <f t="shared" si="3"/>
        <v>198</v>
      </c>
      <c r="J31" s="515">
        <f t="shared" si="4"/>
        <v>33</v>
      </c>
      <c r="K31" s="400">
        <f t="shared" si="5"/>
        <v>26.172413793103448</v>
      </c>
      <c r="L31" s="1499"/>
      <c r="M31" s="1499"/>
      <c r="N31" s="1499"/>
      <c r="O31" s="1499"/>
      <c r="P31" s="647">
        <f t="shared" si="6"/>
        <v>16.5</v>
      </c>
    </row>
    <row r="32" spans="1:17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11"/>
      <c r="E32" s="512">
        <f t="shared" si="0"/>
        <v>0</v>
      </c>
      <c r="F32" s="511">
        <f t="shared" si="1"/>
        <v>0</v>
      </c>
      <c r="G32" s="511">
        <f t="shared" si="2"/>
        <v>0</v>
      </c>
      <c r="H32" s="513">
        <f>SUM($F$9:F32)/A32</f>
        <v>7.25</v>
      </c>
      <c r="I32" s="514">
        <f t="shared" si="3"/>
        <v>198</v>
      </c>
      <c r="J32" s="515">
        <f t="shared" si="4"/>
        <v>33</v>
      </c>
      <c r="K32" s="400">
        <f t="shared" si="5"/>
        <v>27.310344827586206</v>
      </c>
      <c r="L32" s="1499"/>
      <c r="M32" s="1499"/>
      <c r="N32" s="1499"/>
      <c r="O32" s="1499"/>
      <c r="P32" s="647">
        <f t="shared" si="6"/>
        <v>16.5</v>
      </c>
    </row>
    <row r="33" spans="1:17" s="367" customFormat="1" ht="12" customHeight="1">
      <c r="A33" s="402">
        <v>25</v>
      </c>
      <c r="B33" s="365">
        <f>'FRIT HGE91-FHG'!B33</f>
        <v>46259</v>
      </c>
      <c r="C33" s="331" t="s">
        <v>285</v>
      </c>
      <c r="D33" s="511"/>
      <c r="E33" s="512">
        <f t="shared" si="0"/>
        <v>0</v>
      </c>
      <c r="F33" s="511">
        <f t="shared" si="1"/>
        <v>0</v>
      </c>
      <c r="G33" s="511">
        <f t="shared" si="2"/>
        <v>0</v>
      </c>
      <c r="H33" s="518">
        <f>SUM($F$9:F33)/A33</f>
        <v>6.96</v>
      </c>
      <c r="I33" s="519">
        <f t="shared" si="3"/>
        <v>198</v>
      </c>
      <c r="J33" s="515">
        <f t="shared" si="4"/>
        <v>33</v>
      </c>
      <c r="K33" s="400">
        <f t="shared" si="5"/>
        <v>28.448275862068964</v>
      </c>
      <c r="L33" s="1499"/>
      <c r="M33" s="1499"/>
      <c r="N33" s="1499"/>
      <c r="O33" s="1499"/>
      <c r="P33" s="647">
        <f t="shared" si="6"/>
        <v>16.5</v>
      </c>
      <c r="Q33" s="367" t="s">
        <v>5</v>
      </c>
    </row>
    <row r="34" spans="1:17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11"/>
      <c r="E34" s="512">
        <f t="shared" si="0"/>
        <v>0</v>
      </c>
      <c r="F34" s="511">
        <f t="shared" si="1"/>
        <v>0</v>
      </c>
      <c r="G34" s="511">
        <f t="shared" si="2"/>
        <v>0</v>
      </c>
      <c r="H34" s="513">
        <f>SUM($F$9:F34)/A34</f>
        <v>6.6923076923076925</v>
      </c>
      <c r="I34" s="514">
        <f t="shared" si="3"/>
        <v>198</v>
      </c>
      <c r="J34" s="515">
        <f t="shared" si="4"/>
        <v>33</v>
      </c>
      <c r="K34" s="400">
        <f t="shared" si="5"/>
        <v>29.586206896551722</v>
      </c>
      <c r="L34" s="1499"/>
      <c r="M34" s="1499"/>
      <c r="N34" s="1499"/>
      <c r="O34" s="1499"/>
      <c r="P34" s="647">
        <f t="shared" si="6"/>
        <v>16.5</v>
      </c>
    </row>
    <row r="35" spans="1:17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11"/>
      <c r="E35" s="512">
        <f t="shared" si="0"/>
        <v>0</v>
      </c>
      <c r="F35" s="511">
        <f t="shared" si="1"/>
        <v>0</v>
      </c>
      <c r="G35" s="511">
        <f t="shared" si="2"/>
        <v>0</v>
      </c>
      <c r="H35" s="513">
        <f>SUM($F$9:F35)/A35</f>
        <v>6.4444444444444446</v>
      </c>
      <c r="I35" s="514">
        <f t="shared" si="3"/>
        <v>198</v>
      </c>
      <c r="J35" s="515">
        <f t="shared" si="4"/>
        <v>33</v>
      </c>
      <c r="K35" s="400">
        <f t="shared" si="5"/>
        <v>30.72413793103448</v>
      </c>
      <c r="L35" s="1499"/>
      <c r="M35" s="1499"/>
      <c r="N35" s="1499"/>
      <c r="O35" s="1499"/>
      <c r="P35" s="647">
        <f t="shared" si="6"/>
        <v>16.5</v>
      </c>
    </row>
    <row r="36" spans="1:17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11"/>
      <c r="E36" s="512">
        <f t="shared" si="0"/>
        <v>0</v>
      </c>
      <c r="F36" s="511">
        <f t="shared" si="1"/>
        <v>0</v>
      </c>
      <c r="G36" s="511">
        <f t="shared" si="2"/>
        <v>0</v>
      </c>
      <c r="H36" s="513">
        <f>SUM($F$9:F36)/A36</f>
        <v>6.2142857142857144</v>
      </c>
      <c r="I36" s="514">
        <f t="shared" si="3"/>
        <v>198</v>
      </c>
      <c r="J36" s="515">
        <f t="shared" si="4"/>
        <v>33</v>
      </c>
      <c r="K36" s="400">
        <f t="shared" si="5"/>
        <v>31.862068965517242</v>
      </c>
      <c r="L36" s="1499"/>
      <c r="M36" s="1499"/>
      <c r="N36" s="1499"/>
      <c r="O36" s="1499"/>
      <c r="P36" s="647">
        <f t="shared" si="6"/>
        <v>16.5</v>
      </c>
    </row>
    <row r="37" spans="1:17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11"/>
      <c r="E37" s="512">
        <f t="shared" si="0"/>
        <v>0</v>
      </c>
      <c r="F37" s="511">
        <f t="shared" si="1"/>
        <v>0</v>
      </c>
      <c r="G37" s="511">
        <f t="shared" si="2"/>
        <v>0</v>
      </c>
      <c r="H37" s="513">
        <f>SUM($F$9:F37)/A37</f>
        <v>6</v>
      </c>
      <c r="I37" s="514">
        <f t="shared" si="3"/>
        <v>198</v>
      </c>
      <c r="J37" s="515">
        <f t="shared" si="4"/>
        <v>33</v>
      </c>
      <c r="K37" s="400">
        <f t="shared" si="5"/>
        <v>33</v>
      </c>
      <c r="L37" s="1499"/>
      <c r="M37" s="1499"/>
      <c r="N37" s="1499"/>
      <c r="O37" s="1499"/>
      <c r="P37" s="647">
        <f t="shared" si="6"/>
        <v>16.5</v>
      </c>
    </row>
    <row r="38" spans="1:17" s="367" customFormat="1" ht="12" customHeight="1">
      <c r="A38" s="401">
        <v>30</v>
      </c>
      <c r="B38" s="365">
        <f>'FRIT HGE91-FHG'!B38</f>
        <v>46264</v>
      </c>
      <c r="C38" s="331" t="s">
        <v>349</v>
      </c>
      <c r="D38" s="511"/>
      <c r="E38" s="512">
        <f t="shared" si="0"/>
        <v>0</v>
      </c>
      <c r="F38" s="511">
        <f t="shared" si="1"/>
        <v>0</v>
      </c>
      <c r="G38" s="511">
        <f t="shared" si="2"/>
        <v>0</v>
      </c>
      <c r="H38" s="516">
        <f>SUM($F$9:F38)/A38</f>
        <v>5.8</v>
      </c>
      <c r="I38" s="517">
        <f t="shared" si="3"/>
        <v>198</v>
      </c>
      <c r="J38" s="515">
        <f t="shared" si="4"/>
        <v>33</v>
      </c>
      <c r="K38" s="400">
        <f t="shared" si="5"/>
        <v>34.137931034482762</v>
      </c>
      <c r="L38" s="1499"/>
      <c r="M38" s="1499"/>
      <c r="N38" s="1499"/>
      <c r="O38" s="1499"/>
      <c r="P38" s="647">
        <f t="shared" si="6"/>
        <v>16.5</v>
      </c>
    </row>
    <row r="39" spans="1:17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11"/>
      <c r="E39" s="512">
        <f t="shared" si="0"/>
        <v>0</v>
      </c>
      <c r="F39" s="511">
        <f t="shared" si="1"/>
        <v>0</v>
      </c>
      <c r="G39" s="511">
        <f t="shared" si="2"/>
        <v>0</v>
      </c>
      <c r="H39" s="513">
        <f>SUM($F$9:F39)/A39</f>
        <v>5.612903225806452</v>
      </c>
      <c r="I39" s="514">
        <f t="shared" si="3"/>
        <v>198</v>
      </c>
      <c r="J39" s="515">
        <f t="shared" si="4"/>
        <v>33</v>
      </c>
      <c r="K39" s="400">
        <f t="shared" si="5"/>
        <v>35.275862068965516</v>
      </c>
      <c r="L39" s="1499"/>
      <c r="M39" s="1499"/>
      <c r="N39" s="1499"/>
      <c r="O39" s="1499"/>
      <c r="P39" s="647">
        <f t="shared" si="6"/>
        <v>16.5</v>
      </c>
    </row>
    <row r="40" spans="1:17" s="374" customFormat="1" ht="12" customHeight="1">
      <c r="A40" s="1628" t="s">
        <v>29</v>
      </c>
      <c r="B40" s="1628"/>
      <c r="C40" s="1628"/>
      <c r="D40" s="520">
        <f>SUM(D9:D39)</f>
        <v>120</v>
      </c>
      <c r="E40" s="520">
        <f>SUM(E9:E39)</f>
        <v>20</v>
      </c>
      <c r="F40" s="509">
        <f>SUM(F9:F39)</f>
        <v>174</v>
      </c>
      <c r="G40" s="521">
        <f>SUM(G9:G39)</f>
        <v>29</v>
      </c>
      <c r="H40" s="509"/>
      <c r="I40" s="522">
        <f>I39</f>
        <v>198</v>
      </c>
      <c r="J40" s="522">
        <f>J39</f>
        <v>33</v>
      </c>
      <c r="K40" s="406"/>
      <c r="L40" s="691">
        <f>SUM(L9:L39)</f>
        <v>78</v>
      </c>
      <c r="M40" s="691">
        <f t="shared" ref="M40:O40" si="7">SUM(M9:M39)</f>
        <v>96</v>
      </c>
      <c r="N40" s="691">
        <f t="shared" si="7"/>
        <v>0</v>
      </c>
      <c r="O40" s="691">
        <f t="shared" si="7"/>
        <v>0</v>
      </c>
    </row>
    <row r="41" spans="1:17" s="374" customFormat="1" ht="12" customHeight="1">
      <c r="A41" s="1628" t="s">
        <v>15</v>
      </c>
      <c r="B41" s="1628"/>
      <c r="C41" s="1628"/>
      <c r="D41" s="520">
        <f>D8+D40</f>
        <v>372</v>
      </c>
      <c r="E41" s="520">
        <f>E8+E40</f>
        <v>62</v>
      </c>
      <c r="F41" s="509">
        <f>F40</f>
        <v>174</v>
      </c>
      <c r="G41" s="521">
        <f>G40</f>
        <v>29</v>
      </c>
      <c r="H41" s="509"/>
      <c r="I41" s="509">
        <f>D41-F41</f>
        <v>198</v>
      </c>
      <c r="J41" s="509">
        <f>E41-G41</f>
        <v>33</v>
      </c>
      <c r="K41" s="406"/>
      <c r="L41" s="694"/>
      <c r="M41" s="694"/>
      <c r="N41" s="694"/>
      <c r="O41" s="694"/>
    </row>
    <row r="42" spans="1:17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L42" s="343"/>
      <c r="M42" s="343"/>
      <c r="N42" s="343"/>
      <c r="O42" s="343"/>
    </row>
    <row r="43" spans="1:17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</row>
    <row r="44" spans="1:17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</row>
    <row r="45" spans="1:17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3"/>
    </row>
    <row r="46" spans="1:17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  <c r="L46" s="343"/>
      <c r="M46" s="343"/>
      <c r="N46" s="343"/>
      <c r="O46" s="343"/>
    </row>
    <row r="47" spans="1:17">
      <c r="D47" s="42"/>
      <c r="E47" s="42"/>
      <c r="F47" s="42"/>
      <c r="G47" s="42"/>
      <c r="H47" s="42"/>
      <c r="I47" s="42"/>
      <c r="J47" s="260"/>
    </row>
    <row r="48" spans="1:17">
      <c r="J48" s="260"/>
    </row>
  </sheetData>
  <mergeCells count="17">
    <mergeCell ref="K6:K7"/>
    <mergeCell ref="A4:B4"/>
    <mergeCell ref="A3:P3"/>
    <mergeCell ref="L6:L7"/>
    <mergeCell ref="M6:M7"/>
    <mergeCell ref="A6:A7"/>
    <mergeCell ref="B6:B7"/>
    <mergeCell ref="C6:C7"/>
    <mergeCell ref="D6:E6"/>
    <mergeCell ref="F6:G6"/>
    <mergeCell ref="N6:N7"/>
    <mergeCell ref="O6:O7"/>
    <mergeCell ref="A8:C8"/>
    <mergeCell ref="A40:C40"/>
    <mergeCell ref="A41:C41"/>
    <mergeCell ref="H6:H7"/>
    <mergeCell ref="I6:J6"/>
  </mergeCells>
  <conditionalFormatting sqref="K40:K41">
    <cfRule type="cellIs" dxfId="8906" priority="13" operator="between">
      <formula>15</formula>
      <formula>20</formula>
    </cfRule>
    <cfRule type="cellIs" dxfId="8905" priority="14" operator="lessThan">
      <formula>15</formula>
    </cfRule>
    <cfRule type="cellIs" dxfId="8904" priority="15" operator="greaterThan">
      <formula>20</formula>
    </cfRule>
  </conditionalFormatting>
  <conditionalFormatting sqref="K9:K39">
    <cfRule type="cellIs" dxfId="8903" priority="1" operator="between">
      <formula>15</formula>
      <formula>20</formula>
    </cfRule>
    <cfRule type="cellIs" dxfId="8902" priority="2" operator="lessThan">
      <formula>15</formula>
    </cfRule>
    <cfRule type="cellIs" dxfId="8901" priority="3" operator="greaterThan">
      <formula>20</formula>
    </cfRule>
  </conditionalFormatting>
  <hyperlinks>
    <hyperlink ref="K5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A47"/>
  <sheetViews>
    <sheetView workbookViewId="0">
      <pane ySplit="8" topLeftCell="A15" activePane="bottomLeft" state="frozen"/>
      <selection pane="bottomLeft" activeCell="L27" sqref="L27"/>
    </sheetView>
  </sheetViews>
  <sheetFormatPr defaultColWidth="9.28515625" defaultRowHeight="16.5"/>
  <cols>
    <col min="1" max="1" width="4.85546875" style="42" customWidth="1"/>
    <col min="2" max="2" width="9" style="42" customWidth="1"/>
    <col min="3" max="3" width="15.85546875" style="42" customWidth="1"/>
    <col min="4" max="10" width="10.28515625" style="6" customWidth="1"/>
    <col min="11" max="11" width="14.7109375" style="42" customWidth="1"/>
    <col min="12" max="12" width="9.85546875" style="6" customWidth="1"/>
    <col min="13" max="15" width="9.5703125" style="6" customWidth="1"/>
    <col min="16" max="16" width="11.5703125" style="143" bestFit="1" customWidth="1"/>
    <col min="17" max="17" width="11.42578125" style="42" customWidth="1"/>
    <col min="18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142"/>
      <c r="M1" s="142"/>
      <c r="N1" s="142"/>
      <c r="O1" s="142"/>
      <c r="P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>
        <v>192</v>
      </c>
      <c r="J2" s="324">
        <v>32</v>
      </c>
      <c r="K2" s="183" t="s">
        <v>113</v>
      </c>
      <c r="L2" s="142"/>
      <c r="M2" s="142"/>
      <c r="N2" s="142"/>
      <c r="O2" s="142"/>
      <c r="P2" s="323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500"/>
      <c r="P3" s="1500"/>
    </row>
    <row r="4" spans="1:27" s="347" customFormat="1" ht="21.75" customHeight="1">
      <c r="A4" s="1600" t="s">
        <v>33</v>
      </c>
      <c r="B4" s="1600"/>
      <c r="C4" s="318" t="str">
        <f>J4</f>
        <v>MÀU VÀNG CIK-AM5456</v>
      </c>
      <c r="D4" s="348"/>
      <c r="E4" s="348" t="s">
        <v>228</v>
      </c>
      <c r="F4" s="348" t="s">
        <v>234</v>
      </c>
      <c r="G4" s="348"/>
      <c r="I4" s="325" t="s">
        <v>116</v>
      </c>
      <c r="J4" s="318" t="s">
        <v>268</v>
      </c>
      <c r="K4" s="319"/>
      <c r="L4" s="383"/>
      <c r="M4" s="383"/>
      <c r="N4" s="383"/>
      <c r="O4" s="383"/>
      <c r="P4" s="143"/>
    </row>
    <row r="5" spans="1:27" s="324" customFormat="1" ht="14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508" t="s">
        <v>292</v>
      </c>
      <c r="K5" s="375" t="s">
        <v>149</v>
      </c>
      <c r="L5" s="343"/>
      <c r="M5" s="343"/>
      <c r="N5" s="343"/>
      <c r="O5" s="343"/>
      <c r="P5" s="143"/>
    </row>
    <row r="6" spans="1:27" s="355" customFormat="1" ht="12.75" customHeight="1">
      <c r="A6" s="1630" t="s">
        <v>2</v>
      </c>
      <c r="B6" s="1631" t="s">
        <v>1</v>
      </c>
      <c r="C6" s="1631" t="s">
        <v>24</v>
      </c>
      <c r="D6" s="1629" t="s">
        <v>250</v>
      </c>
      <c r="E6" s="1629"/>
      <c r="F6" s="1629" t="s">
        <v>249</v>
      </c>
      <c r="G6" s="1629"/>
      <c r="H6" s="1629" t="s">
        <v>265</v>
      </c>
      <c r="I6" s="1629" t="s">
        <v>253</v>
      </c>
      <c r="J6" s="1629"/>
      <c r="K6" s="1629" t="s">
        <v>30</v>
      </c>
      <c r="L6" s="1620" t="s">
        <v>343</v>
      </c>
      <c r="M6" s="1620" t="s">
        <v>244</v>
      </c>
      <c r="N6" s="1632" t="s">
        <v>342</v>
      </c>
      <c r="O6" s="1626" t="s">
        <v>824</v>
      </c>
      <c r="P6" s="143"/>
    </row>
    <row r="7" spans="1:27" s="355" customFormat="1" ht="12.75" customHeight="1">
      <c r="A7" s="1630"/>
      <c r="B7" s="1631"/>
      <c r="C7" s="1631"/>
      <c r="D7" s="407" t="s">
        <v>10</v>
      </c>
      <c r="E7" s="407" t="s">
        <v>58</v>
      </c>
      <c r="F7" s="407" t="s">
        <v>10</v>
      </c>
      <c r="G7" s="407" t="s">
        <v>58</v>
      </c>
      <c r="H7" s="1629"/>
      <c r="I7" s="407" t="s">
        <v>10</v>
      </c>
      <c r="J7" s="407" t="s">
        <v>58</v>
      </c>
      <c r="K7" s="1629"/>
      <c r="L7" s="1621"/>
      <c r="M7" s="1621"/>
      <c r="N7" s="1632"/>
      <c r="O7" s="1626"/>
      <c r="P7" s="143"/>
    </row>
    <row r="8" spans="1:27" s="305" customFormat="1" ht="12" customHeight="1">
      <c r="A8" s="1627" t="s">
        <v>3</v>
      </c>
      <c r="B8" s="1627"/>
      <c r="C8" s="1627"/>
      <c r="D8" s="523">
        <f>I8</f>
        <v>570</v>
      </c>
      <c r="E8" s="523">
        <f>J8</f>
        <v>95</v>
      </c>
      <c r="F8" s="524">
        <f>F40</f>
        <v>810</v>
      </c>
      <c r="G8" s="525">
        <f>G40</f>
        <v>135</v>
      </c>
      <c r="H8" s="523"/>
      <c r="I8" s="748">
        <v>570</v>
      </c>
      <c r="J8" s="629">
        <f>I8/6</f>
        <v>95</v>
      </c>
      <c r="K8" s="399"/>
      <c r="L8" s="688"/>
      <c r="M8" s="688"/>
      <c r="N8" s="688"/>
      <c r="O8" s="1370"/>
      <c r="P8" s="143">
        <v>20</v>
      </c>
    </row>
    <row r="9" spans="1:27" s="333" customFormat="1" ht="12" customHeight="1">
      <c r="A9" s="364">
        <v>1</v>
      </c>
      <c r="B9" s="365">
        <f>'FRIT HGE91-FHG'!B9</f>
        <v>46235</v>
      </c>
      <c r="C9" s="331" t="s">
        <v>104</v>
      </c>
      <c r="D9" s="526"/>
      <c r="E9" s="523">
        <f>D9/6</f>
        <v>0</v>
      </c>
      <c r="F9" s="526">
        <f>L9+M9+N9+O9</f>
        <v>126</v>
      </c>
      <c r="G9" s="526">
        <f>F9/6</f>
        <v>21</v>
      </c>
      <c r="H9" s="527">
        <f>SUM($F$9:F9)/A9</f>
        <v>126</v>
      </c>
      <c r="I9" s="524">
        <f>I8+D9-F9</f>
        <v>444</v>
      </c>
      <c r="J9" s="525">
        <f>I9/6</f>
        <v>74</v>
      </c>
      <c r="K9" s="400">
        <f>I9/H9</f>
        <v>3.5238095238095237</v>
      </c>
      <c r="L9" s="1499">
        <v>30</v>
      </c>
      <c r="M9" s="1499">
        <v>96</v>
      </c>
      <c r="N9" s="1499"/>
      <c r="O9" s="1499"/>
      <c r="P9" s="647">
        <f>I9/$P$8</f>
        <v>22.2</v>
      </c>
    </row>
    <row r="10" spans="1:27" s="333" customFormat="1" ht="12" customHeight="1">
      <c r="A10" s="364">
        <v>2</v>
      </c>
      <c r="B10" s="365">
        <f>'FRIT HGE91-FHG'!B10</f>
        <v>46236</v>
      </c>
      <c r="C10" s="331" t="s">
        <v>104</v>
      </c>
      <c r="D10" s="526"/>
      <c r="E10" s="523">
        <f t="shared" ref="E10:E39" si="0">D10/6</f>
        <v>0</v>
      </c>
      <c r="F10" s="526">
        <f t="shared" ref="F10:F39" si="1">L10+M10+N10+O10</f>
        <v>0</v>
      </c>
      <c r="G10" s="526">
        <f t="shared" ref="G10:G39" si="2">F10/6</f>
        <v>0</v>
      </c>
      <c r="H10" s="527">
        <f>SUM($F$9:F10)/A10</f>
        <v>63</v>
      </c>
      <c r="I10" s="524">
        <f t="shared" ref="I10:I39" si="3">I9+D10-F10</f>
        <v>444</v>
      </c>
      <c r="J10" s="525">
        <f t="shared" ref="J10:J39" si="4">I10/6</f>
        <v>74</v>
      </c>
      <c r="K10" s="400">
        <f t="shared" ref="K10:K39" si="5">I10/H10</f>
        <v>7.0476190476190474</v>
      </c>
      <c r="L10" s="1499"/>
      <c r="M10" s="1499"/>
      <c r="N10" s="1499"/>
      <c r="O10" s="1499"/>
      <c r="P10" s="647">
        <f t="shared" ref="P10:P39" si="6">I10/$P$8</f>
        <v>22.2</v>
      </c>
    </row>
    <row r="11" spans="1:27" s="333" customFormat="1" ht="12" customHeight="1">
      <c r="A11" s="364">
        <v>3</v>
      </c>
      <c r="B11" s="365">
        <f>'FRIT HGE91-FHG'!B11</f>
        <v>46237</v>
      </c>
      <c r="C11" s="331" t="s">
        <v>104</v>
      </c>
      <c r="D11" s="526"/>
      <c r="E11" s="523">
        <f t="shared" si="0"/>
        <v>0</v>
      </c>
      <c r="F11" s="526">
        <f t="shared" si="1"/>
        <v>72</v>
      </c>
      <c r="G11" s="526">
        <f t="shared" si="2"/>
        <v>12</v>
      </c>
      <c r="H11" s="527">
        <f>SUM($F$9:F11)/A11</f>
        <v>66</v>
      </c>
      <c r="I11" s="524">
        <f t="shared" si="3"/>
        <v>372</v>
      </c>
      <c r="J11" s="525">
        <f t="shared" si="4"/>
        <v>62</v>
      </c>
      <c r="K11" s="400">
        <f t="shared" si="5"/>
        <v>5.6363636363636367</v>
      </c>
      <c r="L11" s="1499">
        <v>24</v>
      </c>
      <c r="M11" s="1499">
        <v>48</v>
      </c>
      <c r="N11" s="1499"/>
      <c r="O11" s="1499"/>
      <c r="P11" s="647">
        <f t="shared" si="6"/>
        <v>18.600000000000001</v>
      </c>
    </row>
    <row r="12" spans="1:27" s="367" customFormat="1" ht="12" customHeight="1">
      <c r="A12" s="364">
        <v>4</v>
      </c>
      <c r="B12" s="365">
        <f>'FRIT HGE91-FHG'!B12</f>
        <v>46238</v>
      </c>
      <c r="C12" s="331" t="s">
        <v>104</v>
      </c>
      <c r="D12" s="526"/>
      <c r="E12" s="523">
        <f t="shared" si="0"/>
        <v>0</v>
      </c>
      <c r="F12" s="526">
        <f t="shared" si="1"/>
        <v>48</v>
      </c>
      <c r="G12" s="526">
        <f t="shared" si="2"/>
        <v>8</v>
      </c>
      <c r="H12" s="527">
        <f>SUM($F$9:F12)/A12</f>
        <v>61.5</v>
      </c>
      <c r="I12" s="524">
        <f t="shared" si="3"/>
        <v>324</v>
      </c>
      <c r="J12" s="525">
        <f t="shared" si="4"/>
        <v>54</v>
      </c>
      <c r="K12" s="400">
        <f t="shared" si="5"/>
        <v>5.2682926829268295</v>
      </c>
      <c r="L12" s="1499"/>
      <c r="M12" s="1499">
        <v>48</v>
      </c>
      <c r="N12" s="1499"/>
      <c r="O12" s="1499"/>
      <c r="P12" s="647">
        <f t="shared" si="6"/>
        <v>16.2</v>
      </c>
      <c r="Q12" s="333"/>
      <c r="R12" s="333"/>
    </row>
    <row r="13" spans="1:27" s="367" customFormat="1" ht="12" customHeight="1">
      <c r="A13" s="401">
        <v>5</v>
      </c>
      <c r="B13" s="365">
        <f>'FRIT HGE91-FHG'!B13</f>
        <v>46239</v>
      </c>
      <c r="C13" s="331" t="s">
        <v>104</v>
      </c>
      <c r="D13" s="526"/>
      <c r="E13" s="523">
        <f t="shared" si="0"/>
        <v>0</v>
      </c>
      <c r="F13" s="526">
        <f t="shared" si="1"/>
        <v>72</v>
      </c>
      <c r="G13" s="526">
        <f t="shared" si="2"/>
        <v>12</v>
      </c>
      <c r="H13" s="528">
        <f>SUM($F$9:F13)/A13</f>
        <v>63.6</v>
      </c>
      <c r="I13" s="529">
        <f t="shared" si="3"/>
        <v>252</v>
      </c>
      <c r="J13" s="525">
        <f t="shared" si="4"/>
        <v>42</v>
      </c>
      <c r="K13" s="400">
        <f t="shared" si="5"/>
        <v>3.9622641509433962</v>
      </c>
      <c r="L13" s="1499">
        <v>48</v>
      </c>
      <c r="M13" s="1499">
        <v>24</v>
      </c>
      <c r="N13" s="1499"/>
      <c r="O13" s="1499"/>
      <c r="P13" s="647">
        <f t="shared" si="6"/>
        <v>12.6</v>
      </c>
      <c r="Q13" s="333"/>
      <c r="R13" s="333"/>
    </row>
    <row r="14" spans="1:27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26"/>
      <c r="E14" s="523">
        <f t="shared" si="0"/>
        <v>0</v>
      </c>
      <c r="F14" s="526">
        <f t="shared" si="1"/>
        <v>0</v>
      </c>
      <c r="G14" s="526">
        <f t="shared" si="2"/>
        <v>0</v>
      </c>
      <c r="H14" s="527">
        <f>SUM($F$9:F14)/A14</f>
        <v>53</v>
      </c>
      <c r="I14" s="524">
        <f t="shared" si="3"/>
        <v>252</v>
      </c>
      <c r="J14" s="525">
        <f t="shared" si="4"/>
        <v>42</v>
      </c>
      <c r="K14" s="400">
        <f t="shared" si="5"/>
        <v>4.7547169811320753</v>
      </c>
      <c r="L14" s="1499"/>
      <c r="M14" s="1499"/>
      <c r="N14" s="1499"/>
      <c r="O14" s="1499"/>
      <c r="P14" s="647">
        <f t="shared" si="6"/>
        <v>12.6</v>
      </c>
      <c r="Q14" s="333"/>
      <c r="R14" s="333"/>
    </row>
    <row r="15" spans="1:27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26"/>
      <c r="E15" s="523">
        <f t="shared" si="0"/>
        <v>0</v>
      </c>
      <c r="F15" s="526">
        <f t="shared" si="1"/>
        <v>0</v>
      </c>
      <c r="G15" s="526">
        <f t="shared" si="2"/>
        <v>0</v>
      </c>
      <c r="H15" s="527">
        <f>SUM($F$9:F15)/A15</f>
        <v>45.428571428571431</v>
      </c>
      <c r="I15" s="524">
        <f t="shared" si="3"/>
        <v>252</v>
      </c>
      <c r="J15" s="525">
        <f t="shared" si="4"/>
        <v>42</v>
      </c>
      <c r="K15" s="400">
        <f t="shared" si="5"/>
        <v>5.5471698113207548</v>
      </c>
      <c r="L15" s="1499"/>
      <c r="M15" s="1499"/>
      <c r="N15" s="1499"/>
      <c r="O15" s="1499"/>
      <c r="P15" s="647">
        <f t="shared" si="6"/>
        <v>12.6</v>
      </c>
      <c r="Q15" s="333"/>
      <c r="R15" s="333"/>
    </row>
    <row r="16" spans="1:27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26"/>
      <c r="E16" s="523">
        <f t="shared" si="0"/>
        <v>0</v>
      </c>
      <c r="F16" s="526">
        <f t="shared" si="1"/>
        <v>24</v>
      </c>
      <c r="G16" s="526">
        <f t="shared" si="2"/>
        <v>4</v>
      </c>
      <c r="H16" s="527">
        <f>SUM($F$9:F16)/A16</f>
        <v>42.75</v>
      </c>
      <c r="I16" s="524">
        <f t="shared" si="3"/>
        <v>228</v>
      </c>
      <c r="J16" s="525">
        <f t="shared" si="4"/>
        <v>38</v>
      </c>
      <c r="K16" s="400">
        <f t="shared" si="5"/>
        <v>5.333333333333333</v>
      </c>
      <c r="L16" s="1499">
        <v>24</v>
      </c>
      <c r="M16" s="1499"/>
      <c r="N16" s="1499"/>
      <c r="O16" s="1499"/>
      <c r="P16" s="647">
        <f t="shared" si="6"/>
        <v>11.4</v>
      </c>
      <c r="Q16" s="333"/>
      <c r="R16" s="333"/>
    </row>
    <row r="17" spans="1:18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26"/>
      <c r="E17" s="523">
        <f t="shared" si="0"/>
        <v>0</v>
      </c>
      <c r="F17" s="526">
        <f t="shared" si="1"/>
        <v>0</v>
      </c>
      <c r="G17" s="526">
        <f t="shared" si="2"/>
        <v>0</v>
      </c>
      <c r="H17" s="527">
        <f>SUM($F$9:F17)/A17</f>
        <v>38</v>
      </c>
      <c r="I17" s="524">
        <f t="shared" si="3"/>
        <v>228</v>
      </c>
      <c r="J17" s="525">
        <f t="shared" si="4"/>
        <v>38</v>
      </c>
      <c r="K17" s="400">
        <f t="shared" si="5"/>
        <v>6</v>
      </c>
      <c r="L17" s="1499"/>
      <c r="M17" s="1499"/>
      <c r="N17" s="1499"/>
      <c r="O17" s="1499"/>
      <c r="P17" s="647">
        <f t="shared" si="6"/>
        <v>11.4</v>
      </c>
      <c r="Q17" s="333"/>
      <c r="R17" s="333"/>
    </row>
    <row r="18" spans="1:18" s="367" customFormat="1" ht="12" customHeight="1">
      <c r="A18" s="401">
        <v>10</v>
      </c>
      <c r="B18" s="365">
        <f>'FRIT HGE91-FHG'!B18</f>
        <v>46244</v>
      </c>
      <c r="C18" s="331" t="s">
        <v>285</v>
      </c>
      <c r="D18" s="526"/>
      <c r="E18" s="523">
        <f t="shared" si="0"/>
        <v>0</v>
      </c>
      <c r="F18" s="526">
        <f t="shared" si="1"/>
        <v>96</v>
      </c>
      <c r="G18" s="526">
        <f t="shared" si="2"/>
        <v>16</v>
      </c>
      <c r="H18" s="528">
        <f>SUM($F$9:F18)/A18</f>
        <v>43.8</v>
      </c>
      <c r="I18" s="529">
        <f t="shared" si="3"/>
        <v>132</v>
      </c>
      <c r="J18" s="525">
        <f t="shared" si="4"/>
        <v>22</v>
      </c>
      <c r="K18" s="400">
        <f t="shared" si="5"/>
        <v>3.0136986301369864</v>
      </c>
      <c r="L18" s="1499">
        <v>48</v>
      </c>
      <c r="M18" s="1499">
        <v>48</v>
      </c>
      <c r="N18" s="1499"/>
      <c r="O18" s="1499"/>
      <c r="P18" s="647">
        <f t="shared" si="6"/>
        <v>6.6</v>
      </c>
      <c r="Q18" s="333"/>
      <c r="R18" s="333"/>
    </row>
    <row r="19" spans="1:18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26"/>
      <c r="E19" s="523">
        <f t="shared" si="0"/>
        <v>0</v>
      </c>
      <c r="F19" s="526">
        <f t="shared" si="1"/>
        <v>120</v>
      </c>
      <c r="G19" s="526">
        <f t="shared" si="2"/>
        <v>20</v>
      </c>
      <c r="H19" s="527">
        <f>SUM($F$9:F19)/A19</f>
        <v>50.727272727272727</v>
      </c>
      <c r="I19" s="524">
        <f t="shared" si="3"/>
        <v>12</v>
      </c>
      <c r="J19" s="525">
        <f t="shared" si="4"/>
        <v>2</v>
      </c>
      <c r="K19" s="400">
        <f t="shared" si="5"/>
        <v>0.23655913978494625</v>
      </c>
      <c r="L19" s="1499">
        <v>48</v>
      </c>
      <c r="M19" s="1499">
        <v>72</v>
      </c>
      <c r="N19" s="1499"/>
      <c r="O19" s="1499"/>
      <c r="P19" s="647">
        <f t="shared" si="6"/>
        <v>0.6</v>
      </c>
      <c r="Q19" s="333"/>
      <c r="R19" s="333"/>
    </row>
    <row r="20" spans="1:18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26">
        <v>360</v>
      </c>
      <c r="E20" s="523">
        <f t="shared" si="0"/>
        <v>60</v>
      </c>
      <c r="F20" s="526">
        <f t="shared" si="1"/>
        <v>42</v>
      </c>
      <c r="G20" s="526">
        <f t="shared" si="2"/>
        <v>7</v>
      </c>
      <c r="H20" s="527">
        <f>SUM($F$9:F20)/A20</f>
        <v>50</v>
      </c>
      <c r="I20" s="524">
        <f t="shared" si="3"/>
        <v>330</v>
      </c>
      <c r="J20" s="525">
        <f t="shared" si="4"/>
        <v>55</v>
      </c>
      <c r="K20" s="400">
        <f t="shared" si="5"/>
        <v>6.6</v>
      </c>
      <c r="L20" s="1499">
        <v>42</v>
      </c>
      <c r="M20" s="1499"/>
      <c r="N20" s="1499"/>
      <c r="O20" s="1499"/>
      <c r="P20" s="647">
        <f t="shared" si="6"/>
        <v>16.5</v>
      </c>
      <c r="Q20" s="333"/>
      <c r="R20" s="333"/>
    </row>
    <row r="21" spans="1:18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26"/>
      <c r="E21" s="523">
        <f t="shared" si="0"/>
        <v>0</v>
      </c>
      <c r="F21" s="526">
        <f t="shared" si="1"/>
        <v>60</v>
      </c>
      <c r="G21" s="526">
        <f t="shared" si="2"/>
        <v>10</v>
      </c>
      <c r="H21" s="527">
        <f>SUM($F$9:F21)/A21</f>
        <v>50.769230769230766</v>
      </c>
      <c r="I21" s="524">
        <f t="shared" si="3"/>
        <v>270</v>
      </c>
      <c r="J21" s="525">
        <f t="shared" si="4"/>
        <v>45</v>
      </c>
      <c r="K21" s="400">
        <f t="shared" si="5"/>
        <v>5.3181818181818183</v>
      </c>
      <c r="L21" s="1499">
        <v>12</v>
      </c>
      <c r="M21" s="1499">
        <v>48</v>
      </c>
      <c r="N21" s="1499"/>
      <c r="O21" s="1499"/>
      <c r="P21" s="647">
        <f t="shared" si="6"/>
        <v>13.5</v>
      </c>
      <c r="Q21" s="333"/>
      <c r="R21" s="333"/>
    </row>
    <row r="22" spans="1:18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26"/>
      <c r="E22" s="523">
        <f t="shared" si="0"/>
        <v>0</v>
      </c>
      <c r="F22" s="526">
        <f t="shared" si="1"/>
        <v>48</v>
      </c>
      <c r="G22" s="526">
        <f t="shared" si="2"/>
        <v>8</v>
      </c>
      <c r="H22" s="527">
        <f>SUM($F$9:F22)/A22</f>
        <v>50.571428571428569</v>
      </c>
      <c r="I22" s="524">
        <f t="shared" si="3"/>
        <v>222</v>
      </c>
      <c r="J22" s="525">
        <f t="shared" si="4"/>
        <v>37</v>
      </c>
      <c r="K22" s="400">
        <f t="shared" si="5"/>
        <v>4.3898305084745761</v>
      </c>
      <c r="L22" s="1499">
        <v>48</v>
      </c>
      <c r="M22" s="1499"/>
      <c r="N22" s="1499"/>
      <c r="O22" s="1499"/>
      <c r="P22" s="647">
        <f t="shared" si="6"/>
        <v>11.1</v>
      </c>
      <c r="Q22" s="333"/>
      <c r="R22" s="333"/>
    </row>
    <row r="23" spans="1:18" s="367" customFormat="1" ht="12" customHeight="1">
      <c r="A23" s="401">
        <v>15</v>
      </c>
      <c r="B23" s="365">
        <f>'FRIT HGE91-FHG'!B23</f>
        <v>46249</v>
      </c>
      <c r="C23" s="331" t="s">
        <v>285</v>
      </c>
      <c r="D23" s="526"/>
      <c r="E23" s="523">
        <f t="shared" si="0"/>
        <v>0</v>
      </c>
      <c r="F23" s="526">
        <f t="shared" si="1"/>
        <v>96</v>
      </c>
      <c r="G23" s="526">
        <f t="shared" si="2"/>
        <v>16</v>
      </c>
      <c r="H23" s="528">
        <f>SUM($F$9:F23)/A23</f>
        <v>53.6</v>
      </c>
      <c r="I23" s="529">
        <f t="shared" si="3"/>
        <v>126</v>
      </c>
      <c r="J23" s="525">
        <f t="shared" si="4"/>
        <v>21</v>
      </c>
      <c r="K23" s="400">
        <f t="shared" si="5"/>
        <v>2.3507462686567164</v>
      </c>
      <c r="L23" s="1499">
        <v>48</v>
      </c>
      <c r="M23" s="1499">
        <v>48</v>
      </c>
      <c r="N23" s="1499"/>
      <c r="O23" s="1499"/>
      <c r="P23" s="647">
        <f t="shared" si="6"/>
        <v>6.3</v>
      </c>
      <c r="Q23" s="333"/>
      <c r="R23" s="333"/>
    </row>
    <row r="24" spans="1:18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26"/>
      <c r="E24" s="523">
        <f t="shared" si="0"/>
        <v>0</v>
      </c>
      <c r="F24" s="526">
        <f t="shared" si="1"/>
        <v>0</v>
      </c>
      <c r="G24" s="526">
        <f t="shared" si="2"/>
        <v>0</v>
      </c>
      <c r="H24" s="527">
        <f>SUM($F$9:F24)/A24</f>
        <v>50.25</v>
      </c>
      <c r="I24" s="524">
        <f t="shared" si="3"/>
        <v>126</v>
      </c>
      <c r="J24" s="525">
        <f t="shared" si="4"/>
        <v>21</v>
      </c>
      <c r="K24" s="400">
        <f t="shared" si="5"/>
        <v>2.5074626865671643</v>
      </c>
      <c r="L24" s="1499"/>
      <c r="M24" s="1499"/>
      <c r="N24" s="1499"/>
      <c r="O24" s="1499"/>
      <c r="P24" s="647">
        <f t="shared" si="6"/>
        <v>6.3</v>
      </c>
      <c r="Q24" s="333"/>
      <c r="R24" s="333"/>
    </row>
    <row r="25" spans="1:18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26">
        <v>360</v>
      </c>
      <c r="E25" s="523">
        <f t="shared" si="0"/>
        <v>60</v>
      </c>
      <c r="F25" s="526">
        <f t="shared" si="1"/>
        <v>0</v>
      </c>
      <c r="G25" s="526">
        <f t="shared" si="2"/>
        <v>0</v>
      </c>
      <c r="H25" s="527">
        <f>SUM($F$9:F25)/A25</f>
        <v>47.294117647058826</v>
      </c>
      <c r="I25" s="524">
        <f t="shared" si="3"/>
        <v>486</v>
      </c>
      <c r="J25" s="525">
        <f t="shared" si="4"/>
        <v>81</v>
      </c>
      <c r="K25" s="400">
        <f t="shared" si="5"/>
        <v>10.276119402985074</v>
      </c>
      <c r="L25" s="1499"/>
      <c r="M25" s="1499"/>
      <c r="N25" s="1499"/>
      <c r="O25" s="1499"/>
      <c r="P25" s="647">
        <f t="shared" si="6"/>
        <v>24.3</v>
      </c>
      <c r="Q25" s="333"/>
      <c r="R25" s="333"/>
    </row>
    <row r="26" spans="1:18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26"/>
      <c r="E26" s="523">
        <f t="shared" si="0"/>
        <v>0</v>
      </c>
      <c r="F26" s="526">
        <f t="shared" si="1"/>
        <v>6</v>
      </c>
      <c r="G26" s="526">
        <f t="shared" si="2"/>
        <v>1</v>
      </c>
      <c r="H26" s="527">
        <f>SUM($F$9:F26)/A26</f>
        <v>45</v>
      </c>
      <c r="I26" s="524">
        <f t="shared" si="3"/>
        <v>480</v>
      </c>
      <c r="J26" s="525">
        <f t="shared" si="4"/>
        <v>80</v>
      </c>
      <c r="K26" s="400">
        <f t="shared" si="5"/>
        <v>10.666666666666666</v>
      </c>
      <c r="L26" s="1499">
        <v>6</v>
      </c>
      <c r="M26" s="1499"/>
      <c r="N26" s="1499"/>
      <c r="O26" s="1499"/>
      <c r="P26" s="647">
        <f t="shared" si="6"/>
        <v>24</v>
      </c>
      <c r="Q26" s="333"/>
      <c r="R26" s="333"/>
    </row>
    <row r="27" spans="1:18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26"/>
      <c r="E27" s="523">
        <f t="shared" si="0"/>
        <v>0</v>
      </c>
      <c r="F27" s="526">
        <f t="shared" si="1"/>
        <v>0</v>
      </c>
      <c r="G27" s="526">
        <f t="shared" si="2"/>
        <v>0</v>
      </c>
      <c r="H27" s="527">
        <f>SUM($F$9:F27)/A27</f>
        <v>42.631578947368418</v>
      </c>
      <c r="I27" s="524">
        <f t="shared" si="3"/>
        <v>480</v>
      </c>
      <c r="J27" s="525">
        <f t="shared" si="4"/>
        <v>80</v>
      </c>
      <c r="K27" s="400">
        <f t="shared" si="5"/>
        <v>11.25925925925926</v>
      </c>
      <c r="L27" s="1499"/>
      <c r="M27" s="1499"/>
      <c r="N27" s="1499"/>
      <c r="O27" s="1499"/>
      <c r="P27" s="647">
        <f t="shared" si="6"/>
        <v>24</v>
      </c>
      <c r="Q27" s="333"/>
      <c r="R27" s="333"/>
    </row>
    <row r="28" spans="1:18" s="367" customFormat="1" ht="12" customHeight="1">
      <c r="A28" s="401">
        <v>20</v>
      </c>
      <c r="B28" s="365">
        <f>'FRIT HGE91-FHG'!B28</f>
        <v>46254</v>
      </c>
      <c r="C28" s="331" t="s">
        <v>285</v>
      </c>
      <c r="D28" s="526"/>
      <c r="E28" s="523">
        <f t="shared" si="0"/>
        <v>0</v>
      </c>
      <c r="F28" s="526">
        <f t="shared" si="1"/>
        <v>0</v>
      </c>
      <c r="G28" s="526">
        <f t="shared" si="2"/>
        <v>0</v>
      </c>
      <c r="H28" s="528">
        <f>SUM($F$9:F28)/A28</f>
        <v>40.5</v>
      </c>
      <c r="I28" s="529">
        <f t="shared" si="3"/>
        <v>480</v>
      </c>
      <c r="J28" s="525">
        <f t="shared" si="4"/>
        <v>80</v>
      </c>
      <c r="K28" s="400">
        <f t="shared" si="5"/>
        <v>11.851851851851851</v>
      </c>
      <c r="L28" s="1499"/>
      <c r="M28" s="1499"/>
      <c r="N28" s="1499"/>
      <c r="O28" s="1499"/>
      <c r="P28" s="647">
        <f t="shared" si="6"/>
        <v>24</v>
      </c>
      <c r="Q28" s="333"/>
      <c r="R28" s="333"/>
    </row>
    <row r="29" spans="1:18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26"/>
      <c r="E29" s="523">
        <f t="shared" si="0"/>
        <v>0</v>
      </c>
      <c r="F29" s="526">
        <f t="shared" si="1"/>
        <v>0</v>
      </c>
      <c r="G29" s="526">
        <f t="shared" si="2"/>
        <v>0</v>
      </c>
      <c r="H29" s="527">
        <f>SUM($F$9:F29)/A29</f>
        <v>38.571428571428569</v>
      </c>
      <c r="I29" s="524">
        <f t="shared" si="3"/>
        <v>480</v>
      </c>
      <c r="J29" s="525">
        <f t="shared" si="4"/>
        <v>80</v>
      </c>
      <c r="K29" s="400">
        <f t="shared" si="5"/>
        <v>12.444444444444445</v>
      </c>
      <c r="L29" s="1499"/>
      <c r="M29" s="1499"/>
      <c r="N29" s="1499"/>
      <c r="O29" s="1499"/>
      <c r="P29" s="647">
        <f t="shared" si="6"/>
        <v>24</v>
      </c>
      <c r="Q29" s="333"/>
      <c r="R29" s="333"/>
    </row>
    <row r="30" spans="1:18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26"/>
      <c r="E30" s="523">
        <f t="shared" si="0"/>
        <v>0</v>
      </c>
      <c r="F30" s="526">
        <f t="shared" si="1"/>
        <v>0</v>
      </c>
      <c r="G30" s="526">
        <f t="shared" si="2"/>
        <v>0</v>
      </c>
      <c r="H30" s="527">
        <f>SUM($F$9:F30)/A30</f>
        <v>36.81818181818182</v>
      </c>
      <c r="I30" s="524">
        <f t="shared" si="3"/>
        <v>480</v>
      </c>
      <c r="J30" s="525">
        <f t="shared" si="4"/>
        <v>80</v>
      </c>
      <c r="K30" s="400">
        <f t="shared" si="5"/>
        <v>13.037037037037036</v>
      </c>
      <c r="L30" s="1499"/>
      <c r="M30" s="1499"/>
      <c r="N30" s="1499"/>
      <c r="O30" s="1499"/>
      <c r="P30" s="647">
        <f t="shared" si="6"/>
        <v>24</v>
      </c>
      <c r="Q30" s="333"/>
      <c r="R30" s="333"/>
    </row>
    <row r="31" spans="1:18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26"/>
      <c r="E31" s="523">
        <f t="shared" si="0"/>
        <v>0</v>
      </c>
      <c r="F31" s="526">
        <f t="shared" si="1"/>
        <v>0</v>
      </c>
      <c r="G31" s="526">
        <f t="shared" si="2"/>
        <v>0</v>
      </c>
      <c r="H31" s="527">
        <f>SUM($F$9:F31)/A31</f>
        <v>35.217391304347828</v>
      </c>
      <c r="I31" s="524">
        <f t="shared" si="3"/>
        <v>480</v>
      </c>
      <c r="J31" s="525">
        <f t="shared" si="4"/>
        <v>80</v>
      </c>
      <c r="K31" s="400">
        <f t="shared" si="5"/>
        <v>13.62962962962963</v>
      </c>
      <c r="L31" s="1499"/>
      <c r="M31" s="1499"/>
      <c r="N31" s="1499"/>
      <c r="O31" s="1499"/>
      <c r="P31" s="647">
        <f t="shared" si="6"/>
        <v>24</v>
      </c>
      <c r="Q31" s="333"/>
      <c r="R31" s="333"/>
    </row>
    <row r="32" spans="1:18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26"/>
      <c r="E32" s="523">
        <f t="shared" si="0"/>
        <v>0</v>
      </c>
      <c r="F32" s="526">
        <f t="shared" si="1"/>
        <v>0</v>
      </c>
      <c r="G32" s="526">
        <f t="shared" si="2"/>
        <v>0</v>
      </c>
      <c r="H32" s="527">
        <f>SUM($F$9:F32)/A32</f>
        <v>33.75</v>
      </c>
      <c r="I32" s="524">
        <f t="shared" si="3"/>
        <v>480</v>
      </c>
      <c r="J32" s="525">
        <f t="shared" si="4"/>
        <v>80</v>
      </c>
      <c r="K32" s="400">
        <f t="shared" si="5"/>
        <v>14.222222222222221</v>
      </c>
      <c r="L32" s="1499"/>
      <c r="M32" s="1499"/>
      <c r="N32" s="1499"/>
      <c r="O32" s="1499"/>
      <c r="P32" s="647">
        <f t="shared" si="6"/>
        <v>24</v>
      </c>
      <c r="Q32" s="333"/>
      <c r="R32" s="333"/>
    </row>
    <row r="33" spans="1:18" s="367" customFormat="1" ht="12" customHeight="1">
      <c r="A33" s="402">
        <v>25</v>
      </c>
      <c r="B33" s="365">
        <f>'FRIT HGE91-FHG'!B33</f>
        <v>46259</v>
      </c>
      <c r="C33" s="331" t="s">
        <v>285</v>
      </c>
      <c r="D33" s="526"/>
      <c r="E33" s="523">
        <f t="shared" si="0"/>
        <v>0</v>
      </c>
      <c r="F33" s="526">
        <f t="shared" si="1"/>
        <v>0</v>
      </c>
      <c r="G33" s="526">
        <f t="shared" si="2"/>
        <v>0</v>
      </c>
      <c r="H33" s="530">
        <f>SUM($F$9:F33)/A33</f>
        <v>32.4</v>
      </c>
      <c r="I33" s="531">
        <f t="shared" si="3"/>
        <v>480</v>
      </c>
      <c r="J33" s="525">
        <f t="shared" si="4"/>
        <v>80</v>
      </c>
      <c r="K33" s="400">
        <f t="shared" si="5"/>
        <v>14.814814814814815</v>
      </c>
      <c r="L33" s="1499"/>
      <c r="M33" s="1499"/>
      <c r="N33" s="1499"/>
      <c r="O33" s="1499"/>
      <c r="P33" s="647">
        <f t="shared" si="6"/>
        <v>24</v>
      </c>
      <c r="Q33" s="333"/>
      <c r="R33" s="333"/>
    </row>
    <row r="34" spans="1:18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26"/>
      <c r="E34" s="523">
        <f t="shared" si="0"/>
        <v>0</v>
      </c>
      <c r="F34" s="526">
        <f t="shared" si="1"/>
        <v>0</v>
      </c>
      <c r="G34" s="526">
        <f t="shared" si="2"/>
        <v>0</v>
      </c>
      <c r="H34" s="527">
        <f>SUM($F$9:F34)/A34</f>
        <v>31.153846153846153</v>
      </c>
      <c r="I34" s="524">
        <f t="shared" si="3"/>
        <v>480</v>
      </c>
      <c r="J34" s="525">
        <f t="shared" si="4"/>
        <v>80</v>
      </c>
      <c r="K34" s="400">
        <f t="shared" si="5"/>
        <v>15.407407407407408</v>
      </c>
      <c r="L34" s="1499"/>
      <c r="M34" s="1499"/>
      <c r="N34" s="1499"/>
      <c r="O34" s="1499"/>
      <c r="P34" s="647">
        <f t="shared" si="6"/>
        <v>24</v>
      </c>
    </row>
    <row r="35" spans="1:18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26"/>
      <c r="E35" s="523">
        <f t="shared" si="0"/>
        <v>0</v>
      </c>
      <c r="F35" s="526">
        <f t="shared" si="1"/>
        <v>0</v>
      </c>
      <c r="G35" s="526">
        <f t="shared" si="2"/>
        <v>0</v>
      </c>
      <c r="H35" s="527">
        <f>SUM($F$9:F35)/A35</f>
        <v>30</v>
      </c>
      <c r="I35" s="524">
        <f t="shared" si="3"/>
        <v>480</v>
      </c>
      <c r="J35" s="525">
        <f t="shared" si="4"/>
        <v>80</v>
      </c>
      <c r="K35" s="400">
        <f t="shared" si="5"/>
        <v>16</v>
      </c>
      <c r="L35" s="1499"/>
      <c r="M35" s="1499"/>
      <c r="N35" s="1499"/>
      <c r="O35" s="1499"/>
      <c r="P35" s="647">
        <f t="shared" si="6"/>
        <v>24</v>
      </c>
    </row>
    <row r="36" spans="1:18" s="367" customFormat="1" ht="12" customHeight="1">
      <c r="A36" s="364">
        <v>28</v>
      </c>
      <c r="B36" s="365">
        <f>'FRIT HGE91-FHG'!B36</f>
        <v>46262</v>
      </c>
      <c r="C36" s="331" t="s">
        <v>346</v>
      </c>
      <c r="D36" s="526"/>
      <c r="E36" s="523">
        <f t="shared" si="0"/>
        <v>0</v>
      </c>
      <c r="F36" s="526">
        <f t="shared" si="1"/>
        <v>0</v>
      </c>
      <c r="G36" s="526">
        <f t="shared" si="2"/>
        <v>0</v>
      </c>
      <c r="H36" s="527">
        <f>SUM($F$9:F36)/A36</f>
        <v>28.928571428571427</v>
      </c>
      <c r="I36" s="524">
        <f t="shared" si="3"/>
        <v>480</v>
      </c>
      <c r="J36" s="525">
        <f t="shared" si="4"/>
        <v>80</v>
      </c>
      <c r="K36" s="400">
        <f t="shared" si="5"/>
        <v>16.592592592592595</v>
      </c>
      <c r="L36" s="1499"/>
      <c r="M36" s="1499"/>
      <c r="N36" s="1499"/>
      <c r="O36" s="1499"/>
      <c r="P36" s="647">
        <f t="shared" si="6"/>
        <v>24</v>
      </c>
    </row>
    <row r="37" spans="1:18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26"/>
      <c r="E37" s="523">
        <f t="shared" si="0"/>
        <v>0</v>
      </c>
      <c r="F37" s="526">
        <f t="shared" si="1"/>
        <v>0</v>
      </c>
      <c r="G37" s="526">
        <f t="shared" si="2"/>
        <v>0</v>
      </c>
      <c r="H37" s="527">
        <f>SUM($F$9:F37)/A37</f>
        <v>27.931034482758619</v>
      </c>
      <c r="I37" s="524">
        <f t="shared" si="3"/>
        <v>480</v>
      </c>
      <c r="J37" s="525">
        <f t="shared" si="4"/>
        <v>80</v>
      </c>
      <c r="K37" s="400">
        <f t="shared" si="5"/>
        <v>17.185185185185187</v>
      </c>
      <c r="L37" s="1499"/>
      <c r="M37" s="1499"/>
      <c r="N37" s="1499"/>
      <c r="O37" s="1499"/>
      <c r="P37" s="647">
        <f t="shared" si="6"/>
        <v>24</v>
      </c>
    </row>
    <row r="38" spans="1:18" s="367" customFormat="1" ht="12" customHeight="1">
      <c r="A38" s="401">
        <v>30</v>
      </c>
      <c r="B38" s="365">
        <f>'FRIT HGE91-FHG'!B38</f>
        <v>46264</v>
      </c>
      <c r="C38" s="331" t="s">
        <v>346</v>
      </c>
      <c r="D38" s="526"/>
      <c r="E38" s="523">
        <f t="shared" si="0"/>
        <v>0</v>
      </c>
      <c r="F38" s="526">
        <f t="shared" si="1"/>
        <v>0</v>
      </c>
      <c r="G38" s="526">
        <f t="shared" si="2"/>
        <v>0</v>
      </c>
      <c r="H38" s="528">
        <f>SUM($F$9:F38)/A38</f>
        <v>27</v>
      </c>
      <c r="I38" s="529">
        <f t="shared" si="3"/>
        <v>480</v>
      </c>
      <c r="J38" s="525">
        <f t="shared" si="4"/>
        <v>80</v>
      </c>
      <c r="K38" s="400">
        <f t="shared" si="5"/>
        <v>17.777777777777779</v>
      </c>
      <c r="L38" s="1499"/>
      <c r="M38" s="1499"/>
      <c r="N38" s="1499"/>
      <c r="O38" s="1499"/>
      <c r="P38" s="647">
        <f t="shared" si="6"/>
        <v>24</v>
      </c>
    </row>
    <row r="39" spans="1:18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26"/>
      <c r="E39" s="523">
        <f t="shared" si="0"/>
        <v>0</v>
      </c>
      <c r="F39" s="526">
        <f t="shared" si="1"/>
        <v>0</v>
      </c>
      <c r="G39" s="526">
        <f t="shared" si="2"/>
        <v>0</v>
      </c>
      <c r="H39" s="527">
        <f>SUM($F$9:F39)/A39</f>
        <v>26.129032258064516</v>
      </c>
      <c r="I39" s="524">
        <f t="shared" si="3"/>
        <v>480</v>
      </c>
      <c r="J39" s="525">
        <f t="shared" si="4"/>
        <v>80</v>
      </c>
      <c r="K39" s="400">
        <f t="shared" si="5"/>
        <v>18.37037037037037</v>
      </c>
      <c r="L39" s="1499"/>
      <c r="M39" s="1499"/>
      <c r="N39" s="1499"/>
      <c r="O39" s="1499"/>
      <c r="P39" s="647">
        <f t="shared" si="6"/>
        <v>24</v>
      </c>
    </row>
    <row r="40" spans="1:18" s="374" customFormat="1" ht="12" customHeight="1">
      <c r="A40" s="1628" t="s">
        <v>29</v>
      </c>
      <c r="B40" s="1628"/>
      <c r="C40" s="1628"/>
      <c r="D40" s="403">
        <f>SUM(D9:D39)</f>
        <v>720</v>
      </c>
      <c r="E40" s="403">
        <f>SUM(E9:E39)</f>
        <v>120</v>
      </c>
      <c r="F40" s="398">
        <f>SUM(F9:F39)</f>
        <v>810</v>
      </c>
      <c r="G40" s="404">
        <f>SUM(G9:G39)</f>
        <v>135</v>
      </c>
      <c r="H40" s="398"/>
      <c r="I40" s="746">
        <f>I39</f>
        <v>480</v>
      </c>
      <c r="J40" s="747">
        <f>J39</f>
        <v>80</v>
      </c>
      <c r="K40" s="406"/>
      <c r="L40" s="745">
        <f>SUM(L9:L39)</f>
        <v>378</v>
      </c>
      <c r="M40" s="742">
        <f t="shared" ref="M40:N40" si="7">SUM(M9:M39)</f>
        <v>432</v>
      </c>
      <c r="N40" s="691">
        <f t="shared" si="7"/>
        <v>0</v>
      </c>
      <c r="O40" s="691">
        <f>SUM(O9:O39)</f>
        <v>0</v>
      </c>
    </row>
    <row r="41" spans="1:18" s="374" customFormat="1" ht="12" customHeight="1">
      <c r="A41" s="1628" t="s">
        <v>15</v>
      </c>
      <c r="B41" s="1628"/>
      <c r="C41" s="1628"/>
      <c r="D41" s="403">
        <f>D8+D40</f>
        <v>1290</v>
      </c>
      <c r="E41" s="403">
        <f>E8+E40</f>
        <v>215</v>
      </c>
      <c r="F41" s="398">
        <f>F40</f>
        <v>810</v>
      </c>
      <c r="G41" s="404">
        <f>G40</f>
        <v>135</v>
      </c>
      <c r="H41" s="398"/>
      <c r="I41" s="398">
        <f>D41-F41</f>
        <v>480</v>
      </c>
      <c r="J41" s="398">
        <f>E41-G41</f>
        <v>80</v>
      </c>
      <c r="K41" s="406"/>
      <c r="L41" s="694"/>
      <c r="M41" s="694"/>
      <c r="N41" s="694"/>
      <c r="O41" s="694"/>
    </row>
    <row r="42" spans="1:18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L42" s="343"/>
      <c r="M42" s="343"/>
      <c r="N42" s="343"/>
      <c r="O42" s="343"/>
    </row>
    <row r="43" spans="1:18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</row>
    <row r="44" spans="1:18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</row>
    <row r="45" spans="1:18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3"/>
    </row>
    <row r="46" spans="1:18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  <c r="L46" s="343"/>
      <c r="M46" s="343"/>
      <c r="N46" s="343"/>
      <c r="O46" s="343"/>
    </row>
    <row r="47" spans="1:18">
      <c r="J47" s="260"/>
    </row>
  </sheetData>
  <mergeCells count="17">
    <mergeCell ref="A4:B4"/>
    <mergeCell ref="A3:P3"/>
    <mergeCell ref="L6:L7"/>
    <mergeCell ref="M6:M7"/>
    <mergeCell ref="A8:C8"/>
    <mergeCell ref="D6:E6"/>
    <mergeCell ref="F6:G6"/>
    <mergeCell ref="H6:H7"/>
    <mergeCell ref="I6:J6"/>
    <mergeCell ref="K6:K7"/>
    <mergeCell ref="N6:N7"/>
    <mergeCell ref="O6:O7"/>
    <mergeCell ref="A40:C40"/>
    <mergeCell ref="A41:C41"/>
    <mergeCell ref="A6:A7"/>
    <mergeCell ref="B6:B7"/>
    <mergeCell ref="C6:C7"/>
  </mergeCells>
  <conditionalFormatting sqref="K40:K41">
    <cfRule type="cellIs" dxfId="8900" priority="13" operator="between">
      <formula>15</formula>
      <formula>20</formula>
    </cfRule>
    <cfRule type="cellIs" dxfId="8899" priority="14" operator="lessThan">
      <formula>15</formula>
    </cfRule>
    <cfRule type="cellIs" dxfId="8898" priority="15" operator="greaterThan">
      <formula>20</formula>
    </cfRule>
  </conditionalFormatting>
  <conditionalFormatting sqref="K9:K39">
    <cfRule type="cellIs" dxfId="8897" priority="1" operator="between">
      <formula>15</formula>
      <formula>20</formula>
    </cfRule>
    <cfRule type="cellIs" dxfId="8896" priority="2" operator="lessThan">
      <formula>15</formula>
    </cfRule>
    <cfRule type="cellIs" dxfId="8895" priority="3" operator="greaterThan">
      <formula>20</formula>
    </cfRule>
  </conditionalFormatting>
  <hyperlinks>
    <hyperlink ref="K5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A48"/>
  <sheetViews>
    <sheetView workbookViewId="0">
      <pane ySplit="8" topLeftCell="A21" activePane="bottomLeft" state="frozen"/>
      <selection pane="bottomLeft" activeCell="K5" sqref="K5"/>
    </sheetView>
  </sheetViews>
  <sheetFormatPr defaultColWidth="9.28515625" defaultRowHeight="16.5"/>
  <cols>
    <col min="1" max="1" width="4.85546875" style="42" customWidth="1"/>
    <col min="2" max="2" width="9" style="42" customWidth="1"/>
    <col min="3" max="3" width="15.85546875" style="42" customWidth="1"/>
    <col min="4" max="7" width="10.7109375" style="6" customWidth="1"/>
    <col min="8" max="8" width="13.140625" style="6" customWidth="1"/>
    <col min="9" max="10" width="10.42578125" style="6" customWidth="1"/>
    <col min="11" max="11" width="14.7109375" style="42" customWidth="1"/>
    <col min="12" max="12" width="9.85546875" style="6" customWidth="1"/>
    <col min="13" max="15" width="9.5703125" style="6" customWidth="1"/>
    <col min="16" max="16" width="11.5703125" style="143" bestFit="1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142"/>
      <c r="M1" s="142"/>
      <c r="N1" s="142"/>
      <c r="O1" s="142"/>
      <c r="P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M2" s="142"/>
      <c r="N2" s="142"/>
      <c r="O2" s="142"/>
      <c r="P2" s="323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500"/>
      <c r="P3" s="1500"/>
    </row>
    <row r="4" spans="1:27" s="347" customFormat="1" ht="21.75" customHeight="1">
      <c r="A4" s="1600" t="s">
        <v>33</v>
      </c>
      <c r="B4" s="1600"/>
      <c r="C4" s="318" t="str">
        <f>J4</f>
        <v>MÀU BE CIK-BG9454</v>
      </c>
      <c r="D4" s="348"/>
      <c r="E4" s="348" t="s">
        <v>228</v>
      </c>
      <c r="F4" s="348" t="s">
        <v>234</v>
      </c>
      <c r="G4" s="348"/>
      <c r="I4" s="325" t="s">
        <v>114</v>
      </c>
      <c r="J4" s="318" t="s">
        <v>266</v>
      </c>
      <c r="K4" s="319"/>
      <c r="L4" s="383"/>
      <c r="M4" s="383"/>
      <c r="N4" s="383"/>
      <c r="O4" s="383"/>
      <c r="P4" s="143"/>
    </row>
    <row r="5" spans="1:27" s="324" customFormat="1" ht="14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508" t="s">
        <v>292</v>
      </c>
      <c r="K5" s="375" t="s">
        <v>149</v>
      </c>
      <c r="L5" s="343"/>
      <c r="M5" s="343"/>
      <c r="N5" s="343"/>
      <c r="O5" s="343"/>
      <c r="P5" s="143"/>
    </row>
    <row r="6" spans="1:27" s="355" customFormat="1" ht="12.75" customHeight="1">
      <c r="A6" s="1630" t="s">
        <v>2</v>
      </c>
      <c r="B6" s="1631" t="s">
        <v>1</v>
      </c>
      <c r="C6" s="1631" t="s">
        <v>24</v>
      </c>
      <c r="D6" s="1629" t="s">
        <v>250</v>
      </c>
      <c r="E6" s="1629"/>
      <c r="F6" s="1629" t="s">
        <v>249</v>
      </c>
      <c r="G6" s="1629"/>
      <c r="H6" s="1629" t="s">
        <v>265</v>
      </c>
      <c r="I6" s="1629" t="s">
        <v>253</v>
      </c>
      <c r="J6" s="1629"/>
      <c r="K6" s="1629" t="s">
        <v>30</v>
      </c>
      <c r="L6" s="1620" t="s">
        <v>343</v>
      </c>
      <c r="M6" s="1620" t="s">
        <v>244</v>
      </c>
      <c r="N6" s="1632" t="s">
        <v>342</v>
      </c>
      <c r="O6" s="1626" t="s">
        <v>824</v>
      </c>
      <c r="P6" s="143"/>
    </row>
    <row r="7" spans="1:27" s="355" customFormat="1" ht="12.75" customHeight="1">
      <c r="A7" s="1630"/>
      <c r="B7" s="1631"/>
      <c r="C7" s="1631"/>
      <c r="D7" s="407" t="s">
        <v>10</v>
      </c>
      <c r="E7" s="407" t="s">
        <v>58</v>
      </c>
      <c r="F7" s="407" t="s">
        <v>10</v>
      </c>
      <c r="G7" s="407" t="s">
        <v>58</v>
      </c>
      <c r="H7" s="1629"/>
      <c r="I7" s="407" t="s">
        <v>10</v>
      </c>
      <c r="J7" s="407" t="s">
        <v>58</v>
      </c>
      <c r="K7" s="1629"/>
      <c r="L7" s="1621"/>
      <c r="M7" s="1621"/>
      <c r="N7" s="1632"/>
      <c r="O7" s="1626"/>
      <c r="P7" s="143"/>
    </row>
    <row r="8" spans="1:27" s="305" customFormat="1" ht="12" customHeight="1">
      <c r="A8" s="1627" t="s">
        <v>3</v>
      </c>
      <c r="B8" s="1627"/>
      <c r="C8" s="1627"/>
      <c r="D8" s="523">
        <f>I8</f>
        <v>285</v>
      </c>
      <c r="E8" s="523">
        <f>J8</f>
        <v>57</v>
      </c>
      <c r="F8" s="524">
        <f>F40</f>
        <v>160</v>
      </c>
      <c r="G8" s="525">
        <f>G40</f>
        <v>32</v>
      </c>
      <c r="H8" s="523"/>
      <c r="I8" s="324">
        <v>285</v>
      </c>
      <c r="J8" s="630">
        <f>I8/5</f>
        <v>57</v>
      </c>
      <c r="K8" s="399"/>
      <c r="L8" s="688"/>
      <c r="M8" s="688"/>
      <c r="N8" s="688"/>
      <c r="O8" s="1370"/>
      <c r="P8" s="143">
        <v>10</v>
      </c>
    </row>
    <row r="9" spans="1:27" s="333" customFormat="1" ht="12" customHeight="1">
      <c r="A9" s="364">
        <v>1</v>
      </c>
      <c r="B9" s="365">
        <f>'FRIT HGE91-FHG'!B9</f>
        <v>46235</v>
      </c>
      <c r="C9" s="331" t="s">
        <v>334</v>
      </c>
      <c r="D9" s="526"/>
      <c r="E9" s="523">
        <f>D9/5</f>
        <v>0</v>
      </c>
      <c r="F9" s="526">
        <f>L9+M9+N9+O9</f>
        <v>25</v>
      </c>
      <c r="G9" s="526">
        <f>F9/5</f>
        <v>5</v>
      </c>
      <c r="H9" s="527">
        <f>SUM($F$9:F9)/A9</f>
        <v>25</v>
      </c>
      <c r="I9" s="524">
        <f>I8+D9-F9</f>
        <v>260</v>
      </c>
      <c r="J9" s="525">
        <f>I9/5</f>
        <v>52</v>
      </c>
      <c r="K9" s="400">
        <f>I9/H9</f>
        <v>10.4</v>
      </c>
      <c r="L9" s="1499">
        <v>5</v>
      </c>
      <c r="M9" s="1499">
        <v>20</v>
      </c>
      <c r="N9" s="1499"/>
      <c r="O9" s="1499"/>
      <c r="P9" s="647">
        <f>I9/$P$8</f>
        <v>26</v>
      </c>
    </row>
    <row r="10" spans="1:27" s="333" customFormat="1" ht="12" customHeight="1">
      <c r="A10" s="364">
        <v>2</v>
      </c>
      <c r="B10" s="365">
        <f>'FRIT HGE91-FHG'!B10</f>
        <v>46236</v>
      </c>
      <c r="C10" s="331" t="s">
        <v>285</v>
      </c>
      <c r="D10" s="526"/>
      <c r="E10" s="523">
        <f t="shared" ref="E10:E39" si="0">D10/5</f>
        <v>0</v>
      </c>
      <c r="F10" s="526">
        <f t="shared" ref="F10:F39" si="1">L10+M10+N10+O10</f>
        <v>0</v>
      </c>
      <c r="G10" s="526">
        <f t="shared" ref="G10:G18" si="2">F10/5</f>
        <v>0</v>
      </c>
      <c r="H10" s="527">
        <f>SUM($F$9:F10)/A10</f>
        <v>12.5</v>
      </c>
      <c r="I10" s="524">
        <f t="shared" ref="I10:I39" si="3">I9+D10-F10</f>
        <v>260</v>
      </c>
      <c r="J10" s="525">
        <f t="shared" ref="J10:J39" si="4">I10/5</f>
        <v>52</v>
      </c>
      <c r="K10" s="400">
        <f t="shared" ref="K10:K39" si="5">I10/H10</f>
        <v>20.8</v>
      </c>
      <c r="L10" s="1499"/>
      <c r="M10" s="1499"/>
      <c r="N10" s="1499"/>
      <c r="O10" s="1499"/>
      <c r="P10" s="647">
        <f t="shared" ref="P10:P39" si="6">I10/$P$8</f>
        <v>26</v>
      </c>
    </row>
    <row r="11" spans="1:27" s="333" customFormat="1" ht="12" customHeight="1">
      <c r="A11" s="364">
        <v>3</v>
      </c>
      <c r="B11" s="365">
        <f>'FRIT HGE91-FHG'!B11</f>
        <v>46237</v>
      </c>
      <c r="C11" s="331" t="s">
        <v>285</v>
      </c>
      <c r="D11" s="526"/>
      <c r="E11" s="523">
        <f t="shared" si="0"/>
        <v>0</v>
      </c>
      <c r="F11" s="526">
        <f t="shared" si="1"/>
        <v>0</v>
      </c>
      <c r="G11" s="526">
        <f t="shared" si="2"/>
        <v>0</v>
      </c>
      <c r="H11" s="527">
        <f>SUM($F$9:F11)/A11</f>
        <v>8.3333333333333339</v>
      </c>
      <c r="I11" s="524">
        <f t="shared" si="3"/>
        <v>260</v>
      </c>
      <c r="J11" s="525">
        <f t="shared" si="4"/>
        <v>52</v>
      </c>
      <c r="K11" s="400">
        <f t="shared" si="5"/>
        <v>31.2</v>
      </c>
      <c r="L11" s="1499"/>
      <c r="M11" s="1499"/>
      <c r="N11" s="1499"/>
      <c r="O11" s="1499"/>
      <c r="P11" s="647">
        <f t="shared" si="6"/>
        <v>26</v>
      </c>
    </row>
    <row r="12" spans="1:27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26"/>
      <c r="E12" s="523">
        <f t="shared" si="0"/>
        <v>0</v>
      </c>
      <c r="F12" s="526">
        <f t="shared" si="1"/>
        <v>20</v>
      </c>
      <c r="G12" s="526">
        <f t="shared" si="2"/>
        <v>4</v>
      </c>
      <c r="H12" s="527">
        <f>SUM($F$9:F12)/A12</f>
        <v>11.25</v>
      </c>
      <c r="I12" s="524">
        <f t="shared" si="3"/>
        <v>240</v>
      </c>
      <c r="J12" s="525">
        <f t="shared" si="4"/>
        <v>48</v>
      </c>
      <c r="K12" s="400">
        <f t="shared" si="5"/>
        <v>21.333333333333332</v>
      </c>
      <c r="L12" s="1499"/>
      <c r="M12" s="1499">
        <v>20</v>
      </c>
      <c r="N12" s="1499"/>
      <c r="O12" s="1499"/>
      <c r="P12" s="647">
        <f t="shared" si="6"/>
        <v>24</v>
      </c>
      <c r="Q12" s="333"/>
    </row>
    <row r="13" spans="1:27" s="367" customFormat="1" ht="12" customHeight="1">
      <c r="A13" s="401">
        <v>5</v>
      </c>
      <c r="B13" s="365">
        <f>'FRIT HGE91-FHG'!B13</f>
        <v>46239</v>
      </c>
      <c r="C13" s="331" t="s">
        <v>285</v>
      </c>
      <c r="D13" s="526"/>
      <c r="E13" s="523">
        <f t="shared" si="0"/>
        <v>0</v>
      </c>
      <c r="F13" s="526">
        <f t="shared" si="1"/>
        <v>5</v>
      </c>
      <c r="G13" s="526">
        <f t="shared" si="2"/>
        <v>1</v>
      </c>
      <c r="H13" s="528">
        <f>SUM($F$9:F13)/A13</f>
        <v>10</v>
      </c>
      <c r="I13" s="529">
        <f t="shared" si="3"/>
        <v>235</v>
      </c>
      <c r="J13" s="525">
        <f t="shared" si="4"/>
        <v>47</v>
      </c>
      <c r="K13" s="400">
        <f t="shared" si="5"/>
        <v>23.5</v>
      </c>
      <c r="L13" s="1499">
        <v>5</v>
      </c>
      <c r="M13" s="1499"/>
      <c r="N13" s="1499"/>
      <c r="O13" s="1499"/>
      <c r="P13" s="647">
        <f t="shared" si="6"/>
        <v>23.5</v>
      </c>
      <c r="Q13" s="333"/>
    </row>
    <row r="14" spans="1:27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26"/>
      <c r="E14" s="523">
        <f t="shared" si="0"/>
        <v>0</v>
      </c>
      <c r="F14" s="526">
        <f t="shared" si="1"/>
        <v>0</v>
      </c>
      <c r="G14" s="526">
        <f t="shared" si="2"/>
        <v>0</v>
      </c>
      <c r="H14" s="527">
        <f>SUM($F$9:F14)/A14</f>
        <v>8.3333333333333339</v>
      </c>
      <c r="I14" s="524">
        <f t="shared" si="3"/>
        <v>235</v>
      </c>
      <c r="J14" s="525">
        <f t="shared" si="4"/>
        <v>47</v>
      </c>
      <c r="K14" s="400">
        <f t="shared" si="5"/>
        <v>28.2</v>
      </c>
      <c r="L14" s="1499"/>
      <c r="M14" s="1499"/>
      <c r="N14" s="1499"/>
      <c r="O14" s="1499"/>
      <c r="P14" s="647">
        <f t="shared" si="6"/>
        <v>23.5</v>
      </c>
      <c r="Q14" s="333"/>
    </row>
    <row r="15" spans="1:27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26"/>
      <c r="E15" s="523">
        <f t="shared" si="0"/>
        <v>0</v>
      </c>
      <c r="F15" s="526">
        <f t="shared" si="1"/>
        <v>5</v>
      </c>
      <c r="G15" s="526">
        <f t="shared" si="2"/>
        <v>1</v>
      </c>
      <c r="H15" s="527">
        <f>SUM($F$9:F15)/A15</f>
        <v>7.8571428571428568</v>
      </c>
      <c r="I15" s="524">
        <f t="shared" si="3"/>
        <v>230</v>
      </c>
      <c r="J15" s="525">
        <f t="shared" si="4"/>
        <v>46</v>
      </c>
      <c r="K15" s="400">
        <f t="shared" si="5"/>
        <v>29.272727272727273</v>
      </c>
      <c r="L15" s="1499">
        <v>5</v>
      </c>
      <c r="M15" s="1499"/>
      <c r="N15" s="1499"/>
      <c r="O15" s="1499"/>
      <c r="P15" s="647">
        <f t="shared" si="6"/>
        <v>23</v>
      </c>
      <c r="Q15" s="333"/>
    </row>
    <row r="16" spans="1:27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26"/>
      <c r="E16" s="523">
        <f t="shared" si="0"/>
        <v>0</v>
      </c>
      <c r="F16" s="526">
        <f t="shared" si="1"/>
        <v>0</v>
      </c>
      <c r="G16" s="526">
        <f t="shared" si="2"/>
        <v>0</v>
      </c>
      <c r="H16" s="527">
        <f>SUM($F$9:F16)/A16</f>
        <v>6.875</v>
      </c>
      <c r="I16" s="524">
        <f t="shared" si="3"/>
        <v>230</v>
      </c>
      <c r="J16" s="525">
        <f t="shared" si="4"/>
        <v>46</v>
      </c>
      <c r="K16" s="400">
        <f t="shared" si="5"/>
        <v>33.454545454545453</v>
      </c>
      <c r="L16" s="1499"/>
      <c r="M16" s="1499"/>
      <c r="N16" s="1499"/>
      <c r="O16" s="1499"/>
      <c r="P16" s="647">
        <f t="shared" si="6"/>
        <v>23</v>
      </c>
      <c r="Q16" s="333"/>
    </row>
    <row r="17" spans="1:17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26"/>
      <c r="E17" s="523">
        <f t="shared" si="0"/>
        <v>0</v>
      </c>
      <c r="F17" s="526">
        <f t="shared" si="1"/>
        <v>0</v>
      </c>
      <c r="G17" s="526">
        <f t="shared" si="2"/>
        <v>0</v>
      </c>
      <c r="H17" s="527">
        <f>SUM($F$9:F17)/A17</f>
        <v>6.1111111111111107</v>
      </c>
      <c r="I17" s="524">
        <f t="shared" si="3"/>
        <v>230</v>
      </c>
      <c r="J17" s="525">
        <f t="shared" si="4"/>
        <v>46</v>
      </c>
      <c r="K17" s="400">
        <f t="shared" si="5"/>
        <v>37.63636363636364</v>
      </c>
      <c r="L17" s="1499"/>
      <c r="M17" s="1499"/>
      <c r="N17" s="1499"/>
      <c r="O17" s="1499"/>
      <c r="P17" s="647">
        <f t="shared" si="6"/>
        <v>23</v>
      </c>
      <c r="Q17" s="333"/>
    </row>
    <row r="18" spans="1:17" s="367" customFormat="1" ht="12" customHeight="1">
      <c r="A18" s="401">
        <v>10</v>
      </c>
      <c r="B18" s="365">
        <f>'FRIT HGE91-FHG'!B18</f>
        <v>46244</v>
      </c>
      <c r="C18" s="331" t="s">
        <v>285</v>
      </c>
      <c r="D18" s="526"/>
      <c r="E18" s="523">
        <f>D18/5</f>
        <v>0</v>
      </c>
      <c r="F18" s="526">
        <f t="shared" si="1"/>
        <v>30</v>
      </c>
      <c r="G18" s="526">
        <f t="shared" si="2"/>
        <v>6</v>
      </c>
      <c r="H18" s="528">
        <f>SUM($F$9:F18)/A18</f>
        <v>8.5</v>
      </c>
      <c r="I18" s="529">
        <f t="shared" si="3"/>
        <v>200</v>
      </c>
      <c r="J18" s="525">
        <f t="shared" si="4"/>
        <v>40</v>
      </c>
      <c r="K18" s="400">
        <f t="shared" si="5"/>
        <v>23.529411764705884</v>
      </c>
      <c r="L18" s="1499">
        <v>10</v>
      </c>
      <c r="M18" s="1499">
        <v>20</v>
      </c>
      <c r="N18" s="1499"/>
      <c r="O18" s="1499"/>
      <c r="P18" s="647">
        <f t="shared" si="6"/>
        <v>20</v>
      </c>
      <c r="Q18" s="333"/>
    </row>
    <row r="19" spans="1:17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26"/>
      <c r="E19" s="523">
        <f t="shared" si="0"/>
        <v>0</v>
      </c>
      <c r="F19" s="526">
        <f t="shared" si="1"/>
        <v>10</v>
      </c>
      <c r="G19" s="1063">
        <f>F19/5</f>
        <v>2</v>
      </c>
      <c r="H19" s="527">
        <f>SUM($F$9:F19)/A19</f>
        <v>8.6363636363636367</v>
      </c>
      <c r="I19" s="524">
        <f t="shared" si="3"/>
        <v>190</v>
      </c>
      <c r="J19" s="525">
        <f t="shared" si="4"/>
        <v>38</v>
      </c>
      <c r="K19" s="400">
        <f t="shared" si="5"/>
        <v>22</v>
      </c>
      <c r="L19" s="1499">
        <v>10</v>
      </c>
      <c r="M19" s="1499"/>
      <c r="N19" s="1499"/>
      <c r="O19" s="1499"/>
      <c r="P19" s="647">
        <f t="shared" si="6"/>
        <v>19</v>
      </c>
      <c r="Q19" s="333"/>
    </row>
    <row r="20" spans="1:17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26"/>
      <c r="E20" s="523">
        <f t="shared" si="0"/>
        <v>0</v>
      </c>
      <c r="F20" s="526">
        <f t="shared" si="1"/>
        <v>5</v>
      </c>
      <c r="G20" s="526">
        <f t="shared" ref="G20:G36" si="7">F20/5</f>
        <v>1</v>
      </c>
      <c r="H20" s="527">
        <f>SUM($F$9:F20)/A20</f>
        <v>8.3333333333333339</v>
      </c>
      <c r="I20" s="524">
        <f t="shared" si="3"/>
        <v>185</v>
      </c>
      <c r="J20" s="525">
        <f t="shared" si="4"/>
        <v>37</v>
      </c>
      <c r="K20" s="400">
        <f t="shared" si="5"/>
        <v>22.2</v>
      </c>
      <c r="L20" s="1499">
        <v>5</v>
      </c>
      <c r="M20" s="1499"/>
      <c r="N20" s="1499"/>
      <c r="O20" s="1499"/>
      <c r="P20" s="647">
        <f t="shared" si="6"/>
        <v>18.5</v>
      </c>
      <c r="Q20" s="333"/>
    </row>
    <row r="21" spans="1:17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26"/>
      <c r="E21" s="523">
        <f t="shared" si="0"/>
        <v>0</v>
      </c>
      <c r="F21" s="526">
        <f t="shared" si="1"/>
        <v>45</v>
      </c>
      <c r="G21" s="526">
        <f t="shared" si="7"/>
        <v>9</v>
      </c>
      <c r="H21" s="527">
        <f>SUM($F$9:F21)/A21</f>
        <v>11.153846153846153</v>
      </c>
      <c r="I21" s="524">
        <f t="shared" si="3"/>
        <v>140</v>
      </c>
      <c r="J21" s="525">
        <f t="shared" si="4"/>
        <v>28</v>
      </c>
      <c r="K21" s="400">
        <f t="shared" si="5"/>
        <v>12.551724137931036</v>
      </c>
      <c r="L21" s="1499">
        <v>5</v>
      </c>
      <c r="M21" s="1499">
        <v>40</v>
      </c>
      <c r="N21" s="1499"/>
      <c r="O21" s="1499"/>
      <c r="P21" s="647">
        <f t="shared" si="6"/>
        <v>14</v>
      </c>
      <c r="Q21" s="333"/>
    </row>
    <row r="22" spans="1:17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26"/>
      <c r="E22" s="523">
        <f t="shared" si="0"/>
        <v>0</v>
      </c>
      <c r="F22" s="526">
        <f t="shared" si="1"/>
        <v>0</v>
      </c>
      <c r="G22" s="526">
        <f t="shared" si="7"/>
        <v>0</v>
      </c>
      <c r="H22" s="527">
        <f>SUM($F$9:F22)/A22</f>
        <v>10.357142857142858</v>
      </c>
      <c r="I22" s="524">
        <f t="shared" si="3"/>
        <v>140</v>
      </c>
      <c r="J22" s="525">
        <f t="shared" si="4"/>
        <v>28</v>
      </c>
      <c r="K22" s="400">
        <f t="shared" si="5"/>
        <v>13.517241379310343</v>
      </c>
      <c r="L22" s="1499"/>
      <c r="M22" s="1499"/>
      <c r="N22" s="1499"/>
      <c r="O22" s="1499"/>
      <c r="P22" s="647">
        <f t="shared" si="6"/>
        <v>14</v>
      </c>
      <c r="Q22" s="333"/>
    </row>
    <row r="23" spans="1:17" s="367" customFormat="1" ht="12" customHeight="1">
      <c r="A23" s="401">
        <v>15</v>
      </c>
      <c r="B23" s="365">
        <f>'FRIT HGE91-FHG'!B23</f>
        <v>46249</v>
      </c>
      <c r="C23" s="331" t="s">
        <v>285</v>
      </c>
      <c r="D23" s="526"/>
      <c r="E23" s="523">
        <f t="shared" si="0"/>
        <v>0</v>
      </c>
      <c r="F23" s="526">
        <f t="shared" si="1"/>
        <v>10</v>
      </c>
      <c r="G23" s="526">
        <f t="shared" si="7"/>
        <v>2</v>
      </c>
      <c r="H23" s="528">
        <f>SUM($F$9:F23)/A23</f>
        <v>10.333333333333334</v>
      </c>
      <c r="I23" s="529">
        <f t="shared" si="3"/>
        <v>130</v>
      </c>
      <c r="J23" s="525">
        <f t="shared" si="4"/>
        <v>26</v>
      </c>
      <c r="K23" s="400">
        <f t="shared" si="5"/>
        <v>12.580645161290322</v>
      </c>
      <c r="L23" s="1499">
        <v>10</v>
      </c>
      <c r="M23" s="1499"/>
      <c r="N23" s="1499"/>
      <c r="O23" s="1499"/>
      <c r="P23" s="647">
        <f t="shared" si="6"/>
        <v>13</v>
      </c>
      <c r="Q23" s="333"/>
    </row>
    <row r="24" spans="1:17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26"/>
      <c r="E24" s="523">
        <f t="shared" si="0"/>
        <v>0</v>
      </c>
      <c r="F24" s="526">
        <f t="shared" si="1"/>
        <v>0</v>
      </c>
      <c r="G24" s="526">
        <f t="shared" si="7"/>
        <v>0</v>
      </c>
      <c r="H24" s="527">
        <f>SUM($F$9:F24)/A24</f>
        <v>9.6875</v>
      </c>
      <c r="I24" s="524">
        <f t="shared" si="3"/>
        <v>130</v>
      </c>
      <c r="J24" s="525">
        <f t="shared" si="4"/>
        <v>26</v>
      </c>
      <c r="K24" s="400">
        <f t="shared" si="5"/>
        <v>13.419354838709678</v>
      </c>
      <c r="L24" s="1499"/>
      <c r="M24" s="1499"/>
      <c r="N24" s="1499"/>
      <c r="O24" s="1499"/>
      <c r="P24" s="647">
        <f t="shared" si="6"/>
        <v>13</v>
      </c>
      <c r="Q24" s="333"/>
    </row>
    <row r="25" spans="1:17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26">
        <v>100</v>
      </c>
      <c r="E25" s="523">
        <f t="shared" si="0"/>
        <v>20</v>
      </c>
      <c r="F25" s="526">
        <f t="shared" si="1"/>
        <v>0</v>
      </c>
      <c r="G25" s="526">
        <f t="shared" si="7"/>
        <v>0</v>
      </c>
      <c r="H25" s="527">
        <f>SUM($F$9:F25)/A25</f>
        <v>9.117647058823529</v>
      </c>
      <c r="I25" s="524">
        <f t="shared" si="3"/>
        <v>230</v>
      </c>
      <c r="J25" s="525">
        <f t="shared" si="4"/>
        <v>46</v>
      </c>
      <c r="K25" s="400">
        <f t="shared" si="5"/>
        <v>25.225806451612904</v>
      </c>
      <c r="L25" s="1499"/>
      <c r="M25" s="1499"/>
      <c r="N25" s="1499"/>
      <c r="O25" s="1499"/>
      <c r="P25" s="647">
        <f t="shared" si="6"/>
        <v>23</v>
      </c>
      <c r="Q25" s="333"/>
    </row>
    <row r="26" spans="1:17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26"/>
      <c r="E26" s="523">
        <f t="shared" si="0"/>
        <v>0</v>
      </c>
      <c r="F26" s="526">
        <f t="shared" si="1"/>
        <v>5</v>
      </c>
      <c r="G26" s="526">
        <f t="shared" si="7"/>
        <v>1</v>
      </c>
      <c r="H26" s="527">
        <f>SUM($F$9:F26)/A26</f>
        <v>8.8888888888888893</v>
      </c>
      <c r="I26" s="524">
        <f t="shared" si="3"/>
        <v>225</v>
      </c>
      <c r="J26" s="525">
        <f t="shared" si="4"/>
        <v>45</v>
      </c>
      <c r="K26" s="400">
        <f t="shared" si="5"/>
        <v>25.3125</v>
      </c>
      <c r="L26" s="1499">
        <v>5</v>
      </c>
      <c r="M26" s="1499"/>
      <c r="N26" s="1499"/>
      <c r="O26" s="1499"/>
      <c r="P26" s="647">
        <f t="shared" si="6"/>
        <v>22.5</v>
      </c>
      <c r="Q26" s="333"/>
    </row>
    <row r="27" spans="1:17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26"/>
      <c r="E27" s="523">
        <f>D27/5</f>
        <v>0</v>
      </c>
      <c r="F27" s="526">
        <f t="shared" si="1"/>
        <v>0</v>
      </c>
      <c r="G27" s="526">
        <f t="shared" si="7"/>
        <v>0</v>
      </c>
      <c r="H27" s="527">
        <f>SUM($F$9:F27)/A27</f>
        <v>8.4210526315789469</v>
      </c>
      <c r="I27" s="524">
        <f t="shared" si="3"/>
        <v>225</v>
      </c>
      <c r="J27" s="525">
        <f t="shared" si="4"/>
        <v>45</v>
      </c>
      <c r="K27" s="400">
        <f t="shared" si="5"/>
        <v>26.71875</v>
      </c>
      <c r="L27" s="1499"/>
      <c r="M27" s="1499"/>
      <c r="N27" s="1499"/>
      <c r="O27" s="1499"/>
      <c r="P27" s="647">
        <f t="shared" si="6"/>
        <v>22.5</v>
      </c>
      <c r="Q27" s="333"/>
    </row>
    <row r="28" spans="1:17" s="367" customFormat="1" ht="12" customHeight="1">
      <c r="A28" s="401">
        <v>20</v>
      </c>
      <c r="B28" s="365">
        <f>'FRIT HGE91-FHG'!B28</f>
        <v>46254</v>
      </c>
      <c r="C28" s="331" t="s">
        <v>285</v>
      </c>
      <c r="D28" s="526"/>
      <c r="E28" s="523">
        <f t="shared" si="0"/>
        <v>0</v>
      </c>
      <c r="F28" s="526">
        <f t="shared" si="1"/>
        <v>0</v>
      </c>
      <c r="G28" s="526">
        <f t="shared" si="7"/>
        <v>0</v>
      </c>
      <c r="H28" s="528">
        <f>SUM($F$9:F28)/A28</f>
        <v>8</v>
      </c>
      <c r="I28" s="529">
        <f t="shared" si="3"/>
        <v>225</v>
      </c>
      <c r="J28" s="525">
        <f t="shared" si="4"/>
        <v>45</v>
      </c>
      <c r="K28" s="400">
        <f t="shared" si="5"/>
        <v>28.125</v>
      </c>
      <c r="L28" s="1499"/>
      <c r="M28" s="1499"/>
      <c r="N28" s="1499"/>
      <c r="O28" s="1499"/>
      <c r="P28" s="647">
        <f t="shared" si="6"/>
        <v>22.5</v>
      </c>
      <c r="Q28" s="333"/>
    </row>
    <row r="29" spans="1:17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26"/>
      <c r="E29" s="523">
        <f t="shared" si="0"/>
        <v>0</v>
      </c>
      <c r="F29" s="526">
        <f t="shared" si="1"/>
        <v>0</v>
      </c>
      <c r="G29" s="526">
        <f t="shared" si="7"/>
        <v>0</v>
      </c>
      <c r="H29" s="527">
        <f>SUM($F$9:F29)/A29</f>
        <v>7.6190476190476186</v>
      </c>
      <c r="I29" s="524">
        <f t="shared" si="3"/>
        <v>225</v>
      </c>
      <c r="J29" s="525">
        <f t="shared" si="4"/>
        <v>45</v>
      </c>
      <c r="K29" s="400">
        <f t="shared" si="5"/>
        <v>29.53125</v>
      </c>
      <c r="L29" s="1499"/>
      <c r="M29" s="1499"/>
      <c r="N29" s="1499"/>
      <c r="O29" s="1499"/>
      <c r="P29" s="647">
        <f t="shared" si="6"/>
        <v>22.5</v>
      </c>
      <c r="Q29" s="333"/>
    </row>
    <row r="30" spans="1:17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26"/>
      <c r="E30" s="523">
        <f t="shared" si="0"/>
        <v>0</v>
      </c>
      <c r="F30" s="526">
        <f t="shared" si="1"/>
        <v>0</v>
      </c>
      <c r="G30" s="526">
        <f t="shared" si="7"/>
        <v>0</v>
      </c>
      <c r="H30" s="527">
        <f>SUM($F$9:F30)/A30</f>
        <v>7.2727272727272725</v>
      </c>
      <c r="I30" s="524">
        <f t="shared" si="3"/>
        <v>225</v>
      </c>
      <c r="J30" s="525">
        <f t="shared" si="4"/>
        <v>45</v>
      </c>
      <c r="K30" s="400">
        <f t="shared" si="5"/>
        <v>30.9375</v>
      </c>
      <c r="L30" s="1499"/>
      <c r="M30" s="1499"/>
      <c r="N30" s="1499"/>
      <c r="O30" s="1499"/>
      <c r="P30" s="647">
        <f t="shared" si="6"/>
        <v>22.5</v>
      </c>
      <c r="Q30" s="333"/>
    </row>
    <row r="31" spans="1:17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26"/>
      <c r="E31" s="523">
        <f t="shared" si="0"/>
        <v>0</v>
      </c>
      <c r="F31" s="526">
        <f t="shared" si="1"/>
        <v>0</v>
      </c>
      <c r="G31" s="526">
        <f t="shared" si="7"/>
        <v>0</v>
      </c>
      <c r="H31" s="527">
        <f>SUM($F$9:F31)/A31</f>
        <v>6.9565217391304346</v>
      </c>
      <c r="I31" s="524">
        <f t="shared" si="3"/>
        <v>225</v>
      </c>
      <c r="J31" s="525">
        <f t="shared" si="4"/>
        <v>45</v>
      </c>
      <c r="K31" s="400">
        <f t="shared" si="5"/>
        <v>32.34375</v>
      </c>
      <c r="L31" s="1499"/>
      <c r="M31" s="1499"/>
      <c r="N31" s="1499"/>
      <c r="O31" s="1499"/>
      <c r="P31" s="647">
        <f t="shared" si="6"/>
        <v>22.5</v>
      </c>
      <c r="Q31" s="333"/>
    </row>
    <row r="32" spans="1:17" s="367" customFormat="1" ht="13.5" customHeight="1">
      <c r="A32" s="364">
        <v>24</v>
      </c>
      <c r="B32" s="365">
        <f>'FRIT HGE91-FHG'!B32</f>
        <v>46258</v>
      </c>
      <c r="C32" s="331" t="s">
        <v>285</v>
      </c>
      <c r="D32" s="526"/>
      <c r="E32" s="523">
        <f t="shared" si="0"/>
        <v>0</v>
      </c>
      <c r="F32" s="526">
        <f t="shared" si="1"/>
        <v>0</v>
      </c>
      <c r="G32" s="526">
        <f t="shared" si="7"/>
        <v>0</v>
      </c>
      <c r="H32" s="527">
        <f>SUM($F$9:F32)/A32</f>
        <v>6.666666666666667</v>
      </c>
      <c r="I32" s="524">
        <f t="shared" si="3"/>
        <v>225</v>
      </c>
      <c r="J32" s="525">
        <f t="shared" si="4"/>
        <v>45</v>
      </c>
      <c r="K32" s="400">
        <f t="shared" si="5"/>
        <v>33.75</v>
      </c>
      <c r="L32" s="1499"/>
      <c r="M32" s="1499"/>
      <c r="N32" s="1499"/>
      <c r="O32" s="1499"/>
      <c r="P32" s="647">
        <f t="shared" si="6"/>
        <v>22.5</v>
      </c>
      <c r="Q32" s="333"/>
    </row>
    <row r="33" spans="1:17" s="367" customFormat="1" ht="12" customHeight="1">
      <c r="A33" s="402">
        <v>25</v>
      </c>
      <c r="B33" s="365">
        <f>'FRIT HGE91-FHG'!B33</f>
        <v>46259</v>
      </c>
      <c r="C33" s="331" t="s">
        <v>285</v>
      </c>
      <c r="D33" s="526"/>
      <c r="E33" s="523">
        <f t="shared" si="0"/>
        <v>0</v>
      </c>
      <c r="F33" s="526">
        <f t="shared" si="1"/>
        <v>0</v>
      </c>
      <c r="G33" s="526">
        <f t="shared" si="7"/>
        <v>0</v>
      </c>
      <c r="H33" s="530">
        <f>SUM($F$9:F33)/A33</f>
        <v>6.4</v>
      </c>
      <c r="I33" s="531">
        <f t="shared" si="3"/>
        <v>225</v>
      </c>
      <c r="J33" s="525">
        <f t="shared" si="4"/>
        <v>45</v>
      </c>
      <c r="K33" s="400">
        <f t="shared" si="5"/>
        <v>35.15625</v>
      </c>
      <c r="L33" s="1499"/>
      <c r="M33" s="1499"/>
      <c r="N33" s="1499"/>
      <c r="O33" s="1499"/>
      <c r="P33" s="647">
        <f t="shared" si="6"/>
        <v>22.5</v>
      </c>
      <c r="Q33" s="333"/>
    </row>
    <row r="34" spans="1:17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26"/>
      <c r="E34" s="523">
        <f t="shared" si="0"/>
        <v>0</v>
      </c>
      <c r="F34" s="526">
        <f t="shared" si="1"/>
        <v>0</v>
      </c>
      <c r="G34" s="526">
        <f t="shared" si="7"/>
        <v>0</v>
      </c>
      <c r="H34" s="527">
        <f>SUM($F$9:F34)/A34</f>
        <v>6.1538461538461542</v>
      </c>
      <c r="I34" s="524">
        <f t="shared" si="3"/>
        <v>225</v>
      </c>
      <c r="J34" s="525">
        <f t="shared" si="4"/>
        <v>45</v>
      </c>
      <c r="K34" s="400">
        <f t="shared" si="5"/>
        <v>36.5625</v>
      </c>
      <c r="L34" s="1499"/>
      <c r="M34" s="1499"/>
      <c r="N34" s="1499"/>
      <c r="O34" s="1499"/>
      <c r="P34" s="647">
        <f t="shared" si="6"/>
        <v>22.5</v>
      </c>
      <c r="Q34" s="333"/>
    </row>
    <row r="35" spans="1:17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26"/>
      <c r="E35" s="523">
        <f t="shared" si="0"/>
        <v>0</v>
      </c>
      <c r="F35" s="526">
        <f t="shared" si="1"/>
        <v>0</v>
      </c>
      <c r="G35" s="526">
        <f t="shared" si="7"/>
        <v>0</v>
      </c>
      <c r="H35" s="527">
        <f>SUM($F$9:F35)/A35</f>
        <v>5.9259259259259256</v>
      </c>
      <c r="I35" s="524">
        <f t="shared" si="3"/>
        <v>225</v>
      </c>
      <c r="J35" s="525">
        <f t="shared" si="4"/>
        <v>45</v>
      </c>
      <c r="K35" s="400">
        <f t="shared" si="5"/>
        <v>37.96875</v>
      </c>
      <c r="L35" s="1499"/>
      <c r="M35" s="1499"/>
      <c r="N35" s="1499"/>
      <c r="O35" s="1499"/>
      <c r="P35" s="647">
        <f t="shared" si="6"/>
        <v>22.5</v>
      </c>
      <c r="Q35" s="333"/>
    </row>
    <row r="36" spans="1:17" s="367" customFormat="1" ht="12" customHeight="1">
      <c r="A36" s="364">
        <v>28</v>
      </c>
      <c r="B36" s="365">
        <f>'FRIT HGE91-FHG'!B36</f>
        <v>46262</v>
      </c>
      <c r="C36" s="331" t="s">
        <v>346</v>
      </c>
      <c r="D36" s="526"/>
      <c r="E36" s="523">
        <f>D36/5</f>
        <v>0</v>
      </c>
      <c r="F36" s="526">
        <f t="shared" si="1"/>
        <v>0</v>
      </c>
      <c r="G36" s="526">
        <f t="shared" si="7"/>
        <v>0</v>
      </c>
      <c r="H36" s="527">
        <f>SUM($F$9:F36)/A36</f>
        <v>5.7142857142857144</v>
      </c>
      <c r="I36" s="524">
        <f t="shared" si="3"/>
        <v>225</v>
      </c>
      <c r="J36" s="525">
        <f t="shared" si="4"/>
        <v>45</v>
      </c>
      <c r="K36" s="400">
        <f t="shared" si="5"/>
        <v>39.375</v>
      </c>
      <c r="L36" s="1499"/>
      <c r="M36" s="1499"/>
      <c r="N36" s="1499"/>
      <c r="O36" s="1499"/>
      <c r="P36" s="647">
        <f t="shared" si="6"/>
        <v>22.5</v>
      </c>
    </row>
    <row r="37" spans="1:17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26"/>
      <c r="E37" s="523">
        <f t="shared" si="0"/>
        <v>0</v>
      </c>
      <c r="F37" s="526">
        <f t="shared" si="1"/>
        <v>0</v>
      </c>
      <c r="G37" s="526">
        <f>F37/5</f>
        <v>0</v>
      </c>
      <c r="H37" s="527">
        <f>SUM($F$9:F37)/A37</f>
        <v>5.5172413793103452</v>
      </c>
      <c r="I37" s="524">
        <f t="shared" si="3"/>
        <v>225</v>
      </c>
      <c r="J37" s="525">
        <f t="shared" si="4"/>
        <v>45</v>
      </c>
      <c r="K37" s="400">
        <f t="shared" si="5"/>
        <v>40.78125</v>
      </c>
      <c r="L37" s="1499"/>
      <c r="M37" s="1499"/>
      <c r="N37" s="1499"/>
      <c r="O37" s="1499"/>
      <c r="P37" s="647">
        <f t="shared" si="6"/>
        <v>22.5</v>
      </c>
    </row>
    <row r="38" spans="1:17" s="367" customFormat="1" ht="12" customHeight="1">
      <c r="A38" s="401">
        <v>30</v>
      </c>
      <c r="B38" s="365">
        <f>'FRIT HGE91-FHG'!B38</f>
        <v>46264</v>
      </c>
      <c r="C38" s="331" t="s">
        <v>285</v>
      </c>
      <c r="D38" s="526"/>
      <c r="E38" s="523">
        <f t="shared" si="0"/>
        <v>0</v>
      </c>
      <c r="F38" s="526">
        <f t="shared" si="1"/>
        <v>0</v>
      </c>
      <c r="G38" s="526">
        <f>F38/5</f>
        <v>0</v>
      </c>
      <c r="H38" s="528">
        <f>SUM($F$9:F38)/A38</f>
        <v>5.333333333333333</v>
      </c>
      <c r="I38" s="529">
        <f t="shared" si="3"/>
        <v>225</v>
      </c>
      <c r="J38" s="525">
        <f t="shared" si="4"/>
        <v>45</v>
      </c>
      <c r="K38" s="400">
        <f t="shared" si="5"/>
        <v>42.1875</v>
      </c>
      <c r="L38" s="1499"/>
      <c r="M38" s="1499"/>
      <c r="N38" s="1499"/>
      <c r="O38" s="1499"/>
      <c r="P38" s="647">
        <f t="shared" si="6"/>
        <v>22.5</v>
      </c>
    </row>
    <row r="39" spans="1:17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26"/>
      <c r="E39" s="523">
        <f t="shared" si="0"/>
        <v>0</v>
      </c>
      <c r="F39" s="526">
        <f t="shared" si="1"/>
        <v>0</v>
      </c>
      <c r="G39" s="526">
        <f>F39/5</f>
        <v>0</v>
      </c>
      <c r="H39" s="527">
        <f>SUM($F$9:F39)/A39</f>
        <v>5.161290322580645</v>
      </c>
      <c r="I39" s="524">
        <f t="shared" si="3"/>
        <v>225</v>
      </c>
      <c r="J39" s="525">
        <f t="shared" si="4"/>
        <v>45</v>
      </c>
      <c r="K39" s="400">
        <f t="shared" si="5"/>
        <v>43.59375</v>
      </c>
      <c r="L39" s="1499"/>
      <c r="M39" s="1499"/>
      <c r="N39" s="1499"/>
      <c r="O39" s="1499"/>
      <c r="P39" s="647">
        <f t="shared" si="6"/>
        <v>22.5</v>
      </c>
    </row>
    <row r="40" spans="1:17" s="374" customFormat="1" ht="12" customHeight="1">
      <c r="A40" s="1628" t="s">
        <v>29</v>
      </c>
      <c r="B40" s="1628"/>
      <c r="C40" s="1628"/>
      <c r="D40" s="403">
        <f>SUM(D9:D39)</f>
        <v>100</v>
      </c>
      <c r="E40" s="403">
        <f>SUM(E9:E39)</f>
        <v>20</v>
      </c>
      <c r="F40" s="398">
        <f>SUM(F9:F39)</f>
        <v>160</v>
      </c>
      <c r="G40" s="404">
        <f>SUM(G9:G39)</f>
        <v>32</v>
      </c>
      <c r="H40" s="398"/>
      <c r="I40" s="405">
        <f>I39</f>
        <v>225</v>
      </c>
      <c r="J40" s="405">
        <f>J39</f>
        <v>45</v>
      </c>
      <c r="K40" s="406"/>
      <c r="L40" s="691">
        <f>SUM(L9:L39)</f>
        <v>60</v>
      </c>
      <c r="M40" s="691">
        <f t="shared" ref="M40:N40" si="8">SUM(M9:M39)</f>
        <v>100</v>
      </c>
      <c r="N40" s="691">
        <f t="shared" si="8"/>
        <v>0</v>
      </c>
      <c r="O40" s="691">
        <f t="shared" ref="O40" si="9">SUM(O9:O39)</f>
        <v>0</v>
      </c>
    </row>
    <row r="41" spans="1:17" s="374" customFormat="1" ht="12" customHeight="1">
      <c r="A41" s="1628" t="s">
        <v>15</v>
      </c>
      <c r="B41" s="1628"/>
      <c r="C41" s="1628"/>
      <c r="D41" s="403">
        <f>D8+D40</f>
        <v>385</v>
      </c>
      <c r="E41" s="403">
        <f>E8+E40</f>
        <v>77</v>
      </c>
      <c r="F41" s="398">
        <f>F40</f>
        <v>160</v>
      </c>
      <c r="G41" s="404">
        <f>G40</f>
        <v>32</v>
      </c>
      <c r="H41" s="398"/>
      <c r="I41" s="398">
        <f>D41-F41</f>
        <v>225</v>
      </c>
      <c r="J41" s="398">
        <f>E41-G41</f>
        <v>45</v>
      </c>
      <c r="K41" s="406"/>
      <c r="L41" s="694"/>
      <c r="M41" s="694"/>
      <c r="N41" s="694"/>
      <c r="O41" s="694"/>
    </row>
    <row r="42" spans="1:17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L42" s="343"/>
      <c r="M42" s="343"/>
      <c r="N42" s="343"/>
      <c r="O42" s="343"/>
    </row>
    <row r="43" spans="1:17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</row>
    <row r="44" spans="1:17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</row>
    <row r="45" spans="1:17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3"/>
    </row>
    <row r="46" spans="1:17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  <c r="L46" s="343"/>
      <c r="M46" s="343"/>
      <c r="N46" s="343"/>
      <c r="O46" s="343"/>
    </row>
    <row r="47" spans="1:17">
      <c r="D47" s="42"/>
      <c r="E47" s="42"/>
      <c r="F47" s="42"/>
      <c r="G47" s="42"/>
      <c r="H47" s="42"/>
      <c r="I47" s="42"/>
      <c r="J47" s="260"/>
    </row>
    <row r="48" spans="1:17">
      <c r="J48" s="260"/>
    </row>
  </sheetData>
  <mergeCells count="17">
    <mergeCell ref="A4:B4"/>
    <mergeCell ref="A3:P3"/>
    <mergeCell ref="L6:L7"/>
    <mergeCell ref="M6:M7"/>
    <mergeCell ref="A8:C8"/>
    <mergeCell ref="D6:E6"/>
    <mergeCell ref="F6:G6"/>
    <mergeCell ref="H6:H7"/>
    <mergeCell ref="I6:J6"/>
    <mergeCell ref="K6:K7"/>
    <mergeCell ref="N6:N7"/>
    <mergeCell ref="O6:O7"/>
    <mergeCell ref="A40:C40"/>
    <mergeCell ref="A41:C41"/>
    <mergeCell ref="A6:A7"/>
    <mergeCell ref="B6:B7"/>
    <mergeCell ref="C6:C7"/>
  </mergeCells>
  <conditionalFormatting sqref="K40:K41">
    <cfRule type="cellIs" dxfId="8894" priority="7" operator="between">
      <formula>15</formula>
      <formula>20</formula>
    </cfRule>
    <cfRule type="cellIs" dxfId="8893" priority="8" operator="lessThan">
      <formula>15</formula>
    </cfRule>
    <cfRule type="cellIs" dxfId="8892" priority="9" operator="greaterThan">
      <formula>20</formula>
    </cfRule>
  </conditionalFormatting>
  <conditionalFormatting sqref="K9:K39">
    <cfRule type="cellIs" dxfId="8891" priority="1" operator="between">
      <formula>15</formula>
      <formula>20</formula>
    </cfRule>
    <cfRule type="cellIs" dxfId="8890" priority="2" operator="lessThan">
      <formula>15</formula>
    </cfRule>
    <cfRule type="cellIs" dxfId="8889" priority="3" operator="greaterThan">
      <formula>20</formula>
    </cfRule>
  </conditionalFormatting>
  <hyperlinks>
    <hyperlink ref="K5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A48"/>
  <sheetViews>
    <sheetView workbookViewId="0">
      <pane ySplit="8" topLeftCell="A9" activePane="bottomLeft" state="frozen"/>
      <selection pane="bottomLeft" activeCell="M22" sqref="M22"/>
    </sheetView>
  </sheetViews>
  <sheetFormatPr defaultColWidth="9.28515625" defaultRowHeight="16.5"/>
  <cols>
    <col min="1" max="1" width="4.85546875" style="42" customWidth="1"/>
    <col min="2" max="2" width="9" style="42" customWidth="1"/>
    <col min="3" max="3" width="15.85546875" style="42" customWidth="1"/>
    <col min="4" max="7" width="10.7109375" style="6" customWidth="1"/>
    <col min="8" max="8" width="13.140625" style="6" customWidth="1"/>
    <col min="9" max="10" width="10.42578125" style="6" customWidth="1"/>
    <col min="11" max="11" width="13.7109375" style="42" customWidth="1"/>
    <col min="12" max="12" width="9.85546875" style="6" customWidth="1"/>
    <col min="13" max="15" width="9.5703125" style="6" customWidth="1"/>
    <col min="16" max="16" width="11.5703125" style="143" bestFit="1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142"/>
      <c r="M1" s="142"/>
      <c r="N1" s="142"/>
      <c r="O1" s="142"/>
      <c r="P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>
        <v>180</v>
      </c>
      <c r="J2" s="324"/>
      <c r="K2" s="183" t="s">
        <v>113</v>
      </c>
      <c r="L2" s="142"/>
      <c r="M2" s="142"/>
      <c r="N2" s="142"/>
      <c r="O2" s="142"/>
      <c r="P2" s="323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500"/>
      <c r="P3" s="1500"/>
    </row>
    <row r="4" spans="1:27" s="344" customFormat="1" ht="14.25" customHeight="1">
      <c r="A4" s="1600" t="s">
        <v>33</v>
      </c>
      <c r="B4" s="1600"/>
      <c r="C4" s="318" t="s">
        <v>264</v>
      </c>
      <c r="D4" s="345"/>
      <c r="E4" s="345" t="s">
        <v>228</v>
      </c>
      <c r="F4" s="345" t="s">
        <v>234</v>
      </c>
      <c r="G4" s="345"/>
      <c r="I4" s="325" t="s">
        <v>114</v>
      </c>
      <c r="J4" s="318" t="s">
        <v>245</v>
      </c>
      <c r="K4" s="319"/>
      <c r="L4" s="383"/>
      <c r="M4" s="383"/>
      <c r="N4" s="383"/>
      <c r="O4" s="383"/>
      <c r="P4" s="143"/>
    </row>
    <row r="5" spans="1:27" s="324" customFormat="1" ht="14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508" t="s">
        <v>292</v>
      </c>
      <c r="K5" s="375" t="s">
        <v>149</v>
      </c>
      <c r="L5" s="343"/>
      <c r="M5" s="343"/>
      <c r="N5" s="343"/>
      <c r="O5" s="343"/>
      <c r="P5" s="143"/>
    </row>
    <row r="6" spans="1:27" s="355" customFormat="1" ht="12.75" customHeight="1">
      <c r="A6" s="1630" t="s">
        <v>2</v>
      </c>
      <c r="B6" s="1631" t="s">
        <v>1</v>
      </c>
      <c r="C6" s="1631" t="s">
        <v>24</v>
      </c>
      <c r="D6" s="1629" t="s">
        <v>250</v>
      </c>
      <c r="E6" s="1629"/>
      <c r="F6" s="1629" t="s">
        <v>249</v>
      </c>
      <c r="G6" s="1629"/>
      <c r="H6" s="1629" t="s">
        <v>265</v>
      </c>
      <c r="I6" s="1629" t="s">
        <v>253</v>
      </c>
      <c r="J6" s="1629"/>
      <c r="K6" s="1629" t="s">
        <v>30</v>
      </c>
      <c r="L6" s="1624" t="s">
        <v>343</v>
      </c>
      <c r="M6" s="1624" t="s">
        <v>244</v>
      </c>
      <c r="N6" s="1632" t="s">
        <v>342</v>
      </c>
      <c r="O6" s="1626" t="s">
        <v>824</v>
      </c>
      <c r="P6" s="143"/>
    </row>
    <row r="7" spans="1:27" s="355" customFormat="1" ht="12.75" customHeight="1">
      <c r="A7" s="1630"/>
      <c r="B7" s="1631"/>
      <c r="C7" s="1631"/>
      <c r="D7" s="407" t="s">
        <v>10</v>
      </c>
      <c r="E7" s="407" t="s">
        <v>58</v>
      </c>
      <c r="F7" s="407" t="s">
        <v>10</v>
      </c>
      <c r="G7" s="407" t="s">
        <v>58</v>
      </c>
      <c r="H7" s="1629"/>
      <c r="I7" s="407" t="s">
        <v>10</v>
      </c>
      <c r="J7" s="407" t="s">
        <v>58</v>
      </c>
      <c r="K7" s="1629"/>
      <c r="L7" s="1625"/>
      <c r="M7" s="1625"/>
      <c r="N7" s="1632"/>
      <c r="O7" s="1626"/>
      <c r="P7" s="143"/>
    </row>
    <row r="8" spans="1:27" s="305" customFormat="1" ht="12" customHeight="1">
      <c r="A8" s="1627" t="s">
        <v>3</v>
      </c>
      <c r="B8" s="1627"/>
      <c r="C8" s="1627"/>
      <c r="D8" s="406">
        <f>I8</f>
        <v>96</v>
      </c>
      <c r="E8" s="406">
        <f>J8</f>
        <v>16</v>
      </c>
      <c r="F8" s="509">
        <f>F40</f>
        <v>48</v>
      </c>
      <c r="G8" s="510">
        <f>G40</f>
        <v>8</v>
      </c>
      <c r="H8" s="406"/>
      <c r="I8" s="324">
        <v>96</v>
      </c>
      <c r="J8" s="628">
        <f>I8/6</f>
        <v>16</v>
      </c>
      <c r="K8" s="399"/>
      <c r="L8" s="688"/>
      <c r="M8" s="688"/>
      <c r="N8" s="688"/>
      <c r="O8" s="1371"/>
      <c r="P8" s="143">
        <v>2</v>
      </c>
    </row>
    <row r="9" spans="1:27" s="333" customFormat="1" ht="12" customHeight="1">
      <c r="A9" s="364">
        <v>1</v>
      </c>
      <c r="B9" s="365">
        <f>'FRIT HGE91-FHG'!B9</f>
        <v>46235</v>
      </c>
      <c r="C9" s="331" t="s">
        <v>285</v>
      </c>
      <c r="D9" s="622"/>
      <c r="E9" s="623">
        <f>D9/6</f>
        <v>0</v>
      </c>
      <c r="F9" s="622">
        <f>L9+M9+N9+O9</f>
        <v>0</v>
      </c>
      <c r="G9" s="622">
        <f>F9/6</f>
        <v>0</v>
      </c>
      <c r="H9" s="513">
        <f>SUM($F$9:F9)/A9</f>
        <v>0</v>
      </c>
      <c r="I9" s="514">
        <f t="shared" ref="I9:I39" si="0">I8+D9-F9</f>
        <v>96</v>
      </c>
      <c r="J9" s="510">
        <f>I9/6</f>
        <v>16</v>
      </c>
      <c r="K9" s="710" t="e">
        <f>I9/H9</f>
        <v>#DIV/0!</v>
      </c>
      <c r="L9" s="1344"/>
      <c r="M9" s="1344"/>
      <c r="N9" s="1344"/>
      <c r="O9" s="1371"/>
      <c r="P9" s="647">
        <f>I9/$P$8</f>
        <v>48</v>
      </c>
    </row>
    <row r="10" spans="1:27" s="333" customFormat="1" ht="12" customHeight="1">
      <c r="A10" s="364">
        <v>2</v>
      </c>
      <c r="B10" s="365">
        <f>'FRIT HGE91-FHG'!B10</f>
        <v>46236</v>
      </c>
      <c r="C10" s="331" t="s">
        <v>285</v>
      </c>
      <c r="D10" s="622"/>
      <c r="E10" s="623">
        <f t="shared" ref="E10:E39" si="1">D10/6</f>
        <v>0</v>
      </c>
      <c r="F10" s="622">
        <f t="shared" ref="F10:F39" si="2">L10+M10+N10+O10</f>
        <v>0</v>
      </c>
      <c r="G10" s="622">
        <f t="shared" ref="G10:G39" si="3">F10/6</f>
        <v>0</v>
      </c>
      <c r="H10" s="513">
        <f>SUM($F$9:F10)/A10</f>
        <v>0</v>
      </c>
      <c r="I10" s="514">
        <f t="shared" si="0"/>
        <v>96</v>
      </c>
      <c r="J10" s="510">
        <f t="shared" ref="J10:J39" si="4">I10/6</f>
        <v>16</v>
      </c>
      <c r="K10" s="710" t="e">
        <f t="shared" ref="K10:K39" si="5">I10/H10</f>
        <v>#DIV/0!</v>
      </c>
      <c r="L10" s="1499"/>
      <c r="M10" s="1499"/>
      <c r="N10" s="1499"/>
      <c r="O10" s="1499"/>
      <c r="P10" s="647">
        <f t="shared" ref="P10:P39" si="6">I10/$P$8</f>
        <v>48</v>
      </c>
    </row>
    <row r="11" spans="1:27" s="333" customFormat="1" ht="12" customHeight="1">
      <c r="A11" s="364">
        <v>3</v>
      </c>
      <c r="B11" s="365">
        <f>'FRIT HGE91-FHG'!B11</f>
        <v>46237</v>
      </c>
      <c r="C11" s="331" t="s">
        <v>285</v>
      </c>
      <c r="D11" s="622"/>
      <c r="E11" s="623">
        <f t="shared" si="1"/>
        <v>0</v>
      </c>
      <c r="F11" s="622">
        <f t="shared" si="2"/>
        <v>24</v>
      </c>
      <c r="G11" s="622">
        <f t="shared" si="3"/>
        <v>4</v>
      </c>
      <c r="H11" s="513">
        <f>SUM($F$9:F11)/A11</f>
        <v>8</v>
      </c>
      <c r="I11" s="514">
        <f t="shared" si="0"/>
        <v>72</v>
      </c>
      <c r="J11" s="510">
        <f t="shared" si="4"/>
        <v>12</v>
      </c>
      <c r="K11" s="710">
        <f t="shared" si="5"/>
        <v>9</v>
      </c>
      <c r="L11" s="1499"/>
      <c r="M11" s="1499">
        <v>24</v>
      </c>
      <c r="N11" s="1499"/>
      <c r="O11" s="1499"/>
      <c r="P11" s="647">
        <f t="shared" si="6"/>
        <v>36</v>
      </c>
    </row>
    <row r="12" spans="1:27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622"/>
      <c r="E12" s="623">
        <f t="shared" si="1"/>
        <v>0</v>
      </c>
      <c r="F12" s="622">
        <f t="shared" si="2"/>
        <v>0</v>
      </c>
      <c r="G12" s="622">
        <f t="shared" si="3"/>
        <v>0</v>
      </c>
      <c r="H12" s="513">
        <f>SUM($F$9:F12)/A12</f>
        <v>6</v>
      </c>
      <c r="I12" s="514">
        <f t="shared" si="0"/>
        <v>72</v>
      </c>
      <c r="J12" s="510">
        <f t="shared" si="4"/>
        <v>12</v>
      </c>
      <c r="K12" s="710">
        <f t="shared" si="5"/>
        <v>12</v>
      </c>
      <c r="L12" s="1499"/>
      <c r="M12" s="1499"/>
      <c r="N12" s="1499"/>
      <c r="O12" s="1499"/>
      <c r="P12" s="647">
        <f t="shared" si="6"/>
        <v>36</v>
      </c>
    </row>
    <row r="13" spans="1:27" s="367" customFormat="1" ht="12" customHeight="1">
      <c r="A13" s="401">
        <v>5</v>
      </c>
      <c r="B13" s="365">
        <f>'FRIT HGE91-FHG'!B13</f>
        <v>46239</v>
      </c>
      <c r="C13" s="331" t="s">
        <v>285</v>
      </c>
      <c r="D13" s="622"/>
      <c r="E13" s="623">
        <f t="shared" si="1"/>
        <v>0</v>
      </c>
      <c r="F13" s="622">
        <f t="shared" si="2"/>
        <v>0</v>
      </c>
      <c r="G13" s="622">
        <f t="shared" si="3"/>
        <v>0</v>
      </c>
      <c r="H13" s="516">
        <f>SUM($F$9:F13)/A13</f>
        <v>4.8</v>
      </c>
      <c r="I13" s="517">
        <f t="shared" si="0"/>
        <v>72</v>
      </c>
      <c r="J13" s="510">
        <f t="shared" si="4"/>
        <v>12</v>
      </c>
      <c r="K13" s="400">
        <f t="shared" si="5"/>
        <v>15</v>
      </c>
      <c r="L13" s="1499"/>
      <c r="M13" s="1499"/>
      <c r="N13" s="1499"/>
      <c r="O13" s="1499"/>
      <c r="P13" s="647">
        <f t="shared" si="6"/>
        <v>36</v>
      </c>
    </row>
    <row r="14" spans="1:27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622"/>
      <c r="E14" s="623">
        <f t="shared" si="1"/>
        <v>0</v>
      </c>
      <c r="F14" s="622">
        <f t="shared" si="2"/>
        <v>0</v>
      </c>
      <c r="G14" s="622">
        <f t="shared" si="3"/>
        <v>0</v>
      </c>
      <c r="H14" s="513">
        <f>SUM($F$9:F14)/A14</f>
        <v>4</v>
      </c>
      <c r="I14" s="514">
        <f t="shared" si="0"/>
        <v>72</v>
      </c>
      <c r="J14" s="510">
        <f t="shared" si="4"/>
        <v>12</v>
      </c>
      <c r="K14" s="400">
        <f t="shared" si="5"/>
        <v>18</v>
      </c>
      <c r="L14" s="1499"/>
      <c r="M14" s="1499"/>
      <c r="N14" s="1499"/>
      <c r="O14" s="1499"/>
      <c r="P14" s="647">
        <f t="shared" si="6"/>
        <v>36</v>
      </c>
    </row>
    <row r="15" spans="1:27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622"/>
      <c r="E15" s="623">
        <f t="shared" si="1"/>
        <v>0</v>
      </c>
      <c r="F15" s="622">
        <f t="shared" si="2"/>
        <v>0</v>
      </c>
      <c r="G15" s="622">
        <f t="shared" si="3"/>
        <v>0</v>
      </c>
      <c r="H15" s="513">
        <f>SUM($F$9:F15)/A15</f>
        <v>3.4285714285714284</v>
      </c>
      <c r="I15" s="514">
        <f t="shared" si="0"/>
        <v>72</v>
      </c>
      <c r="J15" s="510">
        <f t="shared" si="4"/>
        <v>12</v>
      </c>
      <c r="K15" s="400">
        <f t="shared" si="5"/>
        <v>21</v>
      </c>
      <c r="L15" s="1499"/>
      <c r="M15" s="1499"/>
      <c r="N15" s="1499"/>
      <c r="O15" s="1499"/>
      <c r="P15" s="647">
        <f t="shared" si="6"/>
        <v>36</v>
      </c>
    </row>
    <row r="16" spans="1:27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622"/>
      <c r="E16" s="623">
        <f t="shared" si="1"/>
        <v>0</v>
      </c>
      <c r="F16" s="622">
        <f t="shared" si="2"/>
        <v>0</v>
      </c>
      <c r="G16" s="622">
        <f t="shared" si="3"/>
        <v>0</v>
      </c>
      <c r="H16" s="513">
        <f>SUM($F$9:F16)/A16</f>
        <v>3</v>
      </c>
      <c r="I16" s="514">
        <f t="shared" si="0"/>
        <v>72</v>
      </c>
      <c r="J16" s="510">
        <f t="shared" si="4"/>
        <v>12</v>
      </c>
      <c r="K16" s="400">
        <f t="shared" si="5"/>
        <v>24</v>
      </c>
      <c r="L16" s="1499"/>
      <c r="M16" s="1499"/>
      <c r="N16" s="1499"/>
      <c r="O16" s="1499"/>
      <c r="P16" s="647">
        <f t="shared" si="6"/>
        <v>36</v>
      </c>
    </row>
    <row r="17" spans="1:16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622"/>
      <c r="E17" s="623">
        <f t="shared" si="1"/>
        <v>0</v>
      </c>
      <c r="F17" s="622">
        <f t="shared" si="2"/>
        <v>0</v>
      </c>
      <c r="G17" s="622">
        <f t="shared" si="3"/>
        <v>0</v>
      </c>
      <c r="H17" s="513">
        <f>SUM($F$9:F17)/A17</f>
        <v>2.6666666666666665</v>
      </c>
      <c r="I17" s="514">
        <f t="shared" si="0"/>
        <v>72</v>
      </c>
      <c r="J17" s="510">
        <f t="shared" si="4"/>
        <v>12</v>
      </c>
      <c r="K17" s="400">
        <f t="shared" si="5"/>
        <v>27</v>
      </c>
      <c r="L17" s="1499"/>
      <c r="M17" s="1499"/>
      <c r="N17" s="1499"/>
      <c r="O17" s="1499"/>
      <c r="P17" s="647">
        <f t="shared" si="6"/>
        <v>36</v>
      </c>
    </row>
    <row r="18" spans="1:16" s="367" customFormat="1" ht="12" customHeight="1">
      <c r="A18" s="401">
        <v>10</v>
      </c>
      <c r="B18" s="365">
        <f>'FRIT HGE91-FHG'!B18</f>
        <v>46244</v>
      </c>
      <c r="C18" s="331" t="s">
        <v>285</v>
      </c>
      <c r="D18" s="622"/>
      <c r="E18" s="623">
        <f t="shared" si="1"/>
        <v>0</v>
      </c>
      <c r="F18" s="622">
        <f t="shared" si="2"/>
        <v>0</v>
      </c>
      <c r="G18" s="622">
        <f t="shared" si="3"/>
        <v>0</v>
      </c>
      <c r="H18" s="516">
        <f>SUM($F$9:F18)/A18</f>
        <v>2.4</v>
      </c>
      <c r="I18" s="517">
        <f t="shared" si="0"/>
        <v>72</v>
      </c>
      <c r="J18" s="510">
        <f t="shared" si="4"/>
        <v>12</v>
      </c>
      <c r="K18" s="400">
        <f t="shared" si="5"/>
        <v>30</v>
      </c>
      <c r="L18" s="1499"/>
      <c r="M18" s="1499"/>
      <c r="N18" s="1499"/>
      <c r="O18" s="1499"/>
      <c r="P18" s="647">
        <f t="shared" si="6"/>
        <v>36</v>
      </c>
    </row>
    <row r="19" spans="1:16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622"/>
      <c r="E19" s="623">
        <f t="shared" si="1"/>
        <v>0</v>
      </c>
      <c r="F19" s="622">
        <f t="shared" si="2"/>
        <v>0</v>
      </c>
      <c r="G19" s="622">
        <f t="shared" si="3"/>
        <v>0</v>
      </c>
      <c r="H19" s="513">
        <f>SUM($F$9:F19)/A19</f>
        <v>2.1818181818181817</v>
      </c>
      <c r="I19" s="514">
        <f t="shared" si="0"/>
        <v>72</v>
      </c>
      <c r="J19" s="510">
        <f t="shared" si="4"/>
        <v>12</v>
      </c>
      <c r="K19" s="400">
        <f t="shared" si="5"/>
        <v>33</v>
      </c>
      <c r="L19" s="1499"/>
      <c r="M19" s="1499"/>
      <c r="N19" s="1499"/>
      <c r="O19" s="1499"/>
      <c r="P19" s="647">
        <f t="shared" si="6"/>
        <v>36</v>
      </c>
    </row>
    <row r="20" spans="1:16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622"/>
      <c r="E20" s="623">
        <f t="shared" si="1"/>
        <v>0</v>
      </c>
      <c r="F20" s="622">
        <f t="shared" si="2"/>
        <v>0</v>
      </c>
      <c r="G20" s="622">
        <f t="shared" si="3"/>
        <v>0</v>
      </c>
      <c r="H20" s="513">
        <f>SUM($F$9:F20)/A20</f>
        <v>2</v>
      </c>
      <c r="I20" s="514">
        <f t="shared" si="0"/>
        <v>72</v>
      </c>
      <c r="J20" s="510">
        <f t="shared" si="4"/>
        <v>12</v>
      </c>
      <c r="K20" s="400">
        <f t="shared" si="5"/>
        <v>36</v>
      </c>
      <c r="L20" s="1499"/>
      <c r="M20" s="1499"/>
      <c r="N20" s="1499"/>
      <c r="O20" s="1499"/>
      <c r="P20" s="647">
        <f t="shared" si="6"/>
        <v>36</v>
      </c>
    </row>
    <row r="21" spans="1:16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622"/>
      <c r="E21" s="623">
        <f t="shared" si="1"/>
        <v>0</v>
      </c>
      <c r="F21" s="622">
        <f t="shared" si="2"/>
        <v>24</v>
      </c>
      <c r="G21" s="622">
        <f t="shared" si="3"/>
        <v>4</v>
      </c>
      <c r="H21" s="513">
        <f>SUM($F$9:F21)/A21</f>
        <v>3.6923076923076925</v>
      </c>
      <c r="I21" s="514">
        <f t="shared" si="0"/>
        <v>48</v>
      </c>
      <c r="J21" s="510">
        <f t="shared" si="4"/>
        <v>8</v>
      </c>
      <c r="K21" s="400">
        <f t="shared" si="5"/>
        <v>13</v>
      </c>
      <c r="L21" s="1499"/>
      <c r="M21" s="1499">
        <v>24</v>
      </c>
      <c r="N21" s="1499"/>
      <c r="O21" s="1499"/>
      <c r="P21" s="647">
        <f t="shared" si="6"/>
        <v>24</v>
      </c>
    </row>
    <row r="22" spans="1:16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622"/>
      <c r="E22" s="623">
        <f t="shared" si="1"/>
        <v>0</v>
      </c>
      <c r="F22" s="622">
        <f t="shared" si="2"/>
        <v>0</v>
      </c>
      <c r="G22" s="622">
        <f t="shared" si="3"/>
        <v>0</v>
      </c>
      <c r="H22" s="513">
        <f>SUM($F$9:F22)/A22</f>
        <v>3.4285714285714284</v>
      </c>
      <c r="I22" s="514">
        <f t="shared" si="0"/>
        <v>48</v>
      </c>
      <c r="J22" s="510">
        <f t="shared" si="4"/>
        <v>8</v>
      </c>
      <c r="K22" s="400">
        <f t="shared" si="5"/>
        <v>14</v>
      </c>
      <c r="L22" s="1499"/>
      <c r="M22" s="1499"/>
      <c r="N22" s="1499"/>
      <c r="O22" s="1499"/>
      <c r="P22" s="647">
        <f t="shared" si="6"/>
        <v>24</v>
      </c>
    </row>
    <row r="23" spans="1:16" s="367" customFormat="1" ht="12" customHeight="1">
      <c r="A23" s="401">
        <v>15</v>
      </c>
      <c r="B23" s="365">
        <f>'FRIT HGE91-FHG'!B23</f>
        <v>46249</v>
      </c>
      <c r="C23" s="331" t="s">
        <v>285</v>
      </c>
      <c r="D23" s="622"/>
      <c r="E23" s="623">
        <f t="shared" si="1"/>
        <v>0</v>
      </c>
      <c r="F23" s="622">
        <f t="shared" si="2"/>
        <v>0</v>
      </c>
      <c r="G23" s="622">
        <f t="shared" si="3"/>
        <v>0</v>
      </c>
      <c r="H23" s="516">
        <f>SUM($F$9:F23)/A23</f>
        <v>3.2</v>
      </c>
      <c r="I23" s="517">
        <f t="shared" si="0"/>
        <v>48</v>
      </c>
      <c r="J23" s="510">
        <f t="shared" si="4"/>
        <v>8</v>
      </c>
      <c r="K23" s="400">
        <f t="shared" si="5"/>
        <v>15</v>
      </c>
      <c r="L23" s="1499"/>
      <c r="M23" s="1499"/>
      <c r="N23" s="1499"/>
      <c r="O23" s="1499"/>
      <c r="P23" s="647">
        <f t="shared" si="6"/>
        <v>24</v>
      </c>
    </row>
    <row r="24" spans="1:16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622"/>
      <c r="E24" s="623">
        <f t="shared" si="1"/>
        <v>0</v>
      </c>
      <c r="F24" s="622">
        <f t="shared" si="2"/>
        <v>0</v>
      </c>
      <c r="G24" s="622">
        <f t="shared" si="3"/>
        <v>0</v>
      </c>
      <c r="H24" s="513">
        <f>SUM($F$9:F24)/A24</f>
        <v>3</v>
      </c>
      <c r="I24" s="514">
        <f t="shared" si="0"/>
        <v>48</v>
      </c>
      <c r="J24" s="510">
        <f t="shared" si="4"/>
        <v>8</v>
      </c>
      <c r="K24" s="400">
        <f t="shared" si="5"/>
        <v>16</v>
      </c>
      <c r="L24" s="1499"/>
      <c r="M24" s="1499"/>
      <c r="N24" s="1499"/>
      <c r="O24" s="1499"/>
      <c r="P24" s="647">
        <f t="shared" si="6"/>
        <v>24</v>
      </c>
    </row>
    <row r="25" spans="1:16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622"/>
      <c r="E25" s="623">
        <f t="shared" si="1"/>
        <v>0</v>
      </c>
      <c r="F25" s="622">
        <f t="shared" si="2"/>
        <v>0</v>
      </c>
      <c r="G25" s="622">
        <f t="shared" si="3"/>
        <v>0</v>
      </c>
      <c r="H25" s="513">
        <f>SUM($F$9:F25)/A25</f>
        <v>2.8235294117647061</v>
      </c>
      <c r="I25" s="514">
        <f t="shared" si="0"/>
        <v>48</v>
      </c>
      <c r="J25" s="510">
        <f t="shared" si="4"/>
        <v>8</v>
      </c>
      <c r="K25" s="400">
        <f t="shared" si="5"/>
        <v>17</v>
      </c>
      <c r="L25" s="1499"/>
      <c r="M25" s="1499"/>
      <c r="N25" s="1499"/>
      <c r="O25" s="1499"/>
      <c r="P25" s="647">
        <f t="shared" si="6"/>
        <v>24</v>
      </c>
    </row>
    <row r="26" spans="1:16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622"/>
      <c r="E26" s="623">
        <f t="shared" si="1"/>
        <v>0</v>
      </c>
      <c r="F26" s="622">
        <f t="shared" si="2"/>
        <v>0</v>
      </c>
      <c r="G26" s="622">
        <f t="shared" si="3"/>
        <v>0</v>
      </c>
      <c r="H26" s="513">
        <f>SUM($F$9:F26)/A26</f>
        <v>2.6666666666666665</v>
      </c>
      <c r="I26" s="514">
        <f t="shared" si="0"/>
        <v>48</v>
      </c>
      <c r="J26" s="510">
        <f t="shared" si="4"/>
        <v>8</v>
      </c>
      <c r="K26" s="400">
        <f t="shared" si="5"/>
        <v>18</v>
      </c>
      <c r="L26" s="1499"/>
      <c r="M26" s="1499"/>
      <c r="N26" s="1499"/>
      <c r="O26" s="1499"/>
      <c r="P26" s="647">
        <f t="shared" si="6"/>
        <v>24</v>
      </c>
    </row>
    <row r="27" spans="1:16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622"/>
      <c r="E27" s="623">
        <f t="shared" si="1"/>
        <v>0</v>
      </c>
      <c r="F27" s="622">
        <f t="shared" si="2"/>
        <v>0</v>
      </c>
      <c r="G27" s="622">
        <f t="shared" si="3"/>
        <v>0</v>
      </c>
      <c r="H27" s="513">
        <f>SUM($F$9:F27)/A27</f>
        <v>2.5263157894736841</v>
      </c>
      <c r="I27" s="514">
        <f t="shared" si="0"/>
        <v>48</v>
      </c>
      <c r="J27" s="510">
        <f t="shared" si="4"/>
        <v>8</v>
      </c>
      <c r="K27" s="400">
        <f t="shared" si="5"/>
        <v>19</v>
      </c>
      <c r="L27" s="1499"/>
      <c r="M27" s="1499"/>
      <c r="N27" s="1499"/>
      <c r="O27" s="1499"/>
      <c r="P27" s="647">
        <f t="shared" si="6"/>
        <v>24</v>
      </c>
    </row>
    <row r="28" spans="1:16" s="367" customFormat="1" ht="12" customHeight="1">
      <c r="A28" s="401">
        <v>20</v>
      </c>
      <c r="B28" s="365">
        <f>'FRIT HGE91-FHG'!B28</f>
        <v>46254</v>
      </c>
      <c r="C28" s="331" t="s">
        <v>285</v>
      </c>
      <c r="D28" s="622"/>
      <c r="E28" s="623">
        <f t="shared" si="1"/>
        <v>0</v>
      </c>
      <c r="F28" s="622">
        <f t="shared" si="2"/>
        <v>0</v>
      </c>
      <c r="G28" s="622">
        <f t="shared" si="3"/>
        <v>0</v>
      </c>
      <c r="H28" s="516">
        <f>SUM($F$9:F28)/A28</f>
        <v>2.4</v>
      </c>
      <c r="I28" s="517">
        <f t="shared" si="0"/>
        <v>48</v>
      </c>
      <c r="J28" s="510">
        <f t="shared" si="4"/>
        <v>8</v>
      </c>
      <c r="K28" s="400">
        <f t="shared" si="5"/>
        <v>20</v>
      </c>
      <c r="L28" s="1499"/>
      <c r="M28" s="1499"/>
      <c r="N28" s="1499"/>
      <c r="O28" s="1499"/>
      <c r="P28" s="647">
        <f t="shared" si="6"/>
        <v>24</v>
      </c>
    </row>
    <row r="29" spans="1:16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622"/>
      <c r="E29" s="623">
        <f t="shared" si="1"/>
        <v>0</v>
      </c>
      <c r="F29" s="622">
        <f t="shared" si="2"/>
        <v>0</v>
      </c>
      <c r="G29" s="622">
        <f t="shared" si="3"/>
        <v>0</v>
      </c>
      <c r="H29" s="513">
        <f>SUM($F$9:F29)/A29</f>
        <v>2.2857142857142856</v>
      </c>
      <c r="I29" s="514">
        <f t="shared" si="0"/>
        <v>48</v>
      </c>
      <c r="J29" s="510">
        <f t="shared" si="4"/>
        <v>8</v>
      </c>
      <c r="K29" s="400">
        <f t="shared" si="5"/>
        <v>21</v>
      </c>
      <c r="L29" s="1499"/>
      <c r="M29" s="1499"/>
      <c r="N29" s="1499"/>
      <c r="O29" s="1499"/>
      <c r="P29" s="647">
        <f t="shared" si="6"/>
        <v>24</v>
      </c>
    </row>
    <row r="30" spans="1:16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622"/>
      <c r="E30" s="623">
        <f t="shared" si="1"/>
        <v>0</v>
      </c>
      <c r="F30" s="622">
        <f t="shared" si="2"/>
        <v>0</v>
      </c>
      <c r="G30" s="622">
        <f t="shared" si="3"/>
        <v>0</v>
      </c>
      <c r="H30" s="513">
        <f>SUM($F$9:F30)/A30</f>
        <v>2.1818181818181817</v>
      </c>
      <c r="I30" s="514">
        <f t="shared" si="0"/>
        <v>48</v>
      </c>
      <c r="J30" s="510">
        <f t="shared" si="4"/>
        <v>8</v>
      </c>
      <c r="K30" s="400">
        <f t="shared" si="5"/>
        <v>22</v>
      </c>
      <c r="L30" s="1499"/>
      <c r="M30" s="1499"/>
      <c r="N30" s="1499"/>
      <c r="O30" s="1499"/>
      <c r="P30" s="647">
        <f t="shared" si="6"/>
        <v>24</v>
      </c>
    </row>
    <row r="31" spans="1:16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622"/>
      <c r="E31" s="623">
        <f t="shared" si="1"/>
        <v>0</v>
      </c>
      <c r="F31" s="622">
        <f t="shared" si="2"/>
        <v>0</v>
      </c>
      <c r="G31" s="622">
        <f t="shared" si="3"/>
        <v>0</v>
      </c>
      <c r="H31" s="513">
        <f>SUM($F$9:F31)/A31</f>
        <v>2.0869565217391304</v>
      </c>
      <c r="I31" s="514">
        <f t="shared" si="0"/>
        <v>48</v>
      </c>
      <c r="J31" s="510">
        <f t="shared" si="4"/>
        <v>8</v>
      </c>
      <c r="K31" s="400">
        <f t="shared" si="5"/>
        <v>23</v>
      </c>
      <c r="L31" s="1499"/>
      <c r="M31" s="1499"/>
      <c r="N31" s="1499"/>
      <c r="O31" s="1499"/>
      <c r="P31" s="647">
        <f t="shared" si="6"/>
        <v>24</v>
      </c>
    </row>
    <row r="32" spans="1:16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622"/>
      <c r="E32" s="623">
        <f t="shared" si="1"/>
        <v>0</v>
      </c>
      <c r="F32" s="622">
        <f t="shared" si="2"/>
        <v>0</v>
      </c>
      <c r="G32" s="622">
        <f t="shared" si="3"/>
        <v>0</v>
      </c>
      <c r="H32" s="513">
        <f>SUM($F$9:F32)/A32</f>
        <v>2</v>
      </c>
      <c r="I32" s="514">
        <f t="shared" si="0"/>
        <v>48</v>
      </c>
      <c r="J32" s="510">
        <f t="shared" si="4"/>
        <v>8</v>
      </c>
      <c r="K32" s="400">
        <f t="shared" si="5"/>
        <v>24</v>
      </c>
      <c r="L32" s="1499"/>
      <c r="M32" s="1499"/>
      <c r="N32" s="1499"/>
      <c r="O32" s="1499"/>
      <c r="P32" s="647">
        <f t="shared" si="6"/>
        <v>24</v>
      </c>
    </row>
    <row r="33" spans="1:16" s="367" customFormat="1" ht="12" customHeight="1">
      <c r="A33" s="402">
        <v>25</v>
      </c>
      <c r="B33" s="365">
        <f>'FRIT HGE91-FHG'!B33</f>
        <v>46259</v>
      </c>
      <c r="C33" s="331" t="s">
        <v>285</v>
      </c>
      <c r="D33" s="622"/>
      <c r="E33" s="623">
        <f t="shared" si="1"/>
        <v>0</v>
      </c>
      <c r="F33" s="622">
        <f t="shared" si="2"/>
        <v>0</v>
      </c>
      <c r="G33" s="622">
        <f t="shared" si="3"/>
        <v>0</v>
      </c>
      <c r="H33" s="518">
        <f>SUM($F$9:F33)/A33</f>
        <v>1.92</v>
      </c>
      <c r="I33" s="519">
        <f t="shared" si="0"/>
        <v>48</v>
      </c>
      <c r="J33" s="510">
        <f t="shared" si="4"/>
        <v>8</v>
      </c>
      <c r="K33" s="400">
        <f t="shared" si="5"/>
        <v>25</v>
      </c>
      <c r="L33" s="1499"/>
      <c r="M33" s="1499"/>
      <c r="N33" s="1499"/>
      <c r="O33" s="1499"/>
      <c r="P33" s="647">
        <f t="shared" si="6"/>
        <v>24</v>
      </c>
    </row>
    <row r="34" spans="1:16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622"/>
      <c r="E34" s="623">
        <f t="shared" si="1"/>
        <v>0</v>
      </c>
      <c r="F34" s="622">
        <f t="shared" si="2"/>
        <v>0</v>
      </c>
      <c r="G34" s="622">
        <f t="shared" si="3"/>
        <v>0</v>
      </c>
      <c r="H34" s="513">
        <f>SUM($F$9:F34)/A34</f>
        <v>1.8461538461538463</v>
      </c>
      <c r="I34" s="514">
        <f t="shared" si="0"/>
        <v>48</v>
      </c>
      <c r="J34" s="510">
        <f t="shared" si="4"/>
        <v>8</v>
      </c>
      <c r="K34" s="400">
        <f t="shared" si="5"/>
        <v>26</v>
      </c>
      <c r="L34" s="1499"/>
      <c r="M34" s="1499"/>
      <c r="N34" s="1499"/>
      <c r="O34" s="1499"/>
      <c r="P34" s="647">
        <f t="shared" si="6"/>
        <v>24</v>
      </c>
    </row>
    <row r="35" spans="1:16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622"/>
      <c r="E35" s="623">
        <f>D35/6</f>
        <v>0</v>
      </c>
      <c r="F35" s="622">
        <f t="shared" si="2"/>
        <v>0</v>
      </c>
      <c r="G35" s="622">
        <f t="shared" si="3"/>
        <v>0</v>
      </c>
      <c r="H35" s="513">
        <f>SUM($F$9:F35)/A35</f>
        <v>1.7777777777777777</v>
      </c>
      <c r="I35" s="514">
        <f t="shared" si="0"/>
        <v>48</v>
      </c>
      <c r="J35" s="510">
        <f t="shared" si="4"/>
        <v>8</v>
      </c>
      <c r="K35" s="400">
        <f t="shared" si="5"/>
        <v>27</v>
      </c>
      <c r="L35" s="1499"/>
      <c r="M35" s="1499"/>
      <c r="N35" s="1499"/>
      <c r="O35" s="1499"/>
      <c r="P35" s="647">
        <f t="shared" si="6"/>
        <v>24</v>
      </c>
    </row>
    <row r="36" spans="1:16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622"/>
      <c r="E36" s="623">
        <f>D36/6</f>
        <v>0</v>
      </c>
      <c r="F36" s="622">
        <f t="shared" si="2"/>
        <v>0</v>
      </c>
      <c r="G36" s="622">
        <f t="shared" si="3"/>
        <v>0</v>
      </c>
      <c r="H36" s="513">
        <f>SUM($F$9:F36)/A36</f>
        <v>1.7142857142857142</v>
      </c>
      <c r="I36" s="514">
        <f t="shared" si="0"/>
        <v>48</v>
      </c>
      <c r="J36" s="510">
        <f t="shared" si="4"/>
        <v>8</v>
      </c>
      <c r="K36" s="400">
        <f t="shared" si="5"/>
        <v>28</v>
      </c>
      <c r="L36" s="1499"/>
      <c r="M36" s="1499"/>
      <c r="N36" s="1499"/>
      <c r="O36" s="1499"/>
      <c r="P36" s="647">
        <f t="shared" si="6"/>
        <v>24</v>
      </c>
    </row>
    <row r="37" spans="1:16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622"/>
      <c r="E37" s="623">
        <f>D37/6</f>
        <v>0</v>
      </c>
      <c r="F37" s="622">
        <f t="shared" si="2"/>
        <v>0</v>
      </c>
      <c r="G37" s="622">
        <f t="shared" si="3"/>
        <v>0</v>
      </c>
      <c r="H37" s="513">
        <f>SUM($F$9:F37)/A37</f>
        <v>1.6551724137931034</v>
      </c>
      <c r="I37" s="514">
        <f t="shared" si="0"/>
        <v>48</v>
      </c>
      <c r="J37" s="510">
        <f t="shared" si="4"/>
        <v>8</v>
      </c>
      <c r="K37" s="400">
        <f t="shared" si="5"/>
        <v>29</v>
      </c>
      <c r="L37" s="1499"/>
      <c r="M37" s="1499"/>
      <c r="N37" s="1499"/>
      <c r="O37" s="1499"/>
      <c r="P37" s="647">
        <f t="shared" si="6"/>
        <v>24</v>
      </c>
    </row>
    <row r="38" spans="1:16" s="367" customFormat="1" ht="12" customHeight="1">
      <c r="A38" s="401">
        <v>30</v>
      </c>
      <c r="B38" s="365">
        <f>'FRIT HGE91-FHG'!B38</f>
        <v>46264</v>
      </c>
      <c r="C38" s="331" t="s">
        <v>285</v>
      </c>
      <c r="D38" s="622"/>
      <c r="E38" s="623">
        <f t="shared" si="1"/>
        <v>0</v>
      </c>
      <c r="F38" s="622">
        <f t="shared" si="2"/>
        <v>0</v>
      </c>
      <c r="G38" s="622">
        <f t="shared" si="3"/>
        <v>0</v>
      </c>
      <c r="H38" s="516">
        <f>SUM($F$9:F38)/A38</f>
        <v>1.6</v>
      </c>
      <c r="I38" s="517">
        <f t="shared" si="0"/>
        <v>48</v>
      </c>
      <c r="J38" s="510">
        <f t="shared" si="4"/>
        <v>8</v>
      </c>
      <c r="K38" s="400">
        <f t="shared" si="5"/>
        <v>30</v>
      </c>
      <c r="L38" s="1499"/>
      <c r="M38" s="1499"/>
      <c r="N38" s="1499"/>
      <c r="O38" s="1499"/>
      <c r="P38" s="647">
        <f t="shared" si="6"/>
        <v>24</v>
      </c>
    </row>
    <row r="39" spans="1:16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622"/>
      <c r="E39" s="623">
        <f t="shared" si="1"/>
        <v>0</v>
      </c>
      <c r="F39" s="622">
        <f t="shared" si="2"/>
        <v>0</v>
      </c>
      <c r="G39" s="622">
        <f t="shared" si="3"/>
        <v>0</v>
      </c>
      <c r="H39" s="513">
        <f>SUM($F$9:F39)/A39</f>
        <v>1.5483870967741935</v>
      </c>
      <c r="I39" s="514">
        <f t="shared" si="0"/>
        <v>48</v>
      </c>
      <c r="J39" s="510">
        <f t="shared" si="4"/>
        <v>8</v>
      </c>
      <c r="K39" s="400">
        <f t="shared" si="5"/>
        <v>31</v>
      </c>
      <c r="L39" s="1499"/>
      <c r="M39" s="1499"/>
      <c r="N39" s="1499"/>
      <c r="O39" s="1499"/>
      <c r="P39" s="647">
        <f t="shared" si="6"/>
        <v>24</v>
      </c>
    </row>
    <row r="40" spans="1:16" s="374" customFormat="1" ht="12" customHeight="1">
      <c r="A40" s="1628" t="s">
        <v>29</v>
      </c>
      <c r="B40" s="1628"/>
      <c r="C40" s="1628"/>
      <c r="D40" s="520">
        <f>SUM(D9:D39)</f>
        <v>0</v>
      </c>
      <c r="E40" s="520">
        <f>SUM(E9:E39)</f>
        <v>0</v>
      </c>
      <c r="F40" s="509">
        <f>SUM(F9:F39)</f>
        <v>48</v>
      </c>
      <c r="G40" s="521">
        <f>SUM(G9:G39)</f>
        <v>8</v>
      </c>
      <c r="H40" s="509"/>
      <c r="I40" s="522">
        <f>I39</f>
        <v>48</v>
      </c>
      <c r="J40" s="522">
        <f>J39</f>
        <v>8</v>
      </c>
      <c r="K40" s="406"/>
      <c r="L40" s="691">
        <f>SUM(L9:L39)</f>
        <v>0</v>
      </c>
      <c r="M40" s="691">
        <f t="shared" ref="M40:N40" si="7">SUM(M9:M39)</f>
        <v>48</v>
      </c>
      <c r="N40" s="691">
        <f t="shared" si="7"/>
        <v>0</v>
      </c>
      <c r="O40" s="1371"/>
    </row>
    <row r="41" spans="1:16" s="374" customFormat="1" ht="12" customHeight="1">
      <c r="A41" s="1628" t="s">
        <v>15</v>
      </c>
      <c r="B41" s="1628"/>
      <c r="C41" s="1628"/>
      <c r="D41" s="520">
        <f>D8+D40</f>
        <v>96</v>
      </c>
      <c r="E41" s="520">
        <f>E8+E40</f>
        <v>16</v>
      </c>
      <c r="F41" s="509">
        <f>F40</f>
        <v>48</v>
      </c>
      <c r="G41" s="521">
        <f>G40</f>
        <v>8</v>
      </c>
      <c r="H41" s="509"/>
      <c r="I41" s="509">
        <f>D41-F41</f>
        <v>48</v>
      </c>
      <c r="J41" s="509">
        <f>E41-G41</f>
        <v>8</v>
      </c>
      <c r="K41" s="406"/>
      <c r="L41" s="694"/>
      <c r="M41" s="694"/>
      <c r="N41" s="694"/>
      <c r="O41" s="691">
        <f t="shared" ref="O41" si="8">SUM(O10:O40)</f>
        <v>0</v>
      </c>
    </row>
    <row r="42" spans="1:16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L42" s="343"/>
      <c r="M42" s="343"/>
      <c r="N42" s="343"/>
      <c r="O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3"/>
    </row>
    <row r="46" spans="1:16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  <c r="L46" s="343"/>
      <c r="M46" s="343"/>
      <c r="N46" s="343"/>
      <c r="O46" s="343"/>
    </row>
    <row r="47" spans="1:16">
      <c r="D47" s="42"/>
      <c r="E47" s="42"/>
      <c r="F47" s="42"/>
      <c r="G47" s="42"/>
      <c r="H47" s="42"/>
      <c r="I47" s="42"/>
      <c r="J47" s="260"/>
    </row>
    <row r="48" spans="1:16">
      <c r="J48" s="260"/>
    </row>
  </sheetData>
  <mergeCells count="17">
    <mergeCell ref="A3:P3"/>
    <mergeCell ref="A4:B4"/>
    <mergeCell ref="A6:A7"/>
    <mergeCell ref="B6:B7"/>
    <mergeCell ref="C6:C7"/>
    <mergeCell ref="D6:E6"/>
    <mergeCell ref="L6:L7"/>
    <mergeCell ref="M6:M7"/>
    <mergeCell ref="I6:J6"/>
    <mergeCell ref="K6:K7"/>
    <mergeCell ref="N6:N7"/>
    <mergeCell ref="O6:O7"/>
    <mergeCell ref="A8:C8"/>
    <mergeCell ref="A40:C40"/>
    <mergeCell ref="A41:C41"/>
    <mergeCell ref="F6:G6"/>
    <mergeCell ref="H6:H7"/>
  </mergeCells>
  <conditionalFormatting sqref="K9:K41">
    <cfRule type="cellIs" dxfId="8888" priority="1" operator="between">
      <formula>15</formula>
      <formula>20</formula>
    </cfRule>
    <cfRule type="cellIs" dxfId="8887" priority="2" operator="lessThan">
      <formula>15</formula>
    </cfRule>
    <cfRule type="cellIs" dxfId="8886" priority="3" operator="greaterThan">
      <formula>20</formula>
    </cfRule>
  </conditionalFormatting>
  <hyperlinks>
    <hyperlink ref="K5" location="'TỔNG HỢP THÁNG'!A1" display="'TỔNG HỢP THÁNG'!A1"/>
  </hyperlinks>
  <pageMargins left="0.39370078740157483" right="0" top="0" bottom="0" header="0.23622047244094491" footer="0.31496062992125984"/>
  <pageSetup paperSize="9" orientation="landscape" verticalDpi="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Z48"/>
  <sheetViews>
    <sheetView zoomScale="93" zoomScaleNormal="93" workbookViewId="0">
      <pane ySplit="8" topLeftCell="A30" activePane="bottomLeft" state="frozen"/>
      <selection pane="bottomLeft"/>
    </sheetView>
  </sheetViews>
  <sheetFormatPr defaultColWidth="9.28515625" defaultRowHeight="16.5"/>
  <cols>
    <col min="1" max="1" width="4.85546875" style="42" customWidth="1"/>
    <col min="2" max="2" width="9" style="42" customWidth="1"/>
    <col min="3" max="3" width="15.85546875" style="42" customWidth="1"/>
    <col min="4" max="7" width="10.7109375" style="6" customWidth="1"/>
    <col min="8" max="8" width="13.140625" style="6" customWidth="1"/>
    <col min="9" max="10" width="10.42578125" style="6" customWidth="1"/>
    <col min="11" max="11" width="14.7109375" style="42" customWidth="1"/>
    <col min="12" max="12" width="9.85546875" style="6" customWidth="1"/>
    <col min="13" max="14" width="9.5703125" style="6" customWidth="1"/>
    <col min="15" max="15" width="11.5703125" style="143" bestFit="1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142"/>
      <c r="M1" s="142"/>
      <c r="N1" s="142"/>
      <c r="O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M2" s="142"/>
      <c r="N2" s="142"/>
      <c r="O2" s="323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500"/>
    </row>
    <row r="4" spans="1:26" s="347" customFormat="1" ht="14.25" customHeight="1">
      <c r="A4" s="1600" t="s">
        <v>33</v>
      </c>
      <c r="B4" s="1600"/>
      <c r="C4" s="318" t="str">
        <f>J4</f>
        <v>MÀU HỒNG-CIK-RO4118</v>
      </c>
      <c r="D4" s="348"/>
      <c r="E4" s="348" t="s">
        <v>228</v>
      </c>
      <c r="F4" s="348" t="s">
        <v>234</v>
      </c>
      <c r="G4" s="348"/>
      <c r="I4" s="325" t="s">
        <v>114</v>
      </c>
      <c r="J4" s="318" t="s">
        <v>263</v>
      </c>
      <c r="K4" s="319"/>
      <c r="L4" s="383"/>
      <c r="M4" s="383"/>
      <c r="N4" s="383"/>
      <c r="O4" s="143"/>
    </row>
    <row r="5" spans="1:26" s="324" customFormat="1" ht="14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508" t="s">
        <v>292</v>
      </c>
      <c r="K5" s="375" t="s">
        <v>149</v>
      </c>
      <c r="L5" s="343"/>
      <c r="M5" s="343"/>
      <c r="N5" s="343"/>
      <c r="O5" s="143"/>
    </row>
    <row r="6" spans="1:26" s="355" customFormat="1" ht="12.75" customHeight="1">
      <c r="A6" s="1630" t="s">
        <v>2</v>
      </c>
      <c r="B6" s="1631" t="s">
        <v>1</v>
      </c>
      <c r="C6" s="1631" t="s">
        <v>24</v>
      </c>
      <c r="D6" s="1629" t="s">
        <v>250</v>
      </c>
      <c r="E6" s="1629"/>
      <c r="F6" s="1629" t="s">
        <v>249</v>
      </c>
      <c r="G6" s="1629"/>
      <c r="H6" s="1629" t="s">
        <v>265</v>
      </c>
      <c r="I6" s="1629" t="s">
        <v>253</v>
      </c>
      <c r="J6" s="1629"/>
      <c r="K6" s="1629" t="s">
        <v>30</v>
      </c>
      <c r="L6" s="1620" t="s">
        <v>343</v>
      </c>
      <c r="M6" s="1620" t="s">
        <v>244</v>
      </c>
      <c r="N6" s="1620" t="s">
        <v>896</v>
      </c>
      <c r="O6" s="143"/>
    </row>
    <row r="7" spans="1:26" s="355" customFormat="1" ht="12.75" customHeight="1">
      <c r="A7" s="1630"/>
      <c r="B7" s="1631"/>
      <c r="C7" s="1631"/>
      <c r="D7" s="407" t="s">
        <v>10</v>
      </c>
      <c r="E7" s="407" t="s">
        <v>58</v>
      </c>
      <c r="F7" s="407" t="s">
        <v>10</v>
      </c>
      <c r="G7" s="407" t="s">
        <v>58</v>
      </c>
      <c r="H7" s="1629"/>
      <c r="I7" s="407" t="s">
        <v>10</v>
      </c>
      <c r="J7" s="407" t="s">
        <v>58</v>
      </c>
      <c r="K7" s="1629"/>
      <c r="L7" s="1621"/>
      <c r="M7" s="1621"/>
      <c r="N7" s="1621"/>
      <c r="O7" s="143"/>
    </row>
    <row r="8" spans="1:26" s="305" customFormat="1" ht="12" customHeight="1">
      <c r="A8" s="1627" t="s">
        <v>3</v>
      </c>
      <c r="B8" s="1627"/>
      <c r="C8" s="1627"/>
      <c r="D8" s="406">
        <f>I8</f>
        <v>0</v>
      </c>
      <c r="E8" s="406">
        <f>J8</f>
        <v>0</v>
      </c>
      <c r="F8" s="509">
        <f>F40</f>
        <v>0</v>
      </c>
      <c r="G8" s="510">
        <f>G40</f>
        <v>0</v>
      </c>
      <c r="H8" s="406"/>
      <c r="I8" s="324">
        <v>0</v>
      </c>
      <c r="J8" s="628">
        <f>I8/6</f>
        <v>0</v>
      </c>
      <c r="K8" s="399"/>
      <c r="L8" s="688"/>
      <c r="M8" s="688"/>
      <c r="N8" s="688"/>
      <c r="O8" s="143">
        <v>2</v>
      </c>
    </row>
    <row r="9" spans="1:26" s="333" customFormat="1" ht="12" customHeight="1">
      <c r="A9" s="364">
        <v>1</v>
      </c>
      <c r="B9" s="365">
        <f>'FRIT HGE91-FHG'!B9</f>
        <v>46235</v>
      </c>
      <c r="C9" s="331" t="s">
        <v>285</v>
      </c>
      <c r="D9" s="511"/>
      <c r="E9" s="512">
        <f>D9/6</f>
        <v>0</v>
      </c>
      <c r="F9" s="511">
        <f>L9+M9+N9</f>
        <v>0</v>
      </c>
      <c r="G9" s="511">
        <f>F9/6</f>
        <v>0</v>
      </c>
      <c r="H9" s="513">
        <f>SUM($F$9:F9)/A9</f>
        <v>0</v>
      </c>
      <c r="I9" s="514">
        <f t="shared" ref="I9:I39" si="0">I8+D9-F9</f>
        <v>0</v>
      </c>
      <c r="J9" s="515">
        <f>I9/6</f>
        <v>0</v>
      </c>
      <c r="K9" s="710" t="e">
        <f>I9/H9</f>
        <v>#DIV/0!</v>
      </c>
      <c r="L9" s="789"/>
      <c r="M9" s="789"/>
      <c r="N9" s="789"/>
      <c r="O9" s="647">
        <f>I9/$O$8</f>
        <v>0</v>
      </c>
    </row>
    <row r="10" spans="1:26" s="333" customFormat="1" ht="12" customHeight="1">
      <c r="A10" s="364">
        <v>2</v>
      </c>
      <c r="B10" s="365">
        <f>'FRIT HGE91-FHG'!B10</f>
        <v>46236</v>
      </c>
      <c r="C10" s="331" t="s">
        <v>285</v>
      </c>
      <c r="D10" s="511"/>
      <c r="E10" s="512">
        <f t="shared" ref="E10:E39" si="1">D10/6</f>
        <v>0</v>
      </c>
      <c r="F10" s="511">
        <f t="shared" ref="F10:F39" si="2">L10+M10+N10</f>
        <v>0</v>
      </c>
      <c r="G10" s="511">
        <f t="shared" ref="G10:G39" si="3">F10/6</f>
        <v>0</v>
      </c>
      <c r="H10" s="513">
        <f>SUM($F$9:F10)/A10</f>
        <v>0</v>
      </c>
      <c r="I10" s="514">
        <f t="shared" si="0"/>
        <v>0</v>
      </c>
      <c r="J10" s="515">
        <f t="shared" ref="J10:J39" si="4">I10/6</f>
        <v>0</v>
      </c>
      <c r="K10" s="710" t="e">
        <f t="shared" ref="K10:K39" si="5">I10/H10</f>
        <v>#DIV/0!</v>
      </c>
      <c r="L10" s="933"/>
      <c r="M10" s="933"/>
      <c r="N10" s="933"/>
      <c r="O10" s="647">
        <f t="shared" ref="O10:O39" si="6">I10/$O$8</f>
        <v>0</v>
      </c>
    </row>
    <row r="11" spans="1:26" s="333" customFormat="1" ht="12" customHeight="1">
      <c r="A11" s="364">
        <v>3</v>
      </c>
      <c r="B11" s="365">
        <f>'FRIT HGE91-FHG'!B11</f>
        <v>46237</v>
      </c>
      <c r="C11" s="331" t="s">
        <v>285</v>
      </c>
      <c r="D11" s="511"/>
      <c r="E11" s="512">
        <f t="shared" si="1"/>
        <v>0</v>
      </c>
      <c r="F11" s="511">
        <f t="shared" si="2"/>
        <v>0</v>
      </c>
      <c r="G11" s="511">
        <f t="shared" si="3"/>
        <v>0</v>
      </c>
      <c r="H11" s="513">
        <f>SUM($F$9:F11)/A11</f>
        <v>0</v>
      </c>
      <c r="I11" s="514">
        <f t="shared" si="0"/>
        <v>0</v>
      </c>
      <c r="J11" s="515">
        <f t="shared" si="4"/>
        <v>0</v>
      </c>
      <c r="K11" s="710" t="e">
        <f t="shared" si="5"/>
        <v>#DIV/0!</v>
      </c>
      <c r="L11" s="933"/>
      <c r="M11" s="966"/>
      <c r="N11" s="933"/>
      <c r="O11" s="647">
        <f t="shared" si="6"/>
        <v>0</v>
      </c>
    </row>
    <row r="12" spans="1:26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511"/>
      <c r="E12" s="512">
        <f t="shared" si="1"/>
        <v>0</v>
      </c>
      <c r="F12" s="511">
        <f t="shared" si="2"/>
        <v>0</v>
      </c>
      <c r="G12" s="511">
        <f t="shared" si="3"/>
        <v>0</v>
      </c>
      <c r="H12" s="513">
        <f>SUM($F$9:F12)/A12</f>
        <v>0</v>
      </c>
      <c r="I12" s="514">
        <f t="shared" si="0"/>
        <v>0</v>
      </c>
      <c r="J12" s="515">
        <f t="shared" si="4"/>
        <v>0</v>
      </c>
      <c r="K12" s="710" t="e">
        <f t="shared" si="5"/>
        <v>#DIV/0!</v>
      </c>
      <c r="L12" s="933"/>
      <c r="M12" s="966"/>
      <c r="N12" s="933"/>
      <c r="O12" s="647">
        <f t="shared" si="6"/>
        <v>0</v>
      </c>
    </row>
    <row r="13" spans="1:26" s="367" customFormat="1" ht="12" customHeight="1">
      <c r="A13" s="401">
        <v>5</v>
      </c>
      <c r="B13" s="365">
        <f>'FRIT HGE91-FHG'!B13</f>
        <v>46239</v>
      </c>
      <c r="C13" s="331" t="s">
        <v>285</v>
      </c>
      <c r="D13" s="511"/>
      <c r="E13" s="512">
        <f t="shared" si="1"/>
        <v>0</v>
      </c>
      <c r="F13" s="511">
        <f t="shared" si="2"/>
        <v>0</v>
      </c>
      <c r="G13" s="511">
        <f t="shared" si="3"/>
        <v>0</v>
      </c>
      <c r="H13" s="516">
        <f>SUM($F$9:F13)/A13</f>
        <v>0</v>
      </c>
      <c r="I13" s="517">
        <f t="shared" si="0"/>
        <v>0</v>
      </c>
      <c r="J13" s="515">
        <f t="shared" si="4"/>
        <v>0</v>
      </c>
      <c r="K13" s="400" t="e">
        <f t="shared" si="5"/>
        <v>#DIV/0!</v>
      </c>
      <c r="L13" s="1006"/>
      <c r="M13" s="1006"/>
      <c r="N13" s="1006"/>
      <c r="O13" s="647">
        <f t="shared" si="6"/>
        <v>0</v>
      </c>
    </row>
    <row r="14" spans="1:26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511"/>
      <c r="E14" s="512">
        <f t="shared" si="1"/>
        <v>0</v>
      </c>
      <c r="F14" s="511">
        <f t="shared" si="2"/>
        <v>0</v>
      </c>
      <c r="G14" s="511">
        <f t="shared" si="3"/>
        <v>0</v>
      </c>
      <c r="H14" s="513">
        <f>SUM($F$9:F14)/A14</f>
        <v>0</v>
      </c>
      <c r="I14" s="514">
        <f t="shared" si="0"/>
        <v>0</v>
      </c>
      <c r="J14" s="515">
        <f t="shared" si="4"/>
        <v>0</v>
      </c>
      <c r="K14" s="400" t="e">
        <f t="shared" si="5"/>
        <v>#DIV/0!</v>
      </c>
      <c r="L14" s="1006"/>
      <c r="M14" s="1006"/>
      <c r="N14" s="1006"/>
      <c r="O14" s="647">
        <f t="shared" si="6"/>
        <v>0</v>
      </c>
    </row>
    <row r="15" spans="1:26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511"/>
      <c r="E15" s="512">
        <f t="shared" si="1"/>
        <v>0</v>
      </c>
      <c r="F15" s="511">
        <f t="shared" si="2"/>
        <v>0</v>
      </c>
      <c r="G15" s="511">
        <f t="shared" si="3"/>
        <v>0</v>
      </c>
      <c r="H15" s="513">
        <f>SUM($F$9:F15)/A15</f>
        <v>0</v>
      </c>
      <c r="I15" s="514">
        <f t="shared" si="0"/>
        <v>0</v>
      </c>
      <c r="J15" s="515">
        <f t="shared" si="4"/>
        <v>0</v>
      </c>
      <c r="K15" s="400" t="e">
        <f t="shared" si="5"/>
        <v>#DIV/0!</v>
      </c>
      <c r="L15" s="1006"/>
      <c r="M15" s="1006"/>
      <c r="N15" s="1006"/>
      <c r="O15" s="647">
        <f t="shared" si="6"/>
        <v>0</v>
      </c>
    </row>
    <row r="16" spans="1:26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511"/>
      <c r="E16" s="512">
        <f t="shared" si="1"/>
        <v>0</v>
      </c>
      <c r="F16" s="511">
        <f t="shared" si="2"/>
        <v>0</v>
      </c>
      <c r="G16" s="511">
        <f t="shared" si="3"/>
        <v>0</v>
      </c>
      <c r="H16" s="513">
        <f>SUM($F$9:F16)/A16</f>
        <v>0</v>
      </c>
      <c r="I16" s="514">
        <f t="shared" si="0"/>
        <v>0</v>
      </c>
      <c r="J16" s="515">
        <f t="shared" si="4"/>
        <v>0</v>
      </c>
      <c r="K16" s="400" t="e">
        <f t="shared" si="5"/>
        <v>#DIV/0!</v>
      </c>
      <c r="L16" s="1006"/>
      <c r="M16" s="1006"/>
      <c r="N16" s="1006"/>
      <c r="O16" s="647">
        <f t="shared" si="6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511"/>
      <c r="E17" s="512">
        <f t="shared" si="1"/>
        <v>0</v>
      </c>
      <c r="F17" s="511">
        <f t="shared" si="2"/>
        <v>0</v>
      </c>
      <c r="G17" s="511">
        <f t="shared" si="3"/>
        <v>0</v>
      </c>
      <c r="H17" s="513">
        <f>SUM($F$9:F17)/A17</f>
        <v>0</v>
      </c>
      <c r="I17" s="514">
        <f t="shared" si="0"/>
        <v>0</v>
      </c>
      <c r="J17" s="515">
        <f t="shared" si="4"/>
        <v>0</v>
      </c>
      <c r="K17" s="400" t="e">
        <f t="shared" si="5"/>
        <v>#DIV/0!</v>
      </c>
      <c r="L17" s="1006"/>
      <c r="M17" s="1006"/>
      <c r="N17" s="1006"/>
      <c r="O17" s="647">
        <f t="shared" si="6"/>
        <v>0</v>
      </c>
    </row>
    <row r="18" spans="1:15" s="367" customFormat="1" ht="12" customHeight="1">
      <c r="A18" s="401">
        <v>10</v>
      </c>
      <c r="B18" s="365">
        <f>'FRIT HGE91-FHG'!B18</f>
        <v>46244</v>
      </c>
      <c r="C18" s="331" t="s">
        <v>285</v>
      </c>
      <c r="D18" s="511"/>
      <c r="E18" s="512">
        <f t="shared" si="1"/>
        <v>0</v>
      </c>
      <c r="F18" s="511">
        <f t="shared" si="2"/>
        <v>0</v>
      </c>
      <c r="G18" s="511">
        <f t="shared" si="3"/>
        <v>0</v>
      </c>
      <c r="H18" s="516">
        <f>SUM($F$9:F18)/A18</f>
        <v>0</v>
      </c>
      <c r="I18" s="517">
        <f t="shared" si="0"/>
        <v>0</v>
      </c>
      <c r="J18" s="515">
        <f t="shared" si="4"/>
        <v>0</v>
      </c>
      <c r="K18" s="400" t="e">
        <f t="shared" si="5"/>
        <v>#DIV/0!</v>
      </c>
      <c r="L18" s="1006"/>
      <c r="M18" s="1006"/>
      <c r="N18" s="1006"/>
      <c r="O18" s="647">
        <f t="shared" si="6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511"/>
      <c r="E19" s="512">
        <f t="shared" si="1"/>
        <v>0</v>
      </c>
      <c r="F19" s="511">
        <f t="shared" si="2"/>
        <v>0</v>
      </c>
      <c r="G19" s="511">
        <f t="shared" si="3"/>
        <v>0</v>
      </c>
      <c r="H19" s="513">
        <f>SUM($F$9:F19)/A19</f>
        <v>0</v>
      </c>
      <c r="I19" s="514">
        <f t="shared" si="0"/>
        <v>0</v>
      </c>
      <c r="J19" s="515">
        <f t="shared" si="4"/>
        <v>0</v>
      </c>
      <c r="K19" s="400" t="e">
        <f t="shared" si="5"/>
        <v>#DIV/0!</v>
      </c>
      <c r="L19" s="1006"/>
      <c r="M19" s="1006"/>
      <c r="N19" s="1006"/>
      <c r="O19" s="647">
        <f t="shared" si="6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511"/>
      <c r="E20" s="512">
        <f t="shared" si="1"/>
        <v>0</v>
      </c>
      <c r="F20" s="511">
        <f t="shared" si="2"/>
        <v>0</v>
      </c>
      <c r="G20" s="511">
        <f t="shared" si="3"/>
        <v>0</v>
      </c>
      <c r="H20" s="513">
        <f>SUM($F$9:F20)/A20</f>
        <v>0</v>
      </c>
      <c r="I20" s="514">
        <f t="shared" si="0"/>
        <v>0</v>
      </c>
      <c r="J20" s="515">
        <f t="shared" si="4"/>
        <v>0</v>
      </c>
      <c r="K20" s="400" t="e">
        <f t="shared" si="5"/>
        <v>#DIV/0!</v>
      </c>
      <c r="L20" s="1006"/>
      <c r="M20" s="1006"/>
      <c r="N20" s="1006"/>
      <c r="O20" s="647">
        <f t="shared" si="6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511"/>
      <c r="E21" s="512">
        <f t="shared" si="1"/>
        <v>0</v>
      </c>
      <c r="F21" s="511">
        <f t="shared" si="2"/>
        <v>0</v>
      </c>
      <c r="G21" s="511">
        <f t="shared" si="3"/>
        <v>0</v>
      </c>
      <c r="H21" s="513">
        <f>SUM($F$9:F21)/A21</f>
        <v>0</v>
      </c>
      <c r="I21" s="514">
        <f t="shared" si="0"/>
        <v>0</v>
      </c>
      <c r="J21" s="515">
        <f t="shared" si="4"/>
        <v>0</v>
      </c>
      <c r="K21" s="400" t="e">
        <f t="shared" si="5"/>
        <v>#DIV/0!</v>
      </c>
      <c r="L21" s="1006"/>
      <c r="M21" s="1006"/>
      <c r="N21" s="1006"/>
      <c r="O21" s="647">
        <f t="shared" si="6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511"/>
      <c r="E22" s="512">
        <f t="shared" si="1"/>
        <v>0</v>
      </c>
      <c r="F22" s="511">
        <f t="shared" si="2"/>
        <v>0</v>
      </c>
      <c r="G22" s="511">
        <f t="shared" si="3"/>
        <v>0</v>
      </c>
      <c r="H22" s="513">
        <f>SUM($F$9:F22)/A22</f>
        <v>0</v>
      </c>
      <c r="I22" s="514">
        <f t="shared" si="0"/>
        <v>0</v>
      </c>
      <c r="J22" s="515">
        <f t="shared" si="4"/>
        <v>0</v>
      </c>
      <c r="K22" s="400" t="e">
        <f t="shared" si="5"/>
        <v>#DIV/0!</v>
      </c>
      <c r="L22" s="1006"/>
      <c r="M22" s="1006"/>
      <c r="N22" s="1006"/>
      <c r="O22" s="647">
        <f t="shared" si="6"/>
        <v>0</v>
      </c>
    </row>
    <row r="23" spans="1:15" s="367" customFormat="1" ht="12" customHeight="1">
      <c r="A23" s="401">
        <v>15</v>
      </c>
      <c r="B23" s="365">
        <f>'FRIT HGE91-FHG'!B23</f>
        <v>46249</v>
      </c>
      <c r="C23" s="331" t="s">
        <v>285</v>
      </c>
      <c r="D23" s="511"/>
      <c r="E23" s="512">
        <f t="shared" si="1"/>
        <v>0</v>
      </c>
      <c r="F23" s="511">
        <f t="shared" si="2"/>
        <v>0</v>
      </c>
      <c r="G23" s="511">
        <f t="shared" si="3"/>
        <v>0</v>
      </c>
      <c r="H23" s="516">
        <f>SUM($F$9:F23)/A23</f>
        <v>0</v>
      </c>
      <c r="I23" s="517">
        <f t="shared" si="0"/>
        <v>0</v>
      </c>
      <c r="J23" s="515">
        <f t="shared" si="4"/>
        <v>0</v>
      </c>
      <c r="K23" s="400" t="e">
        <f t="shared" si="5"/>
        <v>#DIV/0!</v>
      </c>
      <c r="L23" s="1006"/>
      <c r="M23" s="1006"/>
      <c r="N23" s="1006"/>
      <c r="O23" s="647">
        <f t="shared" si="6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511"/>
      <c r="E24" s="512">
        <f t="shared" si="1"/>
        <v>0</v>
      </c>
      <c r="F24" s="511">
        <f t="shared" si="2"/>
        <v>0</v>
      </c>
      <c r="G24" s="511">
        <f t="shared" si="3"/>
        <v>0</v>
      </c>
      <c r="H24" s="513">
        <f>SUM($F$9:F24)/A24</f>
        <v>0</v>
      </c>
      <c r="I24" s="514">
        <f t="shared" si="0"/>
        <v>0</v>
      </c>
      <c r="J24" s="515">
        <f t="shared" si="4"/>
        <v>0</v>
      </c>
      <c r="K24" s="400" t="e">
        <f t="shared" si="5"/>
        <v>#DIV/0!</v>
      </c>
      <c r="L24" s="1006"/>
      <c r="M24" s="1006"/>
      <c r="N24" s="1006"/>
      <c r="O24" s="647">
        <f t="shared" si="6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511"/>
      <c r="E25" s="512">
        <f t="shared" si="1"/>
        <v>0</v>
      </c>
      <c r="F25" s="511">
        <f t="shared" si="2"/>
        <v>0</v>
      </c>
      <c r="G25" s="511">
        <f t="shared" si="3"/>
        <v>0</v>
      </c>
      <c r="H25" s="513">
        <f>SUM($F$9:F25)/A25</f>
        <v>0</v>
      </c>
      <c r="I25" s="514">
        <f t="shared" si="0"/>
        <v>0</v>
      </c>
      <c r="J25" s="515">
        <f t="shared" si="4"/>
        <v>0</v>
      </c>
      <c r="K25" s="400" t="e">
        <f t="shared" si="5"/>
        <v>#DIV/0!</v>
      </c>
      <c r="L25" s="1006"/>
      <c r="M25" s="1006"/>
      <c r="N25" s="1006"/>
      <c r="O25" s="647">
        <f t="shared" si="6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511"/>
      <c r="E26" s="512">
        <f t="shared" si="1"/>
        <v>0</v>
      </c>
      <c r="F26" s="511">
        <f t="shared" si="2"/>
        <v>0</v>
      </c>
      <c r="G26" s="511">
        <f t="shared" si="3"/>
        <v>0</v>
      </c>
      <c r="H26" s="513">
        <f>SUM($F$9:F26)/A26</f>
        <v>0</v>
      </c>
      <c r="I26" s="514">
        <f t="shared" si="0"/>
        <v>0</v>
      </c>
      <c r="J26" s="515">
        <f t="shared" si="4"/>
        <v>0</v>
      </c>
      <c r="K26" s="400" t="e">
        <f t="shared" si="5"/>
        <v>#DIV/0!</v>
      </c>
      <c r="L26" s="1006"/>
      <c r="M26" s="1006"/>
      <c r="N26" s="1120"/>
      <c r="O26" s="647">
        <f t="shared" si="6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511"/>
      <c r="E27" s="512">
        <f t="shared" si="1"/>
        <v>0</v>
      </c>
      <c r="F27" s="511">
        <f t="shared" si="2"/>
        <v>0</v>
      </c>
      <c r="G27" s="511">
        <f t="shared" si="3"/>
        <v>0</v>
      </c>
      <c r="H27" s="513">
        <f>SUM($F$9:F27)/A27</f>
        <v>0</v>
      </c>
      <c r="I27" s="514">
        <f t="shared" si="0"/>
        <v>0</v>
      </c>
      <c r="J27" s="515">
        <f t="shared" si="4"/>
        <v>0</v>
      </c>
      <c r="K27" s="400" t="e">
        <f t="shared" si="5"/>
        <v>#DIV/0!</v>
      </c>
      <c r="L27" s="1006"/>
      <c r="M27" s="1006"/>
      <c r="N27" s="1120"/>
      <c r="O27" s="647">
        <f t="shared" si="6"/>
        <v>0</v>
      </c>
    </row>
    <row r="28" spans="1:15" s="367" customFormat="1" ht="12" customHeight="1">
      <c r="A28" s="401">
        <v>20</v>
      </c>
      <c r="B28" s="365">
        <f>'FRIT HGE91-FHG'!B28</f>
        <v>46254</v>
      </c>
      <c r="C28" s="331" t="s">
        <v>285</v>
      </c>
      <c r="D28" s="511"/>
      <c r="E28" s="512">
        <f t="shared" si="1"/>
        <v>0</v>
      </c>
      <c r="F28" s="511">
        <f t="shared" si="2"/>
        <v>0</v>
      </c>
      <c r="G28" s="511">
        <f t="shared" si="3"/>
        <v>0</v>
      </c>
      <c r="H28" s="516">
        <f>SUM($F$9:F28)/A28</f>
        <v>0</v>
      </c>
      <c r="I28" s="517">
        <f t="shared" si="0"/>
        <v>0</v>
      </c>
      <c r="J28" s="515">
        <f t="shared" si="4"/>
        <v>0</v>
      </c>
      <c r="K28" s="400" t="e">
        <f t="shared" si="5"/>
        <v>#DIV/0!</v>
      </c>
      <c r="L28" s="1006"/>
      <c r="M28" s="1006"/>
      <c r="N28" s="1120"/>
      <c r="O28" s="647">
        <f t="shared" si="6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511"/>
      <c r="E29" s="512">
        <f t="shared" si="1"/>
        <v>0</v>
      </c>
      <c r="F29" s="511">
        <f t="shared" si="2"/>
        <v>0</v>
      </c>
      <c r="G29" s="511">
        <f t="shared" si="3"/>
        <v>0</v>
      </c>
      <c r="H29" s="513">
        <f>SUM($F$9:F29)/A29</f>
        <v>0</v>
      </c>
      <c r="I29" s="514">
        <f t="shared" si="0"/>
        <v>0</v>
      </c>
      <c r="J29" s="515">
        <f t="shared" si="4"/>
        <v>0</v>
      </c>
      <c r="K29" s="400" t="e">
        <f t="shared" si="5"/>
        <v>#DIV/0!</v>
      </c>
      <c r="L29" s="1006"/>
      <c r="M29" s="1006"/>
      <c r="N29" s="1120"/>
      <c r="O29" s="647">
        <f t="shared" si="6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511"/>
      <c r="E30" s="512">
        <f t="shared" si="1"/>
        <v>0</v>
      </c>
      <c r="F30" s="511">
        <f t="shared" si="2"/>
        <v>0</v>
      </c>
      <c r="G30" s="511">
        <f t="shared" si="3"/>
        <v>0</v>
      </c>
      <c r="H30" s="513">
        <f>SUM($F$9:F30)/A30</f>
        <v>0</v>
      </c>
      <c r="I30" s="514">
        <f t="shared" si="0"/>
        <v>0</v>
      </c>
      <c r="J30" s="515">
        <f t="shared" si="4"/>
        <v>0</v>
      </c>
      <c r="K30" s="400" t="e">
        <f t="shared" si="5"/>
        <v>#DIV/0!</v>
      </c>
      <c r="L30" s="1006"/>
      <c r="M30" s="1006"/>
      <c r="N30" s="1120"/>
      <c r="O30" s="647">
        <f t="shared" si="6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511"/>
      <c r="E31" s="512">
        <f t="shared" si="1"/>
        <v>0</v>
      </c>
      <c r="F31" s="511">
        <f t="shared" si="2"/>
        <v>0</v>
      </c>
      <c r="G31" s="511">
        <f t="shared" si="3"/>
        <v>0</v>
      </c>
      <c r="H31" s="513">
        <f>SUM($F$9:F31)/A31</f>
        <v>0</v>
      </c>
      <c r="I31" s="514">
        <f t="shared" si="0"/>
        <v>0</v>
      </c>
      <c r="J31" s="515">
        <f t="shared" si="4"/>
        <v>0</v>
      </c>
      <c r="K31" s="400" t="e">
        <f t="shared" si="5"/>
        <v>#DIV/0!</v>
      </c>
      <c r="L31" s="1006"/>
      <c r="M31" s="1006"/>
      <c r="N31" s="1120"/>
      <c r="O31" s="647">
        <f t="shared" si="6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511"/>
      <c r="E32" s="512">
        <f t="shared" si="1"/>
        <v>0</v>
      </c>
      <c r="F32" s="511">
        <f t="shared" si="2"/>
        <v>0</v>
      </c>
      <c r="G32" s="511">
        <f t="shared" si="3"/>
        <v>0</v>
      </c>
      <c r="H32" s="513">
        <f>SUM($F$9:F32)/A32</f>
        <v>0</v>
      </c>
      <c r="I32" s="514">
        <f t="shared" si="0"/>
        <v>0</v>
      </c>
      <c r="J32" s="515">
        <f t="shared" si="4"/>
        <v>0</v>
      </c>
      <c r="K32" s="400" t="e">
        <f t="shared" si="5"/>
        <v>#DIV/0!</v>
      </c>
      <c r="L32" s="1006"/>
      <c r="M32" s="1006"/>
      <c r="N32" s="1120"/>
      <c r="O32" s="647">
        <f t="shared" si="6"/>
        <v>0</v>
      </c>
    </row>
    <row r="33" spans="1:15" s="367" customFormat="1" ht="12" customHeight="1">
      <c r="A33" s="402">
        <v>25</v>
      </c>
      <c r="B33" s="365">
        <f>'FRIT HGE91-FHG'!B33</f>
        <v>46259</v>
      </c>
      <c r="C33" s="331" t="s">
        <v>285</v>
      </c>
      <c r="D33" s="511"/>
      <c r="E33" s="512">
        <f t="shared" si="1"/>
        <v>0</v>
      </c>
      <c r="F33" s="511">
        <f t="shared" si="2"/>
        <v>0</v>
      </c>
      <c r="G33" s="511">
        <f t="shared" si="3"/>
        <v>0</v>
      </c>
      <c r="H33" s="518">
        <f>SUM($F$9:F33)/A33</f>
        <v>0</v>
      </c>
      <c r="I33" s="519">
        <f t="shared" si="0"/>
        <v>0</v>
      </c>
      <c r="J33" s="515">
        <f t="shared" si="4"/>
        <v>0</v>
      </c>
      <c r="K33" s="400" t="e">
        <f t="shared" si="5"/>
        <v>#DIV/0!</v>
      </c>
      <c r="L33" s="1006"/>
      <c r="M33" s="1006"/>
      <c r="N33" s="1006"/>
      <c r="O33" s="647">
        <f t="shared" si="6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511"/>
      <c r="E34" s="512">
        <f t="shared" si="1"/>
        <v>0</v>
      </c>
      <c r="F34" s="511">
        <f t="shared" si="2"/>
        <v>0</v>
      </c>
      <c r="G34" s="511">
        <f t="shared" si="3"/>
        <v>0</v>
      </c>
      <c r="H34" s="513">
        <f>SUM($F$9:F34)/A34</f>
        <v>0</v>
      </c>
      <c r="I34" s="514">
        <f t="shared" si="0"/>
        <v>0</v>
      </c>
      <c r="J34" s="515">
        <f t="shared" si="4"/>
        <v>0</v>
      </c>
      <c r="K34" s="400" t="e">
        <f t="shared" si="5"/>
        <v>#DIV/0!</v>
      </c>
      <c r="L34" s="1006"/>
      <c r="M34" s="1006"/>
      <c r="N34" s="1006"/>
      <c r="O34" s="647">
        <f t="shared" si="6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11"/>
      <c r="E35" s="512">
        <f>D35/6</f>
        <v>0</v>
      </c>
      <c r="F35" s="511">
        <f t="shared" si="2"/>
        <v>0</v>
      </c>
      <c r="G35" s="511">
        <f t="shared" si="3"/>
        <v>0</v>
      </c>
      <c r="H35" s="513">
        <f>SUM($F$9:F35)/A35</f>
        <v>0</v>
      </c>
      <c r="I35" s="514">
        <f t="shared" si="0"/>
        <v>0</v>
      </c>
      <c r="J35" s="515">
        <f t="shared" si="4"/>
        <v>0</v>
      </c>
      <c r="K35" s="400" t="e">
        <f t="shared" si="5"/>
        <v>#DIV/0!</v>
      </c>
      <c r="L35" s="1006"/>
      <c r="M35" s="1006"/>
      <c r="N35" s="1006"/>
      <c r="O35" s="647">
        <f t="shared" si="6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11"/>
      <c r="E36" s="512">
        <f>D36/6</f>
        <v>0</v>
      </c>
      <c r="F36" s="511">
        <f t="shared" si="2"/>
        <v>0</v>
      </c>
      <c r="G36" s="511">
        <f t="shared" si="3"/>
        <v>0</v>
      </c>
      <c r="H36" s="513">
        <f>SUM($F$9:F36)/A36</f>
        <v>0</v>
      </c>
      <c r="I36" s="514">
        <f t="shared" si="0"/>
        <v>0</v>
      </c>
      <c r="J36" s="515">
        <f t="shared" si="4"/>
        <v>0</v>
      </c>
      <c r="K36" s="400" t="e">
        <f t="shared" si="5"/>
        <v>#DIV/0!</v>
      </c>
      <c r="L36" s="938"/>
      <c r="M36" s="978"/>
      <c r="N36" s="938"/>
      <c r="O36" s="647">
        <f t="shared" si="6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11"/>
      <c r="E37" s="512">
        <f>D37/6</f>
        <v>0</v>
      </c>
      <c r="F37" s="511">
        <f t="shared" si="2"/>
        <v>0</v>
      </c>
      <c r="G37" s="511">
        <f t="shared" si="3"/>
        <v>0</v>
      </c>
      <c r="H37" s="513">
        <f>SUM($F$9:F37)/A37</f>
        <v>0</v>
      </c>
      <c r="I37" s="514">
        <f t="shared" si="0"/>
        <v>0</v>
      </c>
      <c r="J37" s="515">
        <f t="shared" si="4"/>
        <v>0</v>
      </c>
      <c r="K37" s="400" t="e">
        <f t="shared" si="5"/>
        <v>#DIV/0!</v>
      </c>
      <c r="L37" s="938"/>
      <c r="M37" s="978"/>
      <c r="N37" s="938"/>
      <c r="O37" s="647">
        <f t="shared" si="6"/>
        <v>0</v>
      </c>
    </row>
    <row r="38" spans="1:15" s="367" customFormat="1" ht="12" customHeight="1">
      <c r="A38" s="401">
        <v>30</v>
      </c>
      <c r="B38" s="365">
        <f>'FRIT HGE91-FHG'!B38</f>
        <v>46264</v>
      </c>
      <c r="C38" s="331" t="s">
        <v>285</v>
      </c>
      <c r="D38" s="511"/>
      <c r="E38" s="512">
        <f t="shared" si="1"/>
        <v>0</v>
      </c>
      <c r="F38" s="511">
        <f t="shared" si="2"/>
        <v>0</v>
      </c>
      <c r="G38" s="511">
        <f t="shared" si="3"/>
        <v>0</v>
      </c>
      <c r="H38" s="516">
        <f>SUM($F$9:F38)/A38</f>
        <v>0</v>
      </c>
      <c r="I38" s="517">
        <f t="shared" si="0"/>
        <v>0</v>
      </c>
      <c r="J38" s="515">
        <f t="shared" si="4"/>
        <v>0</v>
      </c>
      <c r="K38" s="400" t="e">
        <f t="shared" si="5"/>
        <v>#DIV/0!</v>
      </c>
      <c r="L38" s="938"/>
      <c r="M38" s="978"/>
      <c r="N38" s="938"/>
      <c r="O38" s="647">
        <f t="shared" si="6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511"/>
      <c r="E39" s="512">
        <f t="shared" si="1"/>
        <v>0</v>
      </c>
      <c r="F39" s="511">
        <f t="shared" si="2"/>
        <v>0</v>
      </c>
      <c r="G39" s="511">
        <f t="shared" si="3"/>
        <v>0</v>
      </c>
      <c r="H39" s="513">
        <f>SUM($F$9:F39)/A39</f>
        <v>0</v>
      </c>
      <c r="I39" s="514">
        <f t="shared" si="0"/>
        <v>0</v>
      </c>
      <c r="J39" s="515">
        <f t="shared" si="4"/>
        <v>0</v>
      </c>
      <c r="K39" s="400" t="e">
        <f t="shared" si="5"/>
        <v>#DIV/0!</v>
      </c>
      <c r="L39" s="938"/>
      <c r="M39" s="938"/>
      <c r="N39" s="938"/>
      <c r="O39" s="647">
        <f t="shared" si="6"/>
        <v>0</v>
      </c>
    </row>
    <row r="40" spans="1:15" s="374" customFormat="1" ht="12" customHeight="1">
      <c r="A40" s="1628" t="s">
        <v>29</v>
      </c>
      <c r="B40" s="1628"/>
      <c r="C40" s="1628"/>
      <c r="D40" s="520">
        <f>SUM(D9:D39)</f>
        <v>0</v>
      </c>
      <c r="E40" s="520">
        <f>SUM(E9:E39)</f>
        <v>0</v>
      </c>
      <c r="F40" s="509">
        <f>SUM(F9:F39)</f>
        <v>0</v>
      </c>
      <c r="G40" s="521">
        <f>SUM(G9:G39)</f>
        <v>0</v>
      </c>
      <c r="H40" s="509"/>
      <c r="I40" s="522">
        <f>I39</f>
        <v>0</v>
      </c>
      <c r="J40" s="522">
        <f>J39</f>
        <v>0</v>
      </c>
      <c r="K40" s="406"/>
      <c r="L40" s="691">
        <f>SUM(L9:L39)</f>
        <v>0</v>
      </c>
      <c r="M40" s="691">
        <f t="shared" ref="M40:N40" si="7">SUM(M9:M39)</f>
        <v>0</v>
      </c>
      <c r="N40" s="691">
        <f t="shared" si="7"/>
        <v>0</v>
      </c>
    </row>
    <row r="41" spans="1:15" s="374" customFormat="1" ht="12" customHeight="1">
      <c r="A41" s="1628" t="s">
        <v>15</v>
      </c>
      <c r="B41" s="1628"/>
      <c r="C41" s="1628"/>
      <c r="D41" s="520">
        <f>D8+D40</f>
        <v>0</v>
      </c>
      <c r="E41" s="520">
        <f>E8+E40</f>
        <v>0</v>
      </c>
      <c r="F41" s="509">
        <f>F40</f>
        <v>0</v>
      </c>
      <c r="G41" s="521">
        <f>G40</f>
        <v>0</v>
      </c>
      <c r="H41" s="509"/>
      <c r="I41" s="509">
        <f>D41-F41</f>
        <v>0</v>
      </c>
      <c r="J41" s="509">
        <f>E41-G41</f>
        <v>0</v>
      </c>
      <c r="K41" s="406"/>
      <c r="L41" s="694"/>
      <c r="M41" s="694"/>
      <c r="N41" s="694"/>
    </row>
    <row r="42" spans="1:15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L42" s="343"/>
      <c r="M42" s="343"/>
      <c r="N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5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  <c r="L46" s="343"/>
      <c r="M46" s="343"/>
      <c r="N46" s="343"/>
    </row>
    <row r="47" spans="1:15">
      <c r="D47" s="42"/>
      <c r="E47" s="42"/>
      <c r="F47" s="42"/>
      <c r="G47" s="42"/>
      <c r="H47" s="42"/>
      <c r="I47" s="42"/>
      <c r="J47" s="260"/>
    </row>
    <row r="48" spans="1:15">
      <c r="J48" s="260"/>
    </row>
  </sheetData>
  <mergeCells count="16">
    <mergeCell ref="A3:O3"/>
    <mergeCell ref="A4:B4"/>
    <mergeCell ref="A6:A7"/>
    <mergeCell ref="B6:B7"/>
    <mergeCell ref="C6:C7"/>
    <mergeCell ref="D6:E6"/>
    <mergeCell ref="L6:L7"/>
    <mergeCell ref="M6:M7"/>
    <mergeCell ref="I6:J6"/>
    <mergeCell ref="K6:K7"/>
    <mergeCell ref="N6:N7"/>
    <mergeCell ref="A8:C8"/>
    <mergeCell ref="A40:C40"/>
    <mergeCell ref="A41:C41"/>
    <mergeCell ref="F6:G6"/>
    <mergeCell ref="H6:H7"/>
  </mergeCells>
  <conditionalFormatting sqref="K9:K41">
    <cfRule type="cellIs" dxfId="8885" priority="4" operator="between">
      <formula>15</formula>
      <formula>20</formula>
    </cfRule>
    <cfRule type="cellIs" dxfId="8884" priority="5" operator="lessThan">
      <formula>15</formula>
    </cfRule>
    <cfRule type="cellIs" dxfId="8883" priority="6" operator="greaterThan">
      <formula>20</formula>
    </cfRule>
  </conditionalFormatting>
  <hyperlinks>
    <hyperlink ref="K5" location="'TỔNG HỢP THÁNG'!A1" display="'TỔNG HỢP THÁNG'!A1"/>
  </hyperlinks>
  <pageMargins left="0.39370078740157483" right="0" top="0" bottom="0" header="0.19685039370078741" footer="0.31496062992125984"/>
  <pageSetup paperSize="9" orientation="landscape" verticalDpi="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A48"/>
  <sheetViews>
    <sheetView zoomScale="85" zoomScaleNormal="85" workbookViewId="0">
      <pane ySplit="8" topLeftCell="A18" activePane="bottomLeft" state="frozen"/>
      <selection pane="bottomLeft" activeCell="D26" sqref="D26"/>
    </sheetView>
  </sheetViews>
  <sheetFormatPr defaultColWidth="9.28515625" defaultRowHeight="16.5"/>
  <cols>
    <col min="1" max="1" width="5.42578125" style="42" customWidth="1"/>
    <col min="2" max="2" width="9" style="42" customWidth="1"/>
    <col min="3" max="3" width="17" style="42" customWidth="1"/>
    <col min="4" max="7" width="13.42578125" style="6" customWidth="1"/>
    <col min="8" max="8" width="16.7109375" style="6" customWidth="1"/>
    <col min="9" max="10" width="11.7109375" style="6" customWidth="1"/>
    <col min="11" max="11" width="12.42578125" style="42" customWidth="1"/>
    <col min="12" max="12" width="9.85546875" style="6" customWidth="1"/>
    <col min="13" max="15" width="9.5703125" style="6" customWidth="1"/>
    <col min="16" max="16" width="11.5703125" style="143" bestFit="1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142"/>
      <c r="M1" s="142"/>
      <c r="N1" s="142"/>
      <c r="O1" s="142"/>
      <c r="P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M2" s="142"/>
      <c r="N2" s="142"/>
      <c r="O2" s="142"/>
      <c r="P2" s="323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  <c r="O3" s="1500"/>
      <c r="P3" s="1500"/>
    </row>
    <row r="4" spans="1:27" s="320" customFormat="1" ht="21.75" customHeight="1">
      <c r="A4" s="1600" t="s">
        <v>33</v>
      </c>
      <c r="B4" s="1600"/>
      <c r="C4" s="318" t="str">
        <f>J4</f>
        <v>HIỆU ỨNG CHÌM CIK-RC116</v>
      </c>
      <c r="D4" s="317"/>
      <c r="E4" s="317" t="s">
        <v>228</v>
      </c>
      <c r="F4" s="317" t="s">
        <v>234</v>
      </c>
      <c r="G4" s="317"/>
      <c r="I4" s="325" t="s">
        <v>114</v>
      </c>
      <c r="J4" s="318" t="s">
        <v>780</v>
      </c>
      <c r="K4" s="319"/>
      <c r="L4" s="383"/>
      <c r="M4" s="383"/>
      <c r="N4" s="383"/>
      <c r="O4" s="383"/>
      <c r="P4" s="143"/>
    </row>
    <row r="5" spans="1:27" s="324" customFormat="1" ht="14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508" t="s">
        <v>292</v>
      </c>
      <c r="K5" s="375" t="s">
        <v>149</v>
      </c>
      <c r="L5" s="343"/>
      <c r="M5" s="343"/>
      <c r="N5" s="343"/>
      <c r="O5" s="343"/>
      <c r="P5" s="143"/>
    </row>
    <row r="6" spans="1:27" s="355" customFormat="1" ht="12.75" customHeight="1">
      <c r="A6" s="1630" t="s">
        <v>2</v>
      </c>
      <c r="B6" s="1631" t="s">
        <v>1</v>
      </c>
      <c r="C6" s="1631" t="s">
        <v>24</v>
      </c>
      <c r="D6" s="1629" t="s">
        <v>250</v>
      </c>
      <c r="E6" s="1629"/>
      <c r="F6" s="1629" t="s">
        <v>249</v>
      </c>
      <c r="G6" s="1629"/>
      <c r="H6" s="1629" t="s">
        <v>265</v>
      </c>
      <c r="I6" s="1629" t="s">
        <v>253</v>
      </c>
      <c r="J6" s="1629"/>
      <c r="K6" s="1629" t="s">
        <v>30</v>
      </c>
      <c r="L6" s="1620" t="s">
        <v>343</v>
      </c>
      <c r="M6" s="1620" t="s">
        <v>244</v>
      </c>
      <c r="N6" s="1632" t="s">
        <v>342</v>
      </c>
      <c r="O6" s="1626" t="s">
        <v>824</v>
      </c>
      <c r="P6" s="143"/>
    </row>
    <row r="7" spans="1:27" s="355" customFormat="1" ht="12.75" customHeight="1">
      <c r="A7" s="1630"/>
      <c r="B7" s="1631"/>
      <c r="C7" s="1631"/>
      <c r="D7" s="407" t="s">
        <v>10</v>
      </c>
      <c r="E7" s="407" t="s">
        <v>58</v>
      </c>
      <c r="F7" s="407" t="s">
        <v>10</v>
      </c>
      <c r="G7" s="407" t="s">
        <v>58</v>
      </c>
      <c r="H7" s="1629"/>
      <c r="I7" s="407" t="s">
        <v>10</v>
      </c>
      <c r="J7" s="407" t="s">
        <v>58</v>
      </c>
      <c r="K7" s="1629"/>
      <c r="L7" s="1621"/>
      <c r="M7" s="1621"/>
      <c r="N7" s="1632"/>
      <c r="O7" s="1626"/>
      <c r="P7" s="143"/>
    </row>
    <row r="8" spans="1:27" s="412" customFormat="1" ht="13.5" customHeight="1">
      <c r="A8" s="1633" t="s">
        <v>3</v>
      </c>
      <c r="B8" s="1634"/>
      <c r="C8" s="1635"/>
      <c r="D8" s="408">
        <f>I8</f>
        <v>108</v>
      </c>
      <c r="E8" s="408">
        <f>J8</f>
        <v>18</v>
      </c>
      <c r="F8" s="409">
        <f>F40</f>
        <v>102</v>
      </c>
      <c r="G8" s="410">
        <f>G40</f>
        <v>17</v>
      </c>
      <c r="H8" s="175"/>
      <c r="I8" s="324">
        <v>108</v>
      </c>
      <c r="J8" s="627">
        <f>I8/6</f>
        <v>18</v>
      </c>
      <c r="K8" s="411"/>
      <c r="L8" s="688"/>
      <c r="M8" s="688"/>
      <c r="N8" s="688"/>
      <c r="O8" s="1371"/>
      <c r="P8" s="143">
        <v>6</v>
      </c>
    </row>
    <row r="9" spans="1:27" s="412" customFormat="1" ht="13.5" customHeight="1">
      <c r="A9" s="414">
        <v>1</v>
      </c>
      <c r="B9" s="365">
        <f>'FRIT HGE91-FHG'!B9</f>
        <v>46235</v>
      </c>
      <c r="C9" s="331" t="s">
        <v>104</v>
      </c>
      <c r="D9" s="417"/>
      <c r="E9" s="418">
        <f>D9/6</f>
        <v>0</v>
      </c>
      <c r="F9" s="417">
        <f>L9+M9+N9+O9</f>
        <v>0</v>
      </c>
      <c r="G9" s="417">
        <f>F9/6</f>
        <v>0</v>
      </c>
      <c r="H9" s="1429">
        <f>SUM($F$9:F9)/A9</f>
        <v>0</v>
      </c>
      <c r="I9" s="1430">
        <f t="shared" ref="I9:I39" si="0">I8+D9-F9</f>
        <v>108</v>
      </c>
      <c r="J9" s="1431">
        <f>I9/6</f>
        <v>18</v>
      </c>
      <c r="K9" s="417" t="e">
        <f>I9/H9</f>
        <v>#DIV/0!</v>
      </c>
      <c r="L9" s="1423"/>
      <c r="M9" s="1423"/>
      <c r="N9" s="1423"/>
      <c r="O9" s="1423"/>
      <c r="P9" s="647">
        <f>I9/$P$8</f>
        <v>18</v>
      </c>
    </row>
    <row r="10" spans="1:27" s="412" customFormat="1" ht="13.5" customHeight="1">
      <c r="A10" s="414">
        <v>2</v>
      </c>
      <c r="B10" s="365">
        <f>'FRIT HGE91-FHG'!B10</f>
        <v>46236</v>
      </c>
      <c r="C10" s="331" t="s">
        <v>104</v>
      </c>
      <c r="D10" s="417"/>
      <c r="E10" s="418">
        <f t="shared" ref="E10:E39" si="1">D10/6</f>
        <v>0</v>
      </c>
      <c r="F10" s="417">
        <f t="shared" ref="F10:F39" si="2">L10+M10+N10+O10</f>
        <v>0</v>
      </c>
      <c r="G10" s="417">
        <f t="shared" ref="G10:G39" si="3">F10/6</f>
        <v>0</v>
      </c>
      <c r="H10" s="1429">
        <f>SUM($F$9:F10)/A10</f>
        <v>0</v>
      </c>
      <c r="I10" s="1430">
        <f t="shared" si="0"/>
        <v>108</v>
      </c>
      <c r="J10" s="1431">
        <f t="shared" ref="J10:J39" si="4">I10/6</f>
        <v>18</v>
      </c>
      <c r="K10" s="417" t="e">
        <f t="shared" ref="K10:K39" si="5">I10/H10</f>
        <v>#DIV/0!</v>
      </c>
      <c r="L10" s="1499"/>
      <c r="M10" s="1499"/>
      <c r="N10" s="1499"/>
      <c r="O10" s="1499"/>
      <c r="P10" s="647">
        <f t="shared" ref="P10:P39" si="6">I10/$P$8</f>
        <v>18</v>
      </c>
    </row>
    <row r="11" spans="1:27" s="412" customFormat="1" ht="13.5" customHeight="1">
      <c r="A11" s="414">
        <v>3</v>
      </c>
      <c r="B11" s="365">
        <f>'FRIT HGE91-FHG'!B11</f>
        <v>46237</v>
      </c>
      <c r="C11" s="331" t="s">
        <v>104</v>
      </c>
      <c r="D11" s="417"/>
      <c r="E11" s="418">
        <f t="shared" si="1"/>
        <v>0</v>
      </c>
      <c r="F11" s="417">
        <f t="shared" si="2"/>
        <v>6</v>
      </c>
      <c r="G11" s="417">
        <f t="shared" si="3"/>
        <v>1</v>
      </c>
      <c r="H11" s="1429">
        <f>SUM($F$9:F11)/A11</f>
        <v>2</v>
      </c>
      <c r="I11" s="1430">
        <f t="shared" si="0"/>
        <v>102</v>
      </c>
      <c r="J11" s="1431">
        <f t="shared" si="4"/>
        <v>17</v>
      </c>
      <c r="K11" s="417">
        <f t="shared" si="5"/>
        <v>51</v>
      </c>
      <c r="L11" s="1499">
        <v>6</v>
      </c>
      <c r="M11" s="1499"/>
      <c r="N11" s="1499"/>
      <c r="O11" s="1499"/>
      <c r="P11" s="647">
        <f t="shared" si="6"/>
        <v>17</v>
      </c>
    </row>
    <row r="12" spans="1:27" s="376" customFormat="1" ht="13.5" customHeight="1">
      <c r="A12" s="414">
        <v>4</v>
      </c>
      <c r="B12" s="365">
        <f>'FRIT HGE91-FHG'!B12</f>
        <v>46238</v>
      </c>
      <c r="C12" s="331" t="s">
        <v>104</v>
      </c>
      <c r="D12" s="417"/>
      <c r="E12" s="418">
        <f t="shared" si="1"/>
        <v>0</v>
      </c>
      <c r="F12" s="417">
        <f t="shared" si="2"/>
        <v>0</v>
      </c>
      <c r="G12" s="417">
        <f t="shared" si="3"/>
        <v>0</v>
      </c>
      <c r="H12" s="1429">
        <f>SUM($F$9:F12)/A12</f>
        <v>1.5</v>
      </c>
      <c r="I12" s="1430">
        <f t="shared" si="0"/>
        <v>102</v>
      </c>
      <c r="J12" s="1431">
        <f t="shared" si="4"/>
        <v>17</v>
      </c>
      <c r="K12" s="417">
        <f t="shared" si="5"/>
        <v>68</v>
      </c>
      <c r="L12" s="1499"/>
      <c r="M12" s="1499"/>
      <c r="N12" s="1499"/>
      <c r="O12" s="1499"/>
      <c r="P12" s="647">
        <f t="shared" si="6"/>
        <v>17</v>
      </c>
    </row>
    <row r="13" spans="1:27" s="376" customFormat="1" ht="13.5" customHeight="1">
      <c r="A13" s="415">
        <v>5</v>
      </c>
      <c r="B13" s="365">
        <f>'FRIT HGE91-FHG'!B13</f>
        <v>46239</v>
      </c>
      <c r="C13" s="331" t="s">
        <v>104</v>
      </c>
      <c r="D13" s="417"/>
      <c r="E13" s="418">
        <f t="shared" si="1"/>
        <v>0</v>
      </c>
      <c r="F13" s="417">
        <f t="shared" si="2"/>
        <v>0</v>
      </c>
      <c r="G13" s="417">
        <f t="shared" si="3"/>
        <v>0</v>
      </c>
      <c r="H13" s="1432">
        <f>SUM($F$9:F13)/A13</f>
        <v>1.2</v>
      </c>
      <c r="I13" s="1433">
        <f t="shared" si="0"/>
        <v>102</v>
      </c>
      <c r="J13" s="1431">
        <f t="shared" si="4"/>
        <v>17</v>
      </c>
      <c r="K13" s="417">
        <f t="shared" si="5"/>
        <v>85</v>
      </c>
      <c r="L13" s="1499"/>
      <c r="M13" s="1499"/>
      <c r="N13" s="1499"/>
      <c r="O13" s="1499"/>
      <c r="P13" s="647">
        <f t="shared" si="6"/>
        <v>17</v>
      </c>
    </row>
    <row r="14" spans="1:27" s="376" customFormat="1" ht="13.5" customHeight="1">
      <c r="A14" s="414">
        <v>6</v>
      </c>
      <c r="B14" s="365">
        <f>'FRIT HGE91-FHG'!B14</f>
        <v>46240</v>
      </c>
      <c r="C14" s="331" t="s">
        <v>285</v>
      </c>
      <c r="D14" s="417"/>
      <c r="E14" s="418">
        <f t="shared" si="1"/>
        <v>0</v>
      </c>
      <c r="F14" s="417">
        <f t="shared" si="2"/>
        <v>0</v>
      </c>
      <c r="G14" s="417">
        <f t="shared" si="3"/>
        <v>0</v>
      </c>
      <c r="H14" s="1429">
        <f>SUM($F$9:F14)/A14</f>
        <v>1</v>
      </c>
      <c r="I14" s="1430">
        <f t="shared" si="0"/>
        <v>102</v>
      </c>
      <c r="J14" s="1431">
        <f t="shared" si="4"/>
        <v>17</v>
      </c>
      <c r="K14" s="417">
        <f t="shared" si="5"/>
        <v>102</v>
      </c>
      <c r="L14" s="1499"/>
      <c r="M14" s="1499"/>
      <c r="N14" s="1499"/>
      <c r="O14" s="1499"/>
      <c r="P14" s="647">
        <f t="shared" si="6"/>
        <v>17</v>
      </c>
    </row>
    <row r="15" spans="1:27" s="376" customFormat="1" ht="13.5" customHeight="1">
      <c r="A15" s="414">
        <v>7</v>
      </c>
      <c r="B15" s="365">
        <f>'FRIT HGE91-FHG'!B15</f>
        <v>46241</v>
      </c>
      <c r="C15" s="331" t="s">
        <v>285</v>
      </c>
      <c r="D15" s="417"/>
      <c r="E15" s="418">
        <f t="shared" si="1"/>
        <v>0</v>
      </c>
      <c r="F15" s="417">
        <f t="shared" si="2"/>
        <v>0</v>
      </c>
      <c r="G15" s="417">
        <f t="shared" si="3"/>
        <v>0</v>
      </c>
      <c r="H15" s="1429">
        <f>SUM($F$9:F15)/A15</f>
        <v>0.8571428571428571</v>
      </c>
      <c r="I15" s="1430">
        <f t="shared" si="0"/>
        <v>102</v>
      </c>
      <c r="J15" s="1431">
        <f t="shared" si="4"/>
        <v>17</v>
      </c>
      <c r="K15" s="417">
        <f t="shared" si="5"/>
        <v>119</v>
      </c>
      <c r="L15" s="1499"/>
      <c r="M15" s="1499"/>
      <c r="N15" s="1499"/>
      <c r="O15" s="1499"/>
      <c r="P15" s="647">
        <f t="shared" si="6"/>
        <v>17</v>
      </c>
    </row>
    <row r="16" spans="1:27" s="376" customFormat="1" ht="13.5" customHeight="1">
      <c r="A16" s="414">
        <v>8</v>
      </c>
      <c r="B16" s="365">
        <f>'FRIT HGE91-FHG'!B16</f>
        <v>46242</v>
      </c>
      <c r="C16" s="331" t="s">
        <v>285</v>
      </c>
      <c r="D16" s="417"/>
      <c r="E16" s="418">
        <f t="shared" si="1"/>
        <v>0</v>
      </c>
      <c r="F16" s="417">
        <f t="shared" si="2"/>
        <v>12</v>
      </c>
      <c r="G16" s="417">
        <f t="shared" si="3"/>
        <v>2</v>
      </c>
      <c r="H16" s="1429">
        <f>SUM($F$9:F16)/A16</f>
        <v>2.25</v>
      </c>
      <c r="I16" s="1430">
        <f t="shared" si="0"/>
        <v>90</v>
      </c>
      <c r="J16" s="1431">
        <f t="shared" si="4"/>
        <v>15</v>
      </c>
      <c r="K16" s="417">
        <f t="shared" si="5"/>
        <v>40</v>
      </c>
      <c r="L16" s="1499">
        <v>12</v>
      </c>
      <c r="M16" s="1499"/>
      <c r="N16" s="1499"/>
      <c r="O16" s="1499"/>
      <c r="P16" s="647">
        <f t="shared" si="6"/>
        <v>15</v>
      </c>
    </row>
    <row r="17" spans="1:16" s="376" customFormat="1" ht="13.5" customHeight="1">
      <c r="A17" s="414">
        <v>9</v>
      </c>
      <c r="B17" s="365">
        <f>'FRIT HGE91-FHG'!B17</f>
        <v>46243</v>
      </c>
      <c r="C17" s="331" t="s">
        <v>285</v>
      </c>
      <c r="D17" s="417"/>
      <c r="E17" s="418">
        <f t="shared" si="1"/>
        <v>0</v>
      </c>
      <c r="F17" s="417">
        <f t="shared" si="2"/>
        <v>0</v>
      </c>
      <c r="G17" s="417">
        <f t="shared" si="3"/>
        <v>0</v>
      </c>
      <c r="H17" s="1429">
        <f>SUM($F$9:F17)/A17</f>
        <v>2</v>
      </c>
      <c r="I17" s="1430">
        <f t="shared" si="0"/>
        <v>90</v>
      </c>
      <c r="J17" s="1431">
        <f t="shared" si="4"/>
        <v>15</v>
      </c>
      <c r="K17" s="417">
        <f t="shared" si="5"/>
        <v>45</v>
      </c>
      <c r="L17" s="1499"/>
      <c r="M17" s="1499"/>
      <c r="N17" s="1499"/>
      <c r="O17" s="1499"/>
      <c r="P17" s="647">
        <f t="shared" si="6"/>
        <v>15</v>
      </c>
    </row>
    <row r="18" spans="1:16" s="376" customFormat="1" ht="13.5" customHeight="1">
      <c r="A18" s="415">
        <v>10</v>
      </c>
      <c r="B18" s="365">
        <f>'FRIT HGE91-FHG'!B18</f>
        <v>46244</v>
      </c>
      <c r="C18" s="331" t="s">
        <v>285</v>
      </c>
      <c r="D18" s="417"/>
      <c r="E18" s="418">
        <f t="shared" si="1"/>
        <v>0</v>
      </c>
      <c r="F18" s="417">
        <f t="shared" si="2"/>
        <v>0</v>
      </c>
      <c r="G18" s="417">
        <f t="shared" si="3"/>
        <v>0</v>
      </c>
      <c r="H18" s="1432">
        <f>SUM($F$9:F18)/A18</f>
        <v>1.8</v>
      </c>
      <c r="I18" s="1433">
        <f t="shared" si="0"/>
        <v>90</v>
      </c>
      <c r="J18" s="1431">
        <f t="shared" si="4"/>
        <v>15</v>
      </c>
      <c r="K18" s="417">
        <f t="shared" si="5"/>
        <v>50</v>
      </c>
      <c r="L18" s="1499"/>
      <c r="M18" s="1499"/>
      <c r="N18" s="1499"/>
      <c r="O18" s="1499"/>
      <c r="P18" s="647">
        <f t="shared" si="6"/>
        <v>15</v>
      </c>
    </row>
    <row r="19" spans="1:16" s="376" customFormat="1" ht="13.5" customHeight="1">
      <c r="A19" s="414">
        <v>11</v>
      </c>
      <c r="B19" s="365">
        <f>'FRIT HGE91-FHG'!B19</f>
        <v>46245</v>
      </c>
      <c r="C19" s="331" t="s">
        <v>285</v>
      </c>
      <c r="D19" s="417"/>
      <c r="E19" s="418">
        <f t="shared" si="1"/>
        <v>0</v>
      </c>
      <c r="F19" s="417">
        <f t="shared" si="2"/>
        <v>0</v>
      </c>
      <c r="G19" s="417">
        <f t="shared" si="3"/>
        <v>0</v>
      </c>
      <c r="H19" s="1429">
        <f>SUM($F$9:F19)/A19</f>
        <v>1.6363636363636365</v>
      </c>
      <c r="I19" s="1430">
        <f t="shared" si="0"/>
        <v>90</v>
      </c>
      <c r="J19" s="1431">
        <f t="shared" si="4"/>
        <v>15</v>
      </c>
      <c r="K19" s="417">
        <f t="shared" si="5"/>
        <v>55</v>
      </c>
      <c r="L19" s="1499"/>
      <c r="M19" s="1499"/>
      <c r="N19" s="1499"/>
      <c r="O19" s="1499"/>
      <c r="P19" s="647">
        <f t="shared" si="6"/>
        <v>15</v>
      </c>
    </row>
    <row r="20" spans="1:16" s="376" customFormat="1" ht="13.5" customHeight="1">
      <c r="A20" s="414">
        <v>12</v>
      </c>
      <c r="B20" s="365">
        <f>'FRIT HGE91-FHG'!B20</f>
        <v>46246</v>
      </c>
      <c r="C20" s="331" t="s">
        <v>285</v>
      </c>
      <c r="D20" s="417"/>
      <c r="E20" s="418">
        <f t="shared" si="1"/>
        <v>0</v>
      </c>
      <c r="F20" s="417">
        <f t="shared" si="2"/>
        <v>0</v>
      </c>
      <c r="G20" s="417">
        <f t="shared" si="3"/>
        <v>0</v>
      </c>
      <c r="H20" s="1429">
        <f>SUM($F$9:F20)/A20</f>
        <v>1.5</v>
      </c>
      <c r="I20" s="1430">
        <f t="shared" si="0"/>
        <v>90</v>
      </c>
      <c r="J20" s="1431">
        <f t="shared" si="4"/>
        <v>15</v>
      </c>
      <c r="K20" s="417">
        <f t="shared" si="5"/>
        <v>60</v>
      </c>
      <c r="L20" s="1499"/>
      <c r="M20" s="1499"/>
      <c r="N20" s="1499"/>
      <c r="O20" s="1499"/>
      <c r="P20" s="647">
        <f t="shared" si="6"/>
        <v>15</v>
      </c>
    </row>
    <row r="21" spans="1:16" s="376" customFormat="1" ht="13.5" customHeight="1">
      <c r="A21" s="414">
        <v>13</v>
      </c>
      <c r="B21" s="365">
        <f>'FRIT HGE91-FHG'!B21</f>
        <v>46247</v>
      </c>
      <c r="C21" s="331" t="s">
        <v>285</v>
      </c>
      <c r="D21" s="417"/>
      <c r="E21" s="418">
        <f t="shared" si="1"/>
        <v>0</v>
      </c>
      <c r="F21" s="417">
        <f t="shared" si="2"/>
        <v>48</v>
      </c>
      <c r="G21" s="417">
        <f t="shared" si="3"/>
        <v>8</v>
      </c>
      <c r="H21" s="1429">
        <f>SUM($F$9:F21)/A21</f>
        <v>5.0769230769230766</v>
      </c>
      <c r="I21" s="1430">
        <f t="shared" si="0"/>
        <v>42</v>
      </c>
      <c r="J21" s="1431">
        <f t="shared" si="4"/>
        <v>7</v>
      </c>
      <c r="K21" s="417">
        <f t="shared" si="5"/>
        <v>8.2727272727272734</v>
      </c>
      <c r="L21" s="1499"/>
      <c r="M21" s="1499">
        <v>48</v>
      </c>
      <c r="N21" s="1499"/>
      <c r="O21" s="1499"/>
      <c r="P21" s="647">
        <f t="shared" si="6"/>
        <v>7</v>
      </c>
    </row>
    <row r="22" spans="1:16" s="376" customFormat="1" ht="13.5" customHeight="1">
      <c r="A22" s="414">
        <v>14</v>
      </c>
      <c r="B22" s="365">
        <f>'FRIT HGE91-FHG'!B22</f>
        <v>46248</v>
      </c>
      <c r="C22" s="331" t="s">
        <v>285</v>
      </c>
      <c r="D22" s="417"/>
      <c r="E22" s="418">
        <f t="shared" si="1"/>
        <v>0</v>
      </c>
      <c r="F22" s="417">
        <f t="shared" si="2"/>
        <v>0</v>
      </c>
      <c r="G22" s="417">
        <f t="shared" si="3"/>
        <v>0</v>
      </c>
      <c r="H22" s="1429">
        <f>SUM($F$9:F22)/A22</f>
        <v>4.7142857142857144</v>
      </c>
      <c r="I22" s="1430">
        <f t="shared" si="0"/>
        <v>42</v>
      </c>
      <c r="J22" s="1431">
        <f t="shared" si="4"/>
        <v>7</v>
      </c>
      <c r="K22" s="417">
        <f t="shared" si="5"/>
        <v>8.9090909090909083</v>
      </c>
      <c r="L22" s="1499"/>
      <c r="M22" s="1499"/>
      <c r="N22" s="1499"/>
      <c r="O22" s="1499"/>
      <c r="P22" s="647">
        <f t="shared" si="6"/>
        <v>7</v>
      </c>
    </row>
    <row r="23" spans="1:16" s="376" customFormat="1" ht="13.5" customHeight="1">
      <c r="A23" s="415">
        <v>15</v>
      </c>
      <c r="B23" s="365">
        <f>'FRIT HGE91-FHG'!B23</f>
        <v>46249</v>
      </c>
      <c r="C23" s="331" t="s">
        <v>285</v>
      </c>
      <c r="D23" s="417"/>
      <c r="E23" s="418">
        <f t="shared" si="1"/>
        <v>0</v>
      </c>
      <c r="F23" s="417">
        <f t="shared" si="2"/>
        <v>24</v>
      </c>
      <c r="G23" s="417">
        <f t="shared" si="3"/>
        <v>4</v>
      </c>
      <c r="H23" s="1432">
        <f>SUM($F$9:F23)/A23</f>
        <v>6</v>
      </c>
      <c r="I23" s="1433">
        <f t="shared" si="0"/>
        <v>18</v>
      </c>
      <c r="J23" s="1431">
        <f t="shared" si="4"/>
        <v>3</v>
      </c>
      <c r="K23" s="417">
        <f t="shared" si="5"/>
        <v>3</v>
      </c>
      <c r="L23" s="1499"/>
      <c r="M23" s="1499">
        <v>24</v>
      </c>
      <c r="N23" s="1499"/>
      <c r="O23" s="1499"/>
      <c r="P23" s="647">
        <f t="shared" si="6"/>
        <v>3</v>
      </c>
    </row>
    <row r="24" spans="1:16" s="376" customFormat="1" ht="13.5" customHeight="1">
      <c r="A24" s="414">
        <v>16</v>
      </c>
      <c r="B24" s="365">
        <f>'FRIT HGE91-FHG'!B24</f>
        <v>46250</v>
      </c>
      <c r="C24" s="331" t="s">
        <v>285</v>
      </c>
      <c r="D24" s="417"/>
      <c r="E24" s="418">
        <f t="shared" si="1"/>
        <v>0</v>
      </c>
      <c r="F24" s="417">
        <f t="shared" si="2"/>
        <v>0</v>
      </c>
      <c r="G24" s="417">
        <f t="shared" si="3"/>
        <v>0</v>
      </c>
      <c r="H24" s="1429">
        <f>SUM($F$9:F24)/A24</f>
        <v>5.625</v>
      </c>
      <c r="I24" s="1430">
        <f t="shared" si="0"/>
        <v>18</v>
      </c>
      <c r="J24" s="1431">
        <f t="shared" si="4"/>
        <v>3</v>
      </c>
      <c r="K24" s="417">
        <f t="shared" si="5"/>
        <v>3.2</v>
      </c>
      <c r="L24" s="1499"/>
      <c r="M24" s="1499"/>
      <c r="N24" s="1499"/>
      <c r="O24" s="1499"/>
      <c r="P24" s="647">
        <f t="shared" si="6"/>
        <v>3</v>
      </c>
    </row>
    <row r="25" spans="1:16" s="376" customFormat="1" ht="13.5" customHeight="1">
      <c r="A25" s="414">
        <v>17</v>
      </c>
      <c r="B25" s="365">
        <f>'FRIT HGE91-FHG'!B25</f>
        <v>46251</v>
      </c>
      <c r="C25" s="331" t="s">
        <v>285</v>
      </c>
      <c r="D25" s="417">
        <v>120</v>
      </c>
      <c r="E25" s="418">
        <f t="shared" si="1"/>
        <v>20</v>
      </c>
      <c r="F25" s="417">
        <f t="shared" si="2"/>
        <v>12</v>
      </c>
      <c r="G25" s="417">
        <f t="shared" si="3"/>
        <v>2</v>
      </c>
      <c r="H25" s="1429">
        <f>SUM($F$9:F25)/A25</f>
        <v>6</v>
      </c>
      <c r="I25" s="1430">
        <f t="shared" si="0"/>
        <v>126</v>
      </c>
      <c r="J25" s="1431">
        <f t="shared" si="4"/>
        <v>21</v>
      </c>
      <c r="K25" s="417">
        <f t="shared" si="5"/>
        <v>21</v>
      </c>
      <c r="L25" s="1499">
        <v>12</v>
      </c>
      <c r="M25" s="1499"/>
      <c r="N25" s="1499"/>
      <c r="O25" s="1499"/>
      <c r="P25" s="647">
        <f t="shared" si="6"/>
        <v>21</v>
      </c>
    </row>
    <row r="26" spans="1:16" s="376" customFormat="1" ht="13.5" customHeight="1">
      <c r="A26" s="414">
        <v>18</v>
      </c>
      <c r="B26" s="365">
        <f>'FRIT HGE91-FHG'!B26</f>
        <v>46252</v>
      </c>
      <c r="C26" s="331" t="s">
        <v>285</v>
      </c>
      <c r="D26" s="417"/>
      <c r="E26" s="418">
        <f t="shared" si="1"/>
        <v>0</v>
      </c>
      <c r="F26" s="417">
        <f t="shared" si="2"/>
        <v>0</v>
      </c>
      <c r="G26" s="417">
        <f t="shared" si="3"/>
        <v>0</v>
      </c>
      <c r="H26" s="1429">
        <f>SUM($F$9:F26)/A26</f>
        <v>5.666666666666667</v>
      </c>
      <c r="I26" s="1430">
        <f t="shared" si="0"/>
        <v>126</v>
      </c>
      <c r="J26" s="1431">
        <f t="shared" si="4"/>
        <v>21</v>
      </c>
      <c r="K26" s="417">
        <f t="shared" si="5"/>
        <v>22.235294117647058</v>
      </c>
      <c r="L26" s="1499"/>
      <c r="M26" s="1499"/>
      <c r="N26" s="1499"/>
      <c r="O26" s="1499"/>
      <c r="P26" s="647">
        <f t="shared" si="6"/>
        <v>21</v>
      </c>
    </row>
    <row r="27" spans="1:16" s="376" customFormat="1" ht="13.5" customHeight="1">
      <c r="A27" s="414">
        <v>19</v>
      </c>
      <c r="B27" s="365">
        <f>'FRIT HGE91-FHG'!B27</f>
        <v>46253</v>
      </c>
      <c r="C27" s="331" t="s">
        <v>285</v>
      </c>
      <c r="D27" s="417"/>
      <c r="E27" s="418">
        <f t="shared" si="1"/>
        <v>0</v>
      </c>
      <c r="F27" s="417">
        <f t="shared" si="2"/>
        <v>0</v>
      </c>
      <c r="G27" s="417">
        <f t="shared" si="3"/>
        <v>0</v>
      </c>
      <c r="H27" s="1429">
        <f>SUM($F$9:F27)/A27</f>
        <v>5.3684210526315788</v>
      </c>
      <c r="I27" s="1430">
        <f t="shared" si="0"/>
        <v>126</v>
      </c>
      <c r="J27" s="1431">
        <f t="shared" si="4"/>
        <v>21</v>
      </c>
      <c r="K27" s="417">
        <f t="shared" si="5"/>
        <v>23.47058823529412</v>
      </c>
      <c r="L27" s="1499"/>
      <c r="M27" s="1499"/>
      <c r="N27" s="1499"/>
      <c r="O27" s="1499"/>
      <c r="P27" s="647">
        <f t="shared" si="6"/>
        <v>21</v>
      </c>
    </row>
    <row r="28" spans="1:16" s="376" customFormat="1" ht="13.5" customHeight="1">
      <c r="A28" s="415">
        <v>20</v>
      </c>
      <c r="B28" s="365">
        <f>'FRIT HGE91-FHG'!B28</f>
        <v>46254</v>
      </c>
      <c r="C28" s="331" t="s">
        <v>285</v>
      </c>
      <c r="D28" s="417"/>
      <c r="E28" s="418">
        <f t="shared" si="1"/>
        <v>0</v>
      </c>
      <c r="F28" s="417">
        <f t="shared" si="2"/>
        <v>0</v>
      </c>
      <c r="G28" s="417">
        <f t="shared" si="3"/>
        <v>0</v>
      </c>
      <c r="H28" s="1432">
        <f>SUM($F$9:F28)/A28</f>
        <v>5.0999999999999996</v>
      </c>
      <c r="I28" s="1433">
        <f t="shared" si="0"/>
        <v>126</v>
      </c>
      <c r="J28" s="1431">
        <f t="shared" si="4"/>
        <v>21</v>
      </c>
      <c r="K28" s="417">
        <f t="shared" si="5"/>
        <v>24.705882352941178</v>
      </c>
      <c r="L28" s="1499"/>
      <c r="M28" s="1499"/>
      <c r="N28" s="1499"/>
      <c r="O28" s="1499"/>
      <c r="P28" s="647">
        <f t="shared" si="6"/>
        <v>21</v>
      </c>
    </row>
    <row r="29" spans="1:16" s="376" customFormat="1" ht="13.5" customHeight="1">
      <c r="A29" s="414">
        <v>21</v>
      </c>
      <c r="B29" s="365">
        <f>'FRIT HGE91-FHG'!B29</f>
        <v>46255</v>
      </c>
      <c r="C29" s="331" t="s">
        <v>285</v>
      </c>
      <c r="D29" s="417"/>
      <c r="E29" s="418">
        <f t="shared" si="1"/>
        <v>0</v>
      </c>
      <c r="F29" s="417">
        <f t="shared" si="2"/>
        <v>0</v>
      </c>
      <c r="G29" s="417">
        <f t="shared" si="3"/>
        <v>0</v>
      </c>
      <c r="H29" s="1429">
        <f>SUM($F$9:F29)/A29</f>
        <v>4.8571428571428568</v>
      </c>
      <c r="I29" s="1430">
        <f t="shared" si="0"/>
        <v>126</v>
      </c>
      <c r="J29" s="1431">
        <f t="shared" si="4"/>
        <v>21</v>
      </c>
      <c r="K29" s="417">
        <f t="shared" si="5"/>
        <v>25.941176470588239</v>
      </c>
      <c r="L29" s="1499"/>
      <c r="M29" s="1499"/>
      <c r="N29" s="1499"/>
      <c r="O29" s="1499"/>
      <c r="P29" s="647">
        <f t="shared" si="6"/>
        <v>21</v>
      </c>
    </row>
    <row r="30" spans="1:16" s="376" customFormat="1" ht="13.5" customHeight="1">
      <c r="A30" s="414">
        <v>22</v>
      </c>
      <c r="B30" s="365">
        <f>'FRIT HGE91-FHG'!B30</f>
        <v>46256</v>
      </c>
      <c r="C30" s="331" t="s">
        <v>285</v>
      </c>
      <c r="D30" s="417"/>
      <c r="E30" s="418">
        <f t="shared" si="1"/>
        <v>0</v>
      </c>
      <c r="F30" s="417">
        <f t="shared" si="2"/>
        <v>0</v>
      </c>
      <c r="G30" s="417">
        <f t="shared" si="3"/>
        <v>0</v>
      </c>
      <c r="H30" s="1429">
        <f>SUM($F$9:F30)/A30</f>
        <v>4.6363636363636367</v>
      </c>
      <c r="I30" s="1430">
        <f t="shared" si="0"/>
        <v>126</v>
      </c>
      <c r="J30" s="1431">
        <f t="shared" si="4"/>
        <v>21</v>
      </c>
      <c r="K30" s="417">
        <f t="shared" si="5"/>
        <v>27.176470588235293</v>
      </c>
      <c r="L30" s="1499"/>
      <c r="M30" s="1499"/>
      <c r="N30" s="1499"/>
      <c r="O30" s="1499"/>
      <c r="P30" s="647">
        <f t="shared" si="6"/>
        <v>21</v>
      </c>
    </row>
    <row r="31" spans="1:16" s="376" customFormat="1" ht="13.5" customHeight="1">
      <c r="A31" s="414">
        <v>23</v>
      </c>
      <c r="B31" s="365">
        <f>'FRIT HGE91-FHG'!B31</f>
        <v>46257</v>
      </c>
      <c r="C31" s="331" t="s">
        <v>285</v>
      </c>
      <c r="D31" s="417"/>
      <c r="E31" s="418">
        <f t="shared" si="1"/>
        <v>0</v>
      </c>
      <c r="F31" s="417">
        <f t="shared" si="2"/>
        <v>0</v>
      </c>
      <c r="G31" s="417">
        <f t="shared" si="3"/>
        <v>0</v>
      </c>
      <c r="H31" s="1429">
        <f>SUM($F$9:F31)/A31</f>
        <v>4.4347826086956523</v>
      </c>
      <c r="I31" s="1430">
        <f t="shared" si="0"/>
        <v>126</v>
      </c>
      <c r="J31" s="1431">
        <f t="shared" si="4"/>
        <v>21</v>
      </c>
      <c r="K31" s="417">
        <f t="shared" si="5"/>
        <v>28.411764705882351</v>
      </c>
      <c r="L31" s="1499"/>
      <c r="M31" s="1499"/>
      <c r="N31" s="1499"/>
      <c r="O31" s="1499"/>
      <c r="P31" s="647">
        <f t="shared" si="6"/>
        <v>21</v>
      </c>
    </row>
    <row r="32" spans="1:16" s="376" customFormat="1" ht="13.5" customHeight="1">
      <c r="A32" s="414">
        <v>24</v>
      </c>
      <c r="B32" s="365">
        <f>'FRIT HGE91-FHG'!B32</f>
        <v>46258</v>
      </c>
      <c r="C32" s="331" t="s">
        <v>285</v>
      </c>
      <c r="D32" s="417"/>
      <c r="E32" s="418">
        <f t="shared" si="1"/>
        <v>0</v>
      </c>
      <c r="F32" s="417">
        <f t="shared" si="2"/>
        <v>0</v>
      </c>
      <c r="G32" s="417">
        <f t="shared" si="3"/>
        <v>0</v>
      </c>
      <c r="H32" s="1429">
        <f>SUM($F$9:F32)/A32</f>
        <v>4.25</v>
      </c>
      <c r="I32" s="1430">
        <f t="shared" si="0"/>
        <v>126</v>
      </c>
      <c r="J32" s="1431">
        <f t="shared" si="4"/>
        <v>21</v>
      </c>
      <c r="K32" s="417">
        <f t="shared" si="5"/>
        <v>29.647058823529413</v>
      </c>
      <c r="L32" s="1499"/>
      <c r="M32" s="1499"/>
      <c r="N32" s="1499"/>
      <c r="O32" s="1499"/>
      <c r="P32" s="647">
        <f t="shared" si="6"/>
        <v>21</v>
      </c>
    </row>
    <row r="33" spans="1:16" s="376" customFormat="1" ht="13.5" customHeight="1">
      <c r="A33" s="416">
        <v>25</v>
      </c>
      <c r="B33" s="365">
        <f>'FRIT HGE91-FHG'!B33</f>
        <v>46259</v>
      </c>
      <c r="C33" s="331" t="s">
        <v>285</v>
      </c>
      <c r="D33" s="417"/>
      <c r="E33" s="418">
        <f t="shared" si="1"/>
        <v>0</v>
      </c>
      <c r="F33" s="417">
        <f t="shared" si="2"/>
        <v>0</v>
      </c>
      <c r="G33" s="417">
        <f t="shared" si="3"/>
        <v>0</v>
      </c>
      <c r="H33" s="416">
        <f>SUM($F$9:F33)/A33</f>
        <v>4.08</v>
      </c>
      <c r="I33" s="1434">
        <f t="shared" si="0"/>
        <v>126</v>
      </c>
      <c r="J33" s="1431">
        <f t="shared" si="4"/>
        <v>21</v>
      </c>
      <c r="K33" s="417">
        <f t="shared" si="5"/>
        <v>30.882352941176471</v>
      </c>
      <c r="L33" s="1499"/>
      <c r="M33" s="1499"/>
      <c r="N33" s="1499"/>
      <c r="O33" s="1499"/>
      <c r="P33" s="647">
        <f t="shared" si="6"/>
        <v>21</v>
      </c>
    </row>
    <row r="34" spans="1:16" s="376" customFormat="1" ht="13.5" customHeight="1">
      <c r="A34" s="414">
        <v>26</v>
      </c>
      <c r="B34" s="365">
        <f>'FRIT HGE91-FHG'!B34</f>
        <v>46260</v>
      </c>
      <c r="C34" s="331" t="s">
        <v>285</v>
      </c>
      <c r="D34" s="417"/>
      <c r="E34" s="418">
        <f t="shared" si="1"/>
        <v>0</v>
      </c>
      <c r="F34" s="417">
        <f t="shared" si="2"/>
        <v>0</v>
      </c>
      <c r="G34" s="417">
        <f t="shared" si="3"/>
        <v>0</v>
      </c>
      <c r="H34" s="1429">
        <f>SUM($F$9:F34)/A34</f>
        <v>3.9230769230769229</v>
      </c>
      <c r="I34" s="1430">
        <f t="shared" si="0"/>
        <v>126</v>
      </c>
      <c r="J34" s="1431">
        <f t="shared" si="4"/>
        <v>21</v>
      </c>
      <c r="K34" s="417">
        <f t="shared" si="5"/>
        <v>32.117647058823529</v>
      </c>
      <c r="L34" s="1499"/>
      <c r="M34" s="1499"/>
      <c r="N34" s="1499"/>
      <c r="O34" s="1499"/>
      <c r="P34" s="647">
        <f t="shared" si="6"/>
        <v>21</v>
      </c>
    </row>
    <row r="35" spans="1:16" s="376" customFormat="1" ht="13.5" customHeight="1">
      <c r="A35" s="414">
        <v>27</v>
      </c>
      <c r="B35" s="365">
        <f>'FRIT HGE91-FHG'!B35</f>
        <v>46261</v>
      </c>
      <c r="C35" s="331" t="s">
        <v>285</v>
      </c>
      <c r="D35" s="417"/>
      <c r="E35" s="418">
        <f>D35/6</f>
        <v>0</v>
      </c>
      <c r="F35" s="417">
        <f t="shared" si="2"/>
        <v>0</v>
      </c>
      <c r="G35" s="417">
        <f t="shared" si="3"/>
        <v>0</v>
      </c>
      <c r="H35" s="1429">
        <f>SUM($F$9:F35)/A35</f>
        <v>3.7777777777777777</v>
      </c>
      <c r="I35" s="1430">
        <f t="shared" si="0"/>
        <v>126</v>
      </c>
      <c r="J35" s="1431">
        <f t="shared" si="4"/>
        <v>21</v>
      </c>
      <c r="K35" s="417">
        <f t="shared" si="5"/>
        <v>33.352941176470587</v>
      </c>
      <c r="L35" s="1499"/>
      <c r="M35" s="1499"/>
      <c r="N35" s="1499"/>
      <c r="O35" s="1499"/>
      <c r="P35" s="647">
        <f t="shared" si="6"/>
        <v>21</v>
      </c>
    </row>
    <row r="36" spans="1:16" s="376" customFormat="1" ht="13.5" customHeight="1">
      <c r="A36" s="414">
        <v>28</v>
      </c>
      <c r="B36" s="365">
        <f>'FRIT HGE91-FHG'!B36</f>
        <v>46262</v>
      </c>
      <c r="C36" s="331" t="s">
        <v>346</v>
      </c>
      <c r="D36" s="417"/>
      <c r="E36" s="418">
        <f>D36/6</f>
        <v>0</v>
      </c>
      <c r="F36" s="417">
        <f t="shared" si="2"/>
        <v>0</v>
      </c>
      <c r="G36" s="417">
        <f t="shared" si="3"/>
        <v>0</v>
      </c>
      <c r="H36" s="1429">
        <f>SUM($F$9:F36)/A36</f>
        <v>3.6428571428571428</v>
      </c>
      <c r="I36" s="1430">
        <f t="shared" si="0"/>
        <v>126</v>
      </c>
      <c r="J36" s="1431">
        <f t="shared" si="4"/>
        <v>21</v>
      </c>
      <c r="K36" s="417">
        <f t="shared" si="5"/>
        <v>34.588235294117645</v>
      </c>
      <c r="L36" s="1499"/>
      <c r="M36" s="1499"/>
      <c r="N36" s="1499"/>
      <c r="O36" s="1499"/>
      <c r="P36" s="647">
        <f t="shared" si="6"/>
        <v>21</v>
      </c>
    </row>
    <row r="37" spans="1:16" s="376" customFormat="1" ht="13.5" customHeight="1">
      <c r="A37" s="414">
        <v>29</v>
      </c>
      <c r="B37" s="365">
        <f>'FRIT HGE91-FHG'!B37</f>
        <v>46263</v>
      </c>
      <c r="C37" s="331" t="s">
        <v>285</v>
      </c>
      <c r="D37" s="417"/>
      <c r="E37" s="418">
        <f>D37/6</f>
        <v>0</v>
      </c>
      <c r="F37" s="417">
        <f t="shared" si="2"/>
        <v>0</v>
      </c>
      <c r="G37" s="417">
        <f t="shared" si="3"/>
        <v>0</v>
      </c>
      <c r="H37" s="1429">
        <f>SUM($F$9:F37)/A37</f>
        <v>3.5172413793103448</v>
      </c>
      <c r="I37" s="1430">
        <f t="shared" si="0"/>
        <v>126</v>
      </c>
      <c r="J37" s="1431">
        <f t="shared" si="4"/>
        <v>21</v>
      </c>
      <c r="K37" s="417">
        <f t="shared" si="5"/>
        <v>35.82352941176471</v>
      </c>
      <c r="L37" s="1499"/>
      <c r="M37" s="1499"/>
      <c r="N37" s="1499"/>
      <c r="O37" s="1499"/>
      <c r="P37" s="647">
        <f t="shared" si="6"/>
        <v>21</v>
      </c>
    </row>
    <row r="38" spans="1:16" s="376" customFormat="1" ht="13.5" customHeight="1">
      <c r="A38" s="415">
        <v>30</v>
      </c>
      <c r="B38" s="365">
        <f>'FRIT HGE91-FHG'!B38</f>
        <v>46264</v>
      </c>
      <c r="C38" s="331" t="s">
        <v>285</v>
      </c>
      <c r="D38" s="417"/>
      <c r="E38" s="418">
        <f t="shared" si="1"/>
        <v>0</v>
      </c>
      <c r="F38" s="417">
        <f t="shared" si="2"/>
        <v>0</v>
      </c>
      <c r="G38" s="417">
        <f t="shared" si="3"/>
        <v>0</v>
      </c>
      <c r="H38" s="1432">
        <f>SUM($F$9:F38)/A38</f>
        <v>3.4</v>
      </c>
      <c r="I38" s="1433">
        <f t="shared" si="0"/>
        <v>126</v>
      </c>
      <c r="J38" s="1431">
        <f t="shared" si="4"/>
        <v>21</v>
      </c>
      <c r="K38" s="417">
        <f t="shared" si="5"/>
        <v>37.058823529411768</v>
      </c>
      <c r="L38" s="1499"/>
      <c r="M38" s="1499"/>
      <c r="N38" s="1499"/>
      <c r="O38" s="1499"/>
      <c r="P38" s="647">
        <f t="shared" si="6"/>
        <v>21</v>
      </c>
    </row>
    <row r="39" spans="1:16" s="376" customFormat="1" ht="13.5" customHeight="1">
      <c r="A39" s="414">
        <v>31</v>
      </c>
      <c r="B39" s="365">
        <f>'FRIT HGE91-FHG'!B39</f>
        <v>46265</v>
      </c>
      <c r="C39" s="331" t="s">
        <v>285</v>
      </c>
      <c r="D39" s="417"/>
      <c r="E39" s="418">
        <f t="shared" si="1"/>
        <v>0</v>
      </c>
      <c r="F39" s="417">
        <f t="shared" si="2"/>
        <v>0</v>
      </c>
      <c r="G39" s="417">
        <f t="shared" si="3"/>
        <v>0</v>
      </c>
      <c r="H39" s="1429">
        <f>SUM($F$9:F39)/A39</f>
        <v>3.2903225806451615</v>
      </c>
      <c r="I39" s="1430">
        <f t="shared" si="0"/>
        <v>126</v>
      </c>
      <c r="J39" s="1431">
        <f t="shared" si="4"/>
        <v>21</v>
      </c>
      <c r="K39" s="417">
        <f t="shared" si="5"/>
        <v>38.294117647058819</v>
      </c>
      <c r="L39" s="1499"/>
      <c r="M39" s="1499"/>
      <c r="N39" s="1499"/>
      <c r="O39" s="1499"/>
      <c r="P39" s="647">
        <f t="shared" si="6"/>
        <v>21</v>
      </c>
    </row>
    <row r="40" spans="1:16" s="324" customFormat="1" ht="13.5" customHeight="1">
      <c r="A40" s="1503" t="s">
        <v>29</v>
      </c>
      <c r="B40" s="1504"/>
      <c r="C40" s="1505"/>
      <c r="D40" s="419">
        <f>SUM(D9:D39)</f>
        <v>120</v>
      </c>
      <c r="E40" s="419">
        <f>SUM(E9:E39)</f>
        <v>20</v>
      </c>
      <c r="F40" s="413">
        <f>SUM(F9:F39)</f>
        <v>102</v>
      </c>
      <c r="G40" s="420">
        <f>SUM(G9:G39)</f>
        <v>17</v>
      </c>
      <c r="H40" s="413"/>
      <c r="I40" s="421">
        <f>I39</f>
        <v>126</v>
      </c>
      <c r="J40" s="421">
        <f>J39</f>
        <v>21</v>
      </c>
      <c r="K40" s="163"/>
      <c r="L40" s="691">
        <f>SUM(L9:L39)</f>
        <v>30</v>
      </c>
      <c r="M40" s="691">
        <f t="shared" ref="M40:N40" si="7">SUM(M9:M39)</f>
        <v>72</v>
      </c>
      <c r="N40" s="691">
        <f t="shared" si="7"/>
        <v>0</v>
      </c>
      <c r="O40" s="691">
        <f t="shared" ref="O40" si="8">SUM(O9:O39)</f>
        <v>0</v>
      </c>
      <c r="P40" s="374"/>
    </row>
    <row r="41" spans="1:16" s="324" customFormat="1" ht="13.5" customHeight="1">
      <c r="A41" s="1503" t="s">
        <v>15</v>
      </c>
      <c r="B41" s="1504"/>
      <c r="C41" s="1505"/>
      <c r="D41" s="419">
        <f>D8+D40</f>
        <v>228</v>
      </c>
      <c r="E41" s="419">
        <f>E8+E40</f>
        <v>38</v>
      </c>
      <c r="F41" s="413">
        <f>F40</f>
        <v>102</v>
      </c>
      <c r="G41" s="420">
        <f>G40</f>
        <v>17</v>
      </c>
      <c r="H41" s="413"/>
      <c r="I41" s="413">
        <f>D41-F41</f>
        <v>126</v>
      </c>
      <c r="J41" s="413">
        <f>E41-G41</f>
        <v>21</v>
      </c>
      <c r="K41" s="163"/>
      <c r="L41" s="694"/>
      <c r="M41" s="694"/>
      <c r="N41" s="694"/>
      <c r="O41" s="694"/>
      <c r="P41" s="374"/>
    </row>
    <row r="42" spans="1:16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L42" s="343"/>
      <c r="M42" s="343"/>
      <c r="N42" s="343"/>
      <c r="O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3"/>
    </row>
    <row r="46" spans="1:16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  <c r="L46" s="343"/>
      <c r="M46" s="343"/>
      <c r="N46" s="343"/>
      <c r="O46" s="343"/>
    </row>
    <row r="47" spans="1:16">
      <c r="D47" s="42"/>
      <c r="E47" s="42"/>
      <c r="F47" s="42"/>
      <c r="G47" s="42"/>
      <c r="H47" s="42"/>
      <c r="I47" s="42"/>
      <c r="J47" s="260"/>
    </row>
    <row r="48" spans="1:16">
      <c r="J48" s="260"/>
    </row>
  </sheetData>
  <mergeCells count="17">
    <mergeCell ref="K6:K7"/>
    <mergeCell ref="A4:B4"/>
    <mergeCell ref="A3:P3"/>
    <mergeCell ref="L6:L7"/>
    <mergeCell ref="M6:M7"/>
    <mergeCell ref="A6:A7"/>
    <mergeCell ref="B6:B7"/>
    <mergeCell ref="C6:C7"/>
    <mergeCell ref="D6:E6"/>
    <mergeCell ref="F6:G6"/>
    <mergeCell ref="N6:N7"/>
    <mergeCell ref="O6:O7"/>
    <mergeCell ref="A8:C8"/>
    <mergeCell ref="A40:C40"/>
    <mergeCell ref="A41:C41"/>
    <mergeCell ref="H6:H7"/>
    <mergeCell ref="I6:J6"/>
  </mergeCells>
  <conditionalFormatting sqref="K40:K41">
    <cfRule type="cellIs" dxfId="8882" priority="4" operator="between">
      <formula>15</formula>
      <formula>20</formula>
    </cfRule>
    <cfRule type="cellIs" dxfId="8881" priority="5" operator="lessThan">
      <formula>15</formula>
    </cfRule>
    <cfRule type="cellIs" dxfId="8880" priority="6" operator="greaterThan">
      <formula>20</formula>
    </cfRule>
  </conditionalFormatting>
  <conditionalFormatting sqref="K9:K39">
    <cfRule type="cellIs" dxfId="8879" priority="1" operator="between">
      <formula>15</formula>
      <formula>20</formula>
    </cfRule>
    <cfRule type="cellIs" dxfId="8878" priority="2" operator="lessThan">
      <formula>15</formula>
    </cfRule>
    <cfRule type="cellIs" dxfId="8877" priority="3" operator="greaterThan">
      <formula>20</formula>
    </cfRule>
  </conditionalFormatting>
  <hyperlinks>
    <hyperlink ref="K5" location="'TỔNG HỢP THÁNG'!A1" display="'TỔNG HỢP THÁNG'!A1"/>
  </hyperlinks>
  <pageMargins left="0.35433070866141736" right="0" top="0" bottom="0" header="0.74803149606299213" footer="0.31496062992125984"/>
  <pageSetup paperSize="8" scale="90" orientation="landscape" horizontalDpi="4294967292"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CCFF"/>
  </sheetPr>
  <dimension ref="A1:Y48"/>
  <sheetViews>
    <sheetView zoomScale="85" zoomScaleNormal="85" workbookViewId="0">
      <pane ySplit="8" topLeftCell="A9" activePane="bottomLeft" state="frozen"/>
      <selection pane="bottomLeft" activeCell="K5" sqref="K5"/>
    </sheetView>
  </sheetViews>
  <sheetFormatPr defaultColWidth="9.28515625" defaultRowHeight="16.5"/>
  <cols>
    <col min="1" max="1" width="5.42578125" style="42" customWidth="1"/>
    <col min="2" max="2" width="9" style="42" customWidth="1"/>
    <col min="3" max="3" width="17" style="42" customWidth="1"/>
    <col min="4" max="7" width="12.42578125" style="6" customWidth="1"/>
    <col min="8" max="8" width="14" style="6" customWidth="1"/>
    <col min="9" max="10" width="11.7109375" style="6" customWidth="1"/>
    <col min="11" max="11" width="16" style="42" customWidth="1"/>
    <col min="12" max="12" width="9.85546875" style="6" customWidth="1"/>
    <col min="13" max="14" width="9.5703125" style="6" customWidth="1"/>
    <col min="15" max="16384" width="9.28515625" style="42"/>
  </cols>
  <sheetData>
    <row r="1" spans="1:25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142"/>
      <c r="M1" s="142"/>
      <c r="N1" s="142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M2" s="142"/>
      <c r="N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738" customFormat="1" ht="13.5" customHeight="1">
      <c r="A4" s="1600" t="s">
        <v>33</v>
      </c>
      <c r="B4" s="1600"/>
      <c r="C4" s="318" t="str">
        <f>J4</f>
        <v>HIỆU ỨNG NỔI LU 1217</v>
      </c>
      <c r="D4" s="383"/>
      <c r="E4" s="383" t="s">
        <v>228</v>
      </c>
      <c r="F4" s="383" t="s">
        <v>234</v>
      </c>
      <c r="G4" s="383"/>
      <c r="I4" s="325" t="s">
        <v>114</v>
      </c>
      <c r="J4" s="318" t="s">
        <v>378</v>
      </c>
      <c r="K4" s="319"/>
      <c r="L4" s="383"/>
      <c r="M4" s="383"/>
      <c r="N4" s="383"/>
    </row>
    <row r="5" spans="1:25" s="324" customFormat="1" ht="14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508" t="s">
        <v>292</v>
      </c>
      <c r="K5" s="375" t="s">
        <v>149</v>
      </c>
      <c r="L5" s="343"/>
      <c r="M5" s="343"/>
      <c r="N5" s="343"/>
    </row>
    <row r="6" spans="1:25" s="355" customFormat="1" ht="15.75" customHeight="1">
      <c r="A6" s="1630" t="s">
        <v>2</v>
      </c>
      <c r="B6" s="1631" t="s">
        <v>1</v>
      </c>
      <c r="C6" s="1631" t="s">
        <v>24</v>
      </c>
      <c r="D6" s="1629" t="s">
        <v>250</v>
      </c>
      <c r="E6" s="1629"/>
      <c r="F6" s="1629" t="s">
        <v>249</v>
      </c>
      <c r="G6" s="1629"/>
      <c r="H6" s="1629" t="s">
        <v>265</v>
      </c>
      <c r="I6" s="1629" t="s">
        <v>253</v>
      </c>
      <c r="J6" s="1629"/>
      <c r="K6" s="1629" t="s">
        <v>30</v>
      </c>
      <c r="L6" s="1620" t="s">
        <v>343</v>
      </c>
      <c r="M6" s="1620" t="s">
        <v>244</v>
      </c>
      <c r="N6" s="1632" t="s">
        <v>342</v>
      </c>
      <c r="O6" s="1632" t="s">
        <v>1027</v>
      </c>
    </row>
    <row r="7" spans="1:25" s="355" customFormat="1" ht="15.75" customHeight="1">
      <c r="A7" s="1630"/>
      <c r="B7" s="1631"/>
      <c r="C7" s="1631"/>
      <c r="D7" s="739" t="s">
        <v>10</v>
      </c>
      <c r="E7" s="739" t="s">
        <v>58</v>
      </c>
      <c r="F7" s="739" t="s">
        <v>10</v>
      </c>
      <c r="G7" s="739" t="s">
        <v>58</v>
      </c>
      <c r="H7" s="1629"/>
      <c r="I7" s="739" t="s">
        <v>10</v>
      </c>
      <c r="J7" s="739" t="s">
        <v>58</v>
      </c>
      <c r="K7" s="1629"/>
      <c r="L7" s="1621"/>
      <c r="M7" s="1621"/>
      <c r="N7" s="1632"/>
      <c r="O7" s="1632"/>
    </row>
    <row r="8" spans="1:25" s="305" customFormat="1" ht="13.5" customHeight="1">
      <c r="A8" s="1597" t="s">
        <v>3</v>
      </c>
      <c r="B8" s="1598"/>
      <c r="C8" s="1599"/>
      <c r="D8" s="300">
        <f>I8</f>
        <v>30</v>
      </c>
      <c r="E8" s="300">
        <f>D8/6</f>
        <v>5</v>
      </c>
      <c r="F8" s="422">
        <f>F40</f>
        <v>72</v>
      </c>
      <c r="G8" s="423">
        <f>G40</f>
        <v>12</v>
      </c>
      <c r="H8" s="300"/>
      <c r="I8" s="626">
        <v>30</v>
      </c>
      <c r="J8" s="626">
        <f>I8/6</f>
        <v>5</v>
      </c>
      <c r="K8" s="304"/>
      <c r="L8" s="740"/>
      <c r="M8" s="740"/>
      <c r="N8" s="1225"/>
      <c r="O8" s="313"/>
      <c r="P8" s="355"/>
      <c r="Q8" s="355"/>
      <c r="R8" s="355"/>
      <c r="S8" s="355"/>
    </row>
    <row r="9" spans="1:25" s="333" customFormat="1" ht="13.5" customHeight="1">
      <c r="A9" s="330">
        <v>1</v>
      </c>
      <c r="B9" s="365">
        <f>'FRIT HGE91-FHG'!B9</f>
        <v>46235</v>
      </c>
      <c r="C9" s="331" t="s">
        <v>285</v>
      </c>
      <c r="D9" s="432"/>
      <c r="E9" s="437">
        <f>D9/6</f>
        <v>0</v>
      </c>
      <c r="F9" s="432">
        <f>L9+M9+N9+O9</f>
        <v>0</v>
      </c>
      <c r="G9" s="432">
        <f>F9/6</f>
        <v>0</v>
      </c>
      <c r="H9" s="1435">
        <f>SUM($F$9:F9)/A9</f>
        <v>0</v>
      </c>
      <c r="I9" s="1436">
        <f t="shared" ref="I9:I39" si="0">I8+D9-F9</f>
        <v>30</v>
      </c>
      <c r="J9" s="1437">
        <f>I9/6</f>
        <v>5</v>
      </c>
      <c r="K9" s="400" t="e">
        <f>I9/H9</f>
        <v>#DIV/0!</v>
      </c>
      <c r="L9" s="1423"/>
      <c r="M9" s="1423"/>
      <c r="N9" s="1423"/>
      <c r="O9" s="313"/>
      <c r="P9" s="355"/>
      <c r="Q9" s="355"/>
      <c r="R9" s="355"/>
      <c r="S9" s="355"/>
    </row>
    <row r="10" spans="1:25" s="333" customFormat="1" ht="13.5" customHeight="1">
      <c r="A10" s="330">
        <v>2</v>
      </c>
      <c r="B10" s="365">
        <f>'FRIT HGE91-FHG'!B10</f>
        <v>46236</v>
      </c>
      <c r="C10" s="331" t="s">
        <v>285</v>
      </c>
      <c r="D10" s="432"/>
      <c r="E10" s="437">
        <f t="shared" ref="E10:E39" si="1">D10/6</f>
        <v>0</v>
      </c>
      <c r="F10" s="432">
        <f t="shared" ref="F10:F39" si="2">L10+M10+N10+O10</f>
        <v>0</v>
      </c>
      <c r="G10" s="432">
        <f t="shared" ref="G10:G39" si="3">F10/6</f>
        <v>0</v>
      </c>
      <c r="H10" s="1435">
        <f>SUM($F$8:F10)/A10</f>
        <v>36</v>
      </c>
      <c r="I10" s="1436">
        <f t="shared" si="0"/>
        <v>30</v>
      </c>
      <c r="J10" s="1437">
        <f t="shared" ref="J10:J39" si="4">I10/6</f>
        <v>5</v>
      </c>
      <c r="K10" s="400">
        <f t="shared" ref="K10:K39" si="5">I10/H10</f>
        <v>0.83333333333333337</v>
      </c>
      <c r="L10" s="1423"/>
      <c r="M10" s="1423"/>
      <c r="N10" s="1423"/>
      <c r="O10" s="313"/>
      <c r="P10" s="355"/>
      <c r="Q10" s="355"/>
      <c r="R10" s="355"/>
      <c r="S10" s="355"/>
    </row>
    <row r="11" spans="1:25" s="333" customFormat="1" ht="13.5" customHeight="1">
      <c r="A11" s="330">
        <v>3</v>
      </c>
      <c r="B11" s="365">
        <f>'FRIT HGE91-FHG'!B11</f>
        <v>46237</v>
      </c>
      <c r="C11" s="331" t="s">
        <v>285</v>
      </c>
      <c r="D11" s="432"/>
      <c r="E11" s="437">
        <f t="shared" si="1"/>
        <v>0</v>
      </c>
      <c r="F11" s="432">
        <f t="shared" si="2"/>
        <v>0</v>
      </c>
      <c r="G11" s="432">
        <f t="shared" si="3"/>
        <v>0</v>
      </c>
      <c r="H11" s="1435">
        <f>SUM($F$8:F11)/A11</f>
        <v>24</v>
      </c>
      <c r="I11" s="1436">
        <f t="shared" si="0"/>
        <v>30</v>
      </c>
      <c r="J11" s="1437">
        <f t="shared" si="4"/>
        <v>5</v>
      </c>
      <c r="K11" s="400">
        <f t="shared" si="5"/>
        <v>1.25</v>
      </c>
      <c r="L11" s="1423"/>
      <c r="M11" s="1423"/>
      <c r="N11" s="1423"/>
      <c r="O11" s="313"/>
      <c r="P11" s="355"/>
      <c r="Q11" s="355"/>
      <c r="R11" s="355"/>
      <c r="S11" s="355"/>
    </row>
    <row r="12" spans="1:25" s="367" customFormat="1" ht="13.5" customHeight="1">
      <c r="A12" s="330">
        <v>4</v>
      </c>
      <c r="B12" s="365">
        <f>'FRIT HGE91-FHG'!B12</f>
        <v>46238</v>
      </c>
      <c r="C12" s="331" t="s">
        <v>285</v>
      </c>
      <c r="D12" s="432"/>
      <c r="E12" s="437">
        <f t="shared" si="1"/>
        <v>0</v>
      </c>
      <c r="F12" s="432">
        <f t="shared" si="2"/>
        <v>0</v>
      </c>
      <c r="G12" s="432">
        <f t="shared" si="3"/>
        <v>0</v>
      </c>
      <c r="H12" s="1435">
        <f>SUM($F$8:F12)/A12</f>
        <v>18</v>
      </c>
      <c r="I12" s="1436">
        <f t="shared" si="0"/>
        <v>30</v>
      </c>
      <c r="J12" s="1437">
        <f t="shared" si="4"/>
        <v>5</v>
      </c>
      <c r="K12" s="400">
        <f t="shared" si="5"/>
        <v>1.6666666666666667</v>
      </c>
      <c r="L12" s="1423"/>
      <c r="M12" s="1423"/>
      <c r="N12" s="1423"/>
      <c r="O12" s="313"/>
      <c r="P12" s="355"/>
      <c r="Q12" s="355"/>
      <c r="R12" s="355"/>
      <c r="S12" s="355"/>
    </row>
    <row r="13" spans="1:25" s="367" customFormat="1" ht="13.5" customHeight="1">
      <c r="A13" s="425">
        <v>5</v>
      </c>
      <c r="B13" s="365">
        <f>'FRIT HGE91-FHG'!B13</f>
        <v>46239</v>
      </c>
      <c r="C13" s="331" t="s">
        <v>285</v>
      </c>
      <c r="D13" s="432"/>
      <c r="E13" s="437">
        <f t="shared" si="1"/>
        <v>0</v>
      </c>
      <c r="F13" s="432">
        <f t="shared" si="2"/>
        <v>0</v>
      </c>
      <c r="G13" s="432">
        <f t="shared" si="3"/>
        <v>0</v>
      </c>
      <c r="H13" s="1438">
        <f>SUM($F$8:F13)/A13</f>
        <v>14.4</v>
      </c>
      <c r="I13" s="1439">
        <f t="shared" si="0"/>
        <v>30</v>
      </c>
      <c r="J13" s="1437">
        <f t="shared" si="4"/>
        <v>5</v>
      </c>
      <c r="K13" s="400">
        <f t="shared" si="5"/>
        <v>2.0833333333333335</v>
      </c>
      <c r="L13" s="1423"/>
      <c r="M13" s="1423"/>
      <c r="N13" s="1423"/>
      <c r="O13" s="313"/>
      <c r="P13" s="355"/>
      <c r="Q13" s="355"/>
      <c r="R13" s="355"/>
      <c r="S13" s="355"/>
    </row>
    <row r="14" spans="1:25" s="367" customFormat="1" ht="13.5" customHeight="1">
      <c r="A14" s="330">
        <v>6</v>
      </c>
      <c r="B14" s="365">
        <f>'FRIT HGE91-FHG'!B14</f>
        <v>46240</v>
      </c>
      <c r="C14" s="331" t="s">
        <v>285</v>
      </c>
      <c r="D14" s="432"/>
      <c r="E14" s="437">
        <f t="shared" si="1"/>
        <v>0</v>
      </c>
      <c r="F14" s="432">
        <f t="shared" si="2"/>
        <v>0</v>
      </c>
      <c r="G14" s="432">
        <f t="shared" si="3"/>
        <v>0</v>
      </c>
      <c r="H14" s="1435">
        <f>SUM($F$8:F14)/A14</f>
        <v>12</v>
      </c>
      <c r="I14" s="1436">
        <f t="shared" si="0"/>
        <v>30</v>
      </c>
      <c r="J14" s="1437">
        <f t="shared" si="4"/>
        <v>5</v>
      </c>
      <c r="K14" s="400">
        <f t="shared" si="5"/>
        <v>2.5</v>
      </c>
      <c r="L14" s="1423"/>
      <c r="M14" s="1485"/>
      <c r="N14" s="1423"/>
      <c r="O14" s="313"/>
      <c r="P14" s="355"/>
      <c r="Q14" s="355"/>
      <c r="R14" s="355"/>
      <c r="S14" s="355"/>
    </row>
    <row r="15" spans="1:25" s="367" customFormat="1" ht="13.5" customHeight="1">
      <c r="A15" s="330">
        <v>7</v>
      </c>
      <c r="B15" s="365">
        <f>'FRIT HGE91-FHG'!B15</f>
        <v>46241</v>
      </c>
      <c r="C15" s="331" t="s">
        <v>285</v>
      </c>
      <c r="D15" s="432"/>
      <c r="E15" s="437">
        <f t="shared" si="1"/>
        <v>0</v>
      </c>
      <c r="F15" s="432">
        <f t="shared" si="2"/>
        <v>0</v>
      </c>
      <c r="G15" s="432">
        <f t="shared" si="3"/>
        <v>0</v>
      </c>
      <c r="H15" s="1435">
        <f>SUM($F$8:F15)/A15</f>
        <v>10.285714285714286</v>
      </c>
      <c r="I15" s="1436">
        <f t="shared" si="0"/>
        <v>30</v>
      </c>
      <c r="J15" s="1437">
        <f t="shared" si="4"/>
        <v>5</v>
      </c>
      <c r="K15" s="400">
        <f t="shared" si="5"/>
        <v>2.9166666666666665</v>
      </c>
      <c r="L15" s="1423"/>
      <c r="M15" s="1485"/>
      <c r="N15" s="1423"/>
      <c r="O15" s="313"/>
      <c r="P15" s="355"/>
      <c r="Q15" s="355"/>
      <c r="R15" s="355"/>
      <c r="S15" s="355"/>
    </row>
    <row r="16" spans="1:25" s="367" customFormat="1" ht="13.5" customHeight="1">
      <c r="A16" s="330">
        <v>8</v>
      </c>
      <c r="B16" s="365">
        <f>'FRIT HGE91-FHG'!B16</f>
        <v>46242</v>
      </c>
      <c r="C16" s="331" t="s">
        <v>285</v>
      </c>
      <c r="D16" s="432"/>
      <c r="E16" s="437">
        <f t="shared" si="1"/>
        <v>0</v>
      </c>
      <c r="F16" s="432">
        <f t="shared" si="2"/>
        <v>0</v>
      </c>
      <c r="G16" s="432">
        <f t="shared" si="3"/>
        <v>0</v>
      </c>
      <c r="H16" s="1435">
        <f>SUM($F$8:F16)/A16</f>
        <v>9</v>
      </c>
      <c r="I16" s="1436">
        <f t="shared" si="0"/>
        <v>30</v>
      </c>
      <c r="J16" s="1437">
        <f t="shared" si="4"/>
        <v>5</v>
      </c>
      <c r="K16" s="400">
        <f t="shared" si="5"/>
        <v>3.3333333333333335</v>
      </c>
      <c r="L16" s="1423"/>
      <c r="M16" s="1485"/>
      <c r="N16" s="1423"/>
      <c r="O16" s="313"/>
      <c r="P16" s="355"/>
      <c r="Q16" s="355"/>
      <c r="R16" s="355"/>
      <c r="S16" s="355"/>
    </row>
    <row r="17" spans="1:19" s="367" customFormat="1" ht="13.5" customHeight="1">
      <c r="A17" s="330">
        <v>9</v>
      </c>
      <c r="B17" s="365">
        <f>'FRIT HGE91-FHG'!B17</f>
        <v>46243</v>
      </c>
      <c r="C17" s="331" t="s">
        <v>334</v>
      </c>
      <c r="D17" s="432"/>
      <c r="E17" s="437">
        <f t="shared" si="1"/>
        <v>0</v>
      </c>
      <c r="F17" s="432">
        <f t="shared" si="2"/>
        <v>0</v>
      </c>
      <c r="G17" s="432">
        <f t="shared" si="3"/>
        <v>0</v>
      </c>
      <c r="H17" s="1435">
        <f>SUM($F$8:F17)/A17</f>
        <v>8</v>
      </c>
      <c r="I17" s="1436">
        <f t="shared" si="0"/>
        <v>30</v>
      </c>
      <c r="J17" s="1437">
        <f t="shared" si="4"/>
        <v>5</v>
      </c>
      <c r="K17" s="400">
        <f t="shared" si="5"/>
        <v>3.75</v>
      </c>
      <c r="L17" s="1423"/>
      <c r="M17" s="1499"/>
      <c r="N17" s="1423"/>
      <c r="O17" s="313"/>
      <c r="P17" s="355"/>
      <c r="Q17" s="355"/>
      <c r="R17" s="355"/>
      <c r="S17" s="355"/>
    </row>
    <row r="18" spans="1:19" s="367" customFormat="1" ht="13.5" customHeight="1">
      <c r="A18" s="425">
        <v>10</v>
      </c>
      <c r="B18" s="365">
        <f>'FRIT HGE91-FHG'!B18</f>
        <v>46244</v>
      </c>
      <c r="C18" s="331" t="s">
        <v>285</v>
      </c>
      <c r="D18" s="432"/>
      <c r="E18" s="437">
        <f t="shared" si="1"/>
        <v>0</v>
      </c>
      <c r="F18" s="432">
        <f t="shared" si="2"/>
        <v>0</v>
      </c>
      <c r="G18" s="432">
        <f t="shared" si="3"/>
        <v>0</v>
      </c>
      <c r="H18" s="1438">
        <f>SUM($F$8:F18)/A18</f>
        <v>7.2</v>
      </c>
      <c r="I18" s="1439">
        <f t="shared" si="0"/>
        <v>30</v>
      </c>
      <c r="J18" s="1437">
        <f t="shared" si="4"/>
        <v>5</v>
      </c>
      <c r="K18" s="400">
        <f t="shared" si="5"/>
        <v>4.166666666666667</v>
      </c>
      <c r="L18" s="1423"/>
      <c r="M18" s="1499"/>
      <c r="N18" s="1423"/>
      <c r="O18" s="313"/>
    </row>
    <row r="19" spans="1:19" s="367" customFormat="1" ht="13.5" customHeight="1">
      <c r="A19" s="330">
        <v>11</v>
      </c>
      <c r="B19" s="365">
        <f>'FRIT HGE91-FHG'!B19</f>
        <v>46245</v>
      </c>
      <c r="C19" s="331" t="s">
        <v>285</v>
      </c>
      <c r="D19" s="432"/>
      <c r="E19" s="437">
        <f t="shared" si="1"/>
        <v>0</v>
      </c>
      <c r="F19" s="432">
        <f t="shared" si="2"/>
        <v>24</v>
      </c>
      <c r="G19" s="432">
        <f t="shared" si="3"/>
        <v>4</v>
      </c>
      <c r="H19" s="1435">
        <f>SUM($F$8:F19)/A19</f>
        <v>8.7272727272727266</v>
      </c>
      <c r="I19" s="1436">
        <f t="shared" si="0"/>
        <v>6</v>
      </c>
      <c r="J19" s="1437">
        <f t="shared" si="4"/>
        <v>1</v>
      </c>
      <c r="K19" s="400">
        <f t="shared" si="5"/>
        <v>0.6875</v>
      </c>
      <c r="L19" s="1423"/>
      <c r="M19" s="1499">
        <v>24</v>
      </c>
      <c r="N19" s="1423"/>
      <c r="O19" s="313"/>
    </row>
    <row r="20" spans="1:19" s="367" customFormat="1" ht="13.5" customHeight="1">
      <c r="A20" s="330">
        <v>12</v>
      </c>
      <c r="B20" s="365">
        <f>'FRIT HGE91-FHG'!B20</f>
        <v>46246</v>
      </c>
      <c r="C20" s="365" t="s">
        <v>285</v>
      </c>
      <c r="D20" s="432">
        <f>66+30</f>
        <v>96</v>
      </c>
      <c r="E20" s="437">
        <f t="shared" si="1"/>
        <v>16</v>
      </c>
      <c r="F20" s="432">
        <f t="shared" si="2"/>
        <v>0</v>
      </c>
      <c r="G20" s="432">
        <f t="shared" si="3"/>
        <v>0</v>
      </c>
      <c r="H20" s="1435">
        <f>SUM($F$8:F20)/A20</f>
        <v>8</v>
      </c>
      <c r="I20" s="1436">
        <f t="shared" si="0"/>
        <v>102</v>
      </c>
      <c r="J20" s="1437">
        <f t="shared" si="4"/>
        <v>17</v>
      </c>
      <c r="K20" s="400">
        <f t="shared" si="5"/>
        <v>12.75</v>
      </c>
      <c r="L20" s="1423"/>
      <c r="M20" s="1499"/>
      <c r="N20" s="1423"/>
      <c r="O20" s="313"/>
    </row>
    <row r="21" spans="1:19" s="367" customFormat="1" ht="13.5" customHeight="1">
      <c r="A21" s="330">
        <v>13</v>
      </c>
      <c r="B21" s="365">
        <f>'FRIT HGE91-FHG'!B21</f>
        <v>46247</v>
      </c>
      <c r="C21" s="365" t="s">
        <v>285</v>
      </c>
      <c r="D21" s="432"/>
      <c r="E21" s="437">
        <f t="shared" si="1"/>
        <v>0</v>
      </c>
      <c r="F21" s="432">
        <f t="shared" si="2"/>
        <v>0</v>
      </c>
      <c r="G21" s="432">
        <f t="shared" si="3"/>
        <v>0</v>
      </c>
      <c r="H21" s="1435">
        <f>SUM($F$8:F21)/A21</f>
        <v>7.384615384615385</v>
      </c>
      <c r="I21" s="1436">
        <f t="shared" si="0"/>
        <v>102</v>
      </c>
      <c r="J21" s="1437">
        <f t="shared" si="4"/>
        <v>17</v>
      </c>
      <c r="K21" s="400">
        <f t="shared" si="5"/>
        <v>13.8125</v>
      </c>
      <c r="L21" s="1423"/>
      <c r="M21" s="1499"/>
      <c r="N21" s="1423"/>
      <c r="O21" s="313"/>
    </row>
    <row r="22" spans="1:19" s="367" customFormat="1" ht="13.5" customHeight="1">
      <c r="A22" s="330">
        <v>14</v>
      </c>
      <c r="B22" s="365">
        <f>'FRIT HGE91-FHG'!B22</f>
        <v>46248</v>
      </c>
      <c r="C22" s="365" t="s">
        <v>285</v>
      </c>
      <c r="D22" s="432"/>
      <c r="E22" s="437">
        <f t="shared" si="1"/>
        <v>0</v>
      </c>
      <c r="F22" s="432">
        <f t="shared" si="2"/>
        <v>0</v>
      </c>
      <c r="G22" s="432">
        <f t="shared" si="3"/>
        <v>0</v>
      </c>
      <c r="H22" s="1435">
        <f>SUM($F$8:F22)/A22</f>
        <v>6.8571428571428568</v>
      </c>
      <c r="I22" s="1436">
        <f t="shared" si="0"/>
        <v>102</v>
      </c>
      <c r="J22" s="1437">
        <f t="shared" si="4"/>
        <v>17</v>
      </c>
      <c r="K22" s="400">
        <f t="shared" si="5"/>
        <v>14.875</v>
      </c>
      <c r="L22" s="1423"/>
      <c r="M22" s="1423"/>
      <c r="N22" s="1423"/>
      <c r="O22" s="313"/>
    </row>
    <row r="23" spans="1:19" s="367" customFormat="1" ht="13.5" customHeight="1">
      <c r="A23" s="425">
        <v>15</v>
      </c>
      <c r="B23" s="365">
        <f>'FRIT HGE91-FHG'!B23</f>
        <v>46249</v>
      </c>
      <c r="C23" s="365" t="s">
        <v>285</v>
      </c>
      <c r="D23" s="432"/>
      <c r="E23" s="437">
        <f t="shared" si="1"/>
        <v>0</v>
      </c>
      <c r="F23" s="432">
        <f t="shared" si="2"/>
        <v>0</v>
      </c>
      <c r="G23" s="432">
        <f t="shared" si="3"/>
        <v>0</v>
      </c>
      <c r="H23" s="1438">
        <f>SUM($F$8:F23)/A23</f>
        <v>6.4</v>
      </c>
      <c r="I23" s="1439">
        <f t="shared" si="0"/>
        <v>102</v>
      </c>
      <c r="J23" s="1437">
        <f t="shared" si="4"/>
        <v>17</v>
      </c>
      <c r="K23" s="400">
        <f t="shared" si="5"/>
        <v>15.9375</v>
      </c>
      <c r="L23" s="1423"/>
      <c r="M23" s="1423"/>
      <c r="N23" s="1423"/>
      <c r="O23" s="313"/>
    </row>
    <row r="24" spans="1:19" s="367" customFormat="1" ht="13.5" customHeight="1">
      <c r="A24" s="330">
        <v>16</v>
      </c>
      <c r="B24" s="365">
        <f>'FRIT HGE91-FHG'!B24</f>
        <v>46250</v>
      </c>
      <c r="C24" s="365" t="s">
        <v>285</v>
      </c>
      <c r="D24" s="432"/>
      <c r="E24" s="437">
        <f t="shared" si="1"/>
        <v>0</v>
      </c>
      <c r="F24" s="432">
        <f t="shared" si="2"/>
        <v>0</v>
      </c>
      <c r="G24" s="432">
        <f t="shared" si="3"/>
        <v>0</v>
      </c>
      <c r="H24" s="1435">
        <f>SUM($F$8:F24)/A24</f>
        <v>6</v>
      </c>
      <c r="I24" s="1436">
        <f t="shared" si="0"/>
        <v>102</v>
      </c>
      <c r="J24" s="1437">
        <f t="shared" si="4"/>
        <v>17</v>
      </c>
      <c r="K24" s="400">
        <f t="shared" si="5"/>
        <v>17</v>
      </c>
      <c r="L24" s="1423"/>
      <c r="M24" s="1423"/>
      <c r="N24" s="1423"/>
      <c r="O24" s="313"/>
    </row>
    <row r="25" spans="1:19" s="367" customFormat="1" ht="13.5" customHeight="1">
      <c r="A25" s="330">
        <v>17</v>
      </c>
      <c r="B25" s="365">
        <f>'FRIT HGE91-FHG'!B25</f>
        <v>46251</v>
      </c>
      <c r="C25" s="365" t="s">
        <v>285</v>
      </c>
      <c r="D25" s="432">
        <v>96</v>
      </c>
      <c r="E25" s="437">
        <f t="shared" si="1"/>
        <v>16</v>
      </c>
      <c r="F25" s="432">
        <f t="shared" si="2"/>
        <v>0</v>
      </c>
      <c r="G25" s="432">
        <f t="shared" si="3"/>
        <v>0</v>
      </c>
      <c r="H25" s="1435">
        <f>SUM($F$8:F25)/A25</f>
        <v>5.6470588235294121</v>
      </c>
      <c r="I25" s="1436">
        <f t="shared" si="0"/>
        <v>198</v>
      </c>
      <c r="J25" s="1437">
        <f t="shared" si="4"/>
        <v>33</v>
      </c>
      <c r="K25" s="400">
        <f t="shared" si="5"/>
        <v>35.0625</v>
      </c>
      <c r="L25" s="1423"/>
      <c r="M25" s="1423"/>
      <c r="N25" s="1423"/>
      <c r="O25" s="313"/>
    </row>
    <row r="26" spans="1:19" s="367" customFormat="1" ht="13.5" customHeight="1">
      <c r="A26" s="330">
        <v>18</v>
      </c>
      <c r="B26" s="365">
        <f>'FRIT HGE91-FHG'!B26</f>
        <v>46252</v>
      </c>
      <c r="C26" s="365" t="s">
        <v>285</v>
      </c>
      <c r="D26" s="432"/>
      <c r="E26" s="437">
        <f t="shared" si="1"/>
        <v>0</v>
      </c>
      <c r="F26" s="432">
        <f t="shared" si="2"/>
        <v>48</v>
      </c>
      <c r="G26" s="432">
        <f t="shared" si="3"/>
        <v>8</v>
      </c>
      <c r="H26" s="1435">
        <f>SUM($F$8:F26)/A26</f>
        <v>8</v>
      </c>
      <c r="I26" s="1436">
        <f t="shared" si="0"/>
        <v>150</v>
      </c>
      <c r="J26" s="1437">
        <f t="shared" si="4"/>
        <v>25</v>
      </c>
      <c r="K26" s="400">
        <f t="shared" si="5"/>
        <v>18.75</v>
      </c>
      <c r="L26" s="1423"/>
      <c r="M26" s="1423">
        <v>48</v>
      </c>
      <c r="N26" s="1423"/>
      <c r="O26" s="313"/>
    </row>
    <row r="27" spans="1:19" s="367" customFormat="1" ht="13.5" customHeight="1">
      <c r="A27" s="330">
        <v>19</v>
      </c>
      <c r="B27" s="365">
        <f>'FRIT HGE91-FHG'!B27</f>
        <v>46253</v>
      </c>
      <c r="C27" s="365" t="s">
        <v>285</v>
      </c>
      <c r="D27" s="432"/>
      <c r="E27" s="437">
        <f t="shared" si="1"/>
        <v>0</v>
      </c>
      <c r="F27" s="432">
        <f t="shared" si="2"/>
        <v>0</v>
      </c>
      <c r="G27" s="432">
        <f t="shared" si="3"/>
        <v>0</v>
      </c>
      <c r="H27" s="1435">
        <f>SUM($F$8:F27)/A27</f>
        <v>7.5789473684210522</v>
      </c>
      <c r="I27" s="1436">
        <f t="shared" si="0"/>
        <v>150</v>
      </c>
      <c r="J27" s="1437">
        <f t="shared" si="4"/>
        <v>25</v>
      </c>
      <c r="K27" s="400">
        <f t="shared" si="5"/>
        <v>19.791666666666668</v>
      </c>
      <c r="L27" s="1423"/>
      <c r="M27" s="1423"/>
      <c r="N27" s="1423"/>
      <c r="O27" s="313"/>
    </row>
    <row r="28" spans="1:19" s="367" customFormat="1" ht="13.5" customHeight="1">
      <c r="A28" s="425">
        <v>20</v>
      </c>
      <c r="B28" s="365">
        <f>'FRIT HGE91-FHG'!B28</f>
        <v>46254</v>
      </c>
      <c r="C28" s="365" t="s">
        <v>285</v>
      </c>
      <c r="D28" s="432"/>
      <c r="E28" s="437">
        <f t="shared" si="1"/>
        <v>0</v>
      </c>
      <c r="F28" s="432">
        <f t="shared" si="2"/>
        <v>0</v>
      </c>
      <c r="G28" s="432">
        <f t="shared" si="3"/>
        <v>0</v>
      </c>
      <c r="H28" s="1438">
        <f>SUM($F$8:F28)/A28</f>
        <v>7.2</v>
      </c>
      <c r="I28" s="1439">
        <f t="shared" si="0"/>
        <v>150</v>
      </c>
      <c r="J28" s="1437">
        <f t="shared" si="4"/>
        <v>25</v>
      </c>
      <c r="K28" s="400">
        <f t="shared" si="5"/>
        <v>20.833333333333332</v>
      </c>
      <c r="L28" s="1423"/>
      <c r="M28" s="1423"/>
      <c r="N28" s="1423"/>
      <c r="O28" s="313"/>
    </row>
    <row r="29" spans="1:19" s="367" customFormat="1" ht="13.5" customHeight="1">
      <c r="A29" s="330">
        <v>21</v>
      </c>
      <c r="B29" s="365">
        <f>'FRIT HGE91-FHG'!B29</f>
        <v>46255</v>
      </c>
      <c r="C29" s="365" t="s">
        <v>285</v>
      </c>
      <c r="D29" s="432"/>
      <c r="E29" s="437">
        <f t="shared" si="1"/>
        <v>0</v>
      </c>
      <c r="F29" s="432">
        <f t="shared" si="2"/>
        <v>0</v>
      </c>
      <c r="G29" s="432">
        <f t="shared" si="3"/>
        <v>0</v>
      </c>
      <c r="H29" s="1435">
        <f>SUM($F$8:F29)/A29</f>
        <v>6.8571428571428568</v>
      </c>
      <c r="I29" s="1436">
        <f t="shared" si="0"/>
        <v>150</v>
      </c>
      <c r="J29" s="1437">
        <f t="shared" si="4"/>
        <v>25</v>
      </c>
      <c r="K29" s="400">
        <f t="shared" si="5"/>
        <v>21.875</v>
      </c>
      <c r="L29" s="1423"/>
      <c r="M29" s="1423"/>
      <c r="N29" s="1423"/>
      <c r="O29" s="313"/>
    </row>
    <row r="30" spans="1:19" s="367" customFormat="1" ht="13.5" customHeight="1">
      <c r="A30" s="330">
        <v>22</v>
      </c>
      <c r="B30" s="365">
        <f>'FRIT HGE91-FHG'!B30</f>
        <v>46256</v>
      </c>
      <c r="C30" s="365" t="s">
        <v>285</v>
      </c>
      <c r="D30" s="432"/>
      <c r="E30" s="437">
        <f t="shared" si="1"/>
        <v>0</v>
      </c>
      <c r="F30" s="432">
        <f t="shared" si="2"/>
        <v>0</v>
      </c>
      <c r="G30" s="432">
        <f t="shared" si="3"/>
        <v>0</v>
      </c>
      <c r="H30" s="1435">
        <f>SUM($F$8:F30)/A30</f>
        <v>6.5454545454545459</v>
      </c>
      <c r="I30" s="1436">
        <f t="shared" si="0"/>
        <v>150</v>
      </c>
      <c r="J30" s="1437">
        <f t="shared" si="4"/>
        <v>25</v>
      </c>
      <c r="K30" s="400">
        <f t="shared" si="5"/>
        <v>22.916666666666664</v>
      </c>
      <c r="L30" s="1423"/>
      <c r="M30" s="1423"/>
      <c r="N30" s="1423"/>
      <c r="O30" s="313"/>
    </row>
    <row r="31" spans="1:19" s="367" customFormat="1" ht="13.5" customHeight="1">
      <c r="A31" s="330">
        <v>23</v>
      </c>
      <c r="B31" s="365">
        <f>'FRIT HGE91-FHG'!B31</f>
        <v>46257</v>
      </c>
      <c r="C31" s="365" t="s">
        <v>285</v>
      </c>
      <c r="D31" s="432"/>
      <c r="E31" s="437">
        <f t="shared" si="1"/>
        <v>0</v>
      </c>
      <c r="F31" s="432">
        <f t="shared" si="2"/>
        <v>0</v>
      </c>
      <c r="G31" s="432">
        <f t="shared" si="3"/>
        <v>0</v>
      </c>
      <c r="H31" s="1435">
        <f>SUM($F$8:F31)/A31</f>
        <v>6.2608695652173916</v>
      </c>
      <c r="I31" s="1436">
        <f t="shared" si="0"/>
        <v>150</v>
      </c>
      <c r="J31" s="1437">
        <f t="shared" si="4"/>
        <v>25</v>
      </c>
      <c r="K31" s="400">
        <f t="shared" si="5"/>
        <v>23.958333333333332</v>
      </c>
      <c r="L31" s="1423"/>
      <c r="M31" s="1423"/>
      <c r="N31" s="1423"/>
      <c r="O31" s="313"/>
    </row>
    <row r="32" spans="1:19" s="367" customFormat="1" ht="13.5" customHeight="1">
      <c r="A32" s="330">
        <v>24</v>
      </c>
      <c r="B32" s="365">
        <f>'FRIT HGE91-FHG'!B32</f>
        <v>46258</v>
      </c>
      <c r="C32" s="365" t="s">
        <v>285</v>
      </c>
      <c r="D32" s="432"/>
      <c r="E32" s="437">
        <f t="shared" si="1"/>
        <v>0</v>
      </c>
      <c r="F32" s="432">
        <f t="shared" si="2"/>
        <v>0</v>
      </c>
      <c r="G32" s="432">
        <f t="shared" si="3"/>
        <v>0</v>
      </c>
      <c r="H32" s="1435">
        <f>SUM($F$8:F32)/A32</f>
        <v>6</v>
      </c>
      <c r="I32" s="1436">
        <f t="shared" si="0"/>
        <v>150</v>
      </c>
      <c r="J32" s="1437">
        <f t="shared" si="4"/>
        <v>25</v>
      </c>
      <c r="K32" s="400">
        <f t="shared" si="5"/>
        <v>25</v>
      </c>
      <c r="L32" s="1423"/>
      <c r="M32" s="1423"/>
      <c r="N32" s="1423"/>
      <c r="O32" s="313"/>
    </row>
    <row r="33" spans="1:15" s="367" customFormat="1" ht="13.5" customHeight="1">
      <c r="A33" s="426">
        <v>25</v>
      </c>
      <c r="B33" s="365">
        <f>'FRIT HGE91-FHG'!B33</f>
        <v>46259</v>
      </c>
      <c r="C33" s="365" t="s">
        <v>285</v>
      </c>
      <c r="D33" s="432"/>
      <c r="E33" s="437">
        <f t="shared" si="1"/>
        <v>0</v>
      </c>
      <c r="F33" s="432">
        <f t="shared" si="2"/>
        <v>0</v>
      </c>
      <c r="G33" s="432">
        <f t="shared" si="3"/>
        <v>0</v>
      </c>
      <c r="H33" s="431">
        <f>SUM($F$8:F33)/A33</f>
        <v>5.76</v>
      </c>
      <c r="I33" s="1440">
        <f t="shared" si="0"/>
        <v>150</v>
      </c>
      <c r="J33" s="1437">
        <f t="shared" si="4"/>
        <v>25</v>
      </c>
      <c r="K33" s="400">
        <f t="shared" si="5"/>
        <v>26.041666666666668</v>
      </c>
      <c r="L33" s="1423"/>
      <c r="M33" s="1423"/>
      <c r="N33" s="1423"/>
      <c r="O33" s="313"/>
    </row>
    <row r="34" spans="1:15" s="367" customFormat="1" ht="13.5" customHeight="1">
      <c r="A34" s="330">
        <v>26</v>
      </c>
      <c r="B34" s="365">
        <f>'FRIT HGE91-FHG'!B34</f>
        <v>46260</v>
      </c>
      <c r="C34" s="365" t="s">
        <v>285</v>
      </c>
      <c r="D34" s="432"/>
      <c r="E34" s="437">
        <f t="shared" si="1"/>
        <v>0</v>
      </c>
      <c r="F34" s="432">
        <f t="shared" si="2"/>
        <v>0</v>
      </c>
      <c r="G34" s="432">
        <f t="shared" si="3"/>
        <v>0</v>
      </c>
      <c r="H34" s="1435">
        <f>SUM($F$8:F34)/A34</f>
        <v>5.5384615384615383</v>
      </c>
      <c r="I34" s="1436">
        <f t="shared" si="0"/>
        <v>150</v>
      </c>
      <c r="J34" s="1437">
        <f t="shared" si="4"/>
        <v>25</v>
      </c>
      <c r="K34" s="400">
        <f t="shared" si="5"/>
        <v>27.083333333333336</v>
      </c>
      <c r="L34" s="1423"/>
      <c r="M34" s="1423"/>
      <c r="N34" s="1423"/>
      <c r="O34" s="313"/>
    </row>
    <row r="35" spans="1:15" s="367" customFormat="1" ht="13.5" customHeight="1">
      <c r="A35" s="330">
        <v>27</v>
      </c>
      <c r="B35" s="365">
        <f>'FRIT HGE91-FHG'!B35</f>
        <v>46261</v>
      </c>
      <c r="C35" s="365" t="s">
        <v>285</v>
      </c>
      <c r="D35" s="432"/>
      <c r="E35" s="437">
        <f t="shared" si="1"/>
        <v>0</v>
      </c>
      <c r="F35" s="432">
        <f t="shared" si="2"/>
        <v>0</v>
      </c>
      <c r="G35" s="432">
        <f t="shared" si="3"/>
        <v>0</v>
      </c>
      <c r="H35" s="1435">
        <f>SUM($F$8:F35)/A35</f>
        <v>5.333333333333333</v>
      </c>
      <c r="I35" s="1436">
        <f t="shared" si="0"/>
        <v>150</v>
      </c>
      <c r="J35" s="1437">
        <f t="shared" si="4"/>
        <v>25</v>
      </c>
      <c r="K35" s="400">
        <f t="shared" si="5"/>
        <v>28.125</v>
      </c>
      <c r="L35" s="1423"/>
      <c r="M35" s="1423"/>
      <c r="N35" s="1423"/>
      <c r="O35" s="313"/>
    </row>
    <row r="36" spans="1:15" s="367" customFormat="1" ht="13.5" customHeight="1">
      <c r="A36" s="330">
        <v>28</v>
      </c>
      <c r="B36" s="365">
        <f>'FRIT HGE91-FHG'!B36</f>
        <v>46262</v>
      </c>
      <c r="C36" s="365" t="s">
        <v>285</v>
      </c>
      <c r="D36" s="432"/>
      <c r="E36" s="437">
        <f t="shared" si="1"/>
        <v>0</v>
      </c>
      <c r="F36" s="432">
        <f t="shared" si="2"/>
        <v>0</v>
      </c>
      <c r="G36" s="432">
        <f t="shared" si="3"/>
        <v>0</v>
      </c>
      <c r="H36" s="1435">
        <f>SUM($F$8:F36)/A36</f>
        <v>5.1428571428571432</v>
      </c>
      <c r="I36" s="1436">
        <f t="shared" si="0"/>
        <v>150</v>
      </c>
      <c r="J36" s="1437">
        <f t="shared" si="4"/>
        <v>25</v>
      </c>
      <c r="K36" s="400">
        <f t="shared" si="5"/>
        <v>29.166666666666664</v>
      </c>
      <c r="L36" s="1423"/>
      <c r="M36" s="1423"/>
      <c r="N36" s="1423"/>
      <c r="O36" s="313"/>
    </row>
    <row r="37" spans="1:15" s="367" customFormat="1" ht="13.5" customHeight="1">
      <c r="A37" s="330">
        <v>29</v>
      </c>
      <c r="B37" s="365">
        <f>'FRIT HGE91-FHG'!B37</f>
        <v>46263</v>
      </c>
      <c r="C37" s="365" t="s">
        <v>285</v>
      </c>
      <c r="D37" s="432"/>
      <c r="E37" s="437">
        <f t="shared" si="1"/>
        <v>0</v>
      </c>
      <c r="F37" s="432">
        <f t="shared" si="2"/>
        <v>0</v>
      </c>
      <c r="G37" s="432">
        <f t="shared" si="3"/>
        <v>0</v>
      </c>
      <c r="H37" s="1435">
        <f>SUM($F$8:F37)/A37</f>
        <v>4.9655172413793105</v>
      </c>
      <c r="I37" s="1436">
        <f t="shared" si="0"/>
        <v>150</v>
      </c>
      <c r="J37" s="1437">
        <f t="shared" si="4"/>
        <v>25</v>
      </c>
      <c r="K37" s="400">
        <f t="shared" si="5"/>
        <v>30.208333333333332</v>
      </c>
      <c r="L37" s="1423"/>
      <c r="M37" s="1423"/>
      <c r="N37" s="1423"/>
      <c r="O37" s="313"/>
    </row>
    <row r="38" spans="1:15" s="367" customFormat="1" ht="13.5" customHeight="1">
      <c r="A38" s="425">
        <v>30</v>
      </c>
      <c r="B38" s="365">
        <f>'FRIT HGE91-FHG'!B38</f>
        <v>46264</v>
      </c>
      <c r="C38" s="365" t="s">
        <v>285</v>
      </c>
      <c r="D38" s="432"/>
      <c r="E38" s="437">
        <f t="shared" si="1"/>
        <v>0</v>
      </c>
      <c r="F38" s="432">
        <f t="shared" si="2"/>
        <v>0</v>
      </c>
      <c r="G38" s="432">
        <f t="shared" si="3"/>
        <v>0</v>
      </c>
      <c r="H38" s="1438">
        <f>SUM($F$8:F38)/A38</f>
        <v>4.8</v>
      </c>
      <c r="I38" s="1439">
        <f t="shared" si="0"/>
        <v>150</v>
      </c>
      <c r="J38" s="1437">
        <f t="shared" si="4"/>
        <v>25</v>
      </c>
      <c r="K38" s="400">
        <f t="shared" si="5"/>
        <v>31.25</v>
      </c>
      <c r="L38" s="1423"/>
      <c r="M38" s="1423"/>
      <c r="N38" s="1423"/>
      <c r="O38" s="313"/>
    </row>
    <row r="39" spans="1:15" s="367" customFormat="1" ht="13.5" customHeight="1">
      <c r="A39" s="330">
        <v>31</v>
      </c>
      <c r="B39" s="365">
        <f>'FRIT HGE91-FHG'!B39</f>
        <v>46265</v>
      </c>
      <c r="C39" s="365" t="s">
        <v>285</v>
      </c>
      <c r="D39" s="432"/>
      <c r="E39" s="437">
        <f t="shared" si="1"/>
        <v>0</v>
      </c>
      <c r="F39" s="432">
        <f t="shared" si="2"/>
        <v>0</v>
      </c>
      <c r="G39" s="432">
        <f t="shared" si="3"/>
        <v>0</v>
      </c>
      <c r="H39" s="1435">
        <f>SUM($F$8:F39)/A39</f>
        <v>4.645161290322581</v>
      </c>
      <c r="I39" s="1436">
        <f t="shared" si="0"/>
        <v>150</v>
      </c>
      <c r="J39" s="1437">
        <f t="shared" si="4"/>
        <v>25</v>
      </c>
      <c r="K39" s="400">
        <f t="shared" si="5"/>
        <v>32.291666666666664</v>
      </c>
      <c r="L39" s="1423"/>
      <c r="M39" s="1423"/>
      <c r="N39" s="1423"/>
      <c r="O39" s="313"/>
    </row>
    <row r="40" spans="1:15" s="374" customFormat="1" ht="13.5" customHeight="1">
      <c r="A40" s="1613" t="s">
        <v>29</v>
      </c>
      <c r="B40" s="1614"/>
      <c r="C40" s="1615"/>
      <c r="D40" s="301">
        <f>SUM(D9:D39)</f>
        <v>192</v>
      </c>
      <c r="E40" s="301">
        <f>SUM(E9:E39)</f>
        <v>32</v>
      </c>
      <c r="F40" s="422">
        <f>SUM(F9:F39)</f>
        <v>72</v>
      </c>
      <c r="G40" s="438">
        <f>SUM(G9:G39)</f>
        <v>12</v>
      </c>
      <c r="H40" s="422"/>
      <c r="I40" s="439">
        <f>I39</f>
        <v>150</v>
      </c>
      <c r="J40" s="439">
        <f>J39</f>
        <v>25</v>
      </c>
      <c r="K40" s="302"/>
      <c r="L40" s="691">
        <f>SUM(L9:L39)</f>
        <v>0</v>
      </c>
      <c r="M40" s="691">
        <f t="shared" ref="M40:N40" si="6">SUM(M9:M39)</f>
        <v>72</v>
      </c>
      <c r="N40" s="691">
        <f t="shared" si="6"/>
        <v>0</v>
      </c>
      <c r="O40" s="427"/>
    </row>
    <row r="41" spans="1:15" s="374" customFormat="1" ht="13.5" customHeight="1">
      <c r="A41" s="1613" t="s">
        <v>15</v>
      </c>
      <c r="B41" s="1614"/>
      <c r="C41" s="1615"/>
      <c r="D41" s="301">
        <f>D8+D40</f>
        <v>222</v>
      </c>
      <c r="E41" s="301">
        <f>E8+E40</f>
        <v>37</v>
      </c>
      <c r="F41" s="422">
        <f>F40</f>
        <v>72</v>
      </c>
      <c r="G41" s="438">
        <f>G40</f>
        <v>12</v>
      </c>
      <c r="H41" s="422"/>
      <c r="I41" s="422">
        <f>D41-F41</f>
        <v>150</v>
      </c>
      <c r="J41" s="422">
        <f>E41-G41</f>
        <v>25</v>
      </c>
      <c r="K41" s="302"/>
      <c r="L41" s="694"/>
      <c r="M41" s="694"/>
      <c r="N41" s="694"/>
      <c r="O41" s="427"/>
    </row>
    <row r="42" spans="1:15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L42" s="343"/>
      <c r="M42" s="343"/>
      <c r="N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5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  <c r="L46" s="343"/>
      <c r="M46" s="343"/>
      <c r="N46" s="343"/>
    </row>
    <row r="47" spans="1:15">
      <c r="D47" s="42"/>
      <c r="E47" s="42"/>
      <c r="F47" s="42"/>
      <c r="G47" s="42"/>
      <c r="H47" s="42"/>
      <c r="I47" s="42"/>
      <c r="J47" s="260"/>
    </row>
    <row r="48" spans="1:15">
      <c r="J48" s="260"/>
    </row>
  </sheetData>
  <mergeCells count="17">
    <mergeCell ref="N6:N7"/>
    <mergeCell ref="A8:C8"/>
    <mergeCell ref="A40:C40"/>
    <mergeCell ref="O6:O7"/>
    <mergeCell ref="A41:C41"/>
    <mergeCell ref="A3:N3"/>
    <mergeCell ref="A4:B4"/>
    <mergeCell ref="A6:A7"/>
    <mergeCell ref="B6:B7"/>
    <mergeCell ref="C6:C7"/>
    <mergeCell ref="D6:E6"/>
    <mergeCell ref="F6:G6"/>
    <mergeCell ref="H6:H7"/>
    <mergeCell ref="I6:J6"/>
    <mergeCell ref="K6:K7"/>
    <mergeCell ref="L6:L7"/>
    <mergeCell ref="M6:M7"/>
  </mergeCells>
  <conditionalFormatting sqref="K40:K41">
    <cfRule type="cellIs" dxfId="8876" priority="4" operator="between">
      <formula>15</formula>
      <formula>20</formula>
    </cfRule>
    <cfRule type="cellIs" dxfId="8875" priority="5" operator="lessThan">
      <formula>15</formula>
    </cfRule>
    <cfRule type="cellIs" dxfId="8874" priority="6" operator="greaterThan">
      <formula>20</formula>
    </cfRule>
  </conditionalFormatting>
  <conditionalFormatting sqref="K9:K39">
    <cfRule type="cellIs" dxfId="8873" priority="1" operator="between">
      <formula>15</formula>
      <formula>20</formula>
    </cfRule>
    <cfRule type="cellIs" dxfId="8872" priority="2" operator="lessThan">
      <formula>15</formula>
    </cfRule>
    <cfRule type="cellIs" dxfId="8871" priority="3" operator="greaterThan">
      <formula>20</formula>
    </cfRule>
  </conditionalFormatting>
  <hyperlinks>
    <hyperlink ref="K5" location="'TỔNG HỢP THÁNG'!A1" display="'TỔNG HỢP THÁNG'!A1"/>
  </hyperlinks>
  <pageMargins left="0.94488188976377963" right="0" top="0.23622047244094491" bottom="0.23622047244094491" header="0.74803149606299213" footer="0.31496062992125984"/>
  <pageSetup paperSize="8" scale="90" orientation="landscape" horizontalDpi="4294967292" r:id="rId1"/>
  <legacy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48"/>
  <sheetViews>
    <sheetView zoomScale="85" zoomScaleNormal="85" workbookViewId="0">
      <pane ySplit="8" topLeftCell="A13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" style="42" customWidth="1"/>
    <col min="3" max="3" width="17" style="42" customWidth="1"/>
    <col min="4" max="7" width="12.42578125" style="6" customWidth="1"/>
    <col min="8" max="8" width="14" style="6" customWidth="1"/>
    <col min="9" max="10" width="11.7109375" style="6" customWidth="1"/>
    <col min="11" max="11" width="16" style="42" customWidth="1"/>
    <col min="12" max="12" width="9.85546875" style="6" customWidth="1"/>
    <col min="13" max="14" width="9.5703125" style="6" customWidth="1"/>
    <col min="15" max="16384" width="9.28515625" style="42"/>
  </cols>
  <sheetData>
    <row r="1" spans="1:25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142"/>
      <c r="M1" s="142"/>
      <c r="N1" s="142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M2" s="142"/>
      <c r="N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983" customFormat="1" ht="13.5" customHeight="1">
      <c r="A4" s="1600" t="s">
        <v>33</v>
      </c>
      <c r="B4" s="1600"/>
      <c r="C4" s="318" t="str">
        <f>J4</f>
        <v>XANH LÁ 1236</v>
      </c>
      <c r="D4" s="383"/>
      <c r="E4" s="383" t="s">
        <v>228</v>
      </c>
      <c r="F4" s="383" t="s">
        <v>234</v>
      </c>
      <c r="G4" s="383"/>
      <c r="I4" s="325" t="s">
        <v>114</v>
      </c>
      <c r="J4" s="318" t="s">
        <v>789</v>
      </c>
      <c r="K4" s="319"/>
      <c r="L4" s="383"/>
      <c r="M4" s="383"/>
      <c r="N4" s="383"/>
    </row>
    <row r="5" spans="1:25" s="324" customFormat="1" ht="14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508" t="s">
        <v>292</v>
      </c>
      <c r="K5" s="375" t="s">
        <v>149</v>
      </c>
      <c r="L5" s="343"/>
      <c r="M5" s="343"/>
      <c r="N5" s="343"/>
    </row>
    <row r="6" spans="1:25" s="355" customFormat="1" ht="15.75" customHeight="1">
      <c r="A6" s="1630" t="s">
        <v>2</v>
      </c>
      <c r="B6" s="1631" t="s">
        <v>1</v>
      </c>
      <c r="C6" s="1631" t="s">
        <v>24</v>
      </c>
      <c r="D6" s="1629" t="s">
        <v>250</v>
      </c>
      <c r="E6" s="1629"/>
      <c r="F6" s="1629" t="s">
        <v>249</v>
      </c>
      <c r="G6" s="1629"/>
      <c r="H6" s="1629" t="s">
        <v>265</v>
      </c>
      <c r="I6" s="1629" t="s">
        <v>253</v>
      </c>
      <c r="J6" s="1629"/>
      <c r="K6" s="1629" t="s">
        <v>30</v>
      </c>
      <c r="L6" s="1620" t="s">
        <v>343</v>
      </c>
      <c r="M6" s="1620" t="s">
        <v>244</v>
      </c>
      <c r="N6" s="1626" t="s">
        <v>824</v>
      </c>
    </row>
    <row r="7" spans="1:25" s="355" customFormat="1" ht="15.75" customHeight="1">
      <c r="A7" s="1630"/>
      <c r="B7" s="1631"/>
      <c r="C7" s="1631"/>
      <c r="D7" s="984" t="s">
        <v>10</v>
      </c>
      <c r="E7" s="984" t="s">
        <v>58</v>
      </c>
      <c r="F7" s="984" t="s">
        <v>10</v>
      </c>
      <c r="G7" s="984" t="s">
        <v>58</v>
      </c>
      <c r="H7" s="1629"/>
      <c r="I7" s="984" t="s">
        <v>10</v>
      </c>
      <c r="J7" s="984" t="s">
        <v>58</v>
      </c>
      <c r="K7" s="1629"/>
      <c r="L7" s="1621"/>
      <c r="M7" s="1621"/>
      <c r="N7" s="1626"/>
    </row>
    <row r="8" spans="1:25" s="305" customFormat="1" ht="13.5" customHeight="1">
      <c r="A8" s="1597" t="s">
        <v>3</v>
      </c>
      <c r="B8" s="1598"/>
      <c r="C8" s="1599"/>
      <c r="D8" s="300">
        <f>I8</f>
        <v>144</v>
      </c>
      <c r="E8" s="300">
        <f>D8/6</f>
        <v>24</v>
      </c>
      <c r="F8" s="422">
        <f>F40</f>
        <v>48</v>
      </c>
      <c r="G8" s="423">
        <f>G40</f>
        <v>8</v>
      </c>
      <c r="H8" s="300"/>
      <c r="I8" s="626">
        <v>144</v>
      </c>
      <c r="J8" s="626">
        <f>I8/6</f>
        <v>24</v>
      </c>
      <c r="K8" s="304"/>
      <c r="L8" s="985"/>
      <c r="M8" s="985"/>
      <c r="N8" s="985"/>
    </row>
    <row r="9" spans="1:25" s="333" customFormat="1" ht="13.5" customHeight="1">
      <c r="A9" s="330">
        <v>1</v>
      </c>
      <c r="B9" s="365">
        <f>'FRIT HGE91-FHG'!B9</f>
        <v>46235</v>
      </c>
      <c r="C9" s="331" t="s">
        <v>285</v>
      </c>
      <c r="D9" s="432"/>
      <c r="E9" s="437">
        <f>D9/6</f>
        <v>0</v>
      </c>
      <c r="F9" s="432">
        <f>L9+M9+N9</f>
        <v>0</v>
      </c>
      <c r="G9" s="432">
        <f>F9/6</f>
        <v>0</v>
      </c>
      <c r="H9" s="1435">
        <f>SUM($F$9:F9)/A9</f>
        <v>0</v>
      </c>
      <c r="I9" s="1436">
        <f t="shared" ref="I9:I39" si="0">I8+D9-F9</f>
        <v>144</v>
      </c>
      <c r="J9" s="1437">
        <f>I9/6</f>
        <v>24</v>
      </c>
      <c r="K9" s="400" t="e">
        <f>I9/H9</f>
        <v>#DIV/0!</v>
      </c>
      <c r="L9" s="1423"/>
      <c r="M9" s="1423"/>
      <c r="N9" s="1423"/>
    </row>
    <row r="10" spans="1:25" s="333" customFormat="1" ht="13.5" customHeight="1">
      <c r="A10" s="330">
        <v>2</v>
      </c>
      <c r="B10" s="365">
        <f>'FRIT HGE91-FHG'!B10</f>
        <v>46236</v>
      </c>
      <c r="C10" s="331" t="s">
        <v>285</v>
      </c>
      <c r="D10" s="432"/>
      <c r="E10" s="437">
        <f t="shared" ref="E10:E39" si="1">D10/6</f>
        <v>0</v>
      </c>
      <c r="F10" s="432">
        <f t="shared" ref="F10:F39" si="2">L10+M10+N10</f>
        <v>0</v>
      </c>
      <c r="G10" s="432">
        <f t="shared" ref="G10:G39" si="3">F10/6</f>
        <v>0</v>
      </c>
      <c r="H10" s="1435">
        <f>SUM($F$9:F10)/A10</f>
        <v>0</v>
      </c>
      <c r="I10" s="1436">
        <f t="shared" si="0"/>
        <v>144</v>
      </c>
      <c r="J10" s="1437">
        <f t="shared" ref="J10:J39" si="4">I10/6</f>
        <v>24</v>
      </c>
      <c r="K10" s="400" t="e">
        <f t="shared" ref="K10:K39" si="5">I10/H10</f>
        <v>#DIV/0!</v>
      </c>
      <c r="L10" s="1499"/>
      <c r="M10" s="1499"/>
      <c r="N10" s="1499"/>
    </row>
    <row r="11" spans="1:25" s="333" customFormat="1" ht="13.5" customHeight="1">
      <c r="A11" s="330">
        <v>3</v>
      </c>
      <c r="B11" s="365">
        <f>'FRIT HGE91-FHG'!B11</f>
        <v>46237</v>
      </c>
      <c r="C11" s="331" t="s">
        <v>285</v>
      </c>
      <c r="D11" s="432"/>
      <c r="E11" s="437">
        <f t="shared" si="1"/>
        <v>0</v>
      </c>
      <c r="F11" s="432">
        <f t="shared" si="2"/>
        <v>0</v>
      </c>
      <c r="G11" s="432">
        <f t="shared" si="3"/>
        <v>0</v>
      </c>
      <c r="H11" s="1435">
        <f>SUM($F$9:F11)/A11</f>
        <v>0</v>
      </c>
      <c r="I11" s="1436">
        <f t="shared" si="0"/>
        <v>144</v>
      </c>
      <c r="J11" s="1437">
        <f t="shared" si="4"/>
        <v>24</v>
      </c>
      <c r="K11" s="400" t="e">
        <f t="shared" si="5"/>
        <v>#DIV/0!</v>
      </c>
      <c r="L11" s="1499"/>
      <c r="M11" s="1499"/>
      <c r="N11" s="1499"/>
    </row>
    <row r="12" spans="1:25" s="367" customFormat="1" ht="13.5" customHeight="1">
      <c r="A12" s="330">
        <v>4</v>
      </c>
      <c r="B12" s="365">
        <f>'FRIT HGE91-FHG'!B12</f>
        <v>46238</v>
      </c>
      <c r="C12" s="331" t="s">
        <v>285</v>
      </c>
      <c r="D12" s="432"/>
      <c r="E12" s="437">
        <f t="shared" si="1"/>
        <v>0</v>
      </c>
      <c r="F12" s="432">
        <f t="shared" si="2"/>
        <v>0</v>
      </c>
      <c r="G12" s="432">
        <f t="shared" si="3"/>
        <v>0</v>
      </c>
      <c r="H12" s="1435">
        <f>SUM($F$9:F12)/A12</f>
        <v>0</v>
      </c>
      <c r="I12" s="1436">
        <f t="shared" si="0"/>
        <v>144</v>
      </c>
      <c r="J12" s="1437">
        <f t="shared" si="4"/>
        <v>24</v>
      </c>
      <c r="K12" s="400" t="e">
        <f t="shared" si="5"/>
        <v>#DIV/0!</v>
      </c>
      <c r="L12" s="1499"/>
      <c r="M12" s="1499"/>
      <c r="N12" s="1499"/>
    </row>
    <row r="13" spans="1:25" s="367" customFormat="1" ht="13.5" customHeight="1">
      <c r="A13" s="425">
        <v>5</v>
      </c>
      <c r="B13" s="365">
        <f>'FRIT HGE91-FHG'!B13</f>
        <v>46239</v>
      </c>
      <c r="C13" s="331" t="s">
        <v>285</v>
      </c>
      <c r="D13" s="432"/>
      <c r="E13" s="437">
        <f t="shared" si="1"/>
        <v>0</v>
      </c>
      <c r="F13" s="432">
        <f t="shared" si="2"/>
        <v>0</v>
      </c>
      <c r="G13" s="432">
        <f t="shared" si="3"/>
        <v>0</v>
      </c>
      <c r="H13" s="1435">
        <f>SUM($F$9:F13)/A13</f>
        <v>0</v>
      </c>
      <c r="I13" s="1439">
        <f t="shared" si="0"/>
        <v>144</v>
      </c>
      <c r="J13" s="1437">
        <f t="shared" si="4"/>
        <v>24</v>
      </c>
      <c r="K13" s="400" t="e">
        <f t="shared" si="5"/>
        <v>#DIV/0!</v>
      </c>
      <c r="L13" s="1499"/>
      <c r="M13" s="1499"/>
      <c r="N13" s="1499"/>
    </row>
    <row r="14" spans="1:25" s="367" customFormat="1" ht="13.5" customHeight="1">
      <c r="A14" s="330">
        <v>6</v>
      </c>
      <c r="B14" s="365">
        <f>'FRIT HGE91-FHG'!B14</f>
        <v>46240</v>
      </c>
      <c r="C14" s="331" t="s">
        <v>285</v>
      </c>
      <c r="D14" s="432"/>
      <c r="E14" s="437">
        <f t="shared" si="1"/>
        <v>0</v>
      </c>
      <c r="F14" s="432">
        <f t="shared" si="2"/>
        <v>0</v>
      </c>
      <c r="G14" s="432">
        <f t="shared" si="3"/>
        <v>0</v>
      </c>
      <c r="H14" s="1435">
        <f>SUM($F$9:F14)/A14</f>
        <v>0</v>
      </c>
      <c r="I14" s="1436">
        <f t="shared" si="0"/>
        <v>144</v>
      </c>
      <c r="J14" s="1437">
        <f t="shared" si="4"/>
        <v>24</v>
      </c>
      <c r="K14" s="400" t="e">
        <f t="shared" si="5"/>
        <v>#DIV/0!</v>
      </c>
      <c r="L14" s="1499"/>
      <c r="M14" s="1499"/>
      <c r="N14" s="1499"/>
    </row>
    <row r="15" spans="1:25" s="367" customFormat="1" ht="13.5" customHeight="1">
      <c r="A15" s="330">
        <v>7</v>
      </c>
      <c r="B15" s="365">
        <f>'FRIT HGE91-FHG'!B15</f>
        <v>46241</v>
      </c>
      <c r="C15" s="331" t="s">
        <v>285</v>
      </c>
      <c r="D15" s="432"/>
      <c r="E15" s="437">
        <f t="shared" si="1"/>
        <v>0</v>
      </c>
      <c r="F15" s="432">
        <f t="shared" si="2"/>
        <v>0</v>
      </c>
      <c r="G15" s="432">
        <f t="shared" si="3"/>
        <v>0</v>
      </c>
      <c r="H15" s="1435">
        <f>SUM($F$9:F15)/A15</f>
        <v>0</v>
      </c>
      <c r="I15" s="1436">
        <f t="shared" si="0"/>
        <v>144</v>
      </c>
      <c r="J15" s="1437">
        <f t="shared" si="4"/>
        <v>24</v>
      </c>
      <c r="K15" s="400" t="e">
        <f t="shared" si="5"/>
        <v>#DIV/0!</v>
      </c>
      <c r="L15" s="1499"/>
      <c r="M15" s="1499"/>
      <c r="N15" s="1499"/>
    </row>
    <row r="16" spans="1:25" s="367" customFormat="1" ht="13.5" customHeight="1">
      <c r="A16" s="330">
        <v>8</v>
      </c>
      <c r="B16" s="365">
        <f>'FRIT HGE91-FHG'!B16</f>
        <v>46242</v>
      </c>
      <c r="C16" s="331" t="s">
        <v>285</v>
      </c>
      <c r="D16" s="432"/>
      <c r="E16" s="437">
        <f t="shared" si="1"/>
        <v>0</v>
      </c>
      <c r="F16" s="432">
        <f t="shared" si="2"/>
        <v>0</v>
      </c>
      <c r="G16" s="432">
        <f t="shared" si="3"/>
        <v>0</v>
      </c>
      <c r="H16" s="1435">
        <f>SUM($F$9:F16)/A16</f>
        <v>0</v>
      </c>
      <c r="I16" s="1436">
        <f t="shared" si="0"/>
        <v>144</v>
      </c>
      <c r="J16" s="1437">
        <f t="shared" si="4"/>
        <v>24</v>
      </c>
      <c r="K16" s="400" t="e">
        <f t="shared" si="5"/>
        <v>#DIV/0!</v>
      </c>
      <c r="L16" s="1499"/>
      <c r="M16" s="1499"/>
      <c r="N16" s="1499"/>
    </row>
    <row r="17" spans="1:14" s="367" customFormat="1" ht="13.5" customHeight="1">
      <c r="A17" s="330">
        <v>9</v>
      </c>
      <c r="B17" s="365">
        <f>'FRIT HGE91-FHG'!B17</f>
        <v>46243</v>
      </c>
      <c r="C17" s="331" t="s">
        <v>334</v>
      </c>
      <c r="D17" s="432"/>
      <c r="E17" s="437">
        <f t="shared" si="1"/>
        <v>0</v>
      </c>
      <c r="F17" s="432">
        <f t="shared" si="2"/>
        <v>0</v>
      </c>
      <c r="G17" s="432">
        <f t="shared" si="3"/>
        <v>0</v>
      </c>
      <c r="H17" s="1435">
        <f>SUM($F$9:F17)/A17</f>
        <v>0</v>
      </c>
      <c r="I17" s="1436">
        <f t="shared" si="0"/>
        <v>144</v>
      </c>
      <c r="J17" s="1437">
        <f t="shared" si="4"/>
        <v>24</v>
      </c>
      <c r="K17" s="400" t="e">
        <f t="shared" si="5"/>
        <v>#DIV/0!</v>
      </c>
      <c r="L17" s="1499"/>
      <c r="M17" s="1499"/>
      <c r="N17" s="1499"/>
    </row>
    <row r="18" spans="1:14" s="367" customFormat="1" ht="13.5" customHeight="1">
      <c r="A18" s="425">
        <v>10</v>
      </c>
      <c r="B18" s="365">
        <f>'FRIT HGE91-FHG'!B18</f>
        <v>46244</v>
      </c>
      <c r="C18" s="331" t="s">
        <v>285</v>
      </c>
      <c r="D18" s="432"/>
      <c r="E18" s="437">
        <f t="shared" si="1"/>
        <v>0</v>
      </c>
      <c r="F18" s="432">
        <f t="shared" si="2"/>
        <v>0</v>
      </c>
      <c r="G18" s="432">
        <f t="shared" si="3"/>
        <v>0</v>
      </c>
      <c r="H18" s="1435">
        <f>SUM($F$9:F18)/A18</f>
        <v>0</v>
      </c>
      <c r="I18" s="1439">
        <f t="shared" si="0"/>
        <v>144</v>
      </c>
      <c r="J18" s="1437">
        <f t="shared" si="4"/>
        <v>24</v>
      </c>
      <c r="K18" s="400" t="e">
        <f t="shared" si="5"/>
        <v>#DIV/0!</v>
      </c>
      <c r="L18" s="1499"/>
      <c r="M18" s="1499"/>
      <c r="N18" s="1499"/>
    </row>
    <row r="19" spans="1:14" s="367" customFormat="1" ht="13.5" customHeight="1">
      <c r="A19" s="330">
        <v>11</v>
      </c>
      <c r="B19" s="365">
        <f>'FRIT HGE91-FHG'!B19</f>
        <v>46245</v>
      </c>
      <c r="C19" s="331" t="s">
        <v>285</v>
      </c>
      <c r="D19" s="432"/>
      <c r="E19" s="437">
        <f t="shared" si="1"/>
        <v>0</v>
      </c>
      <c r="F19" s="432">
        <f t="shared" si="2"/>
        <v>0</v>
      </c>
      <c r="G19" s="432">
        <f t="shared" si="3"/>
        <v>0</v>
      </c>
      <c r="H19" s="1435">
        <f>SUM($F$9:F19)/A19</f>
        <v>0</v>
      </c>
      <c r="I19" s="1436">
        <f t="shared" si="0"/>
        <v>144</v>
      </c>
      <c r="J19" s="1437">
        <f t="shared" si="4"/>
        <v>24</v>
      </c>
      <c r="K19" s="400" t="e">
        <f t="shared" si="5"/>
        <v>#DIV/0!</v>
      </c>
      <c r="L19" s="1499"/>
      <c r="M19" s="1499"/>
      <c r="N19" s="1499"/>
    </row>
    <row r="20" spans="1:14" s="367" customFormat="1" ht="13.5" customHeight="1">
      <c r="A20" s="330">
        <v>12</v>
      </c>
      <c r="B20" s="365">
        <f>'FRIT HGE91-FHG'!B20</f>
        <v>46246</v>
      </c>
      <c r="C20" s="365" t="s">
        <v>285</v>
      </c>
      <c r="D20" s="432"/>
      <c r="E20" s="437">
        <f t="shared" si="1"/>
        <v>0</v>
      </c>
      <c r="F20" s="432">
        <f t="shared" si="2"/>
        <v>0</v>
      </c>
      <c r="G20" s="432">
        <f t="shared" si="3"/>
        <v>0</v>
      </c>
      <c r="H20" s="1435">
        <f>SUM($F$9:F20)/A20</f>
        <v>0</v>
      </c>
      <c r="I20" s="1436">
        <f t="shared" si="0"/>
        <v>144</v>
      </c>
      <c r="J20" s="1437">
        <f t="shared" si="4"/>
        <v>24</v>
      </c>
      <c r="K20" s="400" t="e">
        <f t="shared" si="5"/>
        <v>#DIV/0!</v>
      </c>
      <c r="L20" s="1499"/>
      <c r="M20" s="1499"/>
      <c r="N20" s="1499"/>
    </row>
    <row r="21" spans="1:14" s="367" customFormat="1" ht="13.5" customHeight="1">
      <c r="A21" s="330">
        <v>13</v>
      </c>
      <c r="B21" s="365">
        <f>'FRIT HGE91-FHG'!B21</f>
        <v>46247</v>
      </c>
      <c r="C21" s="365" t="s">
        <v>285</v>
      </c>
      <c r="D21" s="432"/>
      <c r="E21" s="437">
        <f t="shared" si="1"/>
        <v>0</v>
      </c>
      <c r="F21" s="432">
        <f t="shared" si="2"/>
        <v>0</v>
      </c>
      <c r="G21" s="432">
        <f t="shared" si="3"/>
        <v>0</v>
      </c>
      <c r="H21" s="1435">
        <f>SUM($F$9:F21)/A21</f>
        <v>0</v>
      </c>
      <c r="I21" s="1436">
        <f t="shared" si="0"/>
        <v>144</v>
      </c>
      <c r="J21" s="1437">
        <f t="shared" si="4"/>
        <v>24</v>
      </c>
      <c r="K21" s="400" t="e">
        <f t="shared" si="5"/>
        <v>#DIV/0!</v>
      </c>
      <c r="L21" s="1499"/>
      <c r="M21" s="1499"/>
      <c r="N21" s="1499"/>
    </row>
    <row r="22" spans="1:14" s="367" customFormat="1" ht="13.5" customHeight="1">
      <c r="A22" s="330">
        <v>14</v>
      </c>
      <c r="B22" s="365">
        <f>'FRIT HGE91-FHG'!B22</f>
        <v>46248</v>
      </c>
      <c r="C22" s="365" t="s">
        <v>285</v>
      </c>
      <c r="D22" s="432"/>
      <c r="E22" s="437">
        <f t="shared" si="1"/>
        <v>0</v>
      </c>
      <c r="F22" s="432">
        <f t="shared" si="2"/>
        <v>0</v>
      </c>
      <c r="G22" s="432">
        <f t="shared" si="3"/>
        <v>0</v>
      </c>
      <c r="H22" s="1435">
        <f>SUM($F$9:F22)/A22</f>
        <v>0</v>
      </c>
      <c r="I22" s="1436">
        <f t="shared" si="0"/>
        <v>144</v>
      </c>
      <c r="J22" s="1437">
        <f t="shared" si="4"/>
        <v>24</v>
      </c>
      <c r="K22" s="400" t="e">
        <f t="shared" si="5"/>
        <v>#DIV/0!</v>
      </c>
      <c r="L22" s="1499"/>
      <c r="M22" s="1499"/>
      <c r="N22" s="1499"/>
    </row>
    <row r="23" spans="1:14" s="367" customFormat="1" ht="13.5" customHeight="1">
      <c r="A23" s="425">
        <v>15</v>
      </c>
      <c r="B23" s="365">
        <f>'FRIT HGE91-FHG'!B23</f>
        <v>46249</v>
      </c>
      <c r="C23" s="365" t="s">
        <v>285</v>
      </c>
      <c r="D23" s="432"/>
      <c r="E23" s="437">
        <f t="shared" si="1"/>
        <v>0</v>
      </c>
      <c r="F23" s="432">
        <f t="shared" si="2"/>
        <v>0</v>
      </c>
      <c r="G23" s="432">
        <f t="shared" si="3"/>
        <v>0</v>
      </c>
      <c r="H23" s="1435">
        <f>SUM($F$9:F23)/A23</f>
        <v>0</v>
      </c>
      <c r="I23" s="1439">
        <f t="shared" si="0"/>
        <v>144</v>
      </c>
      <c r="J23" s="1437">
        <f t="shared" si="4"/>
        <v>24</v>
      </c>
      <c r="K23" s="400" t="e">
        <f t="shared" si="5"/>
        <v>#DIV/0!</v>
      </c>
      <c r="L23" s="1499"/>
      <c r="M23" s="1499"/>
      <c r="N23" s="1499"/>
    </row>
    <row r="24" spans="1:14" s="367" customFormat="1" ht="13.5" customHeight="1">
      <c r="A24" s="330">
        <v>16</v>
      </c>
      <c r="B24" s="365">
        <f>'FRIT HGE91-FHG'!B24</f>
        <v>46250</v>
      </c>
      <c r="C24" s="365" t="s">
        <v>285</v>
      </c>
      <c r="D24" s="432"/>
      <c r="E24" s="437">
        <f t="shared" si="1"/>
        <v>0</v>
      </c>
      <c r="F24" s="432">
        <f t="shared" si="2"/>
        <v>0</v>
      </c>
      <c r="G24" s="432">
        <f t="shared" si="3"/>
        <v>0</v>
      </c>
      <c r="H24" s="1435">
        <f>SUM($F$9:F24)/A24</f>
        <v>0</v>
      </c>
      <c r="I24" s="1436">
        <f t="shared" si="0"/>
        <v>144</v>
      </c>
      <c r="J24" s="1437">
        <f t="shared" si="4"/>
        <v>24</v>
      </c>
      <c r="K24" s="400" t="e">
        <f t="shared" si="5"/>
        <v>#DIV/0!</v>
      </c>
      <c r="L24" s="1499"/>
      <c r="M24" s="1499"/>
      <c r="N24" s="1499"/>
    </row>
    <row r="25" spans="1:14" s="367" customFormat="1" ht="13.5" customHeight="1">
      <c r="A25" s="330">
        <v>17</v>
      </c>
      <c r="B25" s="365">
        <f>'FRIT HGE91-FHG'!B25</f>
        <v>46251</v>
      </c>
      <c r="C25" s="365" t="s">
        <v>285</v>
      </c>
      <c r="D25" s="432"/>
      <c r="E25" s="437">
        <f t="shared" si="1"/>
        <v>0</v>
      </c>
      <c r="F25" s="432">
        <f t="shared" si="2"/>
        <v>0</v>
      </c>
      <c r="G25" s="432">
        <f t="shared" si="3"/>
        <v>0</v>
      </c>
      <c r="H25" s="1435">
        <f>SUM($F$9:F25)/A25</f>
        <v>0</v>
      </c>
      <c r="I25" s="1436">
        <f t="shared" si="0"/>
        <v>144</v>
      </c>
      <c r="J25" s="1437">
        <f t="shared" si="4"/>
        <v>24</v>
      </c>
      <c r="K25" s="400" t="e">
        <f t="shared" si="5"/>
        <v>#DIV/0!</v>
      </c>
      <c r="L25" s="1499"/>
      <c r="M25" s="1499"/>
      <c r="N25" s="1499"/>
    </row>
    <row r="26" spans="1:14" s="367" customFormat="1" ht="13.5" customHeight="1">
      <c r="A26" s="330">
        <v>18</v>
      </c>
      <c r="B26" s="365">
        <f>'FRIT HGE91-FHG'!B26</f>
        <v>46252</v>
      </c>
      <c r="C26" s="365" t="s">
        <v>285</v>
      </c>
      <c r="D26" s="432"/>
      <c r="E26" s="437">
        <f t="shared" si="1"/>
        <v>0</v>
      </c>
      <c r="F26" s="432">
        <f t="shared" si="2"/>
        <v>48</v>
      </c>
      <c r="G26" s="432">
        <f t="shared" si="3"/>
        <v>8</v>
      </c>
      <c r="H26" s="1435">
        <f>SUM($F$9:F26)/A26</f>
        <v>2.6666666666666665</v>
      </c>
      <c r="I26" s="1436">
        <f t="shared" si="0"/>
        <v>96</v>
      </c>
      <c r="J26" s="1437">
        <f t="shared" si="4"/>
        <v>16</v>
      </c>
      <c r="K26" s="400">
        <f t="shared" si="5"/>
        <v>36</v>
      </c>
      <c r="L26" s="1499"/>
      <c r="M26" s="1499">
        <v>48</v>
      </c>
      <c r="N26" s="1499"/>
    </row>
    <row r="27" spans="1:14" s="367" customFormat="1" ht="13.5" customHeight="1">
      <c r="A27" s="330">
        <v>19</v>
      </c>
      <c r="B27" s="365">
        <f>'FRIT HGE91-FHG'!B27</f>
        <v>46253</v>
      </c>
      <c r="C27" s="365" t="s">
        <v>285</v>
      </c>
      <c r="D27" s="432"/>
      <c r="E27" s="437">
        <f t="shared" si="1"/>
        <v>0</v>
      </c>
      <c r="F27" s="432">
        <f t="shared" si="2"/>
        <v>0</v>
      </c>
      <c r="G27" s="432">
        <f t="shared" si="3"/>
        <v>0</v>
      </c>
      <c r="H27" s="1435">
        <f>SUM($F$9:F27)/A27</f>
        <v>2.5263157894736841</v>
      </c>
      <c r="I27" s="1436">
        <f t="shared" si="0"/>
        <v>96</v>
      </c>
      <c r="J27" s="1437">
        <f t="shared" si="4"/>
        <v>16</v>
      </c>
      <c r="K27" s="400">
        <f t="shared" si="5"/>
        <v>38</v>
      </c>
      <c r="L27" s="1499"/>
      <c r="M27" s="1499"/>
      <c r="N27" s="1499"/>
    </row>
    <row r="28" spans="1:14" s="367" customFormat="1" ht="13.5" customHeight="1">
      <c r="A28" s="425">
        <v>20</v>
      </c>
      <c r="B28" s="365">
        <f>'FRIT HGE91-FHG'!B28</f>
        <v>46254</v>
      </c>
      <c r="C28" s="365" t="s">
        <v>285</v>
      </c>
      <c r="D28" s="432"/>
      <c r="E28" s="437">
        <f t="shared" si="1"/>
        <v>0</v>
      </c>
      <c r="F28" s="432">
        <f t="shared" si="2"/>
        <v>0</v>
      </c>
      <c r="G28" s="432">
        <f t="shared" si="3"/>
        <v>0</v>
      </c>
      <c r="H28" s="1435">
        <f>SUM($F$9:F28)/A28</f>
        <v>2.4</v>
      </c>
      <c r="I28" s="1439">
        <f t="shared" si="0"/>
        <v>96</v>
      </c>
      <c r="J28" s="1437">
        <f t="shared" si="4"/>
        <v>16</v>
      </c>
      <c r="K28" s="400">
        <f t="shared" si="5"/>
        <v>40</v>
      </c>
      <c r="L28" s="1499"/>
      <c r="M28" s="1499"/>
      <c r="N28" s="1499"/>
    </row>
    <row r="29" spans="1:14" s="367" customFormat="1" ht="13.5" customHeight="1">
      <c r="A29" s="330">
        <v>21</v>
      </c>
      <c r="B29" s="365">
        <f>'FRIT HGE91-FHG'!B29</f>
        <v>46255</v>
      </c>
      <c r="C29" s="365" t="s">
        <v>285</v>
      </c>
      <c r="D29" s="432"/>
      <c r="E29" s="437">
        <f t="shared" si="1"/>
        <v>0</v>
      </c>
      <c r="F29" s="432">
        <f t="shared" si="2"/>
        <v>0</v>
      </c>
      <c r="G29" s="432">
        <f t="shared" si="3"/>
        <v>0</v>
      </c>
      <c r="H29" s="1435">
        <f>SUM($F$9:F29)/A29</f>
        <v>2.2857142857142856</v>
      </c>
      <c r="I29" s="1436">
        <f t="shared" si="0"/>
        <v>96</v>
      </c>
      <c r="J29" s="1437">
        <f t="shared" si="4"/>
        <v>16</v>
      </c>
      <c r="K29" s="400">
        <f t="shared" si="5"/>
        <v>42</v>
      </c>
      <c r="L29" s="1499"/>
      <c r="M29" s="1499"/>
      <c r="N29" s="1499"/>
    </row>
    <row r="30" spans="1:14" s="367" customFormat="1" ht="13.5" customHeight="1">
      <c r="A30" s="330">
        <v>22</v>
      </c>
      <c r="B30" s="365">
        <f>'FRIT HGE91-FHG'!B30</f>
        <v>46256</v>
      </c>
      <c r="C30" s="365" t="s">
        <v>285</v>
      </c>
      <c r="D30" s="432"/>
      <c r="E30" s="437">
        <f t="shared" si="1"/>
        <v>0</v>
      </c>
      <c r="F30" s="432">
        <f t="shared" si="2"/>
        <v>0</v>
      </c>
      <c r="G30" s="432">
        <f t="shared" si="3"/>
        <v>0</v>
      </c>
      <c r="H30" s="1435">
        <f>SUM($F$9:F30)/A30</f>
        <v>2.1818181818181817</v>
      </c>
      <c r="I30" s="1436">
        <f t="shared" si="0"/>
        <v>96</v>
      </c>
      <c r="J30" s="1437">
        <f t="shared" si="4"/>
        <v>16</v>
      </c>
      <c r="K30" s="400">
        <f t="shared" si="5"/>
        <v>44</v>
      </c>
      <c r="L30" s="1499"/>
      <c r="M30" s="1499"/>
      <c r="N30" s="1499"/>
    </row>
    <row r="31" spans="1:14" s="367" customFormat="1" ht="13.5" customHeight="1">
      <c r="A31" s="330">
        <v>23</v>
      </c>
      <c r="B31" s="365">
        <f>'FRIT HGE91-FHG'!B31</f>
        <v>46257</v>
      </c>
      <c r="C31" s="365" t="s">
        <v>285</v>
      </c>
      <c r="D31" s="432"/>
      <c r="E31" s="437">
        <f t="shared" si="1"/>
        <v>0</v>
      </c>
      <c r="F31" s="432">
        <f t="shared" si="2"/>
        <v>0</v>
      </c>
      <c r="G31" s="432">
        <f t="shared" si="3"/>
        <v>0</v>
      </c>
      <c r="H31" s="1435">
        <f>SUM($F$9:F31)/A31</f>
        <v>2.0869565217391304</v>
      </c>
      <c r="I31" s="1436">
        <f t="shared" si="0"/>
        <v>96</v>
      </c>
      <c r="J31" s="1437">
        <f t="shared" si="4"/>
        <v>16</v>
      </c>
      <c r="K31" s="400">
        <f t="shared" si="5"/>
        <v>46</v>
      </c>
      <c r="L31" s="1499"/>
      <c r="M31" s="1499"/>
      <c r="N31" s="1499"/>
    </row>
    <row r="32" spans="1:14" s="367" customFormat="1" ht="13.5" customHeight="1">
      <c r="A32" s="330">
        <v>24</v>
      </c>
      <c r="B32" s="365">
        <f>'FRIT HGE91-FHG'!B32</f>
        <v>46258</v>
      </c>
      <c r="C32" s="365" t="s">
        <v>285</v>
      </c>
      <c r="D32" s="432"/>
      <c r="E32" s="437">
        <f t="shared" si="1"/>
        <v>0</v>
      </c>
      <c r="F32" s="432">
        <f t="shared" si="2"/>
        <v>0</v>
      </c>
      <c r="G32" s="432">
        <f t="shared" si="3"/>
        <v>0</v>
      </c>
      <c r="H32" s="1435">
        <f>SUM($F$9:F32)/A32</f>
        <v>2</v>
      </c>
      <c r="I32" s="1436">
        <f t="shared" si="0"/>
        <v>96</v>
      </c>
      <c r="J32" s="1437">
        <f t="shared" si="4"/>
        <v>16</v>
      </c>
      <c r="K32" s="400">
        <f t="shared" si="5"/>
        <v>48</v>
      </c>
      <c r="L32" s="1499"/>
      <c r="M32" s="1499"/>
      <c r="N32" s="1499"/>
    </row>
    <row r="33" spans="1:14" s="367" customFormat="1" ht="13.5" customHeight="1">
      <c r="A33" s="426">
        <v>25</v>
      </c>
      <c r="B33" s="365">
        <f>'FRIT HGE91-FHG'!B33</f>
        <v>46259</v>
      </c>
      <c r="C33" s="365" t="s">
        <v>285</v>
      </c>
      <c r="D33" s="432"/>
      <c r="E33" s="437">
        <f t="shared" si="1"/>
        <v>0</v>
      </c>
      <c r="F33" s="432">
        <f t="shared" si="2"/>
        <v>0</v>
      </c>
      <c r="G33" s="432">
        <f t="shared" si="3"/>
        <v>0</v>
      </c>
      <c r="H33" s="1435">
        <f>SUM($F$9:F33)/A33</f>
        <v>1.92</v>
      </c>
      <c r="I33" s="1440">
        <f t="shared" si="0"/>
        <v>96</v>
      </c>
      <c r="J33" s="1437">
        <f t="shared" si="4"/>
        <v>16</v>
      </c>
      <c r="K33" s="400">
        <f t="shared" si="5"/>
        <v>50</v>
      </c>
      <c r="L33" s="1499"/>
      <c r="M33" s="1499"/>
      <c r="N33" s="1499"/>
    </row>
    <row r="34" spans="1:14" s="367" customFormat="1" ht="13.5" customHeight="1">
      <c r="A34" s="330">
        <v>26</v>
      </c>
      <c r="B34" s="365">
        <f>'FRIT HGE91-FHG'!B34</f>
        <v>46260</v>
      </c>
      <c r="C34" s="365" t="s">
        <v>285</v>
      </c>
      <c r="D34" s="432"/>
      <c r="E34" s="437">
        <f t="shared" si="1"/>
        <v>0</v>
      </c>
      <c r="F34" s="432">
        <f t="shared" si="2"/>
        <v>0</v>
      </c>
      <c r="G34" s="432">
        <f t="shared" si="3"/>
        <v>0</v>
      </c>
      <c r="H34" s="1435">
        <f>SUM($F$9:F34)/A34</f>
        <v>1.8461538461538463</v>
      </c>
      <c r="I34" s="1436">
        <f t="shared" si="0"/>
        <v>96</v>
      </c>
      <c r="J34" s="1437">
        <f t="shared" si="4"/>
        <v>16</v>
      </c>
      <c r="K34" s="400">
        <f t="shared" si="5"/>
        <v>52</v>
      </c>
      <c r="L34" s="1499"/>
      <c r="M34" s="1499"/>
      <c r="N34" s="1499"/>
    </row>
    <row r="35" spans="1:14" s="367" customFormat="1" ht="13.5" customHeight="1">
      <c r="A35" s="330">
        <v>27</v>
      </c>
      <c r="B35" s="365">
        <f>'FRIT HGE91-FHG'!B35</f>
        <v>46261</v>
      </c>
      <c r="C35" s="365" t="s">
        <v>285</v>
      </c>
      <c r="D35" s="432"/>
      <c r="E35" s="437">
        <f t="shared" si="1"/>
        <v>0</v>
      </c>
      <c r="F35" s="432">
        <f t="shared" si="2"/>
        <v>0</v>
      </c>
      <c r="G35" s="432">
        <f t="shared" si="3"/>
        <v>0</v>
      </c>
      <c r="H35" s="1435">
        <f>SUM($F$9:F35)/A35</f>
        <v>1.7777777777777777</v>
      </c>
      <c r="I35" s="1436">
        <f t="shared" si="0"/>
        <v>96</v>
      </c>
      <c r="J35" s="1437">
        <f t="shared" si="4"/>
        <v>16</v>
      </c>
      <c r="K35" s="400">
        <f t="shared" si="5"/>
        <v>54</v>
      </c>
      <c r="L35" s="1499"/>
      <c r="M35" s="1499"/>
      <c r="N35" s="1499"/>
    </row>
    <row r="36" spans="1:14" s="367" customFormat="1" ht="13.5" customHeight="1">
      <c r="A36" s="330">
        <v>28</v>
      </c>
      <c r="B36" s="365">
        <f>'FRIT HGE91-FHG'!B36</f>
        <v>46262</v>
      </c>
      <c r="C36" s="365" t="s">
        <v>285</v>
      </c>
      <c r="D36" s="432"/>
      <c r="E36" s="437">
        <f t="shared" si="1"/>
        <v>0</v>
      </c>
      <c r="F36" s="432">
        <f t="shared" si="2"/>
        <v>0</v>
      </c>
      <c r="G36" s="432">
        <f t="shared" si="3"/>
        <v>0</v>
      </c>
      <c r="H36" s="1435">
        <f>SUM($F$9:F36)/A36</f>
        <v>1.7142857142857142</v>
      </c>
      <c r="I36" s="1436">
        <f t="shared" si="0"/>
        <v>96</v>
      </c>
      <c r="J36" s="1437">
        <f t="shared" si="4"/>
        <v>16</v>
      </c>
      <c r="K36" s="400">
        <f t="shared" si="5"/>
        <v>56</v>
      </c>
      <c r="L36" s="1499"/>
      <c r="M36" s="1499"/>
      <c r="N36" s="1499"/>
    </row>
    <row r="37" spans="1:14" s="367" customFormat="1" ht="13.5" customHeight="1">
      <c r="A37" s="330">
        <v>29</v>
      </c>
      <c r="B37" s="365">
        <f>'FRIT HGE91-FHG'!B37</f>
        <v>46263</v>
      </c>
      <c r="C37" s="365" t="s">
        <v>285</v>
      </c>
      <c r="D37" s="432"/>
      <c r="E37" s="437">
        <f t="shared" si="1"/>
        <v>0</v>
      </c>
      <c r="F37" s="432">
        <f t="shared" si="2"/>
        <v>0</v>
      </c>
      <c r="G37" s="432">
        <f t="shared" si="3"/>
        <v>0</v>
      </c>
      <c r="H37" s="1435">
        <f>SUM($F$9:F37)/A37</f>
        <v>1.6551724137931034</v>
      </c>
      <c r="I37" s="1436">
        <f t="shared" si="0"/>
        <v>96</v>
      </c>
      <c r="J37" s="1437">
        <f t="shared" si="4"/>
        <v>16</v>
      </c>
      <c r="K37" s="400">
        <f t="shared" si="5"/>
        <v>58</v>
      </c>
      <c r="L37" s="1499"/>
      <c r="M37" s="1499"/>
      <c r="N37" s="1499"/>
    </row>
    <row r="38" spans="1:14" s="367" customFormat="1" ht="13.5" customHeight="1">
      <c r="A38" s="425">
        <v>30</v>
      </c>
      <c r="B38" s="365">
        <f>'FRIT HGE91-FHG'!B38</f>
        <v>46264</v>
      </c>
      <c r="C38" s="365" t="s">
        <v>285</v>
      </c>
      <c r="D38" s="432"/>
      <c r="E38" s="437">
        <f t="shared" si="1"/>
        <v>0</v>
      </c>
      <c r="F38" s="432">
        <f t="shared" si="2"/>
        <v>0</v>
      </c>
      <c r="G38" s="432">
        <f t="shared" si="3"/>
        <v>0</v>
      </c>
      <c r="H38" s="1435">
        <f>SUM($F$9:F38)/A38</f>
        <v>1.6</v>
      </c>
      <c r="I38" s="1439">
        <f t="shared" si="0"/>
        <v>96</v>
      </c>
      <c r="J38" s="1437">
        <f t="shared" si="4"/>
        <v>16</v>
      </c>
      <c r="K38" s="400">
        <f t="shared" si="5"/>
        <v>60</v>
      </c>
      <c r="L38" s="1499"/>
      <c r="M38" s="1499"/>
      <c r="N38" s="1499"/>
    </row>
    <row r="39" spans="1:14" s="367" customFormat="1" ht="13.5" customHeight="1">
      <c r="A39" s="330">
        <v>31</v>
      </c>
      <c r="B39" s="365">
        <f>'FRIT HGE91-FHG'!B39</f>
        <v>46265</v>
      </c>
      <c r="C39" s="365" t="s">
        <v>285</v>
      </c>
      <c r="D39" s="432"/>
      <c r="E39" s="437">
        <f t="shared" si="1"/>
        <v>0</v>
      </c>
      <c r="F39" s="432">
        <f t="shared" si="2"/>
        <v>0</v>
      </c>
      <c r="G39" s="432">
        <f t="shared" si="3"/>
        <v>0</v>
      </c>
      <c r="H39" s="1435">
        <f>SUM($F$9:F39)/A39</f>
        <v>1.5483870967741935</v>
      </c>
      <c r="I39" s="1436">
        <f t="shared" si="0"/>
        <v>96</v>
      </c>
      <c r="J39" s="1437">
        <f t="shared" si="4"/>
        <v>16</v>
      </c>
      <c r="K39" s="400">
        <f t="shared" si="5"/>
        <v>62</v>
      </c>
      <c r="L39" s="1423"/>
      <c r="M39" s="1423"/>
      <c r="N39" s="1423"/>
    </row>
    <row r="40" spans="1:14" s="374" customFormat="1" ht="13.5" customHeight="1">
      <c r="A40" s="1613" t="s">
        <v>29</v>
      </c>
      <c r="B40" s="1614"/>
      <c r="C40" s="1615"/>
      <c r="D40" s="301">
        <f>SUM(D9:D39)</f>
        <v>0</v>
      </c>
      <c r="E40" s="301">
        <f>SUM(E9:E39)</f>
        <v>0</v>
      </c>
      <c r="F40" s="422">
        <f>SUM(F9:F39)</f>
        <v>48</v>
      </c>
      <c r="G40" s="438">
        <f>SUM(G9:G39)</f>
        <v>8</v>
      </c>
      <c r="H40" s="422"/>
      <c r="I40" s="439">
        <f>I39</f>
        <v>96</v>
      </c>
      <c r="J40" s="439">
        <f>J39</f>
        <v>16</v>
      </c>
      <c r="K40" s="302"/>
      <c r="L40" s="691">
        <f>SUM(L9:L39)</f>
        <v>0</v>
      </c>
      <c r="M40" s="691">
        <f t="shared" ref="M40:N40" si="6">SUM(M9:M39)</f>
        <v>48</v>
      </c>
      <c r="N40" s="691">
        <f t="shared" si="6"/>
        <v>0</v>
      </c>
    </row>
    <row r="41" spans="1:14" s="374" customFormat="1" ht="13.5" customHeight="1">
      <c r="A41" s="1613" t="s">
        <v>15</v>
      </c>
      <c r="B41" s="1614"/>
      <c r="C41" s="1615"/>
      <c r="D41" s="301">
        <f>D8+D40</f>
        <v>144</v>
      </c>
      <c r="E41" s="301">
        <f>E8+E40</f>
        <v>24</v>
      </c>
      <c r="F41" s="422">
        <f>F40</f>
        <v>48</v>
      </c>
      <c r="G41" s="438">
        <f>G40</f>
        <v>8</v>
      </c>
      <c r="H41" s="422"/>
      <c r="I41" s="422">
        <f>D41-F41</f>
        <v>96</v>
      </c>
      <c r="J41" s="422">
        <f>E41-G41</f>
        <v>16</v>
      </c>
      <c r="K41" s="302"/>
      <c r="L41" s="694"/>
      <c r="M41" s="694"/>
      <c r="N41" s="694"/>
    </row>
    <row r="42" spans="1:14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L42" s="343"/>
      <c r="M42" s="343"/>
      <c r="N42" s="343"/>
    </row>
    <row r="43" spans="1:14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4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  <c r="L46" s="343"/>
      <c r="M46" s="343"/>
      <c r="N46" s="343"/>
    </row>
    <row r="47" spans="1:14">
      <c r="D47" s="42"/>
      <c r="E47" s="42"/>
      <c r="F47" s="42"/>
      <c r="G47" s="42"/>
      <c r="H47" s="42"/>
      <c r="I47" s="42"/>
      <c r="J47" s="260"/>
    </row>
    <row r="48" spans="1:14">
      <c r="J48" s="260"/>
    </row>
  </sheetData>
  <mergeCells count="16">
    <mergeCell ref="A41:C41"/>
    <mergeCell ref="A3:N3"/>
    <mergeCell ref="A4:B4"/>
    <mergeCell ref="A6:A7"/>
    <mergeCell ref="B6:B7"/>
    <mergeCell ref="C6:C7"/>
    <mergeCell ref="D6:E6"/>
    <mergeCell ref="F6:G6"/>
    <mergeCell ref="H6:H7"/>
    <mergeCell ref="I6:J6"/>
    <mergeCell ref="K6:K7"/>
    <mergeCell ref="L6:L7"/>
    <mergeCell ref="M6:M7"/>
    <mergeCell ref="N6:N7"/>
    <mergeCell ref="A8:C8"/>
    <mergeCell ref="A40:C40"/>
  </mergeCells>
  <conditionalFormatting sqref="K40:K41">
    <cfRule type="cellIs" dxfId="8870" priority="4" operator="between">
      <formula>15</formula>
      <formula>20</formula>
    </cfRule>
    <cfRule type="cellIs" dxfId="8869" priority="5" operator="lessThan">
      <formula>15</formula>
    </cfRule>
    <cfRule type="cellIs" dxfId="8868" priority="6" operator="greaterThan">
      <formula>20</formula>
    </cfRule>
  </conditionalFormatting>
  <conditionalFormatting sqref="K9:K39">
    <cfRule type="cellIs" dxfId="8867" priority="1" operator="between">
      <formula>15</formula>
      <formula>20</formula>
    </cfRule>
    <cfRule type="cellIs" dxfId="8866" priority="2" operator="lessThan">
      <formula>15</formula>
    </cfRule>
    <cfRule type="cellIs" dxfId="8865" priority="3" operator="greaterThan">
      <formula>20</formula>
    </cfRule>
  </conditionalFormatting>
  <hyperlinks>
    <hyperlink ref="K5" location="'TỔNG HỢP THÁNG'!A1" display="'TỔNG HỢP THÁNG'!A1"/>
  </hyperlinks>
  <pageMargins left="0.94488188976377963" right="0" top="0.23622047244094491" bottom="0.23622047244094491" header="0.74803149606299213" footer="0.31496062992125984"/>
  <pageSetup paperSize="8" scale="90" orientation="landscape" horizontalDpi="4294967292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48"/>
  <sheetViews>
    <sheetView zoomScale="85" zoomScaleNormal="85" workbookViewId="0">
      <pane ySplit="8" topLeftCell="A9" activePane="bottomLeft" state="frozen"/>
      <selection pane="bottomLeft" activeCell="D9" sqref="D9"/>
    </sheetView>
  </sheetViews>
  <sheetFormatPr defaultColWidth="9.28515625" defaultRowHeight="16.5"/>
  <cols>
    <col min="1" max="1" width="5.42578125" style="42" customWidth="1"/>
    <col min="2" max="2" width="9" style="42" customWidth="1"/>
    <col min="3" max="3" width="17" style="42" customWidth="1"/>
    <col min="4" max="7" width="12.42578125" style="6" customWidth="1"/>
    <col min="8" max="8" width="14" style="6" customWidth="1"/>
    <col min="9" max="10" width="11.7109375" style="6" customWidth="1"/>
    <col min="11" max="11" width="16" style="42" customWidth="1"/>
    <col min="12" max="12" width="9.85546875" style="6" customWidth="1"/>
    <col min="13" max="14" width="9.5703125" style="6" customWidth="1"/>
    <col min="15" max="16384" width="9.28515625" style="42"/>
  </cols>
  <sheetData>
    <row r="1" spans="1:25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142"/>
      <c r="M1" s="142"/>
      <c r="N1" s="142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M2" s="142"/>
      <c r="N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20" customFormat="1" ht="13.5" customHeight="1">
      <c r="A4" s="1600" t="s">
        <v>33</v>
      </c>
      <c r="B4" s="1600"/>
      <c r="C4" s="318" t="str">
        <f>J4</f>
        <v>DD RỬA MÁY IN PL 0101</v>
      </c>
      <c r="D4" s="317"/>
      <c r="E4" s="317" t="s">
        <v>228</v>
      </c>
      <c r="F4" s="317" t="s">
        <v>234</v>
      </c>
      <c r="G4" s="317"/>
      <c r="I4" s="325" t="s">
        <v>114</v>
      </c>
      <c r="J4" s="318" t="s">
        <v>269</v>
      </c>
      <c r="K4" s="319"/>
      <c r="L4" s="383"/>
      <c r="M4" s="383"/>
      <c r="N4" s="383"/>
    </row>
    <row r="5" spans="1:25" s="324" customFormat="1" ht="14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508" t="s">
        <v>292</v>
      </c>
      <c r="K5" s="375" t="s">
        <v>149</v>
      </c>
      <c r="L5" s="343"/>
      <c r="M5" s="343"/>
      <c r="N5" s="343"/>
    </row>
    <row r="6" spans="1:25" s="355" customFormat="1" ht="15.75" customHeight="1">
      <c r="A6" s="1630" t="s">
        <v>2</v>
      </c>
      <c r="B6" s="1631" t="s">
        <v>1</v>
      </c>
      <c r="C6" s="1631" t="s">
        <v>24</v>
      </c>
      <c r="D6" s="1629" t="s">
        <v>250</v>
      </c>
      <c r="E6" s="1629"/>
      <c r="F6" s="1629" t="s">
        <v>249</v>
      </c>
      <c r="G6" s="1629"/>
      <c r="H6" s="1629" t="s">
        <v>265</v>
      </c>
      <c r="I6" s="1629" t="s">
        <v>253</v>
      </c>
      <c r="J6" s="1629"/>
      <c r="K6" s="1629" t="s">
        <v>30</v>
      </c>
      <c r="L6" s="1620" t="s">
        <v>343</v>
      </c>
      <c r="M6" s="1620" t="s">
        <v>342</v>
      </c>
      <c r="N6" s="1632" t="s">
        <v>1027</v>
      </c>
    </row>
    <row r="7" spans="1:25" s="355" customFormat="1" ht="15.75" customHeight="1">
      <c r="A7" s="1630"/>
      <c r="B7" s="1631"/>
      <c r="C7" s="1631"/>
      <c r="D7" s="407" t="s">
        <v>10</v>
      </c>
      <c r="E7" s="407" t="s">
        <v>58</v>
      </c>
      <c r="F7" s="407" t="s">
        <v>10</v>
      </c>
      <c r="G7" s="407" t="s">
        <v>58</v>
      </c>
      <c r="H7" s="1629"/>
      <c r="I7" s="407" t="s">
        <v>10</v>
      </c>
      <c r="J7" s="407" t="s">
        <v>58</v>
      </c>
      <c r="K7" s="1629"/>
      <c r="L7" s="1621"/>
      <c r="M7" s="1621"/>
      <c r="N7" s="1632"/>
    </row>
    <row r="8" spans="1:25" s="305" customFormat="1" ht="13.5" customHeight="1">
      <c r="A8" s="1597" t="s">
        <v>3</v>
      </c>
      <c r="B8" s="1598"/>
      <c r="C8" s="1599"/>
      <c r="D8" s="300">
        <f>I8</f>
        <v>32</v>
      </c>
      <c r="E8" s="300">
        <f>D8/4</f>
        <v>8</v>
      </c>
      <c r="F8" s="422">
        <f>F40</f>
        <v>0</v>
      </c>
      <c r="G8" s="423">
        <f>G40</f>
        <v>0</v>
      </c>
      <c r="H8" s="300"/>
      <c r="I8" s="626">
        <v>32</v>
      </c>
      <c r="J8" s="626">
        <f>I8/4</f>
        <v>8</v>
      </c>
      <c r="K8" s="304"/>
      <c r="L8" s="688"/>
      <c r="M8" s="688"/>
      <c r="N8" s="688"/>
    </row>
    <row r="9" spans="1:25" s="333" customFormat="1" ht="13.5" customHeight="1">
      <c r="A9" s="330">
        <v>1</v>
      </c>
      <c r="B9" s="365">
        <f>'FRIT HGE91-FHG'!B9</f>
        <v>46235</v>
      </c>
      <c r="C9" s="331" t="s">
        <v>285</v>
      </c>
      <c r="D9" s="428"/>
      <c r="E9" s="338">
        <f t="shared" ref="E9:E39" si="0">D9/4</f>
        <v>0</v>
      </c>
      <c r="F9" s="428">
        <f>L9+M9+N9</f>
        <v>0</v>
      </c>
      <c r="G9" s="428">
        <f t="shared" ref="G9:G21" si="1">F9/4</f>
        <v>0</v>
      </c>
      <c r="H9" s="429">
        <f>SUM($F$9:F9)/A9</f>
        <v>0</v>
      </c>
      <c r="I9" s="433">
        <f t="shared" ref="I9:I39" si="2">I8+D9-F9</f>
        <v>32</v>
      </c>
      <c r="J9" s="434">
        <f t="shared" ref="J9:J39" si="3">I9/4</f>
        <v>8</v>
      </c>
      <c r="K9" s="424" t="e">
        <f>I9/H9</f>
        <v>#DIV/0!</v>
      </c>
      <c r="L9" s="692"/>
      <c r="M9" s="692"/>
      <c r="N9" s="692"/>
    </row>
    <row r="10" spans="1:25" s="333" customFormat="1" ht="13.5" customHeight="1">
      <c r="A10" s="330">
        <v>2</v>
      </c>
      <c r="B10" s="365">
        <f>'FRIT HGE91-FHG'!B10</f>
        <v>46236</v>
      </c>
      <c r="C10" s="331" t="s">
        <v>285</v>
      </c>
      <c r="D10" s="428"/>
      <c r="E10" s="338">
        <f t="shared" si="0"/>
        <v>0</v>
      </c>
      <c r="F10" s="428">
        <f t="shared" ref="F10:F39" si="4">L10+M10+N10</f>
        <v>0</v>
      </c>
      <c r="G10" s="428">
        <f t="shared" si="1"/>
        <v>0</v>
      </c>
      <c r="H10" s="429">
        <f>SUM($F$9:F10)/A10</f>
        <v>0</v>
      </c>
      <c r="I10" s="433">
        <f t="shared" si="2"/>
        <v>32</v>
      </c>
      <c r="J10" s="434">
        <f t="shared" si="3"/>
        <v>8</v>
      </c>
      <c r="K10" s="424" t="e">
        <f t="shared" ref="K10:K39" si="5">I10/H10</f>
        <v>#DIV/0!</v>
      </c>
      <c r="L10" s="692"/>
      <c r="M10" s="692"/>
      <c r="N10" s="692"/>
    </row>
    <row r="11" spans="1:25" s="333" customFormat="1" ht="13.5" customHeight="1">
      <c r="A11" s="330">
        <v>3</v>
      </c>
      <c r="B11" s="365">
        <f>'FRIT HGE91-FHG'!B11</f>
        <v>46237</v>
      </c>
      <c r="C11" s="331" t="s">
        <v>285</v>
      </c>
      <c r="D11" s="428"/>
      <c r="E11" s="338">
        <f t="shared" si="0"/>
        <v>0</v>
      </c>
      <c r="F11" s="428">
        <f t="shared" si="4"/>
        <v>0</v>
      </c>
      <c r="G11" s="428">
        <f t="shared" si="1"/>
        <v>0</v>
      </c>
      <c r="H11" s="429">
        <f>SUM($F$9:F11)/A11</f>
        <v>0</v>
      </c>
      <c r="I11" s="433">
        <f t="shared" si="2"/>
        <v>32</v>
      </c>
      <c r="J11" s="434">
        <f t="shared" si="3"/>
        <v>8</v>
      </c>
      <c r="K11" s="424" t="e">
        <f t="shared" si="5"/>
        <v>#DIV/0!</v>
      </c>
      <c r="L11" s="692"/>
      <c r="M11" s="692"/>
      <c r="N11" s="692"/>
    </row>
    <row r="12" spans="1:25" s="367" customFormat="1" ht="13.5" customHeight="1">
      <c r="A12" s="330">
        <v>4</v>
      </c>
      <c r="B12" s="365">
        <f>'FRIT HGE91-FHG'!B12</f>
        <v>46238</v>
      </c>
      <c r="C12" s="331" t="s">
        <v>285</v>
      </c>
      <c r="D12" s="428"/>
      <c r="E12" s="338">
        <f t="shared" si="0"/>
        <v>0</v>
      </c>
      <c r="F12" s="428">
        <f t="shared" si="4"/>
        <v>0</v>
      </c>
      <c r="G12" s="428">
        <f t="shared" si="1"/>
        <v>0</v>
      </c>
      <c r="H12" s="429">
        <f>SUM($F$9:F12)/A12</f>
        <v>0</v>
      </c>
      <c r="I12" s="433">
        <f t="shared" si="2"/>
        <v>32</v>
      </c>
      <c r="J12" s="434">
        <f t="shared" si="3"/>
        <v>8</v>
      </c>
      <c r="K12" s="424" t="e">
        <f t="shared" si="5"/>
        <v>#DIV/0!</v>
      </c>
      <c r="L12" s="692"/>
      <c r="M12" s="692"/>
      <c r="N12" s="692"/>
    </row>
    <row r="13" spans="1:25" s="367" customFormat="1" ht="13.5" customHeight="1">
      <c r="A13" s="425">
        <v>5</v>
      </c>
      <c r="B13" s="365">
        <f>'FRIT HGE91-FHG'!B13</f>
        <v>46239</v>
      </c>
      <c r="C13" s="331" t="s">
        <v>285</v>
      </c>
      <c r="D13" s="428"/>
      <c r="E13" s="338">
        <f t="shared" si="0"/>
        <v>0</v>
      </c>
      <c r="F13" s="428">
        <f t="shared" si="4"/>
        <v>0</v>
      </c>
      <c r="G13" s="428">
        <f t="shared" si="1"/>
        <v>0</v>
      </c>
      <c r="H13" s="430">
        <f>SUM($F$9:F13)/A13</f>
        <v>0</v>
      </c>
      <c r="I13" s="435">
        <f t="shared" si="2"/>
        <v>32</v>
      </c>
      <c r="J13" s="434">
        <f t="shared" si="3"/>
        <v>8</v>
      </c>
      <c r="K13" s="424" t="e">
        <f t="shared" si="5"/>
        <v>#DIV/0!</v>
      </c>
      <c r="L13" s="692"/>
      <c r="M13" s="692"/>
      <c r="N13" s="692"/>
    </row>
    <row r="14" spans="1:25" s="367" customFormat="1" ht="13.5" customHeight="1">
      <c r="A14" s="330">
        <v>6</v>
      </c>
      <c r="B14" s="365">
        <f>'FRIT HGE91-FHG'!B14</f>
        <v>46240</v>
      </c>
      <c r="C14" s="331" t="s">
        <v>285</v>
      </c>
      <c r="D14" s="428"/>
      <c r="E14" s="338">
        <f t="shared" si="0"/>
        <v>0</v>
      </c>
      <c r="F14" s="428">
        <f t="shared" si="4"/>
        <v>0</v>
      </c>
      <c r="G14" s="428">
        <f t="shared" si="1"/>
        <v>0</v>
      </c>
      <c r="H14" s="429">
        <f>SUM($F$9:F14)/A14</f>
        <v>0</v>
      </c>
      <c r="I14" s="433">
        <f t="shared" si="2"/>
        <v>32</v>
      </c>
      <c r="J14" s="434">
        <f t="shared" si="3"/>
        <v>8</v>
      </c>
      <c r="K14" s="424" t="e">
        <f t="shared" si="5"/>
        <v>#DIV/0!</v>
      </c>
      <c r="L14" s="692"/>
      <c r="M14" s="692"/>
      <c r="N14" s="692"/>
    </row>
    <row r="15" spans="1:25" s="367" customFormat="1" ht="13.5" customHeight="1">
      <c r="A15" s="330">
        <v>7</v>
      </c>
      <c r="B15" s="365">
        <f>'FRIT HGE91-FHG'!B15</f>
        <v>46241</v>
      </c>
      <c r="C15" s="331" t="s">
        <v>285</v>
      </c>
      <c r="D15" s="428"/>
      <c r="E15" s="338">
        <f t="shared" si="0"/>
        <v>0</v>
      </c>
      <c r="F15" s="428">
        <f t="shared" si="4"/>
        <v>0</v>
      </c>
      <c r="G15" s="428">
        <f t="shared" si="1"/>
        <v>0</v>
      </c>
      <c r="H15" s="429">
        <f>SUM($F$9:F15)/A15</f>
        <v>0</v>
      </c>
      <c r="I15" s="433">
        <f t="shared" si="2"/>
        <v>32</v>
      </c>
      <c r="J15" s="434">
        <f t="shared" si="3"/>
        <v>8</v>
      </c>
      <c r="K15" s="424" t="e">
        <f t="shared" si="5"/>
        <v>#DIV/0!</v>
      </c>
      <c r="L15" s="692"/>
      <c r="M15" s="692"/>
      <c r="N15" s="692"/>
    </row>
    <row r="16" spans="1:25" s="367" customFormat="1" ht="13.5" customHeight="1">
      <c r="A16" s="330">
        <v>8</v>
      </c>
      <c r="B16" s="365">
        <f>'FRIT HGE91-FHG'!B16</f>
        <v>46242</v>
      </c>
      <c r="C16" s="331" t="s">
        <v>285</v>
      </c>
      <c r="D16" s="428"/>
      <c r="E16" s="338">
        <f t="shared" si="0"/>
        <v>0</v>
      </c>
      <c r="F16" s="428">
        <f t="shared" si="4"/>
        <v>0</v>
      </c>
      <c r="G16" s="428">
        <f t="shared" si="1"/>
        <v>0</v>
      </c>
      <c r="H16" s="429">
        <f>SUM($F$9:F16)/A16</f>
        <v>0</v>
      </c>
      <c r="I16" s="433">
        <f t="shared" si="2"/>
        <v>32</v>
      </c>
      <c r="J16" s="434">
        <f t="shared" si="3"/>
        <v>8</v>
      </c>
      <c r="K16" s="424" t="e">
        <f t="shared" si="5"/>
        <v>#DIV/0!</v>
      </c>
      <c r="L16" s="692"/>
      <c r="M16" s="692"/>
      <c r="N16" s="692"/>
    </row>
    <row r="17" spans="1:14" s="367" customFormat="1" ht="13.5" customHeight="1">
      <c r="A17" s="330">
        <v>9</v>
      </c>
      <c r="B17" s="365">
        <f>'FRIT HGE91-FHG'!B17</f>
        <v>46243</v>
      </c>
      <c r="C17" s="331" t="s">
        <v>285</v>
      </c>
      <c r="D17" s="428"/>
      <c r="E17" s="338">
        <f t="shared" si="0"/>
        <v>0</v>
      </c>
      <c r="F17" s="428">
        <f t="shared" si="4"/>
        <v>0</v>
      </c>
      <c r="G17" s="428">
        <f t="shared" si="1"/>
        <v>0</v>
      </c>
      <c r="H17" s="429">
        <f>SUM($F$9:F17)/A17</f>
        <v>0</v>
      </c>
      <c r="I17" s="433">
        <f t="shared" si="2"/>
        <v>32</v>
      </c>
      <c r="J17" s="434">
        <f t="shared" si="3"/>
        <v>8</v>
      </c>
      <c r="K17" s="424" t="e">
        <f t="shared" si="5"/>
        <v>#DIV/0!</v>
      </c>
      <c r="L17" s="692"/>
      <c r="M17" s="692"/>
      <c r="N17" s="692"/>
    </row>
    <row r="18" spans="1:14" s="367" customFormat="1" ht="13.5" customHeight="1">
      <c r="A18" s="425">
        <v>10</v>
      </c>
      <c r="B18" s="365">
        <f>'FRIT HGE91-FHG'!B18</f>
        <v>46244</v>
      </c>
      <c r="C18" s="331" t="s">
        <v>285</v>
      </c>
      <c r="D18" s="428"/>
      <c r="E18" s="338">
        <f t="shared" si="0"/>
        <v>0</v>
      </c>
      <c r="F18" s="428">
        <f t="shared" si="4"/>
        <v>0</v>
      </c>
      <c r="G18" s="428">
        <f t="shared" si="1"/>
        <v>0</v>
      </c>
      <c r="H18" s="430">
        <f>SUM($F$9:F18)/A18</f>
        <v>0</v>
      </c>
      <c r="I18" s="435">
        <f t="shared" si="2"/>
        <v>32</v>
      </c>
      <c r="J18" s="434">
        <f t="shared" si="3"/>
        <v>8</v>
      </c>
      <c r="K18" s="424" t="e">
        <f t="shared" si="5"/>
        <v>#DIV/0!</v>
      </c>
      <c r="L18" s="692"/>
      <c r="M18" s="692"/>
      <c r="N18" s="692"/>
    </row>
    <row r="19" spans="1:14" s="367" customFormat="1" ht="13.5" customHeight="1">
      <c r="A19" s="330">
        <v>11</v>
      </c>
      <c r="B19" s="365">
        <f>'FRIT HGE91-FHG'!B19</f>
        <v>46245</v>
      </c>
      <c r="C19" s="331" t="s">
        <v>285</v>
      </c>
      <c r="D19" s="428"/>
      <c r="E19" s="338">
        <f t="shared" si="0"/>
        <v>0</v>
      </c>
      <c r="F19" s="428">
        <f t="shared" si="4"/>
        <v>0</v>
      </c>
      <c r="G19" s="428">
        <f t="shared" si="1"/>
        <v>0</v>
      </c>
      <c r="H19" s="429">
        <f>SUM($F$9:F19)/A19</f>
        <v>0</v>
      </c>
      <c r="I19" s="433">
        <f t="shared" si="2"/>
        <v>32</v>
      </c>
      <c r="J19" s="434">
        <f t="shared" si="3"/>
        <v>8</v>
      </c>
      <c r="K19" s="424" t="e">
        <f t="shared" si="5"/>
        <v>#DIV/0!</v>
      </c>
      <c r="L19" s="692"/>
      <c r="M19" s="692"/>
      <c r="N19" s="692"/>
    </row>
    <row r="20" spans="1:14" s="367" customFormat="1" ht="13.5" customHeight="1">
      <c r="A20" s="330">
        <v>12</v>
      </c>
      <c r="B20" s="365">
        <f>'FRIT HGE91-FHG'!B20</f>
        <v>46246</v>
      </c>
      <c r="C20" s="331" t="s">
        <v>285</v>
      </c>
      <c r="D20" s="428"/>
      <c r="E20" s="338">
        <f t="shared" si="0"/>
        <v>0</v>
      </c>
      <c r="F20" s="428">
        <f t="shared" si="4"/>
        <v>0</v>
      </c>
      <c r="G20" s="428">
        <f t="shared" si="1"/>
        <v>0</v>
      </c>
      <c r="H20" s="429">
        <f>SUM($F$9:F20)/A20</f>
        <v>0</v>
      </c>
      <c r="I20" s="433">
        <f t="shared" si="2"/>
        <v>32</v>
      </c>
      <c r="J20" s="434">
        <f t="shared" si="3"/>
        <v>8</v>
      </c>
      <c r="K20" s="424" t="e">
        <f t="shared" si="5"/>
        <v>#DIV/0!</v>
      </c>
      <c r="L20" s="692"/>
      <c r="M20" s="692"/>
      <c r="N20" s="692"/>
    </row>
    <row r="21" spans="1:14" s="367" customFormat="1" ht="13.5" customHeight="1">
      <c r="A21" s="330">
        <v>13</v>
      </c>
      <c r="B21" s="365">
        <f>'FRIT HGE91-FHG'!B21</f>
        <v>46247</v>
      </c>
      <c r="C21" s="331" t="s">
        <v>285</v>
      </c>
      <c r="D21" s="428"/>
      <c r="E21" s="338">
        <f t="shared" si="0"/>
        <v>0</v>
      </c>
      <c r="F21" s="428">
        <f t="shared" si="4"/>
        <v>0</v>
      </c>
      <c r="G21" s="428">
        <f t="shared" si="1"/>
        <v>0</v>
      </c>
      <c r="H21" s="429">
        <f>SUM($F$9:F21)/A21</f>
        <v>0</v>
      </c>
      <c r="I21" s="433">
        <f t="shared" si="2"/>
        <v>32</v>
      </c>
      <c r="J21" s="434">
        <f t="shared" si="3"/>
        <v>8</v>
      </c>
      <c r="K21" s="424" t="e">
        <f t="shared" si="5"/>
        <v>#DIV/0!</v>
      </c>
      <c r="L21" s="692"/>
      <c r="M21" s="692"/>
      <c r="N21" s="692"/>
    </row>
    <row r="22" spans="1:14" s="367" customFormat="1" ht="13.5" customHeight="1">
      <c r="A22" s="330">
        <v>14</v>
      </c>
      <c r="B22" s="365">
        <f>'FRIT HGE91-FHG'!B22</f>
        <v>46248</v>
      </c>
      <c r="C22" s="331" t="s">
        <v>285</v>
      </c>
      <c r="D22" s="428"/>
      <c r="E22" s="338">
        <f t="shared" si="0"/>
        <v>0</v>
      </c>
      <c r="F22" s="428">
        <f t="shared" si="4"/>
        <v>0</v>
      </c>
      <c r="G22" s="428">
        <f>F22/4</f>
        <v>0</v>
      </c>
      <c r="H22" s="429">
        <f>SUM($F$9:F22)/A22</f>
        <v>0</v>
      </c>
      <c r="I22" s="433">
        <f t="shared" si="2"/>
        <v>32</v>
      </c>
      <c r="J22" s="434">
        <f t="shared" si="3"/>
        <v>8</v>
      </c>
      <c r="K22" s="424" t="e">
        <f t="shared" si="5"/>
        <v>#DIV/0!</v>
      </c>
      <c r="L22" s="692"/>
      <c r="M22" s="692"/>
      <c r="N22" s="692"/>
    </row>
    <row r="23" spans="1:14" s="367" customFormat="1" ht="13.5" customHeight="1">
      <c r="A23" s="425">
        <v>15</v>
      </c>
      <c r="B23" s="365">
        <f>'FRIT HGE91-FHG'!B23</f>
        <v>46249</v>
      </c>
      <c r="C23" s="331" t="s">
        <v>285</v>
      </c>
      <c r="D23" s="428"/>
      <c r="E23" s="338">
        <f t="shared" si="0"/>
        <v>0</v>
      </c>
      <c r="F23" s="428">
        <f t="shared" si="4"/>
        <v>0</v>
      </c>
      <c r="G23" s="428">
        <f t="shared" ref="G23:G39" si="6">F23/4</f>
        <v>0</v>
      </c>
      <c r="H23" s="430">
        <f>SUM($F$9:F23)/A23</f>
        <v>0</v>
      </c>
      <c r="I23" s="435">
        <f t="shared" si="2"/>
        <v>32</v>
      </c>
      <c r="J23" s="434">
        <f t="shared" si="3"/>
        <v>8</v>
      </c>
      <c r="K23" s="424" t="e">
        <f t="shared" si="5"/>
        <v>#DIV/0!</v>
      </c>
      <c r="L23" s="692"/>
      <c r="M23" s="692"/>
      <c r="N23" s="692"/>
    </row>
    <row r="24" spans="1:14" s="367" customFormat="1" ht="13.5" customHeight="1">
      <c r="A24" s="330">
        <v>16</v>
      </c>
      <c r="B24" s="365">
        <f>'FRIT HGE91-FHG'!B24</f>
        <v>46250</v>
      </c>
      <c r="C24" s="331" t="s">
        <v>285</v>
      </c>
      <c r="D24" s="428"/>
      <c r="E24" s="338">
        <f t="shared" si="0"/>
        <v>0</v>
      </c>
      <c r="F24" s="428">
        <f t="shared" si="4"/>
        <v>0</v>
      </c>
      <c r="G24" s="428">
        <f t="shared" si="6"/>
        <v>0</v>
      </c>
      <c r="H24" s="429">
        <f>SUM($F$9:F24)/A24</f>
        <v>0</v>
      </c>
      <c r="I24" s="433">
        <f t="shared" si="2"/>
        <v>32</v>
      </c>
      <c r="J24" s="434">
        <f t="shared" si="3"/>
        <v>8</v>
      </c>
      <c r="K24" s="424" t="e">
        <f t="shared" si="5"/>
        <v>#DIV/0!</v>
      </c>
      <c r="L24" s="692"/>
      <c r="M24" s="692"/>
      <c r="N24" s="692"/>
    </row>
    <row r="25" spans="1:14" s="367" customFormat="1" ht="13.5" customHeight="1">
      <c r="A25" s="330">
        <v>17</v>
      </c>
      <c r="B25" s="365">
        <f>'FRIT HGE91-FHG'!B25</f>
        <v>46251</v>
      </c>
      <c r="C25" s="331" t="s">
        <v>285</v>
      </c>
      <c r="D25" s="428"/>
      <c r="E25" s="338">
        <f t="shared" si="0"/>
        <v>0</v>
      </c>
      <c r="F25" s="428">
        <f t="shared" si="4"/>
        <v>0</v>
      </c>
      <c r="G25" s="428">
        <f t="shared" si="6"/>
        <v>0</v>
      </c>
      <c r="H25" s="429">
        <f>SUM($F$9:F25)/A25</f>
        <v>0</v>
      </c>
      <c r="I25" s="433">
        <f t="shared" si="2"/>
        <v>32</v>
      </c>
      <c r="J25" s="434">
        <f t="shared" si="3"/>
        <v>8</v>
      </c>
      <c r="K25" s="424" t="e">
        <f t="shared" si="5"/>
        <v>#DIV/0!</v>
      </c>
      <c r="L25" s="692"/>
      <c r="M25" s="692"/>
      <c r="N25" s="692"/>
    </row>
    <row r="26" spans="1:14" s="367" customFormat="1" ht="13.5" customHeight="1">
      <c r="A26" s="330">
        <v>18</v>
      </c>
      <c r="B26" s="365">
        <f>'FRIT HGE91-FHG'!B26</f>
        <v>46252</v>
      </c>
      <c r="C26" s="331" t="s">
        <v>285</v>
      </c>
      <c r="D26" s="428"/>
      <c r="E26" s="338">
        <f t="shared" si="0"/>
        <v>0</v>
      </c>
      <c r="F26" s="428">
        <f t="shared" si="4"/>
        <v>0</v>
      </c>
      <c r="G26" s="428">
        <f t="shared" si="6"/>
        <v>0</v>
      </c>
      <c r="H26" s="429">
        <f>SUM($F$9:F26)/A26</f>
        <v>0</v>
      </c>
      <c r="I26" s="433">
        <f t="shared" si="2"/>
        <v>32</v>
      </c>
      <c r="J26" s="434">
        <f t="shared" si="3"/>
        <v>8</v>
      </c>
      <c r="K26" s="424" t="e">
        <f t="shared" si="5"/>
        <v>#DIV/0!</v>
      </c>
      <c r="L26" s="692"/>
      <c r="M26" s="692"/>
      <c r="N26" s="692"/>
    </row>
    <row r="27" spans="1:14" s="367" customFormat="1" ht="13.5" customHeight="1">
      <c r="A27" s="330">
        <v>19</v>
      </c>
      <c r="B27" s="365">
        <f>'FRIT HGE91-FHG'!B27</f>
        <v>46253</v>
      </c>
      <c r="C27" s="331" t="s">
        <v>285</v>
      </c>
      <c r="D27" s="428"/>
      <c r="E27" s="338">
        <f t="shared" si="0"/>
        <v>0</v>
      </c>
      <c r="F27" s="428">
        <f t="shared" si="4"/>
        <v>0</v>
      </c>
      <c r="G27" s="428">
        <f t="shared" si="6"/>
        <v>0</v>
      </c>
      <c r="H27" s="429">
        <f>SUM($F$9:F27)/A27</f>
        <v>0</v>
      </c>
      <c r="I27" s="433">
        <f t="shared" si="2"/>
        <v>32</v>
      </c>
      <c r="J27" s="434">
        <f t="shared" si="3"/>
        <v>8</v>
      </c>
      <c r="K27" s="424" t="e">
        <f t="shared" si="5"/>
        <v>#DIV/0!</v>
      </c>
      <c r="L27" s="692"/>
      <c r="M27" s="692"/>
      <c r="N27" s="692"/>
    </row>
    <row r="28" spans="1:14" s="367" customFormat="1" ht="13.5" customHeight="1">
      <c r="A28" s="425">
        <v>20</v>
      </c>
      <c r="B28" s="365">
        <f>'FRIT HGE91-FHG'!B28</f>
        <v>46254</v>
      </c>
      <c r="C28" s="331" t="s">
        <v>285</v>
      </c>
      <c r="D28" s="428"/>
      <c r="E28" s="338">
        <f t="shared" si="0"/>
        <v>0</v>
      </c>
      <c r="F28" s="428">
        <f t="shared" si="4"/>
        <v>0</v>
      </c>
      <c r="G28" s="428">
        <f t="shared" si="6"/>
        <v>0</v>
      </c>
      <c r="H28" s="430">
        <f>SUM($F$9:F28)/A28</f>
        <v>0</v>
      </c>
      <c r="I28" s="435">
        <f t="shared" si="2"/>
        <v>32</v>
      </c>
      <c r="J28" s="434">
        <f t="shared" si="3"/>
        <v>8</v>
      </c>
      <c r="K28" s="424" t="e">
        <f t="shared" si="5"/>
        <v>#DIV/0!</v>
      </c>
      <c r="L28" s="692"/>
      <c r="M28" s="692"/>
      <c r="N28" s="692"/>
    </row>
    <row r="29" spans="1:14" s="367" customFormat="1" ht="13.5" customHeight="1">
      <c r="A29" s="330">
        <v>21</v>
      </c>
      <c r="B29" s="365">
        <f>'FRIT HGE91-FHG'!B29</f>
        <v>46255</v>
      </c>
      <c r="C29" s="331" t="s">
        <v>285</v>
      </c>
      <c r="D29" s="428"/>
      <c r="E29" s="338">
        <f t="shared" si="0"/>
        <v>0</v>
      </c>
      <c r="F29" s="428">
        <f t="shared" si="4"/>
        <v>0</v>
      </c>
      <c r="G29" s="428">
        <f t="shared" si="6"/>
        <v>0</v>
      </c>
      <c r="H29" s="429">
        <f>SUM($F$9:F29)/A29</f>
        <v>0</v>
      </c>
      <c r="I29" s="433">
        <f t="shared" si="2"/>
        <v>32</v>
      </c>
      <c r="J29" s="434">
        <f t="shared" si="3"/>
        <v>8</v>
      </c>
      <c r="K29" s="424" t="e">
        <f t="shared" si="5"/>
        <v>#DIV/0!</v>
      </c>
      <c r="L29" s="692"/>
      <c r="M29" s="692"/>
      <c r="N29" s="692"/>
    </row>
    <row r="30" spans="1:14" s="367" customFormat="1" ht="13.5" customHeight="1">
      <c r="A30" s="330">
        <v>22</v>
      </c>
      <c r="B30" s="365">
        <f>'FRIT HGE91-FHG'!B30</f>
        <v>46256</v>
      </c>
      <c r="C30" s="331" t="s">
        <v>285</v>
      </c>
      <c r="D30" s="428"/>
      <c r="E30" s="338">
        <f t="shared" si="0"/>
        <v>0</v>
      </c>
      <c r="F30" s="428">
        <f t="shared" si="4"/>
        <v>0</v>
      </c>
      <c r="G30" s="428">
        <f t="shared" si="6"/>
        <v>0</v>
      </c>
      <c r="H30" s="429">
        <f>SUM($F$9:F30)/A30</f>
        <v>0</v>
      </c>
      <c r="I30" s="433">
        <f t="shared" si="2"/>
        <v>32</v>
      </c>
      <c r="J30" s="434">
        <f t="shared" si="3"/>
        <v>8</v>
      </c>
      <c r="K30" s="424" t="e">
        <f t="shared" si="5"/>
        <v>#DIV/0!</v>
      </c>
      <c r="L30" s="692"/>
      <c r="M30" s="692"/>
      <c r="N30" s="692"/>
    </row>
    <row r="31" spans="1:14" s="367" customFormat="1" ht="13.5" customHeight="1">
      <c r="A31" s="330">
        <v>23</v>
      </c>
      <c r="B31" s="365">
        <f>'FRIT HGE91-FHG'!B31</f>
        <v>46257</v>
      </c>
      <c r="C31" s="331" t="s">
        <v>285</v>
      </c>
      <c r="D31" s="428"/>
      <c r="E31" s="338">
        <f t="shared" si="0"/>
        <v>0</v>
      </c>
      <c r="F31" s="428">
        <f t="shared" si="4"/>
        <v>0</v>
      </c>
      <c r="G31" s="428">
        <f t="shared" si="6"/>
        <v>0</v>
      </c>
      <c r="H31" s="429">
        <f>SUM($F$9:F31)/A31</f>
        <v>0</v>
      </c>
      <c r="I31" s="433">
        <f t="shared" si="2"/>
        <v>32</v>
      </c>
      <c r="J31" s="434">
        <f t="shared" si="3"/>
        <v>8</v>
      </c>
      <c r="K31" s="424" t="e">
        <f t="shared" si="5"/>
        <v>#DIV/0!</v>
      </c>
      <c r="L31" s="692"/>
      <c r="M31" s="692"/>
      <c r="N31" s="692"/>
    </row>
    <row r="32" spans="1:14" s="367" customFormat="1" ht="13.5" customHeight="1">
      <c r="A32" s="330">
        <v>24</v>
      </c>
      <c r="B32" s="365">
        <f>'FRIT HGE91-FHG'!B32</f>
        <v>46258</v>
      </c>
      <c r="C32" s="331" t="s">
        <v>285</v>
      </c>
      <c r="D32" s="428"/>
      <c r="E32" s="338">
        <f t="shared" si="0"/>
        <v>0</v>
      </c>
      <c r="F32" s="428">
        <f t="shared" si="4"/>
        <v>0</v>
      </c>
      <c r="G32" s="428">
        <f t="shared" si="6"/>
        <v>0</v>
      </c>
      <c r="H32" s="429">
        <f>SUM($F$9:F32)/A32</f>
        <v>0</v>
      </c>
      <c r="I32" s="433">
        <f t="shared" si="2"/>
        <v>32</v>
      </c>
      <c r="J32" s="434">
        <f t="shared" si="3"/>
        <v>8</v>
      </c>
      <c r="K32" s="424" t="e">
        <f t="shared" si="5"/>
        <v>#DIV/0!</v>
      </c>
      <c r="L32" s="692"/>
      <c r="M32" s="692"/>
      <c r="N32" s="692"/>
    </row>
    <row r="33" spans="1:14" s="367" customFormat="1" ht="13.5" customHeight="1">
      <c r="A33" s="426">
        <v>25</v>
      </c>
      <c r="B33" s="365">
        <f>'FRIT HGE91-FHG'!B33</f>
        <v>46259</v>
      </c>
      <c r="C33" s="331" t="s">
        <v>285</v>
      </c>
      <c r="D33" s="428"/>
      <c r="E33" s="338">
        <f t="shared" si="0"/>
        <v>0</v>
      </c>
      <c r="F33" s="428">
        <f t="shared" si="4"/>
        <v>0</v>
      </c>
      <c r="G33" s="428">
        <f t="shared" si="6"/>
        <v>0</v>
      </c>
      <c r="H33" s="431">
        <f>SUM($F$9:F33)/A33</f>
        <v>0</v>
      </c>
      <c r="I33" s="436">
        <f t="shared" si="2"/>
        <v>32</v>
      </c>
      <c r="J33" s="434">
        <f t="shared" si="3"/>
        <v>8</v>
      </c>
      <c r="K33" s="424" t="e">
        <f t="shared" si="5"/>
        <v>#DIV/0!</v>
      </c>
      <c r="L33" s="692"/>
      <c r="M33" s="692"/>
      <c r="N33" s="692"/>
    </row>
    <row r="34" spans="1:14" s="367" customFormat="1" ht="13.5" customHeight="1">
      <c r="A34" s="330">
        <v>26</v>
      </c>
      <c r="B34" s="365">
        <f>'FRIT HGE91-FHG'!B34</f>
        <v>46260</v>
      </c>
      <c r="C34" s="331" t="s">
        <v>285</v>
      </c>
      <c r="D34" s="428"/>
      <c r="E34" s="338">
        <f t="shared" si="0"/>
        <v>0</v>
      </c>
      <c r="F34" s="428">
        <f t="shared" si="4"/>
        <v>0</v>
      </c>
      <c r="G34" s="428">
        <f t="shared" si="6"/>
        <v>0</v>
      </c>
      <c r="H34" s="429">
        <f>SUM($F$9:F34)/A34</f>
        <v>0</v>
      </c>
      <c r="I34" s="433">
        <f t="shared" si="2"/>
        <v>32</v>
      </c>
      <c r="J34" s="434">
        <f t="shared" si="3"/>
        <v>8</v>
      </c>
      <c r="K34" s="424" t="e">
        <f t="shared" si="5"/>
        <v>#DIV/0!</v>
      </c>
      <c r="L34" s="692"/>
      <c r="M34" s="692"/>
      <c r="N34" s="692"/>
    </row>
    <row r="35" spans="1:14" s="367" customFormat="1" ht="13.5" customHeight="1">
      <c r="A35" s="330">
        <v>27</v>
      </c>
      <c r="B35" s="365">
        <f>'FRIT HGE91-FHG'!B35</f>
        <v>46261</v>
      </c>
      <c r="C35" s="331" t="s">
        <v>285</v>
      </c>
      <c r="D35" s="428"/>
      <c r="E35" s="437">
        <f t="shared" si="0"/>
        <v>0</v>
      </c>
      <c r="F35" s="428">
        <f t="shared" si="4"/>
        <v>0</v>
      </c>
      <c r="G35" s="432">
        <f t="shared" si="6"/>
        <v>0</v>
      </c>
      <c r="H35" s="429">
        <f>SUM($F$9:F35)/A35</f>
        <v>0</v>
      </c>
      <c r="I35" s="433">
        <f t="shared" si="2"/>
        <v>32</v>
      </c>
      <c r="J35" s="434">
        <f t="shared" si="3"/>
        <v>8</v>
      </c>
      <c r="K35" s="424" t="e">
        <f t="shared" si="5"/>
        <v>#DIV/0!</v>
      </c>
      <c r="L35" s="692"/>
      <c r="M35" s="692"/>
      <c r="N35" s="692"/>
    </row>
    <row r="36" spans="1:14" s="367" customFormat="1" ht="13.5" customHeight="1">
      <c r="A36" s="330">
        <v>28</v>
      </c>
      <c r="B36" s="365">
        <f>'FRIT HGE91-FHG'!B36</f>
        <v>46262</v>
      </c>
      <c r="C36" s="331" t="s">
        <v>285</v>
      </c>
      <c r="D36" s="428"/>
      <c r="E36" s="437">
        <f t="shared" si="0"/>
        <v>0</v>
      </c>
      <c r="F36" s="428">
        <f t="shared" si="4"/>
        <v>0</v>
      </c>
      <c r="G36" s="432">
        <f t="shared" si="6"/>
        <v>0</v>
      </c>
      <c r="H36" s="429">
        <f>SUM($F$9:F36)/A36</f>
        <v>0</v>
      </c>
      <c r="I36" s="433">
        <f t="shared" si="2"/>
        <v>32</v>
      </c>
      <c r="J36" s="434">
        <f t="shared" si="3"/>
        <v>8</v>
      </c>
      <c r="K36" s="424" t="e">
        <f t="shared" si="5"/>
        <v>#DIV/0!</v>
      </c>
      <c r="L36" s="692"/>
      <c r="M36" s="692"/>
      <c r="N36" s="692"/>
    </row>
    <row r="37" spans="1:14" s="367" customFormat="1" ht="13.5" customHeight="1">
      <c r="A37" s="330">
        <v>29</v>
      </c>
      <c r="B37" s="365">
        <f>'FRIT HGE91-FHG'!B37</f>
        <v>46263</v>
      </c>
      <c r="C37" s="331" t="s">
        <v>285</v>
      </c>
      <c r="D37" s="428"/>
      <c r="E37" s="437">
        <f t="shared" si="0"/>
        <v>0</v>
      </c>
      <c r="F37" s="428">
        <f t="shared" si="4"/>
        <v>0</v>
      </c>
      <c r="G37" s="432">
        <f t="shared" si="6"/>
        <v>0</v>
      </c>
      <c r="H37" s="429">
        <f>SUM($F$9:F37)/A37</f>
        <v>0</v>
      </c>
      <c r="I37" s="433">
        <f t="shared" si="2"/>
        <v>32</v>
      </c>
      <c r="J37" s="434">
        <f t="shared" si="3"/>
        <v>8</v>
      </c>
      <c r="K37" s="424" t="e">
        <f t="shared" si="5"/>
        <v>#DIV/0!</v>
      </c>
      <c r="L37" s="692"/>
      <c r="M37" s="692"/>
      <c r="N37" s="692"/>
    </row>
    <row r="38" spans="1:14" s="367" customFormat="1" ht="13.5" customHeight="1">
      <c r="A38" s="425">
        <v>30</v>
      </c>
      <c r="B38" s="365">
        <f>'FRIT HGE91-FHG'!B38</f>
        <v>46264</v>
      </c>
      <c r="C38" s="331" t="s">
        <v>285</v>
      </c>
      <c r="D38" s="428"/>
      <c r="E38" s="338">
        <f t="shared" si="0"/>
        <v>0</v>
      </c>
      <c r="F38" s="428">
        <f t="shared" si="4"/>
        <v>0</v>
      </c>
      <c r="G38" s="428">
        <f t="shared" si="6"/>
        <v>0</v>
      </c>
      <c r="H38" s="430">
        <f>SUM($F$9:F38)/A38</f>
        <v>0</v>
      </c>
      <c r="I38" s="435">
        <f t="shared" si="2"/>
        <v>32</v>
      </c>
      <c r="J38" s="434">
        <f t="shared" si="3"/>
        <v>8</v>
      </c>
      <c r="K38" s="424" t="e">
        <f t="shared" si="5"/>
        <v>#DIV/0!</v>
      </c>
      <c r="L38" s="693"/>
      <c r="M38" s="693"/>
      <c r="N38" s="693"/>
    </row>
    <row r="39" spans="1:14" s="367" customFormat="1" ht="13.5" customHeight="1">
      <c r="A39" s="330">
        <v>31</v>
      </c>
      <c r="B39" s="365">
        <f>'FRIT HGE91-FHG'!B39</f>
        <v>46265</v>
      </c>
      <c r="C39" s="331" t="s">
        <v>285</v>
      </c>
      <c r="D39" s="428"/>
      <c r="E39" s="338">
        <f t="shared" si="0"/>
        <v>0</v>
      </c>
      <c r="F39" s="428">
        <f t="shared" si="4"/>
        <v>0</v>
      </c>
      <c r="G39" s="428">
        <f t="shared" si="6"/>
        <v>0</v>
      </c>
      <c r="H39" s="429">
        <f>SUM($F$9:F39)/A39</f>
        <v>0</v>
      </c>
      <c r="I39" s="433">
        <f t="shared" si="2"/>
        <v>32</v>
      </c>
      <c r="J39" s="434">
        <f t="shared" si="3"/>
        <v>8</v>
      </c>
      <c r="K39" s="424" t="e">
        <f t="shared" si="5"/>
        <v>#DIV/0!</v>
      </c>
      <c r="L39" s="693"/>
      <c r="M39" s="693"/>
      <c r="N39" s="693"/>
    </row>
    <row r="40" spans="1:14" s="374" customFormat="1" ht="13.5" customHeight="1">
      <c r="A40" s="1613" t="s">
        <v>29</v>
      </c>
      <c r="B40" s="1614"/>
      <c r="C40" s="1615"/>
      <c r="D40" s="301">
        <f>SUM(D9:D39)</f>
        <v>0</v>
      </c>
      <c r="E40" s="301">
        <f>SUM(E9:E39)</f>
        <v>0</v>
      </c>
      <c r="F40" s="422">
        <f>SUM(F9:F39)</f>
        <v>0</v>
      </c>
      <c r="G40" s="438">
        <f>SUM(G9:G39)</f>
        <v>0</v>
      </c>
      <c r="H40" s="422"/>
      <c r="I40" s="439">
        <f>I39</f>
        <v>32</v>
      </c>
      <c r="J40" s="439">
        <f>J39</f>
        <v>8</v>
      </c>
      <c r="K40" s="302"/>
      <c r="L40" s="691">
        <f>SUM(L9:L39)</f>
        <v>0</v>
      </c>
      <c r="M40" s="691">
        <f t="shared" ref="M40:N40" si="7">SUM(M9:M39)</f>
        <v>0</v>
      </c>
      <c r="N40" s="691">
        <f t="shared" si="7"/>
        <v>0</v>
      </c>
    </row>
    <row r="41" spans="1:14" s="374" customFormat="1" ht="13.5" customHeight="1">
      <c r="A41" s="1613" t="s">
        <v>15</v>
      </c>
      <c r="B41" s="1614"/>
      <c r="C41" s="1615"/>
      <c r="D41" s="301">
        <f>D8+D40</f>
        <v>32</v>
      </c>
      <c r="E41" s="301">
        <f>E8+E40</f>
        <v>8</v>
      </c>
      <c r="F41" s="422">
        <f>F40</f>
        <v>0</v>
      </c>
      <c r="G41" s="438">
        <f>G40</f>
        <v>0</v>
      </c>
      <c r="H41" s="422"/>
      <c r="I41" s="422">
        <f>D41-F41</f>
        <v>32</v>
      </c>
      <c r="J41" s="422">
        <f>E41-G41</f>
        <v>8</v>
      </c>
      <c r="K41" s="302"/>
      <c r="L41" s="694"/>
      <c r="M41" s="694"/>
      <c r="N41" s="694"/>
    </row>
    <row r="42" spans="1:14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L42" s="343"/>
      <c r="M42" s="343"/>
      <c r="N42" s="343"/>
    </row>
    <row r="43" spans="1:14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4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  <c r="L46" s="343"/>
      <c r="M46" s="343"/>
      <c r="N46" s="343"/>
    </row>
    <row r="47" spans="1:14">
      <c r="D47" s="42"/>
      <c r="E47" s="42"/>
      <c r="F47" s="42"/>
      <c r="G47" s="42"/>
      <c r="H47" s="42"/>
      <c r="I47" s="42"/>
      <c r="J47" s="243"/>
    </row>
    <row r="48" spans="1:14">
      <c r="J48" s="243"/>
    </row>
  </sheetData>
  <mergeCells count="16">
    <mergeCell ref="K6:K7"/>
    <mergeCell ref="A4:B4"/>
    <mergeCell ref="A3:N3"/>
    <mergeCell ref="L6:L7"/>
    <mergeCell ref="M6:M7"/>
    <mergeCell ref="A6:A7"/>
    <mergeCell ref="B6:B7"/>
    <mergeCell ref="C6:C7"/>
    <mergeCell ref="D6:E6"/>
    <mergeCell ref="F6:G6"/>
    <mergeCell ref="N6:N7"/>
    <mergeCell ref="A8:C8"/>
    <mergeCell ref="A40:C40"/>
    <mergeCell ref="A41:C41"/>
    <mergeCell ref="H6:H7"/>
    <mergeCell ref="I6:J6"/>
  </mergeCells>
  <conditionalFormatting sqref="K9:K41">
    <cfRule type="cellIs" dxfId="8864" priority="1" operator="between">
      <formula>15</formula>
      <formula>20</formula>
    </cfRule>
    <cfRule type="cellIs" dxfId="8863" priority="2" operator="lessThan">
      <formula>15</formula>
    </cfRule>
    <cfRule type="cellIs" dxfId="8862" priority="3" operator="greaterThan">
      <formula>20</formula>
    </cfRule>
  </conditionalFormatting>
  <hyperlinks>
    <hyperlink ref="K5" location="'TỔNG HỢP THÁNG'!A1" display="'TỔNG HỢP THÁNG'!A1"/>
  </hyperlinks>
  <pageMargins left="0.35433070866141736" right="0" top="0" bottom="0" header="0.74803149606299213" footer="0.31496062992125984"/>
  <pageSetup paperSize="8" scale="90" orientation="landscape" horizontalDpi="4294967292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48"/>
  <sheetViews>
    <sheetView zoomScale="85" zoomScaleNormal="85" workbookViewId="0">
      <pane ySplit="8" topLeftCell="A9" activePane="bottomLeft" state="frozen"/>
      <selection pane="bottomLeft" activeCell="M12" sqref="M12:M17"/>
    </sheetView>
  </sheetViews>
  <sheetFormatPr defaultColWidth="9.28515625" defaultRowHeight="16.5"/>
  <cols>
    <col min="1" max="1" width="5.42578125" style="42" customWidth="1"/>
    <col min="2" max="2" width="9" style="42" customWidth="1"/>
    <col min="3" max="3" width="17" style="42" customWidth="1"/>
    <col min="4" max="7" width="12.42578125" style="6" customWidth="1"/>
    <col min="8" max="8" width="14" style="6" customWidth="1"/>
    <col min="9" max="10" width="11.7109375" style="6" customWidth="1"/>
    <col min="11" max="11" width="16" style="42" customWidth="1"/>
    <col min="12" max="12" width="9.85546875" style="6" customWidth="1"/>
    <col min="13" max="14" width="9.5703125" style="6" customWidth="1"/>
    <col min="15" max="16384" width="9.28515625" style="42"/>
  </cols>
  <sheetData>
    <row r="1" spans="1:25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142"/>
      <c r="M1" s="142"/>
      <c r="N1" s="142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M2" s="142"/>
      <c r="N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3.5" customHeight="1">
      <c r="A4" s="1600" t="s">
        <v>33</v>
      </c>
      <c r="B4" s="1600"/>
      <c r="C4" s="318" t="str">
        <f>J4</f>
        <v>DD RỬA ĐẦU IN PL 0115</v>
      </c>
      <c r="D4" s="383"/>
      <c r="E4" s="383" t="s">
        <v>228</v>
      </c>
      <c r="F4" s="383" t="s">
        <v>234</v>
      </c>
      <c r="G4" s="383"/>
      <c r="I4" s="325" t="s">
        <v>114</v>
      </c>
      <c r="J4" s="318" t="s">
        <v>283</v>
      </c>
      <c r="K4" s="319"/>
      <c r="L4" s="383"/>
      <c r="M4" s="383"/>
      <c r="N4" s="383"/>
    </row>
    <row r="5" spans="1:25" s="324" customFormat="1" ht="14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508" t="s">
        <v>292</v>
      </c>
      <c r="K5" s="375" t="s">
        <v>149</v>
      </c>
      <c r="L5" s="343"/>
      <c r="M5" s="343"/>
      <c r="N5" s="343"/>
    </row>
    <row r="6" spans="1:25" s="355" customFormat="1" ht="15.75" customHeight="1">
      <c r="A6" s="1630" t="s">
        <v>2</v>
      </c>
      <c r="B6" s="1631" t="s">
        <v>1</v>
      </c>
      <c r="C6" s="1631" t="s">
        <v>24</v>
      </c>
      <c r="D6" s="1629" t="s">
        <v>250</v>
      </c>
      <c r="E6" s="1629"/>
      <c r="F6" s="1629" t="s">
        <v>249</v>
      </c>
      <c r="G6" s="1629"/>
      <c r="H6" s="1629" t="s">
        <v>265</v>
      </c>
      <c r="I6" s="1629" t="s">
        <v>253</v>
      </c>
      <c r="J6" s="1629"/>
      <c r="K6" s="1629" t="s">
        <v>30</v>
      </c>
      <c r="L6" s="1620" t="s">
        <v>343</v>
      </c>
      <c r="M6" s="1620" t="s">
        <v>342</v>
      </c>
      <c r="N6" s="1632" t="s">
        <v>1027</v>
      </c>
    </row>
    <row r="7" spans="1:25" s="355" customFormat="1" ht="15.75" customHeight="1">
      <c r="A7" s="1630"/>
      <c r="B7" s="1631"/>
      <c r="C7" s="1631"/>
      <c r="D7" s="407" t="s">
        <v>10</v>
      </c>
      <c r="E7" s="407" t="s">
        <v>58</v>
      </c>
      <c r="F7" s="407" t="s">
        <v>10</v>
      </c>
      <c r="G7" s="407" t="s">
        <v>58</v>
      </c>
      <c r="H7" s="1629"/>
      <c r="I7" s="407" t="s">
        <v>10</v>
      </c>
      <c r="J7" s="407" t="s">
        <v>58</v>
      </c>
      <c r="K7" s="1629"/>
      <c r="L7" s="1621"/>
      <c r="M7" s="1621"/>
      <c r="N7" s="1632"/>
    </row>
    <row r="8" spans="1:25" s="305" customFormat="1" ht="13.5" customHeight="1">
      <c r="A8" s="1597" t="s">
        <v>3</v>
      </c>
      <c r="B8" s="1598"/>
      <c r="C8" s="1599"/>
      <c r="D8" s="300">
        <f>I8</f>
        <v>4</v>
      </c>
      <c r="E8" s="300">
        <f>D8/4</f>
        <v>1</v>
      </c>
      <c r="F8" s="422">
        <f>F40</f>
        <v>0</v>
      </c>
      <c r="G8" s="423">
        <f>G40</f>
        <v>0</v>
      </c>
      <c r="H8" s="300"/>
      <c r="I8" s="626">
        <v>4</v>
      </c>
      <c r="J8" s="626">
        <f>I8/4</f>
        <v>1</v>
      </c>
      <c r="K8" s="304"/>
      <c r="L8" s="688"/>
      <c r="M8" s="688"/>
      <c r="N8" s="688"/>
    </row>
    <row r="9" spans="1:25" s="333" customFormat="1" ht="13.5" customHeight="1">
      <c r="A9" s="330">
        <v>1</v>
      </c>
      <c r="B9" s="365">
        <f>'FRIT HGE91-FHG'!B9</f>
        <v>46235</v>
      </c>
      <c r="C9" s="331" t="s">
        <v>285</v>
      </c>
      <c r="D9" s="428"/>
      <c r="E9" s="338">
        <f t="shared" ref="E9:E39" si="0">D9/4</f>
        <v>0</v>
      </c>
      <c r="F9" s="428">
        <f>L9+M9+N9</f>
        <v>0</v>
      </c>
      <c r="G9" s="428">
        <f t="shared" ref="G9:G21" si="1">F9/4</f>
        <v>0</v>
      </c>
      <c r="H9" s="429">
        <f>SUM($F$9:F9)/A9</f>
        <v>0</v>
      </c>
      <c r="I9" s="433">
        <f t="shared" ref="I9:I39" si="2">I8+D9-F9</f>
        <v>4</v>
      </c>
      <c r="J9" s="434">
        <f t="shared" ref="J9:J39" si="3">I9/4</f>
        <v>1</v>
      </c>
      <c r="K9" s="424" t="e">
        <f>I9/H9</f>
        <v>#DIV/0!</v>
      </c>
      <c r="L9" s="692"/>
      <c r="M9" s="692"/>
      <c r="N9" s="692"/>
    </row>
    <row r="10" spans="1:25" s="333" customFormat="1" ht="13.5" customHeight="1">
      <c r="A10" s="330">
        <v>2</v>
      </c>
      <c r="B10" s="365">
        <f>'FRIT HGE91-FHG'!B10</f>
        <v>46236</v>
      </c>
      <c r="C10" s="331" t="s">
        <v>285</v>
      </c>
      <c r="D10" s="428"/>
      <c r="E10" s="338">
        <f t="shared" si="0"/>
        <v>0</v>
      </c>
      <c r="F10" s="428">
        <f t="shared" ref="F10:F39" si="4">L10+M10+N10</f>
        <v>0</v>
      </c>
      <c r="G10" s="428">
        <f t="shared" si="1"/>
        <v>0</v>
      </c>
      <c r="H10" s="429">
        <f>SUM($F$8:F10)/A10</f>
        <v>0</v>
      </c>
      <c r="I10" s="433">
        <f t="shared" si="2"/>
        <v>4</v>
      </c>
      <c r="J10" s="434">
        <f t="shared" si="3"/>
        <v>1</v>
      </c>
      <c r="K10" s="424" t="e">
        <f t="shared" ref="K10:K39" si="5">I10/H10</f>
        <v>#DIV/0!</v>
      </c>
      <c r="L10" s="692"/>
      <c r="M10" s="692"/>
      <c r="N10" s="692"/>
    </row>
    <row r="11" spans="1:25" s="333" customFormat="1" ht="13.5" customHeight="1">
      <c r="A11" s="330">
        <v>3</v>
      </c>
      <c r="B11" s="365">
        <f>'FRIT HGE91-FHG'!B11</f>
        <v>46237</v>
      </c>
      <c r="C11" s="331" t="s">
        <v>285</v>
      </c>
      <c r="D11" s="428"/>
      <c r="E11" s="338">
        <f t="shared" ref="E11:E18" si="6">D11/4</f>
        <v>0</v>
      </c>
      <c r="F11" s="428">
        <f t="shared" si="4"/>
        <v>0</v>
      </c>
      <c r="G11" s="428">
        <f t="shared" si="1"/>
        <v>0</v>
      </c>
      <c r="H11" s="429">
        <f>SUM($F$8:F11)/A11</f>
        <v>0</v>
      </c>
      <c r="I11" s="433">
        <f t="shared" si="2"/>
        <v>4</v>
      </c>
      <c r="J11" s="434">
        <f t="shared" si="3"/>
        <v>1</v>
      </c>
      <c r="K11" s="424" t="e">
        <f t="shared" si="5"/>
        <v>#DIV/0!</v>
      </c>
      <c r="L11" s="692"/>
      <c r="M11" s="692"/>
      <c r="N11" s="692"/>
    </row>
    <row r="12" spans="1:25" s="367" customFormat="1" ht="13.5" customHeight="1">
      <c r="A12" s="330">
        <v>4</v>
      </c>
      <c r="B12" s="365">
        <f>'FRIT HGE91-FHG'!B12</f>
        <v>46238</v>
      </c>
      <c r="C12" s="331" t="s">
        <v>285</v>
      </c>
      <c r="D12" s="428"/>
      <c r="E12" s="338">
        <f t="shared" si="6"/>
        <v>0</v>
      </c>
      <c r="F12" s="428">
        <f t="shared" si="4"/>
        <v>0</v>
      </c>
      <c r="G12" s="428">
        <f t="shared" si="1"/>
        <v>0</v>
      </c>
      <c r="H12" s="429">
        <f>SUM($F$8:F12)/A12</f>
        <v>0</v>
      </c>
      <c r="I12" s="433">
        <f t="shared" si="2"/>
        <v>4</v>
      </c>
      <c r="J12" s="434">
        <f t="shared" si="3"/>
        <v>1</v>
      </c>
      <c r="K12" s="424" t="e">
        <f t="shared" si="5"/>
        <v>#DIV/0!</v>
      </c>
      <c r="L12" s="693"/>
      <c r="M12" s="693"/>
      <c r="N12" s="692"/>
    </row>
    <row r="13" spans="1:25" s="367" customFormat="1" ht="13.5" customHeight="1">
      <c r="A13" s="425">
        <v>5</v>
      </c>
      <c r="B13" s="365">
        <f>'FRIT HGE91-FHG'!B13</f>
        <v>46239</v>
      </c>
      <c r="C13" s="331" t="s">
        <v>285</v>
      </c>
      <c r="D13" s="428"/>
      <c r="E13" s="338">
        <f t="shared" si="6"/>
        <v>0</v>
      </c>
      <c r="F13" s="428">
        <f t="shared" si="4"/>
        <v>0</v>
      </c>
      <c r="G13" s="428">
        <f t="shared" si="1"/>
        <v>0</v>
      </c>
      <c r="H13" s="430">
        <f>SUM($F$8:F13)/A13</f>
        <v>0</v>
      </c>
      <c r="I13" s="435">
        <f t="shared" si="2"/>
        <v>4</v>
      </c>
      <c r="J13" s="434">
        <f t="shared" si="3"/>
        <v>1</v>
      </c>
      <c r="K13" s="424" t="e">
        <f t="shared" si="5"/>
        <v>#DIV/0!</v>
      </c>
      <c r="L13" s="693"/>
      <c r="M13" s="693"/>
      <c r="N13" s="692"/>
    </row>
    <row r="14" spans="1:25" s="367" customFormat="1" ht="13.5" customHeight="1">
      <c r="A14" s="330">
        <v>6</v>
      </c>
      <c r="B14" s="365">
        <f>'FRIT HGE91-FHG'!B14</f>
        <v>46240</v>
      </c>
      <c r="C14" s="331" t="s">
        <v>285</v>
      </c>
      <c r="D14" s="428"/>
      <c r="E14" s="338">
        <f t="shared" si="6"/>
        <v>0</v>
      </c>
      <c r="F14" s="428">
        <f t="shared" si="4"/>
        <v>0</v>
      </c>
      <c r="G14" s="428">
        <f t="shared" si="1"/>
        <v>0</v>
      </c>
      <c r="H14" s="429">
        <f>SUM($F$8:F14)/A14</f>
        <v>0</v>
      </c>
      <c r="I14" s="433">
        <f t="shared" si="2"/>
        <v>4</v>
      </c>
      <c r="J14" s="434">
        <f t="shared" si="3"/>
        <v>1</v>
      </c>
      <c r="K14" s="424" t="e">
        <f t="shared" si="5"/>
        <v>#DIV/0!</v>
      </c>
      <c r="L14" s="693"/>
      <c r="M14" s="693"/>
      <c r="N14" s="692"/>
    </row>
    <row r="15" spans="1:25" s="367" customFormat="1" ht="13.5" customHeight="1">
      <c r="A15" s="330">
        <v>7</v>
      </c>
      <c r="B15" s="365">
        <f>'FRIT HGE91-FHG'!B15</f>
        <v>46241</v>
      </c>
      <c r="C15" s="331" t="s">
        <v>285</v>
      </c>
      <c r="D15" s="428"/>
      <c r="E15" s="338">
        <f t="shared" si="6"/>
        <v>0</v>
      </c>
      <c r="F15" s="428">
        <f t="shared" si="4"/>
        <v>0</v>
      </c>
      <c r="G15" s="428">
        <f t="shared" si="1"/>
        <v>0</v>
      </c>
      <c r="H15" s="429">
        <f>SUM($F$8:F15)/A15</f>
        <v>0</v>
      </c>
      <c r="I15" s="433">
        <f t="shared" si="2"/>
        <v>4</v>
      </c>
      <c r="J15" s="434">
        <f t="shared" si="3"/>
        <v>1</v>
      </c>
      <c r="K15" s="424" t="e">
        <f t="shared" si="5"/>
        <v>#DIV/0!</v>
      </c>
      <c r="L15" s="693"/>
      <c r="M15" s="693"/>
      <c r="N15" s="693"/>
    </row>
    <row r="16" spans="1:25" s="367" customFormat="1" ht="13.5" customHeight="1">
      <c r="A16" s="330">
        <v>8</v>
      </c>
      <c r="B16" s="365">
        <f>'FRIT HGE91-FHG'!B16</f>
        <v>46242</v>
      </c>
      <c r="C16" s="331" t="s">
        <v>285</v>
      </c>
      <c r="D16" s="428"/>
      <c r="E16" s="338">
        <f t="shared" si="6"/>
        <v>0</v>
      </c>
      <c r="F16" s="428">
        <f t="shared" si="4"/>
        <v>0</v>
      </c>
      <c r="G16" s="428">
        <f t="shared" si="1"/>
        <v>0</v>
      </c>
      <c r="H16" s="429">
        <f>SUM($F$8:F16)/A16</f>
        <v>0</v>
      </c>
      <c r="I16" s="433">
        <f t="shared" si="2"/>
        <v>4</v>
      </c>
      <c r="J16" s="434">
        <f t="shared" si="3"/>
        <v>1</v>
      </c>
      <c r="K16" s="424" t="e">
        <f t="shared" si="5"/>
        <v>#DIV/0!</v>
      </c>
      <c r="L16" s="693"/>
      <c r="M16" s="693"/>
      <c r="N16" s="693"/>
    </row>
    <row r="17" spans="1:14" s="367" customFormat="1" ht="13.5" customHeight="1">
      <c r="A17" s="330">
        <v>9</v>
      </c>
      <c r="B17" s="365">
        <f>'FRIT HGE91-FHG'!B17</f>
        <v>46243</v>
      </c>
      <c r="C17" s="331" t="s">
        <v>334</v>
      </c>
      <c r="D17" s="428"/>
      <c r="E17" s="338">
        <f t="shared" si="6"/>
        <v>0</v>
      </c>
      <c r="F17" s="428">
        <f t="shared" si="4"/>
        <v>0</v>
      </c>
      <c r="G17" s="428">
        <f t="shared" si="1"/>
        <v>0</v>
      </c>
      <c r="H17" s="429">
        <f>SUM($F$8:F17)/A17</f>
        <v>0</v>
      </c>
      <c r="I17" s="433">
        <f t="shared" si="2"/>
        <v>4</v>
      </c>
      <c r="J17" s="434">
        <f t="shared" si="3"/>
        <v>1</v>
      </c>
      <c r="K17" s="424" t="e">
        <f t="shared" si="5"/>
        <v>#DIV/0!</v>
      </c>
      <c r="L17" s="693"/>
      <c r="M17" s="693"/>
      <c r="N17" s="693"/>
    </row>
    <row r="18" spans="1:14" s="367" customFormat="1" ht="13.5" customHeight="1">
      <c r="A18" s="425">
        <v>10</v>
      </c>
      <c r="B18" s="365">
        <f>'FRIT HGE91-FHG'!B18</f>
        <v>46244</v>
      </c>
      <c r="C18" s="331" t="s">
        <v>285</v>
      </c>
      <c r="D18" s="428"/>
      <c r="E18" s="338">
        <f t="shared" si="6"/>
        <v>0</v>
      </c>
      <c r="F18" s="428">
        <f t="shared" si="4"/>
        <v>0</v>
      </c>
      <c r="G18" s="428">
        <f t="shared" si="1"/>
        <v>0</v>
      </c>
      <c r="H18" s="430">
        <f>SUM($F$8:F18)/A18</f>
        <v>0</v>
      </c>
      <c r="I18" s="435">
        <f t="shared" si="2"/>
        <v>4</v>
      </c>
      <c r="J18" s="434">
        <f t="shared" si="3"/>
        <v>1</v>
      </c>
      <c r="K18" s="424" t="e">
        <f t="shared" si="5"/>
        <v>#DIV/0!</v>
      </c>
      <c r="L18" s="693"/>
      <c r="M18" s="693"/>
      <c r="N18" s="693"/>
    </row>
    <row r="19" spans="1:14" s="367" customFormat="1" ht="13.5" customHeight="1">
      <c r="A19" s="330">
        <v>11</v>
      </c>
      <c r="B19" s="365">
        <f>'FRIT HGE91-FHG'!B19</f>
        <v>46245</v>
      </c>
      <c r="C19" s="331" t="s">
        <v>285</v>
      </c>
      <c r="D19" s="428"/>
      <c r="E19" s="338">
        <f t="shared" si="0"/>
        <v>0</v>
      </c>
      <c r="F19" s="428">
        <f t="shared" si="4"/>
        <v>0</v>
      </c>
      <c r="G19" s="428">
        <f t="shared" si="1"/>
        <v>0</v>
      </c>
      <c r="H19" s="429">
        <f>SUM($F$8:F19)/A19</f>
        <v>0</v>
      </c>
      <c r="I19" s="433">
        <f t="shared" si="2"/>
        <v>4</v>
      </c>
      <c r="J19" s="434">
        <f t="shared" si="3"/>
        <v>1</v>
      </c>
      <c r="K19" s="424" t="e">
        <f t="shared" si="5"/>
        <v>#DIV/0!</v>
      </c>
      <c r="L19" s="693"/>
      <c r="M19" s="693"/>
      <c r="N19" s="693"/>
    </row>
    <row r="20" spans="1:14" s="367" customFormat="1" ht="13.5" customHeight="1">
      <c r="A20" s="330">
        <v>12</v>
      </c>
      <c r="B20" s="365">
        <f>'FRIT HGE91-FHG'!B20</f>
        <v>46246</v>
      </c>
      <c r="C20" s="365" t="s">
        <v>285</v>
      </c>
      <c r="D20" s="428"/>
      <c r="E20" s="338">
        <f t="shared" si="0"/>
        <v>0</v>
      </c>
      <c r="F20" s="428">
        <f t="shared" si="4"/>
        <v>0</v>
      </c>
      <c r="G20" s="428">
        <f t="shared" si="1"/>
        <v>0</v>
      </c>
      <c r="H20" s="429">
        <f>SUM($F$8:F20)/A20</f>
        <v>0</v>
      </c>
      <c r="I20" s="433">
        <f t="shared" si="2"/>
        <v>4</v>
      </c>
      <c r="J20" s="434">
        <f t="shared" si="3"/>
        <v>1</v>
      </c>
      <c r="K20" s="424" t="e">
        <f t="shared" si="5"/>
        <v>#DIV/0!</v>
      </c>
      <c r="L20" s="693"/>
      <c r="M20" s="693"/>
      <c r="N20" s="693"/>
    </row>
    <row r="21" spans="1:14" s="367" customFormat="1" ht="13.5" customHeight="1">
      <c r="A21" s="330">
        <v>13</v>
      </c>
      <c r="B21" s="365">
        <f>'FRIT HGE91-FHG'!B21</f>
        <v>46247</v>
      </c>
      <c r="C21" s="365" t="s">
        <v>285</v>
      </c>
      <c r="D21" s="428"/>
      <c r="E21" s="338">
        <f t="shared" si="0"/>
        <v>0</v>
      </c>
      <c r="F21" s="428">
        <f t="shared" si="4"/>
        <v>0</v>
      </c>
      <c r="G21" s="428">
        <f t="shared" si="1"/>
        <v>0</v>
      </c>
      <c r="H21" s="429">
        <f>SUM($F$8:F21)/A21</f>
        <v>0</v>
      </c>
      <c r="I21" s="433">
        <f t="shared" si="2"/>
        <v>4</v>
      </c>
      <c r="J21" s="434">
        <f t="shared" si="3"/>
        <v>1</v>
      </c>
      <c r="K21" s="424" t="e">
        <f t="shared" si="5"/>
        <v>#DIV/0!</v>
      </c>
      <c r="L21" s="693"/>
      <c r="M21" s="693"/>
      <c r="N21" s="693"/>
    </row>
    <row r="22" spans="1:14" s="367" customFormat="1" ht="13.5" customHeight="1">
      <c r="A22" s="330">
        <v>14</v>
      </c>
      <c r="B22" s="365">
        <f>'FRIT HGE91-FHG'!B22</f>
        <v>46248</v>
      </c>
      <c r="C22" s="365" t="s">
        <v>285</v>
      </c>
      <c r="D22" s="428"/>
      <c r="E22" s="338">
        <f t="shared" si="0"/>
        <v>0</v>
      </c>
      <c r="F22" s="428">
        <f t="shared" si="4"/>
        <v>0</v>
      </c>
      <c r="G22" s="428">
        <f>F22/4</f>
        <v>0</v>
      </c>
      <c r="H22" s="429">
        <f>SUM($F$8:F22)/A22</f>
        <v>0</v>
      </c>
      <c r="I22" s="433">
        <f t="shared" si="2"/>
        <v>4</v>
      </c>
      <c r="J22" s="434">
        <f t="shared" si="3"/>
        <v>1</v>
      </c>
      <c r="K22" s="424" t="e">
        <f t="shared" si="5"/>
        <v>#DIV/0!</v>
      </c>
      <c r="L22" s="693"/>
      <c r="M22" s="693"/>
      <c r="N22" s="693"/>
    </row>
    <row r="23" spans="1:14" s="367" customFormat="1" ht="13.5" customHeight="1">
      <c r="A23" s="425">
        <v>15</v>
      </c>
      <c r="B23" s="365">
        <f>'FRIT HGE91-FHG'!B23</f>
        <v>46249</v>
      </c>
      <c r="C23" s="365" t="s">
        <v>285</v>
      </c>
      <c r="D23" s="428"/>
      <c r="E23" s="338">
        <f t="shared" si="0"/>
        <v>0</v>
      </c>
      <c r="F23" s="428">
        <f t="shared" si="4"/>
        <v>0</v>
      </c>
      <c r="G23" s="428">
        <f t="shared" ref="G23:G39" si="7">F23/4</f>
        <v>0</v>
      </c>
      <c r="H23" s="430">
        <f>SUM($F$8:F23)/A23</f>
        <v>0</v>
      </c>
      <c r="I23" s="435">
        <f t="shared" si="2"/>
        <v>4</v>
      </c>
      <c r="J23" s="434">
        <f t="shared" si="3"/>
        <v>1</v>
      </c>
      <c r="K23" s="424" t="e">
        <f t="shared" si="5"/>
        <v>#DIV/0!</v>
      </c>
      <c r="L23" s="693"/>
      <c r="M23" s="693"/>
      <c r="N23" s="693"/>
    </row>
    <row r="24" spans="1:14" s="367" customFormat="1" ht="13.5" customHeight="1">
      <c r="A24" s="330">
        <v>16</v>
      </c>
      <c r="B24" s="365">
        <f>'FRIT HGE91-FHG'!B24</f>
        <v>46250</v>
      </c>
      <c r="C24" s="365" t="s">
        <v>285</v>
      </c>
      <c r="D24" s="428"/>
      <c r="E24" s="338">
        <f t="shared" si="0"/>
        <v>0</v>
      </c>
      <c r="F24" s="428">
        <f t="shared" si="4"/>
        <v>0</v>
      </c>
      <c r="G24" s="428">
        <f t="shared" si="7"/>
        <v>0</v>
      </c>
      <c r="H24" s="429">
        <f>SUM($F$8:F24)/A24</f>
        <v>0</v>
      </c>
      <c r="I24" s="433">
        <f t="shared" si="2"/>
        <v>4</v>
      </c>
      <c r="J24" s="434">
        <f t="shared" si="3"/>
        <v>1</v>
      </c>
      <c r="K24" s="424" t="e">
        <f t="shared" si="5"/>
        <v>#DIV/0!</v>
      </c>
      <c r="L24" s="693"/>
      <c r="M24" s="693"/>
      <c r="N24" s="693"/>
    </row>
    <row r="25" spans="1:14" s="367" customFormat="1" ht="13.5" customHeight="1">
      <c r="A25" s="330">
        <v>17</v>
      </c>
      <c r="B25" s="365">
        <f>'FRIT HGE91-FHG'!B25</f>
        <v>46251</v>
      </c>
      <c r="C25" s="365" t="s">
        <v>285</v>
      </c>
      <c r="D25" s="428"/>
      <c r="E25" s="338">
        <f t="shared" si="0"/>
        <v>0</v>
      </c>
      <c r="F25" s="428">
        <f t="shared" si="4"/>
        <v>0</v>
      </c>
      <c r="G25" s="428">
        <f t="shared" si="7"/>
        <v>0</v>
      </c>
      <c r="H25" s="429">
        <f>SUM($F$8:F25)/A25</f>
        <v>0</v>
      </c>
      <c r="I25" s="433">
        <f t="shared" si="2"/>
        <v>4</v>
      </c>
      <c r="J25" s="434">
        <f t="shared" si="3"/>
        <v>1</v>
      </c>
      <c r="K25" s="424" t="e">
        <f t="shared" si="5"/>
        <v>#DIV/0!</v>
      </c>
      <c r="L25" s="693"/>
      <c r="M25" s="693"/>
      <c r="N25" s="693"/>
    </row>
    <row r="26" spans="1:14" s="367" customFormat="1" ht="13.5" customHeight="1">
      <c r="A26" s="330">
        <v>18</v>
      </c>
      <c r="B26" s="365">
        <f>'FRIT HGE91-FHG'!B26</f>
        <v>46252</v>
      </c>
      <c r="C26" s="365" t="s">
        <v>285</v>
      </c>
      <c r="D26" s="428"/>
      <c r="E26" s="338">
        <f t="shared" si="0"/>
        <v>0</v>
      </c>
      <c r="F26" s="428">
        <f t="shared" si="4"/>
        <v>0</v>
      </c>
      <c r="G26" s="428">
        <f t="shared" si="7"/>
        <v>0</v>
      </c>
      <c r="H26" s="429">
        <f>SUM($F$8:F26)/A26</f>
        <v>0</v>
      </c>
      <c r="I26" s="433">
        <f t="shared" si="2"/>
        <v>4</v>
      </c>
      <c r="J26" s="434">
        <f t="shared" si="3"/>
        <v>1</v>
      </c>
      <c r="K26" s="424" t="e">
        <f t="shared" si="5"/>
        <v>#DIV/0!</v>
      </c>
      <c r="L26" s="693"/>
      <c r="M26" s="693"/>
      <c r="N26" s="693"/>
    </row>
    <row r="27" spans="1:14" s="367" customFormat="1" ht="13.5" customHeight="1">
      <c r="A27" s="330">
        <v>19</v>
      </c>
      <c r="B27" s="365">
        <f>'FRIT HGE91-FHG'!B27</f>
        <v>46253</v>
      </c>
      <c r="C27" s="365" t="s">
        <v>285</v>
      </c>
      <c r="D27" s="428"/>
      <c r="E27" s="338">
        <f t="shared" si="0"/>
        <v>0</v>
      </c>
      <c r="F27" s="428">
        <f t="shared" si="4"/>
        <v>0</v>
      </c>
      <c r="G27" s="428">
        <f t="shared" si="7"/>
        <v>0</v>
      </c>
      <c r="H27" s="429">
        <f>SUM($F$8:F27)/A27</f>
        <v>0</v>
      </c>
      <c r="I27" s="433">
        <f t="shared" si="2"/>
        <v>4</v>
      </c>
      <c r="J27" s="434">
        <f t="shared" si="3"/>
        <v>1</v>
      </c>
      <c r="K27" s="424" t="e">
        <f t="shared" si="5"/>
        <v>#DIV/0!</v>
      </c>
      <c r="L27" s="693"/>
      <c r="M27" s="693"/>
      <c r="N27" s="693"/>
    </row>
    <row r="28" spans="1:14" s="367" customFormat="1" ht="13.5" customHeight="1">
      <c r="A28" s="425">
        <v>20</v>
      </c>
      <c r="B28" s="365">
        <f>'FRIT HGE91-FHG'!B28</f>
        <v>46254</v>
      </c>
      <c r="C28" s="365" t="s">
        <v>285</v>
      </c>
      <c r="D28" s="428"/>
      <c r="E28" s="338">
        <f t="shared" si="0"/>
        <v>0</v>
      </c>
      <c r="F28" s="428">
        <f t="shared" si="4"/>
        <v>0</v>
      </c>
      <c r="G28" s="428">
        <f t="shared" si="7"/>
        <v>0</v>
      </c>
      <c r="H28" s="430">
        <f>SUM($F$8:F28)/A28</f>
        <v>0</v>
      </c>
      <c r="I28" s="435">
        <f t="shared" si="2"/>
        <v>4</v>
      </c>
      <c r="J28" s="434">
        <f t="shared" si="3"/>
        <v>1</v>
      </c>
      <c r="K28" s="424" t="e">
        <f t="shared" si="5"/>
        <v>#DIV/0!</v>
      </c>
      <c r="L28" s="693"/>
      <c r="M28" s="693"/>
      <c r="N28" s="693"/>
    </row>
    <row r="29" spans="1:14" s="367" customFormat="1" ht="13.5" customHeight="1">
      <c r="A29" s="330">
        <v>21</v>
      </c>
      <c r="B29" s="365">
        <f>'FRIT HGE91-FHG'!B29</f>
        <v>46255</v>
      </c>
      <c r="C29" s="365" t="s">
        <v>285</v>
      </c>
      <c r="D29" s="428"/>
      <c r="E29" s="338">
        <f t="shared" si="0"/>
        <v>0</v>
      </c>
      <c r="F29" s="428">
        <f t="shared" si="4"/>
        <v>0</v>
      </c>
      <c r="G29" s="428">
        <f t="shared" si="7"/>
        <v>0</v>
      </c>
      <c r="H29" s="429">
        <f>SUM($F$8:F29)/A29</f>
        <v>0</v>
      </c>
      <c r="I29" s="433">
        <f t="shared" si="2"/>
        <v>4</v>
      </c>
      <c r="J29" s="434">
        <f t="shared" si="3"/>
        <v>1</v>
      </c>
      <c r="K29" s="424" t="e">
        <f t="shared" si="5"/>
        <v>#DIV/0!</v>
      </c>
      <c r="L29" s="693"/>
      <c r="M29" s="693"/>
      <c r="N29" s="693"/>
    </row>
    <row r="30" spans="1:14" s="367" customFormat="1" ht="13.5" customHeight="1">
      <c r="A30" s="330">
        <v>22</v>
      </c>
      <c r="B30" s="365">
        <f>'FRIT HGE91-FHG'!B30</f>
        <v>46256</v>
      </c>
      <c r="C30" s="365" t="s">
        <v>285</v>
      </c>
      <c r="D30" s="428"/>
      <c r="E30" s="338">
        <f t="shared" si="0"/>
        <v>0</v>
      </c>
      <c r="F30" s="428">
        <f t="shared" si="4"/>
        <v>0</v>
      </c>
      <c r="G30" s="428">
        <f t="shared" si="7"/>
        <v>0</v>
      </c>
      <c r="H30" s="429">
        <f>SUM($F$8:F30)/A30</f>
        <v>0</v>
      </c>
      <c r="I30" s="433">
        <f t="shared" si="2"/>
        <v>4</v>
      </c>
      <c r="J30" s="434">
        <f t="shared" si="3"/>
        <v>1</v>
      </c>
      <c r="K30" s="424" t="e">
        <f t="shared" si="5"/>
        <v>#DIV/0!</v>
      </c>
      <c r="L30" s="693"/>
      <c r="M30" s="693"/>
      <c r="N30" s="693"/>
    </row>
    <row r="31" spans="1:14" s="367" customFormat="1" ht="13.5" customHeight="1">
      <c r="A31" s="330">
        <v>23</v>
      </c>
      <c r="B31" s="365">
        <f>'FRIT HGE91-FHG'!B31</f>
        <v>46257</v>
      </c>
      <c r="C31" s="365" t="s">
        <v>285</v>
      </c>
      <c r="D31" s="428"/>
      <c r="E31" s="338">
        <f t="shared" si="0"/>
        <v>0</v>
      </c>
      <c r="F31" s="428">
        <f t="shared" si="4"/>
        <v>0</v>
      </c>
      <c r="G31" s="428">
        <f t="shared" si="7"/>
        <v>0</v>
      </c>
      <c r="H31" s="429">
        <f>SUM($F$8:F31)/A31</f>
        <v>0</v>
      </c>
      <c r="I31" s="433">
        <f t="shared" si="2"/>
        <v>4</v>
      </c>
      <c r="J31" s="434">
        <f t="shared" si="3"/>
        <v>1</v>
      </c>
      <c r="K31" s="424" t="e">
        <f t="shared" si="5"/>
        <v>#DIV/0!</v>
      </c>
      <c r="L31" s="693"/>
      <c r="M31" s="693"/>
      <c r="N31" s="693"/>
    </row>
    <row r="32" spans="1:14" s="367" customFormat="1" ht="13.5" customHeight="1">
      <c r="A32" s="330">
        <v>24</v>
      </c>
      <c r="B32" s="365">
        <f>'FRIT HGE91-FHG'!B32</f>
        <v>46258</v>
      </c>
      <c r="C32" s="365" t="s">
        <v>285</v>
      </c>
      <c r="D32" s="428"/>
      <c r="E32" s="338">
        <f t="shared" si="0"/>
        <v>0</v>
      </c>
      <c r="F32" s="428">
        <f t="shared" si="4"/>
        <v>0</v>
      </c>
      <c r="G32" s="428">
        <f t="shared" si="7"/>
        <v>0</v>
      </c>
      <c r="H32" s="429">
        <f>SUM($F$8:F32)/A32</f>
        <v>0</v>
      </c>
      <c r="I32" s="433">
        <f t="shared" si="2"/>
        <v>4</v>
      </c>
      <c r="J32" s="434">
        <f t="shared" si="3"/>
        <v>1</v>
      </c>
      <c r="K32" s="424" t="e">
        <f t="shared" si="5"/>
        <v>#DIV/0!</v>
      </c>
      <c r="L32" s="693"/>
      <c r="M32" s="693"/>
      <c r="N32" s="693"/>
    </row>
    <row r="33" spans="1:14" s="367" customFormat="1" ht="13.5" customHeight="1">
      <c r="A33" s="426">
        <v>25</v>
      </c>
      <c r="B33" s="365">
        <f>'FRIT HGE91-FHG'!B33</f>
        <v>46259</v>
      </c>
      <c r="C33" s="365" t="s">
        <v>285</v>
      </c>
      <c r="D33" s="428"/>
      <c r="E33" s="338">
        <f t="shared" si="0"/>
        <v>0</v>
      </c>
      <c r="F33" s="428">
        <f t="shared" si="4"/>
        <v>0</v>
      </c>
      <c r="G33" s="428">
        <f t="shared" si="7"/>
        <v>0</v>
      </c>
      <c r="H33" s="431">
        <f>SUM($F$8:F33)/A33</f>
        <v>0</v>
      </c>
      <c r="I33" s="436">
        <f t="shared" si="2"/>
        <v>4</v>
      </c>
      <c r="J33" s="434">
        <f t="shared" si="3"/>
        <v>1</v>
      </c>
      <c r="K33" s="424" t="e">
        <f t="shared" si="5"/>
        <v>#DIV/0!</v>
      </c>
      <c r="L33" s="693"/>
      <c r="M33" s="693"/>
      <c r="N33" s="693"/>
    </row>
    <row r="34" spans="1:14" s="367" customFormat="1" ht="13.5" customHeight="1">
      <c r="A34" s="330">
        <v>26</v>
      </c>
      <c r="B34" s="365">
        <f>'FRIT HGE91-FHG'!B34</f>
        <v>46260</v>
      </c>
      <c r="C34" s="365" t="s">
        <v>285</v>
      </c>
      <c r="D34" s="428"/>
      <c r="E34" s="338">
        <f t="shared" si="0"/>
        <v>0</v>
      </c>
      <c r="F34" s="428">
        <f t="shared" si="4"/>
        <v>0</v>
      </c>
      <c r="G34" s="428">
        <f t="shared" si="7"/>
        <v>0</v>
      </c>
      <c r="H34" s="429">
        <f>SUM($F$8:F34)/A34</f>
        <v>0</v>
      </c>
      <c r="I34" s="433">
        <f t="shared" si="2"/>
        <v>4</v>
      </c>
      <c r="J34" s="434">
        <f t="shared" si="3"/>
        <v>1</v>
      </c>
      <c r="K34" s="424" t="e">
        <f t="shared" si="5"/>
        <v>#DIV/0!</v>
      </c>
      <c r="L34" s="693"/>
      <c r="M34" s="693"/>
      <c r="N34" s="693"/>
    </row>
    <row r="35" spans="1:14" s="367" customFormat="1" ht="13.5" customHeight="1">
      <c r="A35" s="330">
        <v>27</v>
      </c>
      <c r="B35" s="365">
        <f>'FRIT HGE91-FHG'!B35</f>
        <v>46261</v>
      </c>
      <c r="C35" s="365" t="s">
        <v>285</v>
      </c>
      <c r="D35" s="428"/>
      <c r="E35" s="437">
        <f t="shared" si="0"/>
        <v>0</v>
      </c>
      <c r="F35" s="428">
        <f t="shared" si="4"/>
        <v>0</v>
      </c>
      <c r="G35" s="432">
        <f t="shared" si="7"/>
        <v>0</v>
      </c>
      <c r="H35" s="429">
        <f>SUM($F$8:F35)/A35</f>
        <v>0</v>
      </c>
      <c r="I35" s="433">
        <f t="shared" si="2"/>
        <v>4</v>
      </c>
      <c r="J35" s="434">
        <f t="shared" si="3"/>
        <v>1</v>
      </c>
      <c r="K35" s="424" t="e">
        <f t="shared" si="5"/>
        <v>#DIV/0!</v>
      </c>
      <c r="L35" s="693"/>
      <c r="M35" s="693"/>
      <c r="N35" s="693"/>
    </row>
    <row r="36" spans="1:14" s="367" customFormat="1" ht="13.5" customHeight="1">
      <c r="A36" s="330">
        <v>28</v>
      </c>
      <c r="B36" s="365">
        <f>'FRIT HGE91-FHG'!B36</f>
        <v>46262</v>
      </c>
      <c r="C36" s="365" t="s">
        <v>285</v>
      </c>
      <c r="D36" s="428"/>
      <c r="E36" s="437">
        <f t="shared" si="0"/>
        <v>0</v>
      </c>
      <c r="F36" s="428">
        <f t="shared" si="4"/>
        <v>0</v>
      </c>
      <c r="G36" s="432">
        <f t="shared" si="7"/>
        <v>0</v>
      </c>
      <c r="H36" s="429">
        <f>SUM($F$8:F36)/A36</f>
        <v>0</v>
      </c>
      <c r="I36" s="433">
        <f t="shared" si="2"/>
        <v>4</v>
      </c>
      <c r="J36" s="434">
        <f t="shared" si="3"/>
        <v>1</v>
      </c>
      <c r="K36" s="424" t="e">
        <f t="shared" si="5"/>
        <v>#DIV/0!</v>
      </c>
      <c r="L36" s="693"/>
      <c r="M36" s="693"/>
      <c r="N36" s="693"/>
    </row>
    <row r="37" spans="1:14" s="367" customFormat="1" ht="13.5" customHeight="1">
      <c r="A37" s="330">
        <v>29</v>
      </c>
      <c r="B37" s="365">
        <f>'FRIT HGE91-FHG'!B37</f>
        <v>46263</v>
      </c>
      <c r="C37" s="365" t="s">
        <v>285</v>
      </c>
      <c r="D37" s="432"/>
      <c r="E37" s="437">
        <f t="shared" si="0"/>
        <v>0</v>
      </c>
      <c r="F37" s="428">
        <f t="shared" si="4"/>
        <v>0</v>
      </c>
      <c r="G37" s="432">
        <f t="shared" si="7"/>
        <v>0</v>
      </c>
      <c r="H37" s="429">
        <f>SUM($F$8:F37)/A37</f>
        <v>0</v>
      </c>
      <c r="I37" s="433">
        <f t="shared" si="2"/>
        <v>4</v>
      </c>
      <c r="J37" s="434">
        <f t="shared" si="3"/>
        <v>1</v>
      </c>
      <c r="K37" s="424" t="e">
        <f t="shared" si="5"/>
        <v>#DIV/0!</v>
      </c>
      <c r="L37" s="693"/>
      <c r="M37" s="693"/>
      <c r="N37" s="693"/>
    </row>
    <row r="38" spans="1:14" s="367" customFormat="1" ht="13.5" customHeight="1">
      <c r="A38" s="425">
        <v>30</v>
      </c>
      <c r="B38" s="365">
        <f>'FRIT HGE91-FHG'!B38</f>
        <v>46264</v>
      </c>
      <c r="C38" s="365" t="s">
        <v>285</v>
      </c>
      <c r="D38" s="428"/>
      <c r="E38" s="338">
        <f t="shared" si="0"/>
        <v>0</v>
      </c>
      <c r="F38" s="428">
        <f t="shared" si="4"/>
        <v>0</v>
      </c>
      <c r="G38" s="428">
        <f t="shared" si="7"/>
        <v>0</v>
      </c>
      <c r="H38" s="430">
        <f>SUM($F$8:F38)/A38</f>
        <v>0</v>
      </c>
      <c r="I38" s="435">
        <f t="shared" si="2"/>
        <v>4</v>
      </c>
      <c r="J38" s="434">
        <f t="shared" si="3"/>
        <v>1</v>
      </c>
      <c r="K38" s="424" t="e">
        <f t="shared" si="5"/>
        <v>#DIV/0!</v>
      </c>
      <c r="L38" s="693"/>
      <c r="M38" s="693"/>
      <c r="N38" s="693"/>
    </row>
    <row r="39" spans="1:14" s="367" customFormat="1" ht="13.5" customHeight="1">
      <c r="A39" s="330">
        <v>31</v>
      </c>
      <c r="B39" s="365">
        <f>'FRIT HGE91-FHG'!B39</f>
        <v>46265</v>
      </c>
      <c r="C39" s="365" t="s">
        <v>285</v>
      </c>
      <c r="D39" s="428"/>
      <c r="E39" s="338">
        <f t="shared" si="0"/>
        <v>0</v>
      </c>
      <c r="F39" s="428">
        <f t="shared" si="4"/>
        <v>0</v>
      </c>
      <c r="G39" s="428">
        <f t="shared" si="7"/>
        <v>0</v>
      </c>
      <c r="H39" s="429">
        <f>SUM($F$8:F39)/A39</f>
        <v>0</v>
      </c>
      <c r="I39" s="433">
        <f t="shared" si="2"/>
        <v>4</v>
      </c>
      <c r="J39" s="434">
        <f t="shared" si="3"/>
        <v>1</v>
      </c>
      <c r="K39" s="424" t="e">
        <f t="shared" si="5"/>
        <v>#DIV/0!</v>
      </c>
      <c r="L39" s="693"/>
      <c r="M39" s="693"/>
      <c r="N39" s="693"/>
    </row>
    <row r="40" spans="1:14" s="374" customFormat="1" ht="13.5" customHeight="1">
      <c r="A40" s="1613" t="s">
        <v>29</v>
      </c>
      <c r="B40" s="1614"/>
      <c r="C40" s="1615"/>
      <c r="D40" s="301">
        <f>SUM(D9:D39)</f>
        <v>0</v>
      </c>
      <c r="E40" s="301">
        <f>SUM(E9:E39)</f>
        <v>0</v>
      </c>
      <c r="F40" s="422">
        <f>SUM(F9:F39)</f>
        <v>0</v>
      </c>
      <c r="G40" s="438">
        <f>SUM(G9:G39)</f>
        <v>0</v>
      </c>
      <c r="H40" s="422"/>
      <c r="I40" s="439">
        <f>I39</f>
        <v>4</v>
      </c>
      <c r="J40" s="439">
        <f>J39</f>
        <v>1</v>
      </c>
      <c r="K40" s="302"/>
      <c r="L40" s="691">
        <f>SUM(L9:L39)</f>
        <v>0</v>
      </c>
      <c r="M40" s="691">
        <f t="shared" ref="M40:N40" si="8">SUM(M9:M39)</f>
        <v>0</v>
      </c>
      <c r="N40" s="691">
        <f t="shared" si="8"/>
        <v>0</v>
      </c>
    </row>
    <row r="41" spans="1:14" s="374" customFormat="1" ht="13.5" customHeight="1">
      <c r="A41" s="1613" t="s">
        <v>15</v>
      </c>
      <c r="B41" s="1614"/>
      <c r="C41" s="1615"/>
      <c r="D41" s="301">
        <f>D8+D40</f>
        <v>4</v>
      </c>
      <c r="E41" s="301">
        <f>E8+E40</f>
        <v>1</v>
      </c>
      <c r="F41" s="422">
        <f>F40</f>
        <v>0</v>
      </c>
      <c r="G41" s="438">
        <f>G40</f>
        <v>0</v>
      </c>
      <c r="H41" s="422"/>
      <c r="I41" s="422">
        <f>D41-F41</f>
        <v>4</v>
      </c>
      <c r="J41" s="422">
        <f>E41-G41</f>
        <v>1</v>
      </c>
      <c r="K41" s="302"/>
      <c r="L41" s="694"/>
      <c r="M41" s="694"/>
      <c r="N41" s="694"/>
    </row>
    <row r="42" spans="1:14" s="324" customFormat="1" ht="12.75">
      <c r="D42" s="343"/>
      <c r="E42" s="343"/>
      <c r="F42" s="343"/>
      <c r="G42" s="343"/>
      <c r="H42" s="343"/>
      <c r="I42" s="343"/>
      <c r="J42" s="343" t="s">
        <v>227</v>
      </c>
      <c r="K42" s="343"/>
      <c r="L42" s="343"/>
      <c r="M42" s="343"/>
      <c r="N42" s="343"/>
    </row>
    <row r="43" spans="1:14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4" s="324" customFormat="1" ht="12.75">
      <c r="D46" s="343"/>
      <c r="E46" s="343"/>
      <c r="F46" s="343"/>
      <c r="G46" s="343"/>
      <c r="H46" s="343"/>
      <c r="I46" s="343"/>
      <c r="J46" s="343" t="str">
        <f>'FRIT HGE91-FHG'!J46</f>
        <v>Châu Thị Hoài Thương</v>
      </c>
      <c r="K46" s="343"/>
      <c r="L46" s="343"/>
      <c r="M46" s="343"/>
      <c r="N46" s="343"/>
    </row>
    <row r="47" spans="1:14">
      <c r="D47" s="42"/>
      <c r="E47" s="42"/>
      <c r="F47" s="42"/>
      <c r="G47" s="42"/>
      <c r="H47" s="42"/>
      <c r="I47" s="42"/>
      <c r="J47" s="260"/>
    </row>
    <row r="48" spans="1:14">
      <c r="J48" s="260"/>
    </row>
  </sheetData>
  <mergeCells count="16">
    <mergeCell ref="L6:L7"/>
    <mergeCell ref="M6:M7"/>
    <mergeCell ref="A3:N3"/>
    <mergeCell ref="A8:C8"/>
    <mergeCell ref="A40:C40"/>
    <mergeCell ref="F6:G6"/>
    <mergeCell ref="H6:H7"/>
    <mergeCell ref="I6:J6"/>
    <mergeCell ref="K6:K7"/>
    <mergeCell ref="A4:B4"/>
    <mergeCell ref="N6:N7"/>
    <mergeCell ref="A41:C41"/>
    <mergeCell ref="A6:A7"/>
    <mergeCell ref="B6:B7"/>
    <mergeCell ref="C6:C7"/>
    <mergeCell ref="D6:E6"/>
  </mergeCells>
  <conditionalFormatting sqref="K9:K41">
    <cfRule type="cellIs" dxfId="8861" priority="7" operator="between">
      <formula>15</formula>
      <formula>20</formula>
    </cfRule>
    <cfRule type="cellIs" dxfId="8860" priority="8" operator="lessThan">
      <formula>15</formula>
    </cfRule>
    <cfRule type="cellIs" dxfId="8859" priority="9" operator="greaterThan">
      <formula>20</formula>
    </cfRule>
  </conditionalFormatting>
  <hyperlinks>
    <hyperlink ref="K5" location="'TỔNG HỢP THÁNG'!A1" display="'TỔNG HỢP THÁNG'!A1"/>
  </hyperlinks>
  <pageMargins left="0.94488188976377963" right="0" top="0.23622047244094491" bottom="0.23622047244094491" header="0.74803149606299213" footer="0.31496062992125984"/>
  <pageSetup paperSize="8" scale="90" orientation="landscape" horizontalDpi="4294967292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U49"/>
  <sheetViews>
    <sheetView workbookViewId="0">
      <pane ySplit="9" topLeftCell="A19" activePane="bottomLeft" state="frozen"/>
      <selection pane="bottomLeft" activeCell="M6" sqref="M6"/>
    </sheetView>
  </sheetViews>
  <sheetFormatPr defaultColWidth="9.28515625" defaultRowHeight="16.5"/>
  <cols>
    <col min="1" max="1" width="3.5703125" style="42" customWidth="1"/>
    <col min="2" max="2" width="7.42578125" style="42" customWidth="1"/>
    <col min="3" max="3" width="16.28515625" style="42" customWidth="1"/>
    <col min="4" max="4" width="10" style="6" customWidth="1"/>
    <col min="5" max="7" width="7.140625" style="6" customWidth="1"/>
    <col min="8" max="9" width="7.5703125" style="6" customWidth="1"/>
    <col min="10" max="11" width="8.85546875" style="6" customWidth="1"/>
    <col min="12" max="13" width="8.5703125" style="42" customWidth="1"/>
    <col min="14" max="16" width="7.140625" style="6" customWidth="1"/>
    <col min="17" max="18" width="6.85546875" style="6" customWidth="1"/>
    <col min="19" max="19" width="6.85546875" style="143" customWidth="1"/>
    <col min="20" max="20" width="6.85546875" style="42" customWidth="1"/>
    <col min="21" max="16384" width="9.28515625" style="42"/>
  </cols>
  <sheetData>
    <row r="1" spans="1:21" s="143" customFormat="1" ht="12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142"/>
      <c r="O1" s="142"/>
      <c r="P1" s="142"/>
      <c r="Q1" s="142"/>
      <c r="R1" s="142"/>
      <c r="S1" s="323"/>
      <c r="T1" s="324"/>
      <c r="U1" s="324"/>
    </row>
    <row r="2" spans="1:21" s="143" customFormat="1" ht="12.75" customHeight="1">
      <c r="A2" s="323" t="s">
        <v>173</v>
      </c>
      <c r="B2" s="324"/>
      <c r="C2" s="324"/>
      <c r="D2" s="324"/>
      <c r="E2" s="324"/>
      <c r="F2" s="324"/>
      <c r="H2" s="324"/>
      <c r="J2" s="324"/>
      <c r="K2" s="324"/>
      <c r="L2" s="324"/>
      <c r="M2" s="183" t="s">
        <v>113</v>
      </c>
      <c r="N2" s="142"/>
      <c r="O2" s="142"/>
      <c r="P2" s="142"/>
      <c r="Q2" s="142"/>
      <c r="R2" s="142"/>
      <c r="S2" s="323"/>
      <c r="T2" s="324"/>
    </row>
    <row r="3" spans="1:21" s="143" customFormat="1" ht="18.75" customHeight="1">
      <c r="A3" s="1644" t="s">
        <v>0</v>
      </c>
      <c r="B3" s="1644"/>
      <c r="C3" s="1644"/>
      <c r="D3" s="1644"/>
      <c r="E3" s="1644"/>
      <c r="F3" s="1644"/>
      <c r="G3" s="1644"/>
      <c r="H3" s="1644"/>
      <c r="I3" s="1644"/>
      <c r="J3" s="1644"/>
      <c r="K3" s="1644"/>
      <c r="L3" s="1644"/>
      <c r="M3" s="1644"/>
      <c r="N3" s="1644"/>
      <c r="O3" s="1644"/>
      <c r="P3" s="686"/>
      <c r="Q3" s="737"/>
      <c r="R3" s="737"/>
    </row>
    <row r="4" spans="1:21" s="376" customFormat="1" ht="12" customHeight="1">
      <c r="A4" s="1600" t="s">
        <v>33</v>
      </c>
      <c r="B4" s="1600"/>
      <c r="C4" s="323" t="s">
        <v>422</v>
      </c>
      <c r="E4" s="383" t="s">
        <v>228</v>
      </c>
      <c r="F4" s="383" t="s">
        <v>235</v>
      </c>
      <c r="I4" s="441" t="s">
        <v>114</v>
      </c>
      <c r="J4" s="316" t="s">
        <v>423</v>
      </c>
      <c r="N4" s="383"/>
      <c r="O4" s="383"/>
      <c r="P4" s="383"/>
      <c r="Q4" s="383"/>
      <c r="R4" s="383"/>
      <c r="S4" s="143"/>
    </row>
    <row r="5" spans="1:21" s="376" customFormat="1" ht="12" customHeight="1" thickBot="1">
      <c r="B5" s="324" t="str">
        <f>'ESPANA 30x60-HA'!B5</f>
        <v xml:space="preserve">Từ ngày:  </v>
      </c>
      <c r="C5" s="324">
        <f>'ESPANA 30x60-HA'!C5</f>
        <v>1</v>
      </c>
      <c r="D5" s="324" t="str">
        <f>'ESPANA 30x60-HA'!D5</f>
        <v>đến ngày</v>
      </c>
      <c r="E5" s="324">
        <f>'ESPANA 30x60-HA'!E5</f>
        <v>17</v>
      </c>
      <c r="F5" s="324" t="str">
        <f>'ESPANA 30x60-HA'!F5</f>
        <v>tháng</v>
      </c>
      <c r="G5" s="324">
        <f>'ESPANA 30x60-HA'!G5</f>
        <v>8</v>
      </c>
      <c r="H5" s="324" t="str">
        <f>'ESPANA 30x60-HA'!H5</f>
        <v xml:space="preserve">năm </v>
      </c>
      <c r="I5" s="324">
        <f>'ESPANA 30x60-HA'!I5</f>
        <v>2026</v>
      </c>
      <c r="N5" s="343"/>
      <c r="O5" s="343"/>
      <c r="P5" s="343"/>
      <c r="Q5" s="343"/>
      <c r="R5" s="343"/>
      <c r="S5" s="143"/>
    </row>
    <row r="6" spans="1:21" s="376" customFormat="1" ht="12" customHeight="1">
      <c r="B6" s="324"/>
      <c r="C6" s="324"/>
      <c r="D6" s="324"/>
      <c r="E6" s="324"/>
      <c r="F6" s="324"/>
      <c r="G6" s="324"/>
      <c r="J6" s="621"/>
      <c r="L6" s="508" t="s">
        <v>292</v>
      </c>
      <c r="M6" s="375" t="s">
        <v>149</v>
      </c>
      <c r="N6" s="1620" t="s">
        <v>343</v>
      </c>
      <c r="O6" s="1620" t="s">
        <v>244</v>
      </c>
      <c r="P6" s="1620" t="s">
        <v>821</v>
      </c>
      <c r="Q6" s="1636" t="s">
        <v>353</v>
      </c>
      <c r="R6" s="1637"/>
      <c r="S6" s="1640" t="s">
        <v>352</v>
      </c>
      <c r="T6" s="1641"/>
    </row>
    <row r="7" spans="1:21" s="305" customFormat="1" ht="23.25" customHeight="1">
      <c r="A7" s="1609" t="s">
        <v>2</v>
      </c>
      <c r="B7" s="1611" t="s">
        <v>1</v>
      </c>
      <c r="C7" s="1611" t="s">
        <v>24</v>
      </c>
      <c r="D7" s="1607" t="s">
        <v>250</v>
      </c>
      <c r="E7" s="1608"/>
      <c r="F7" s="1607" t="s">
        <v>249</v>
      </c>
      <c r="G7" s="1608"/>
      <c r="H7" s="1607" t="s">
        <v>265</v>
      </c>
      <c r="I7" s="1608"/>
      <c r="J7" s="1607" t="s">
        <v>253</v>
      </c>
      <c r="K7" s="1608"/>
      <c r="L7" s="1607" t="s">
        <v>30</v>
      </c>
      <c r="M7" s="1608"/>
      <c r="N7" s="1621"/>
      <c r="O7" s="1621"/>
      <c r="P7" s="1621"/>
      <c r="Q7" s="1638"/>
      <c r="R7" s="1639"/>
      <c r="S7" s="1642"/>
      <c r="T7" s="1643"/>
    </row>
    <row r="8" spans="1:21" s="305" customFormat="1" ht="13.5" customHeight="1">
      <c r="A8" s="1610"/>
      <c r="B8" s="1612"/>
      <c r="C8" s="1612"/>
      <c r="D8" s="299" t="s">
        <v>49</v>
      </c>
      <c r="E8" s="298" t="s">
        <v>143</v>
      </c>
      <c r="F8" s="299" t="s">
        <v>49</v>
      </c>
      <c r="G8" s="298" t="s">
        <v>143</v>
      </c>
      <c r="H8" s="299" t="s">
        <v>49</v>
      </c>
      <c r="I8" s="298" t="s">
        <v>143</v>
      </c>
      <c r="J8" s="299" t="s">
        <v>49</v>
      </c>
      <c r="K8" s="298" t="s">
        <v>143</v>
      </c>
      <c r="L8" s="299" t="s">
        <v>49</v>
      </c>
      <c r="M8" s="298" t="s">
        <v>143</v>
      </c>
      <c r="N8" s="688"/>
      <c r="O8" s="688"/>
      <c r="P8" s="688"/>
      <c r="Q8" s="714" t="s">
        <v>49</v>
      </c>
      <c r="R8" s="297" t="s">
        <v>143</v>
      </c>
      <c r="S8" s="296" t="s">
        <v>49</v>
      </c>
      <c r="T8" s="715" t="s">
        <v>143</v>
      </c>
    </row>
    <row r="9" spans="1:21" s="305" customFormat="1" ht="12" customHeight="1">
      <c r="A9" s="1597" t="s">
        <v>3</v>
      </c>
      <c r="B9" s="1598"/>
      <c r="C9" s="1599"/>
      <c r="D9" s="387">
        <f>J9</f>
        <v>230</v>
      </c>
      <c r="E9" s="389">
        <f>K9</f>
        <v>23</v>
      </c>
      <c r="F9" s="387"/>
      <c r="G9" s="387"/>
      <c r="H9" s="387"/>
      <c r="I9" s="387"/>
      <c r="J9" s="941">
        <v>230</v>
      </c>
      <c r="K9" s="667">
        <f>J9/10</f>
        <v>23</v>
      </c>
      <c r="L9" s="303"/>
      <c r="M9" s="304"/>
      <c r="N9" s="1168"/>
      <c r="O9" s="1168"/>
      <c r="P9" s="1168"/>
      <c r="Q9" s="716"/>
      <c r="R9" s="692"/>
      <c r="S9" s="692"/>
      <c r="T9" s="717"/>
    </row>
    <row r="10" spans="1:21" s="333" customFormat="1" ht="12" customHeight="1">
      <c r="A10" s="330">
        <v>1</v>
      </c>
      <c r="B10" s="365">
        <f>'FRIT HGE91-FHG'!B9</f>
        <v>46235</v>
      </c>
      <c r="C10" s="331" t="s">
        <v>334</v>
      </c>
      <c r="D10" s="1441">
        <f>Q10+S10</f>
        <v>0</v>
      </c>
      <c r="E10" s="718">
        <f>D10/10</f>
        <v>0</v>
      </c>
      <c r="F10" s="1441">
        <f>N10+O10+P10</f>
        <v>0</v>
      </c>
      <c r="G10" s="1442">
        <f>F10/10</f>
        <v>0</v>
      </c>
      <c r="H10" s="1443">
        <f>SUM($F$9:F10)/A10</f>
        <v>0</v>
      </c>
      <c r="I10" s="1444">
        <f>SUM($G$9:G10)/A10</f>
        <v>0</v>
      </c>
      <c r="J10" s="1445">
        <f>J9+D10-F10</f>
        <v>230</v>
      </c>
      <c r="K10" s="1446">
        <f>K9+E10-G10</f>
        <v>23</v>
      </c>
      <c r="L10" s="1447" t="e">
        <f>J10/H10</f>
        <v>#DIV/0!</v>
      </c>
      <c r="M10" s="1447" t="e">
        <f>K10/I10</f>
        <v>#DIV/0!</v>
      </c>
      <c r="N10" s="1485"/>
      <c r="O10" s="1485"/>
      <c r="P10" s="1485"/>
      <c r="Q10" s="716"/>
      <c r="R10" s="718">
        <f>Q10/20</f>
        <v>0</v>
      </c>
      <c r="S10" s="692"/>
      <c r="T10" s="719">
        <f>S10/10</f>
        <v>0</v>
      </c>
    </row>
    <row r="11" spans="1:21" s="333" customFormat="1" ht="12" customHeight="1">
      <c r="A11" s="330">
        <v>2</v>
      </c>
      <c r="B11" s="365">
        <f>'FRIT HGE91-FHG'!B10</f>
        <v>46236</v>
      </c>
      <c r="C11" s="331" t="s">
        <v>349</v>
      </c>
      <c r="D11" s="1441">
        <f t="shared" ref="D11:D40" si="0">Q11+S11</f>
        <v>0</v>
      </c>
      <c r="E11" s="718">
        <f t="shared" ref="E11:E40" si="1">D11/10</f>
        <v>0</v>
      </c>
      <c r="F11" s="1441">
        <f t="shared" ref="F11:F40" si="2">N11+O11+P11</f>
        <v>0</v>
      </c>
      <c r="G11" s="1442">
        <f t="shared" ref="G11:G40" si="3">F11/10</f>
        <v>0</v>
      </c>
      <c r="H11" s="1443">
        <f>SUM($F$9:F11)/A11</f>
        <v>0</v>
      </c>
      <c r="I11" s="1444">
        <f>SUM($G$9:G11)/A11</f>
        <v>0</v>
      </c>
      <c r="J11" s="1445">
        <f t="shared" ref="J11:K26" si="4">J10+D11-F11</f>
        <v>230</v>
      </c>
      <c r="K11" s="1446">
        <f t="shared" si="4"/>
        <v>23</v>
      </c>
      <c r="L11" s="1447" t="e">
        <f t="shared" ref="L11:M40" si="5">J11/H11</f>
        <v>#DIV/0!</v>
      </c>
      <c r="M11" s="1447" t="e">
        <f t="shared" si="5"/>
        <v>#DIV/0!</v>
      </c>
      <c r="N11" s="1499"/>
      <c r="O11" s="1499"/>
      <c r="P11" s="1499"/>
      <c r="Q11" s="716"/>
      <c r="R11" s="718">
        <f>Q11/20</f>
        <v>0</v>
      </c>
      <c r="S11" s="692"/>
      <c r="T11" s="719">
        <f t="shared" ref="T11:T39" si="6">S11/10</f>
        <v>0</v>
      </c>
    </row>
    <row r="12" spans="1:21" s="333" customFormat="1" ht="12" customHeight="1">
      <c r="A12" s="330">
        <v>3</v>
      </c>
      <c r="B12" s="365">
        <f>'FRIT HGE91-FHG'!B11</f>
        <v>46237</v>
      </c>
      <c r="C12" s="331" t="s">
        <v>334</v>
      </c>
      <c r="D12" s="1441">
        <f t="shared" si="0"/>
        <v>2000</v>
      </c>
      <c r="E12" s="718">
        <f t="shared" si="1"/>
        <v>200</v>
      </c>
      <c r="F12" s="1441">
        <f t="shared" si="2"/>
        <v>0</v>
      </c>
      <c r="G12" s="1442">
        <f t="shared" si="3"/>
        <v>0</v>
      </c>
      <c r="H12" s="1443">
        <f>SUM($F$9:F12)/A12</f>
        <v>0</v>
      </c>
      <c r="I12" s="1444">
        <f>SUM($G$9:G12)/A12</f>
        <v>0</v>
      </c>
      <c r="J12" s="1445">
        <f t="shared" si="4"/>
        <v>2230</v>
      </c>
      <c r="K12" s="1446">
        <f t="shared" si="4"/>
        <v>223</v>
      </c>
      <c r="L12" s="1447" t="e">
        <f t="shared" si="5"/>
        <v>#DIV/0!</v>
      </c>
      <c r="M12" s="1447" t="e">
        <f t="shared" si="5"/>
        <v>#DIV/0!</v>
      </c>
      <c r="N12" s="1499"/>
      <c r="O12" s="1499"/>
      <c r="P12" s="1499"/>
      <c r="Q12" s="716"/>
      <c r="R12" s="718">
        <f t="shared" ref="R12:R40" si="7">Q12/20</f>
        <v>0</v>
      </c>
      <c r="S12" s="692">
        <v>2000</v>
      </c>
      <c r="T12" s="719">
        <f t="shared" si="6"/>
        <v>200</v>
      </c>
    </row>
    <row r="13" spans="1:21" s="367" customFormat="1" ht="12" customHeight="1">
      <c r="A13" s="330">
        <v>4</v>
      </c>
      <c r="B13" s="365">
        <f>'FRIT HGE91-FHG'!B12</f>
        <v>46238</v>
      </c>
      <c r="C13" s="331" t="s">
        <v>349</v>
      </c>
      <c r="D13" s="1441">
        <f t="shared" si="0"/>
        <v>0</v>
      </c>
      <c r="E13" s="718">
        <f t="shared" si="1"/>
        <v>0</v>
      </c>
      <c r="F13" s="1441">
        <f t="shared" si="2"/>
        <v>1000</v>
      </c>
      <c r="G13" s="1442">
        <f t="shared" si="3"/>
        <v>100</v>
      </c>
      <c r="H13" s="1443">
        <f>SUM($F$9:F13)/A13</f>
        <v>250</v>
      </c>
      <c r="I13" s="1444">
        <f>SUM($G$9:G13)/A13</f>
        <v>25</v>
      </c>
      <c r="J13" s="1445">
        <f t="shared" si="4"/>
        <v>1230</v>
      </c>
      <c r="K13" s="1446">
        <f t="shared" si="4"/>
        <v>123</v>
      </c>
      <c r="L13" s="1447">
        <f t="shared" si="5"/>
        <v>4.92</v>
      </c>
      <c r="M13" s="1447">
        <f t="shared" si="5"/>
        <v>4.92</v>
      </c>
      <c r="N13" s="1499"/>
      <c r="O13" s="1499">
        <v>1000</v>
      </c>
      <c r="P13" s="1499"/>
      <c r="Q13" s="716"/>
      <c r="R13" s="718">
        <f t="shared" si="7"/>
        <v>0</v>
      </c>
      <c r="S13" s="692"/>
      <c r="T13" s="719">
        <f t="shared" si="6"/>
        <v>0</v>
      </c>
    </row>
    <row r="14" spans="1:21" s="367" customFormat="1" ht="12" customHeight="1">
      <c r="A14" s="425">
        <v>5</v>
      </c>
      <c r="B14" s="365">
        <f>'FRIT HGE91-FHG'!B13</f>
        <v>46239</v>
      </c>
      <c r="C14" s="331" t="s">
        <v>334</v>
      </c>
      <c r="D14" s="1441">
        <f t="shared" si="0"/>
        <v>0</v>
      </c>
      <c r="E14" s="718">
        <f t="shared" si="1"/>
        <v>0</v>
      </c>
      <c r="F14" s="1441">
        <f t="shared" si="2"/>
        <v>500</v>
      </c>
      <c r="G14" s="1442">
        <f t="shared" si="3"/>
        <v>50</v>
      </c>
      <c r="H14" s="1448">
        <f>SUM($F$9:F14)/A14</f>
        <v>300</v>
      </c>
      <c r="I14" s="1444">
        <f>SUM($G$9:G14)/A14</f>
        <v>30</v>
      </c>
      <c r="J14" s="1448">
        <f t="shared" si="4"/>
        <v>730</v>
      </c>
      <c r="K14" s="1446">
        <f t="shared" si="4"/>
        <v>73</v>
      </c>
      <c r="L14" s="1447">
        <f t="shared" si="5"/>
        <v>2.4333333333333331</v>
      </c>
      <c r="M14" s="1447">
        <f t="shared" si="5"/>
        <v>2.4333333333333331</v>
      </c>
      <c r="N14" s="1499">
        <v>500</v>
      </c>
      <c r="O14" s="1499"/>
      <c r="P14" s="1499"/>
      <c r="Q14" s="716"/>
      <c r="R14" s="718">
        <f t="shared" si="7"/>
        <v>0</v>
      </c>
      <c r="S14" s="692"/>
      <c r="T14" s="719">
        <f t="shared" si="6"/>
        <v>0</v>
      </c>
    </row>
    <row r="15" spans="1:21" s="367" customFormat="1" ht="12" customHeight="1">
      <c r="A15" s="330">
        <v>6</v>
      </c>
      <c r="B15" s="365">
        <f>'FRIT HGE91-FHG'!B14</f>
        <v>46240</v>
      </c>
      <c r="C15" s="331" t="s">
        <v>334</v>
      </c>
      <c r="D15" s="1441">
        <f t="shared" si="0"/>
        <v>0</v>
      </c>
      <c r="E15" s="718">
        <f t="shared" si="1"/>
        <v>0</v>
      </c>
      <c r="F15" s="1441">
        <f t="shared" si="2"/>
        <v>0</v>
      </c>
      <c r="G15" s="1442">
        <f t="shared" si="3"/>
        <v>0</v>
      </c>
      <c r="H15" s="1443">
        <f>SUM($F$9:F15)/A15</f>
        <v>250</v>
      </c>
      <c r="I15" s="1444">
        <f>SUM($G$9:G15)/A15</f>
        <v>25</v>
      </c>
      <c r="J15" s="1445">
        <f t="shared" si="4"/>
        <v>730</v>
      </c>
      <c r="K15" s="1446">
        <f t="shared" si="4"/>
        <v>73</v>
      </c>
      <c r="L15" s="1447">
        <f t="shared" si="5"/>
        <v>2.92</v>
      </c>
      <c r="M15" s="1447">
        <f t="shared" si="5"/>
        <v>2.92</v>
      </c>
      <c r="N15" s="1499"/>
      <c r="O15" s="1499"/>
      <c r="P15" s="1499"/>
      <c r="Q15" s="716"/>
      <c r="R15" s="718">
        <f t="shared" si="7"/>
        <v>0</v>
      </c>
      <c r="S15" s="692"/>
      <c r="T15" s="719">
        <f t="shared" si="6"/>
        <v>0</v>
      </c>
    </row>
    <row r="16" spans="1:21" s="367" customFormat="1" ht="12" customHeight="1">
      <c r="A16" s="330">
        <v>7</v>
      </c>
      <c r="B16" s="365">
        <f>'FRIT HGE91-FHG'!B15</f>
        <v>46241</v>
      </c>
      <c r="C16" s="331" t="s">
        <v>334</v>
      </c>
      <c r="D16" s="1441">
        <f t="shared" si="0"/>
        <v>0</v>
      </c>
      <c r="E16" s="718">
        <f t="shared" si="1"/>
        <v>0</v>
      </c>
      <c r="F16" s="1441">
        <f t="shared" si="2"/>
        <v>500</v>
      </c>
      <c r="G16" s="1442">
        <f t="shared" si="3"/>
        <v>50</v>
      </c>
      <c r="H16" s="1443">
        <f>SUM($F$9:F16)/A16</f>
        <v>285.71428571428572</v>
      </c>
      <c r="I16" s="1444">
        <f>SUM($G$9:G16)/A16</f>
        <v>28.571428571428573</v>
      </c>
      <c r="J16" s="1445">
        <f t="shared" si="4"/>
        <v>230</v>
      </c>
      <c r="K16" s="1446">
        <f t="shared" si="4"/>
        <v>23</v>
      </c>
      <c r="L16" s="1447">
        <f t="shared" si="5"/>
        <v>0.80499999999999994</v>
      </c>
      <c r="M16" s="1447">
        <f t="shared" si="5"/>
        <v>0.80499999999999994</v>
      </c>
      <c r="N16" s="1499">
        <v>500</v>
      </c>
      <c r="O16" s="1499"/>
      <c r="P16" s="1499"/>
      <c r="Q16" s="716"/>
      <c r="R16" s="718">
        <f t="shared" si="7"/>
        <v>0</v>
      </c>
      <c r="S16" s="692"/>
      <c r="T16" s="719">
        <f t="shared" si="6"/>
        <v>0</v>
      </c>
    </row>
    <row r="17" spans="1:20" s="367" customFormat="1" ht="12" customHeight="1">
      <c r="A17" s="330">
        <v>8</v>
      </c>
      <c r="B17" s="365">
        <f>'FRIT HGE91-FHG'!B16</f>
        <v>46242</v>
      </c>
      <c r="C17" s="331" t="s">
        <v>334</v>
      </c>
      <c r="D17" s="1441">
        <f t="shared" si="0"/>
        <v>3000</v>
      </c>
      <c r="E17" s="718">
        <f t="shared" si="1"/>
        <v>300</v>
      </c>
      <c r="F17" s="1441">
        <f t="shared" si="2"/>
        <v>0</v>
      </c>
      <c r="G17" s="1442">
        <f t="shared" si="3"/>
        <v>0</v>
      </c>
      <c r="H17" s="1443">
        <f>SUM($F$9:F17)/A17</f>
        <v>250</v>
      </c>
      <c r="I17" s="1444">
        <f>SUM($G$9:G17)/A17</f>
        <v>25</v>
      </c>
      <c r="J17" s="1445">
        <f t="shared" si="4"/>
        <v>3230</v>
      </c>
      <c r="K17" s="1446">
        <f t="shared" si="4"/>
        <v>323</v>
      </c>
      <c r="L17" s="1447">
        <f t="shared" si="5"/>
        <v>12.92</v>
      </c>
      <c r="M17" s="1447">
        <f t="shared" si="5"/>
        <v>12.92</v>
      </c>
      <c r="N17" s="1499"/>
      <c r="O17" s="1499"/>
      <c r="P17" s="1499"/>
      <c r="Q17" s="716"/>
      <c r="R17" s="718">
        <f t="shared" si="7"/>
        <v>0</v>
      </c>
      <c r="S17" s="692">
        <v>3000</v>
      </c>
      <c r="T17" s="719">
        <f t="shared" si="6"/>
        <v>300</v>
      </c>
    </row>
    <row r="18" spans="1:20" s="367" customFormat="1" ht="12" customHeight="1">
      <c r="A18" s="330">
        <v>9</v>
      </c>
      <c r="B18" s="365">
        <f>'FRIT HGE91-FHG'!B17</f>
        <v>46243</v>
      </c>
      <c r="C18" s="331" t="s">
        <v>334</v>
      </c>
      <c r="D18" s="1441">
        <f t="shared" si="0"/>
        <v>0</v>
      </c>
      <c r="E18" s="718">
        <f t="shared" si="1"/>
        <v>0</v>
      </c>
      <c r="F18" s="1441">
        <f t="shared" si="2"/>
        <v>0</v>
      </c>
      <c r="G18" s="1442">
        <f t="shared" si="3"/>
        <v>0</v>
      </c>
      <c r="H18" s="1443">
        <f>SUM($F$9:F18)/A18</f>
        <v>222.22222222222223</v>
      </c>
      <c r="I18" s="1444">
        <f>SUM($G$9:G18)/A18</f>
        <v>22.222222222222221</v>
      </c>
      <c r="J18" s="1445">
        <f t="shared" si="4"/>
        <v>3230</v>
      </c>
      <c r="K18" s="1446">
        <f t="shared" si="4"/>
        <v>323</v>
      </c>
      <c r="L18" s="1447">
        <f t="shared" si="5"/>
        <v>14.535</v>
      </c>
      <c r="M18" s="1447">
        <f t="shared" si="5"/>
        <v>14.535</v>
      </c>
      <c r="N18" s="1499"/>
      <c r="O18" s="1499"/>
      <c r="P18" s="1499"/>
      <c r="Q18" s="716"/>
      <c r="R18" s="718">
        <f t="shared" si="7"/>
        <v>0</v>
      </c>
      <c r="S18" s="692"/>
      <c r="T18" s="719">
        <f t="shared" si="6"/>
        <v>0</v>
      </c>
    </row>
    <row r="19" spans="1:20" s="367" customFormat="1" ht="12" customHeight="1">
      <c r="A19" s="425">
        <v>10</v>
      </c>
      <c r="B19" s="365">
        <f>'FRIT HGE91-FHG'!B18</f>
        <v>46244</v>
      </c>
      <c r="C19" s="331" t="s">
        <v>334</v>
      </c>
      <c r="D19" s="1441">
        <f t="shared" si="0"/>
        <v>0</v>
      </c>
      <c r="E19" s="718">
        <f t="shared" si="1"/>
        <v>0</v>
      </c>
      <c r="F19" s="1441">
        <f t="shared" si="2"/>
        <v>0</v>
      </c>
      <c r="G19" s="1442">
        <f t="shared" si="3"/>
        <v>0</v>
      </c>
      <c r="H19" s="1448">
        <f>SUM($F$9:F19)/A19</f>
        <v>200</v>
      </c>
      <c r="I19" s="1444">
        <f>SUM($G$9:G19)/A19</f>
        <v>20</v>
      </c>
      <c r="J19" s="1448">
        <f t="shared" si="4"/>
        <v>3230</v>
      </c>
      <c r="K19" s="1446">
        <f t="shared" si="4"/>
        <v>323</v>
      </c>
      <c r="L19" s="1447">
        <f t="shared" si="5"/>
        <v>16.149999999999999</v>
      </c>
      <c r="M19" s="1447">
        <f t="shared" si="5"/>
        <v>16.149999999999999</v>
      </c>
      <c r="N19" s="1499"/>
      <c r="O19" s="1499"/>
      <c r="P19" s="1499"/>
      <c r="Q19" s="716"/>
      <c r="R19" s="718">
        <f t="shared" si="7"/>
        <v>0</v>
      </c>
      <c r="S19" s="692"/>
      <c r="T19" s="719">
        <f t="shared" si="6"/>
        <v>0</v>
      </c>
    </row>
    <row r="20" spans="1:20" s="367" customFormat="1" ht="12" customHeight="1">
      <c r="A20" s="330">
        <v>11</v>
      </c>
      <c r="B20" s="365">
        <f>'FRIT HGE91-FHG'!B19</f>
        <v>46245</v>
      </c>
      <c r="C20" s="331" t="s">
        <v>349</v>
      </c>
      <c r="D20" s="1441">
        <f t="shared" si="0"/>
        <v>0</v>
      </c>
      <c r="E20" s="718">
        <f t="shared" si="1"/>
        <v>0</v>
      </c>
      <c r="F20" s="1441">
        <f t="shared" si="2"/>
        <v>500</v>
      </c>
      <c r="G20" s="1442">
        <f t="shared" si="3"/>
        <v>50</v>
      </c>
      <c r="H20" s="1443">
        <f>SUM($F$9:F20)/A20</f>
        <v>227.27272727272728</v>
      </c>
      <c r="I20" s="1444">
        <f>SUM($G$9:G20)/A20</f>
        <v>22.727272727272727</v>
      </c>
      <c r="J20" s="1445">
        <f t="shared" si="4"/>
        <v>2730</v>
      </c>
      <c r="K20" s="1446">
        <f t="shared" si="4"/>
        <v>273</v>
      </c>
      <c r="L20" s="1447">
        <f t="shared" si="5"/>
        <v>12.012</v>
      </c>
      <c r="M20" s="1447">
        <f t="shared" si="5"/>
        <v>12.012</v>
      </c>
      <c r="N20" s="1499">
        <v>500</v>
      </c>
      <c r="O20" s="1499"/>
      <c r="P20" s="1499"/>
      <c r="Q20" s="716"/>
      <c r="R20" s="718">
        <f t="shared" si="7"/>
        <v>0</v>
      </c>
      <c r="S20" s="692"/>
      <c r="T20" s="719">
        <f t="shared" si="6"/>
        <v>0</v>
      </c>
    </row>
    <row r="21" spans="1:20" s="367" customFormat="1" ht="12" customHeight="1">
      <c r="A21" s="330">
        <v>12</v>
      </c>
      <c r="B21" s="365">
        <f>'FRIT HGE91-FHG'!B20</f>
        <v>46246</v>
      </c>
      <c r="C21" s="331" t="s">
        <v>285</v>
      </c>
      <c r="D21" s="1441">
        <f t="shared" si="0"/>
        <v>0</v>
      </c>
      <c r="E21" s="718">
        <f t="shared" si="1"/>
        <v>0</v>
      </c>
      <c r="F21" s="1441">
        <f t="shared" si="2"/>
        <v>1000</v>
      </c>
      <c r="G21" s="1442">
        <f t="shared" si="3"/>
        <v>100</v>
      </c>
      <c r="H21" s="1443">
        <f>SUM($F$9:F21)/A21</f>
        <v>291.66666666666669</v>
      </c>
      <c r="I21" s="1444">
        <f>SUM($G$9:G21)/A21</f>
        <v>29.166666666666668</v>
      </c>
      <c r="J21" s="1445">
        <f t="shared" si="4"/>
        <v>1730</v>
      </c>
      <c r="K21" s="1446">
        <f t="shared" si="4"/>
        <v>173</v>
      </c>
      <c r="L21" s="1447">
        <f t="shared" si="5"/>
        <v>5.9314285714285706</v>
      </c>
      <c r="M21" s="1447">
        <f t="shared" si="5"/>
        <v>5.9314285714285715</v>
      </c>
      <c r="N21" s="1499"/>
      <c r="O21" s="1499">
        <v>1000</v>
      </c>
      <c r="P21" s="1499"/>
      <c r="Q21" s="716"/>
      <c r="R21" s="718">
        <f t="shared" si="7"/>
        <v>0</v>
      </c>
      <c r="S21" s="692"/>
      <c r="T21" s="719">
        <f t="shared" si="6"/>
        <v>0</v>
      </c>
    </row>
    <row r="22" spans="1:20" s="367" customFormat="1" ht="12" customHeight="1">
      <c r="A22" s="330">
        <v>13</v>
      </c>
      <c r="B22" s="365">
        <f>'FRIT HGE91-FHG'!B21</f>
        <v>46247</v>
      </c>
      <c r="C22" s="331" t="s">
        <v>285</v>
      </c>
      <c r="D22" s="1441">
        <f t="shared" si="0"/>
        <v>0</v>
      </c>
      <c r="E22" s="718">
        <f t="shared" si="1"/>
        <v>0</v>
      </c>
      <c r="F22" s="1441">
        <f t="shared" si="2"/>
        <v>1500</v>
      </c>
      <c r="G22" s="1442">
        <f t="shared" si="3"/>
        <v>150</v>
      </c>
      <c r="H22" s="1443">
        <f>SUM($F$9:F22)/A22</f>
        <v>384.61538461538464</v>
      </c>
      <c r="I22" s="1444">
        <f>SUM($G$9:G22)/A22</f>
        <v>38.46153846153846</v>
      </c>
      <c r="J22" s="1445">
        <f t="shared" si="4"/>
        <v>230</v>
      </c>
      <c r="K22" s="1446">
        <f t="shared" si="4"/>
        <v>23</v>
      </c>
      <c r="L22" s="1447">
        <f t="shared" si="5"/>
        <v>0.59799999999999998</v>
      </c>
      <c r="M22" s="1447">
        <f t="shared" si="5"/>
        <v>0.59799999999999998</v>
      </c>
      <c r="N22" s="1499">
        <v>500</v>
      </c>
      <c r="O22" s="1499">
        <v>1000</v>
      </c>
      <c r="P22" s="1499"/>
      <c r="Q22" s="716"/>
      <c r="R22" s="718">
        <f t="shared" si="7"/>
        <v>0</v>
      </c>
      <c r="S22" s="692"/>
      <c r="T22" s="719">
        <f t="shared" si="6"/>
        <v>0</v>
      </c>
    </row>
    <row r="23" spans="1:20" s="367" customFormat="1" ht="12" customHeight="1">
      <c r="A23" s="330">
        <v>14</v>
      </c>
      <c r="B23" s="365">
        <f>'FRIT HGE91-FHG'!B22</f>
        <v>46248</v>
      </c>
      <c r="C23" s="331" t="s">
        <v>285</v>
      </c>
      <c r="D23" s="1441">
        <f t="shared" si="0"/>
        <v>0</v>
      </c>
      <c r="E23" s="718">
        <f t="shared" si="1"/>
        <v>0</v>
      </c>
      <c r="F23" s="1441">
        <f t="shared" si="2"/>
        <v>0</v>
      </c>
      <c r="G23" s="1442">
        <f t="shared" si="3"/>
        <v>0</v>
      </c>
      <c r="H23" s="1443">
        <f>SUM($F$9:F23)/A23</f>
        <v>357.14285714285717</v>
      </c>
      <c r="I23" s="1444">
        <f>SUM($G$9:G23)/A23</f>
        <v>35.714285714285715</v>
      </c>
      <c r="J23" s="1445">
        <f t="shared" si="4"/>
        <v>230</v>
      </c>
      <c r="K23" s="1446">
        <f t="shared" si="4"/>
        <v>23</v>
      </c>
      <c r="L23" s="1447">
        <f t="shared" si="5"/>
        <v>0.64399999999999991</v>
      </c>
      <c r="M23" s="1447">
        <f>K23/I23</f>
        <v>0.64400000000000002</v>
      </c>
      <c r="N23" s="1499"/>
      <c r="O23" s="1499"/>
      <c r="P23" s="1499"/>
      <c r="Q23" s="716"/>
      <c r="R23" s="718">
        <f t="shared" si="7"/>
        <v>0</v>
      </c>
      <c r="S23" s="692"/>
      <c r="T23" s="719">
        <f t="shared" si="6"/>
        <v>0</v>
      </c>
    </row>
    <row r="24" spans="1:20" s="367" customFormat="1" ht="12" customHeight="1">
      <c r="A24" s="425">
        <v>15</v>
      </c>
      <c r="B24" s="365">
        <f>'FRIT HGE91-FHG'!B23</f>
        <v>46249</v>
      </c>
      <c r="C24" s="331" t="s">
        <v>285</v>
      </c>
      <c r="D24" s="1441">
        <f t="shared" si="0"/>
        <v>0</v>
      </c>
      <c r="E24" s="718">
        <f t="shared" si="1"/>
        <v>0</v>
      </c>
      <c r="F24" s="1441">
        <f t="shared" si="2"/>
        <v>230</v>
      </c>
      <c r="G24" s="1442">
        <f t="shared" si="3"/>
        <v>23</v>
      </c>
      <c r="H24" s="1448">
        <f>SUM($F$9:F24)/A24</f>
        <v>348.66666666666669</v>
      </c>
      <c r="I24" s="1444">
        <f>SUM($G$9:G24)/A24</f>
        <v>34.866666666666667</v>
      </c>
      <c r="J24" s="1448">
        <f t="shared" si="4"/>
        <v>0</v>
      </c>
      <c r="K24" s="1446">
        <f t="shared" si="4"/>
        <v>0</v>
      </c>
      <c r="L24" s="1447">
        <f t="shared" si="5"/>
        <v>0</v>
      </c>
      <c r="M24" s="1447">
        <f t="shared" si="5"/>
        <v>0</v>
      </c>
      <c r="N24" s="1499">
        <v>230</v>
      </c>
      <c r="O24" s="1499"/>
      <c r="P24" s="1499"/>
      <c r="Q24" s="716"/>
      <c r="R24" s="718">
        <f t="shared" si="7"/>
        <v>0</v>
      </c>
      <c r="S24" s="692"/>
      <c r="T24" s="719">
        <f t="shared" si="6"/>
        <v>0</v>
      </c>
    </row>
    <row r="25" spans="1:20" s="367" customFormat="1" ht="12" customHeight="1">
      <c r="A25" s="330">
        <v>16</v>
      </c>
      <c r="B25" s="365">
        <f>'FRIT HGE91-FHG'!B24</f>
        <v>46250</v>
      </c>
      <c r="C25" s="331" t="s">
        <v>285</v>
      </c>
      <c r="D25" s="1441">
        <f t="shared" si="0"/>
        <v>0</v>
      </c>
      <c r="E25" s="718">
        <f>D25/10</f>
        <v>0</v>
      </c>
      <c r="F25" s="1441">
        <f t="shared" si="2"/>
        <v>0</v>
      </c>
      <c r="G25" s="1442">
        <f t="shared" si="3"/>
        <v>0</v>
      </c>
      <c r="H25" s="1443">
        <f>SUM($F$9:F25)/A25</f>
        <v>326.875</v>
      </c>
      <c r="I25" s="1444">
        <f>SUM($G$9:G25)/A25</f>
        <v>32.6875</v>
      </c>
      <c r="J25" s="1445">
        <f t="shared" si="4"/>
        <v>0</v>
      </c>
      <c r="K25" s="1446">
        <f t="shared" si="4"/>
        <v>0</v>
      </c>
      <c r="L25" s="1447">
        <f t="shared" si="5"/>
        <v>0</v>
      </c>
      <c r="M25" s="1447">
        <f t="shared" si="5"/>
        <v>0</v>
      </c>
      <c r="N25" s="1499"/>
      <c r="O25" s="1499"/>
      <c r="P25" s="1499"/>
      <c r="Q25" s="716"/>
      <c r="R25" s="718">
        <f>Q25/20</f>
        <v>0</v>
      </c>
      <c r="S25" s="692"/>
      <c r="T25" s="719">
        <f t="shared" si="6"/>
        <v>0</v>
      </c>
    </row>
    <row r="26" spans="1:20" s="367" customFormat="1" ht="12" customHeight="1">
      <c r="A26" s="330">
        <v>17</v>
      </c>
      <c r="B26" s="365">
        <f>'FRIT HGE91-FHG'!B25</f>
        <v>46251</v>
      </c>
      <c r="C26" s="331" t="s">
        <v>285</v>
      </c>
      <c r="D26" s="1441">
        <f t="shared" si="0"/>
        <v>2000</v>
      </c>
      <c r="E26" s="718">
        <f t="shared" si="1"/>
        <v>200</v>
      </c>
      <c r="F26" s="1441">
        <f t="shared" si="2"/>
        <v>0</v>
      </c>
      <c r="G26" s="1442">
        <f t="shared" si="3"/>
        <v>0</v>
      </c>
      <c r="H26" s="1443">
        <f>SUM($F$9:F26)/A26</f>
        <v>307.64705882352939</v>
      </c>
      <c r="I26" s="1444">
        <f>SUM($G$9:G26)/A26</f>
        <v>30.764705882352942</v>
      </c>
      <c r="J26" s="1445">
        <f t="shared" si="4"/>
        <v>2000</v>
      </c>
      <c r="K26" s="1446">
        <f t="shared" si="4"/>
        <v>200</v>
      </c>
      <c r="L26" s="1447">
        <f t="shared" si="5"/>
        <v>6.5009560229445507</v>
      </c>
      <c r="M26" s="1447">
        <f t="shared" si="5"/>
        <v>6.5009560229445507</v>
      </c>
      <c r="N26" s="1499"/>
      <c r="O26" s="1499"/>
      <c r="P26" s="1499"/>
      <c r="Q26" s="716"/>
      <c r="R26" s="718">
        <f t="shared" si="7"/>
        <v>0</v>
      </c>
      <c r="S26" s="692">
        <v>2000</v>
      </c>
      <c r="T26" s="719">
        <f t="shared" si="6"/>
        <v>200</v>
      </c>
    </row>
    <row r="27" spans="1:20" s="367" customFormat="1" ht="12" customHeight="1">
      <c r="A27" s="330">
        <v>18</v>
      </c>
      <c r="B27" s="365">
        <f>'FRIT HGE91-FHG'!B26</f>
        <v>46252</v>
      </c>
      <c r="C27" s="331" t="s">
        <v>285</v>
      </c>
      <c r="D27" s="1441">
        <f t="shared" si="0"/>
        <v>0</v>
      </c>
      <c r="E27" s="718">
        <f t="shared" si="1"/>
        <v>0</v>
      </c>
      <c r="F27" s="1441">
        <f t="shared" si="2"/>
        <v>500</v>
      </c>
      <c r="G27" s="1442">
        <f t="shared" si="3"/>
        <v>50</v>
      </c>
      <c r="H27" s="1443">
        <f>SUM($F$9:F27)/A27</f>
        <v>318.33333333333331</v>
      </c>
      <c r="I27" s="1444">
        <f>SUM($G$9:G27)/A27</f>
        <v>31.833333333333332</v>
      </c>
      <c r="J27" s="1445">
        <f t="shared" ref="J27:K40" si="8">J26+D27-F27</f>
        <v>1500</v>
      </c>
      <c r="K27" s="1446">
        <f t="shared" si="8"/>
        <v>150</v>
      </c>
      <c r="L27" s="1447">
        <f t="shared" si="5"/>
        <v>4.7120418848167542</v>
      </c>
      <c r="M27" s="1447">
        <f t="shared" si="5"/>
        <v>4.7120418848167542</v>
      </c>
      <c r="N27" s="1499">
        <v>500</v>
      </c>
      <c r="O27" s="1499"/>
      <c r="P27" s="1499"/>
      <c r="Q27" s="716"/>
      <c r="R27" s="718">
        <f t="shared" si="7"/>
        <v>0</v>
      </c>
      <c r="S27" s="692"/>
      <c r="T27" s="719">
        <f t="shared" si="6"/>
        <v>0</v>
      </c>
    </row>
    <row r="28" spans="1:20" s="367" customFormat="1" ht="12" customHeight="1">
      <c r="A28" s="330">
        <v>19</v>
      </c>
      <c r="B28" s="365">
        <f>'FRIT HGE91-FHG'!B27</f>
        <v>46253</v>
      </c>
      <c r="C28" s="331" t="s">
        <v>285</v>
      </c>
      <c r="D28" s="1441">
        <f t="shared" si="0"/>
        <v>0</v>
      </c>
      <c r="E28" s="718">
        <f t="shared" si="1"/>
        <v>0</v>
      </c>
      <c r="F28" s="1441">
        <f t="shared" si="2"/>
        <v>0</v>
      </c>
      <c r="G28" s="1442">
        <f t="shared" si="3"/>
        <v>0</v>
      </c>
      <c r="H28" s="1443">
        <f>SUM($F$9:F28)/A28</f>
        <v>301.57894736842104</v>
      </c>
      <c r="I28" s="1444">
        <f>SUM($G$9:G28)/A28</f>
        <v>30.157894736842106</v>
      </c>
      <c r="J28" s="1445">
        <f t="shared" si="8"/>
        <v>1500</v>
      </c>
      <c r="K28" s="1446">
        <f t="shared" si="8"/>
        <v>150</v>
      </c>
      <c r="L28" s="1447">
        <f t="shared" si="5"/>
        <v>4.9738219895287958</v>
      </c>
      <c r="M28" s="1447">
        <f t="shared" si="5"/>
        <v>4.9738219895287958</v>
      </c>
      <c r="N28" s="1499"/>
      <c r="O28" s="1499"/>
      <c r="P28" s="1499"/>
      <c r="Q28" s="716"/>
      <c r="R28" s="718">
        <f t="shared" si="7"/>
        <v>0</v>
      </c>
      <c r="S28" s="692"/>
      <c r="T28" s="719">
        <f t="shared" si="6"/>
        <v>0</v>
      </c>
    </row>
    <row r="29" spans="1:20" s="367" customFormat="1" ht="12" customHeight="1">
      <c r="A29" s="425">
        <v>20</v>
      </c>
      <c r="B29" s="365">
        <f>'FRIT HGE91-FHG'!B28</f>
        <v>46254</v>
      </c>
      <c r="C29" s="331" t="s">
        <v>285</v>
      </c>
      <c r="D29" s="1441">
        <f t="shared" si="0"/>
        <v>0</v>
      </c>
      <c r="E29" s="718">
        <f t="shared" si="1"/>
        <v>0</v>
      </c>
      <c r="F29" s="1441">
        <f t="shared" si="2"/>
        <v>0</v>
      </c>
      <c r="G29" s="1442">
        <f t="shared" si="3"/>
        <v>0</v>
      </c>
      <c r="H29" s="1448">
        <f>SUM($F$9:F29)/A29</f>
        <v>286.5</v>
      </c>
      <c r="I29" s="1444">
        <f>SUM($G$9:G29)/A29</f>
        <v>28.65</v>
      </c>
      <c r="J29" s="1448">
        <f t="shared" si="8"/>
        <v>1500</v>
      </c>
      <c r="K29" s="1446">
        <f t="shared" si="8"/>
        <v>150</v>
      </c>
      <c r="L29" s="1447">
        <f t="shared" si="5"/>
        <v>5.2356020942408374</v>
      </c>
      <c r="M29" s="1447">
        <f t="shared" si="5"/>
        <v>5.2356020942408383</v>
      </c>
      <c r="N29" s="1499"/>
      <c r="O29" s="1499"/>
      <c r="P29" s="1499"/>
      <c r="Q29" s="716"/>
      <c r="R29" s="718">
        <f t="shared" si="7"/>
        <v>0</v>
      </c>
      <c r="S29" s="692"/>
      <c r="T29" s="719">
        <f t="shared" si="6"/>
        <v>0</v>
      </c>
    </row>
    <row r="30" spans="1:20" s="367" customFormat="1" ht="12" customHeight="1">
      <c r="A30" s="330">
        <v>21</v>
      </c>
      <c r="B30" s="365">
        <f>'FRIT HGE91-FHG'!B29</f>
        <v>46255</v>
      </c>
      <c r="C30" s="331" t="s">
        <v>285</v>
      </c>
      <c r="D30" s="1441">
        <f t="shared" si="0"/>
        <v>0</v>
      </c>
      <c r="E30" s="718">
        <f t="shared" si="1"/>
        <v>0</v>
      </c>
      <c r="F30" s="1441">
        <f t="shared" si="2"/>
        <v>0</v>
      </c>
      <c r="G30" s="1442">
        <f t="shared" si="3"/>
        <v>0</v>
      </c>
      <c r="H30" s="1443">
        <f>SUM($F$9:F30)/A30</f>
        <v>272.85714285714283</v>
      </c>
      <c r="I30" s="1444">
        <f>SUM($G$9:G30)/A30</f>
        <v>27.285714285714285</v>
      </c>
      <c r="J30" s="1445">
        <f t="shared" si="8"/>
        <v>1500</v>
      </c>
      <c r="K30" s="1446">
        <f t="shared" si="8"/>
        <v>150</v>
      </c>
      <c r="L30" s="1447">
        <f t="shared" si="5"/>
        <v>5.4973821989528799</v>
      </c>
      <c r="M30" s="1447">
        <f t="shared" si="5"/>
        <v>5.4973821989528799</v>
      </c>
      <c r="N30" s="1499"/>
      <c r="O30" s="1499"/>
      <c r="P30" s="1499"/>
      <c r="Q30" s="716"/>
      <c r="R30" s="718">
        <f t="shared" si="7"/>
        <v>0</v>
      </c>
      <c r="S30" s="692"/>
      <c r="T30" s="719">
        <f t="shared" si="6"/>
        <v>0</v>
      </c>
    </row>
    <row r="31" spans="1:20" s="367" customFormat="1" ht="12" customHeight="1">
      <c r="A31" s="330">
        <v>22</v>
      </c>
      <c r="B31" s="365">
        <f>'FRIT HGE91-FHG'!B30</f>
        <v>46256</v>
      </c>
      <c r="C31" s="331" t="s">
        <v>285</v>
      </c>
      <c r="D31" s="1441">
        <f t="shared" si="0"/>
        <v>0</v>
      </c>
      <c r="E31" s="718">
        <f t="shared" si="1"/>
        <v>0</v>
      </c>
      <c r="F31" s="1441">
        <f t="shared" si="2"/>
        <v>0</v>
      </c>
      <c r="G31" s="1442">
        <f t="shared" si="3"/>
        <v>0</v>
      </c>
      <c r="H31" s="1443">
        <f>SUM($F$9:F31)/A31</f>
        <v>260.45454545454544</v>
      </c>
      <c r="I31" s="1444">
        <f>SUM($G$9:G31)/A31</f>
        <v>26.045454545454547</v>
      </c>
      <c r="J31" s="1445">
        <f t="shared" si="8"/>
        <v>1500</v>
      </c>
      <c r="K31" s="1446">
        <f t="shared" si="8"/>
        <v>150</v>
      </c>
      <c r="L31" s="1447">
        <f t="shared" si="5"/>
        <v>5.7591623036649215</v>
      </c>
      <c r="M31" s="1447">
        <f t="shared" si="5"/>
        <v>5.7591623036649215</v>
      </c>
      <c r="N31" s="1499"/>
      <c r="O31" s="1499"/>
      <c r="P31" s="1499"/>
      <c r="Q31" s="716"/>
      <c r="R31" s="718">
        <f t="shared" si="7"/>
        <v>0</v>
      </c>
      <c r="S31" s="692"/>
      <c r="T31" s="719">
        <f t="shared" si="6"/>
        <v>0</v>
      </c>
    </row>
    <row r="32" spans="1:20" s="367" customFormat="1" ht="12" customHeight="1">
      <c r="A32" s="330">
        <v>23</v>
      </c>
      <c r="B32" s="365">
        <f>'FRIT HGE91-FHG'!B31</f>
        <v>46257</v>
      </c>
      <c r="C32" s="331" t="s">
        <v>285</v>
      </c>
      <c r="D32" s="1441">
        <f t="shared" si="0"/>
        <v>0</v>
      </c>
      <c r="E32" s="718">
        <f t="shared" si="1"/>
        <v>0</v>
      </c>
      <c r="F32" s="1441">
        <f t="shared" si="2"/>
        <v>0</v>
      </c>
      <c r="G32" s="1442">
        <f t="shared" si="3"/>
        <v>0</v>
      </c>
      <c r="H32" s="1443">
        <f>SUM($F$9:F32)/A32</f>
        <v>249.13043478260869</v>
      </c>
      <c r="I32" s="1444">
        <f>SUM($G$9:G32)/A32</f>
        <v>24.913043478260871</v>
      </c>
      <c r="J32" s="1445">
        <f t="shared" si="8"/>
        <v>1500</v>
      </c>
      <c r="K32" s="1446">
        <f t="shared" si="8"/>
        <v>150</v>
      </c>
      <c r="L32" s="1447">
        <f t="shared" si="5"/>
        <v>6.0209424083769632</v>
      </c>
      <c r="M32" s="1447">
        <f t="shared" si="5"/>
        <v>6.0209424083769632</v>
      </c>
      <c r="N32" s="1499"/>
      <c r="O32" s="1499"/>
      <c r="P32" s="1499"/>
      <c r="Q32" s="716"/>
      <c r="R32" s="718">
        <f t="shared" si="7"/>
        <v>0</v>
      </c>
      <c r="S32" s="692"/>
      <c r="T32" s="719">
        <f t="shared" si="6"/>
        <v>0</v>
      </c>
    </row>
    <row r="33" spans="1:20" s="367" customFormat="1" ht="12" customHeight="1">
      <c r="A33" s="330">
        <v>24</v>
      </c>
      <c r="B33" s="365">
        <f>'FRIT HGE91-FHG'!B32</f>
        <v>46258</v>
      </c>
      <c r="C33" s="331" t="s">
        <v>285</v>
      </c>
      <c r="D33" s="1441">
        <f t="shared" si="0"/>
        <v>0</v>
      </c>
      <c r="E33" s="718">
        <f t="shared" si="1"/>
        <v>0</v>
      </c>
      <c r="F33" s="1441">
        <f t="shared" si="2"/>
        <v>0</v>
      </c>
      <c r="G33" s="1442">
        <f t="shared" si="3"/>
        <v>0</v>
      </c>
      <c r="H33" s="1443">
        <f>SUM($F$9:F33)/A33</f>
        <v>238.75</v>
      </c>
      <c r="I33" s="1444">
        <f>SUM($G$9:G33)/A33</f>
        <v>23.875</v>
      </c>
      <c r="J33" s="1445">
        <f t="shared" si="8"/>
        <v>1500</v>
      </c>
      <c r="K33" s="1446">
        <f t="shared" si="8"/>
        <v>150</v>
      </c>
      <c r="L33" s="1447">
        <f t="shared" si="5"/>
        <v>6.2827225130890056</v>
      </c>
      <c r="M33" s="1447">
        <f t="shared" si="5"/>
        <v>6.2827225130890056</v>
      </c>
      <c r="N33" s="1499"/>
      <c r="O33" s="1499"/>
      <c r="P33" s="1499"/>
      <c r="Q33" s="716"/>
      <c r="R33" s="718">
        <f t="shared" si="7"/>
        <v>0</v>
      </c>
      <c r="S33" s="692"/>
      <c r="T33" s="719">
        <f t="shared" si="6"/>
        <v>0</v>
      </c>
    </row>
    <row r="34" spans="1:20" s="367" customFormat="1" ht="12" customHeight="1">
      <c r="A34" s="426">
        <v>25</v>
      </c>
      <c r="B34" s="365">
        <f>'FRIT HGE91-FHG'!B33</f>
        <v>46259</v>
      </c>
      <c r="C34" s="331" t="s">
        <v>285</v>
      </c>
      <c r="D34" s="1441">
        <f t="shared" si="0"/>
        <v>0</v>
      </c>
      <c r="E34" s="718">
        <f>D34/10</f>
        <v>0</v>
      </c>
      <c r="F34" s="1441">
        <f t="shared" si="2"/>
        <v>0</v>
      </c>
      <c r="G34" s="1442">
        <f t="shared" si="3"/>
        <v>0</v>
      </c>
      <c r="H34" s="1449">
        <f>SUM($F$9:F34)/A34</f>
        <v>229.2</v>
      </c>
      <c r="I34" s="1444">
        <f>SUM($G$9:G34)/A34</f>
        <v>22.92</v>
      </c>
      <c r="J34" s="1450">
        <f t="shared" si="8"/>
        <v>1500</v>
      </c>
      <c r="K34" s="1446">
        <f t="shared" si="8"/>
        <v>150</v>
      </c>
      <c r="L34" s="1447">
        <f t="shared" si="5"/>
        <v>6.5445026178010473</v>
      </c>
      <c r="M34" s="1447">
        <f t="shared" si="5"/>
        <v>6.5445026178010464</v>
      </c>
      <c r="N34" s="1499"/>
      <c r="O34" s="1499"/>
      <c r="P34" s="1499"/>
      <c r="Q34" s="716"/>
      <c r="R34" s="718">
        <f t="shared" si="7"/>
        <v>0</v>
      </c>
      <c r="S34" s="692"/>
      <c r="T34" s="719">
        <f t="shared" si="6"/>
        <v>0</v>
      </c>
    </row>
    <row r="35" spans="1:20" s="367" customFormat="1" ht="12" customHeight="1">
      <c r="A35" s="330">
        <v>26</v>
      </c>
      <c r="B35" s="365">
        <f>'FRIT HGE91-FHG'!B34</f>
        <v>46260</v>
      </c>
      <c r="C35" s="331" t="s">
        <v>285</v>
      </c>
      <c r="D35" s="1441">
        <f t="shared" si="0"/>
        <v>0</v>
      </c>
      <c r="E35" s="718">
        <f t="shared" si="1"/>
        <v>0</v>
      </c>
      <c r="F35" s="1441">
        <f t="shared" si="2"/>
        <v>0</v>
      </c>
      <c r="G35" s="1442">
        <f t="shared" si="3"/>
        <v>0</v>
      </c>
      <c r="H35" s="1443">
        <f>SUM($F$9:F35)/A35</f>
        <v>220.38461538461539</v>
      </c>
      <c r="I35" s="1444">
        <f>SUM($G$9:G35)/A35</f>
        <v>22.03846153846154</v>
      </c>
      <c r="J35" s="1445">
        <f t="shared" si="8"/>
        <v>1500</v>
      </c>
      <c r="K35" s="1446">
        <f t="shared" si="8"/>
        <v>150</v>
      </c>
      <c r="L35" s="1447">
        <f t="shared" si="5"/>
        <v>6.8062827225130889</v>
      </c>
      <c r="M35" s="1447">
        <f t="shared" si="5"/>
        <v>6.8062827225130889</v>
      </c>
      <c r="N35" s="1499"/>
      <c r="O35" s="1499"/>
      <c r="P35" s="1499"/>
      <c r="Q35" s="716"/>
      <c r="R35" s="718">
        <f>Q35/20</f>
        <v>0</v>
      </c>
      <c r="S35" s="692"/>
      <c r="T35" s="719">
        <f t="shared" si="6"/>
        <v>0</v>
      </c>
    </row>
    <row r="36" spans="1:20" s="367" customFormat="1" ht="12" customHeight="1">
      <c r="A36" s="330">
        <v>27</v>
      </c>
      <c r="B36" s="365">
        <f>'FRIT HGE91-FHG'!B35</f>
        <v>46261</v>
      </c>
      <c r="C36" s="331" t="s">
        <v>285</v>
      </c>
      <c r="D36" s="1441">
        <f t="shared" si="0"/>
        <v>0</v>
      </c>
      <c r="E36" s="718">
        <f t="shared" si="1"/>
        <v>0</v>
      </c>
      <c r="F36" s="1441">
        <f t="shared" si="2"/>
        <v>0</v>
      </c>
      <c r="G36" s="1442">
        <f t="shared" si="3"/>
        <v>0</v>
      </c>
      <c r="H36" s="1443">
        <f>SUM($F$9:F36)/A36</f>
        <v>212.22222222222223</v>
      </c>
      <c r="I36" s="1444">
        <f>SUM($G$9:G36)/A36</f>
        <v>21.222222222222221</v>
      </c>
      <c r="J36" s="1445">
        <f t="shared" si="8"/>
        <v>1500</v>
      </c>
      <c r="K36" s="1446">
        <f t="shared" si="8"/>
        <v>150</v>
      </c>
      <c r="L36" s="1447">
        <f t="shared" si="5"/>
        <v>7.0680628272251305</v>
      </c>
      <c r="M36" s="1447">
        <f t="shared" si="5"/>
        <v>7.0680628272251314</v>
      </c>
      <c r="N36" s="1499"/>
      <c r="O36" s="1499"/>
      <c r="P36" s="1499"/>
      <c r="Q36" s="716"/>
      <c r="R36" s="718">
        <f t="shared" si="7"/>
        <v>0</v>
      </c>
      <c r="S36" s="692"/>
      <c r="T36" s="719">
        <f t="shared" si="6"/>
        <v>0</v>
      </c>
    </row>
    <row r="37" spans="1:20" s="367" customFormat="1" ht="12" customHeight="1">
      <c r="A37" s="330">
        <v>28</v>
      </c>
      <c r="B37" s="365">
        <f>'FRIT HGE91-FHG'!B36</f>
        <v>46262</v>
      </c>
      <c r="C37" s="331" t="s">
        <v>285</v>
      </c>
      <c r="D37" s="1441">
        <f t="shared" si="0"/>
        <v>0</v>
      </c>
      <c r="E37" s="718">
        <f t="shared" si="1"/>
        <v>0</v>
      </c>
      <c r="F37" s="1441">
        <f t="shared" si="2"/>
        <v>0</v>
      </c>
      <c r="G37" s="1442">
        <f t="shared" si="3"/>
        <v>0</v>
      </c>
      <c r="H37" s="1443">
        <f>SUM($F$9:F37)/A37</f>
        <v>204.64285714285714</v>
      </c>
      <c r="I37" s="1444">
        <f>SUM($G$9:G37)/A37</f>
        <v>20.464285714285715</v>
      </c>
      <c r="J37" s="1445">
        <f t="shared" si="8"/>
        <v>1500</v>
      </c>
      <c r="K37" s="1446">
        <f t="shared" si="8"/>
        <v>150</v>
      </c>
      <c r="L37" s="1447">
        <f t="shared" si="5"/>
        <v>7.329842931937173</v>
      </c>
      <c r="M37" s="1447">
        <f t="shared" si="5"/>
        <v>7.3298429319371721</v>
      </c>
      <c r="N37" s="1499"/>
      <c r="O37" s="1499"/>
      <c r="P37" s="1499"/>
      <c r="Q37" s="720"/>
      <c r="R37" s="718">
        <f t="shared" si="7"/>
        <v>0</v>
      </c>
      <c r="S37" s="692"/>
      <c r="T37" s="719">
        <f t="shared" si="6"/>
        <v>0</v>
      </c>
    </row>
    <row r="38" spans="1:20" s="367" customFormat="1" ht="12" customHeight="1">
      <c r="A38" s="330">
        <v>29</v>
      </c>
      <c r="B38" s="365">
        <f>'FRIT HGE91-FHG'!B37</f>
        <v>46263</v>
      </c>
      <c r="C38" s="331" t="s">
        <v>346</v>
      </c>
      <c r="D38" s="1441">
        <f t="shared" si="0"/>
        <v>0</v>
      </c>
      <c r="E38" s="718">
        <f t="shared" si="1"/>
        <v>0</v>
      </c>
      <c r="F38" s="1441">
        <f t="shared" si="2"/>
        <v>0</v>
      </c>
      <c r="G38" s="1442">
        <f t="shared" si="3"/>
        <v>0</v>
      </c>
      <c r="H38" s="1443">
        <f>SUM($F$9:F38)/A38</f>
        <v>197.58620689655172</v>
      </c>
      <c r="I38" s="1444">
        <f>SUM($G$9:G38)/A38</f>
        <v>19.758620689655171</v>
      </c>
      <c r="J38" s="1445">
        <f t="shared" si="8"/>
        <v>1500</v>
      </c>
      <c r="K38" s="1446">
        <f t="shared" si="8"/>
        <v>150</v>
      </c>
      <c r="L38" s="1447">
        <f t="shared" si="5"/>
        <v>7.5916230366492146</v>
      </c>
      <c r="M38" s="1447">
        <f t="shared" si="5"/>
        <v>7.5916230366492155</v>
      </c>
      <c r="N38" s="1499"/>
      <c r="O38" s="1499"/>
      <c r="P38" s="1499"/>
      <c r="Q38" s="720"/>
      <c r="R38" s="718">
        <f t="shared" si="7"/>
        <v>0</v>
      </c>
      <c r="S38" s="692"/>
      <c r="T38" s="719">
        <f t="shared" si="6"/>
        <v>0</v>
      </c>
    </row>
    <row r="39" spans="1:20" s="367" customFormat="1" ht="12" customHeight="1">
      <c r="A39" s="425">
        <v>30</v>
      </c>
      <c r="B39" s="365">
        <f>'FRIT HGE91-FHG'!B38</f>
        <v>46264</v>
      </c>
      <c r="C39" s="331" t="s">
        <v>285</v>
      </c>
      <c r="D39" s="1441">
        <f t="shared" si="0"/>
        <v>0</v>
      </c>
      <c r="E39" s="718">
        <f t="shared" si="1"/>
        <v>0</v>
      </c>
      <c r="F39" s="1441">
        <f t="shared" si="2"/>
        <v>0</v>
      </c>
      <c r="G39" s="1442">
        <f t="shared" si="3"/>
        <v>0</v>
      </c>
      <c r="H39" s="1448">
        <f>SUM($F$9:F39)/A39</f>
        <v>191</v>
      </c>
      <c r="I39" s="1444">
        <f>SUM($G$9:G39)/A39</f>
        <v>19.100000000000001</v>
      </c>
      <c r="J39" s="1448">
        <f t="shared" si="8"/>
        <v>1500</v>
      </c>
      <c r="K39" s="1446">
        <f t="shared" si="8"/>
        <v>150</v>
      </c>
      <c r="L39" s="1447">
        <f t="shared" si="5"/>
        <v>7.8534031413612562</v>
      </c>
      <c r="M39" s="1447">
        <f t="shared" si="5"/>
        <v>7.8534031413612562</v>
      </c>
      <c r="N39" s="1499"/>
      <c r="O39" s="1499"/>
      <c r="P39" s="1499"/>
      <c r="Q39" s="720"/>
      <c r="R39" s="718">
        <f t="shared" si="7"/>
        <v>0</v>
      </c>
      <c r="S39" s="692"/>
      <c r="T39" s="719">
        <f t="shared" si="6"/>
        <v>0</v>
      </c>
    </row>
    <row r="40" spans="1:20" s="367" customFormat="1" ht="12" customHeight="1">
      <c r="A40" s="330">
        <v>31</v>
      </c>
      <c r="B40" s="365">
        <f>'FRIT HGE91-FHG'!B39</f>
        <v>46265</v>
      </c>
      <c r="C40" s="331" t="s">
        <v>285</v>
      </c>
      <c r="D40" s="1441">
        <f t="shared" si="0"/>
        <v>0</v>
      </c>
      <c r="E40" s="718">
        <f t="shared" si="1"/>
        <v>0</v>
      </c>
      <c r="F40" s="1441">
        <f t="shared" si="2"/>
        <v>0</v>
      </c>
      <c r="G40" s="1442">
        <f t="shared" si="3"/>
        <v>0</v>
      </c>
      <c r="H40" s="1443">
        <f>SUM($F$9:F40)/A40</f>
        <v>184.83870967741936</v>
      </c>
      <c r="I40" s="1444">
        <f>SUM($G$9:G40)/A40</f>
        <v>18.483870967741936</v>
      </c>
      <c r="J40" s="1445">
        <f t="shared" si="8"/>
        <v>1500</v>
      </c>
      <c r="K40" s="1446">
        <f t="shared" si="8"/>
        <v>150</v>
      </c>
      <c r="L40" s="1447">
        <f t="shared" si="5"/>
        <v>8.1151832460732987</v>
      </c>
      <c r="M40" s="1447">
        <f t="shared" si="5"/>
        <v>8.1151832460732987</v>
      </c>
      <c r="N40" s="1423"/>
      <c r="O40" s="1423"/>
      <c r="P40" s="1423"/>
      <c r="Q40" s="720"/>
      <c r="R40" s="718">
        <f t="shared" si="7"/>
        <v>0</v>
      </c>
      <c r="S40" s="692"/>
      <c r="T40" s="719">
        <f>S40/10</f>
        <v>0</v>
      </c>
    </row>
    <row r="41" spans="1:20" s="374" customFormat="1" ht="12" customHeight="1" thickBot="1">
      <c r="A41" s="1613" t="s">
        <v>29</v>
      </c>
      <c r="B41" s="1614"/>
      <c r="C41" s="1615"/>
      <c r="D41" s="388">
        <f>SUM(D10:D40)</f>
        <v>7000</v>
      </c>
      <c r="E41" s="388">
        <f>SUM(E10:E40)</f>
        <v>700</v>
      </c>
      <c r="F41" s="389">
        <f>SUM(F10:F40)</f>
        <v>5730</v>
      </c>
      <c r="G41" s="389">
        <f>SUM(G10:G40)</f>
        <v>573</v>
      </c>
      <c r="H41" s="389"/>
      <c r="I41" s="389"/>
      <c r="J41" s="667">
        <f>J40</f>
        <v>1500</v>
      </c>
      <c r="K41" s="461">
        <f>K40</f>
        <v>150</v>
      </c>
      <c r="L41" s="302"/>
      <c r="M41" s="302"/>
      <c r="N41" s="691">
        <f>SUM(N10:N40)</f>
        <v>2730</v>
      </c>
      <c r="O41" s="691">
        <f t="shared" ref="O41:T41" si="9">SUM(O10:O40)</f>
        <v>3000</v>
      </c>
      <c r="P41" s="691">
        <f t="shared" si="9"/>
        <v>0</v>
      </c>
      <c r="Q41" s="721">
        <f t="shared" si="9"/>
        <v>0</v>
      </c>
      <c r="R41" s="722">
        <f t="shared" si="9"/>
        <v>0</v>
      </c>
      <c r="S41" s="722">
        <f t="shared" si="9"/>
        <v>7000</v>
      </c>
      <c r="T41" s="723">
        <f t="shared" si="9"/>
        <v>700</v>
      </c>
    </row>
    <row r="42" spans="1:20" s="374" customFormat="1" ht="12" customHeight="1">
      <c r="A42" s="1613" t="s">
        <v>15</v>
      </c>
      <c r="B42" s="1614"/>
      <c r="C42" s="1615"/>
      <c r="D42" s="388">
        <f>J9+D41</f>
        <v>7230</v>
      </c>
      <c r="E42" s="388">
        <f>K9+E41</f>
        <v>723</v>
      </c>
      <c r="F42" s="389">
        <f>F41</f>
        <v>5730</v>
      </c>
      <c r="G42" s="389">
        <f>G41</f>
        <v>573</v>
      </c>
      <c r="H42" s="389"/>
      <c r="I42" s="389"/>
      <c r="J42" s="389">
        <f>D42-F42</f>
        <v>1500</v>
      </c>
      <c r="K42" s="389">
        <f>E42-G42</f>
        <v>150</v>
      </c>
      <c r="L42" s="302"/>
      <c r="M42" s="302"/>
      <c r="N42" s="343"/>
      <c r="O42" s="343"/>
      <c r="P42" s="343"/>
      <c r="Q42" s="343"/>
      <c r="R42" s="343"/>
      <c r="S42" s="324"/>
    </row>
    <row r="43" spans="1:20" s="324" customFormat="1" ht="12.75">
      <c r="D43" s="343"/>
      <c r="E43" s="343"/>
      <c r="F43" s="343"/>
      <c r="H43" s="343"/>
      <c r="I43" s="343"/>
      <c r="K43" s="343"/>
      <c r="M43" s="343" t="s">
        <v>227</v>
      </c>
      <c r="N43" s="343"/>
      <c r="O43" s="343"/>
      <c r="P43" s="343"/>
      <c r="Q43" s="343"/>
      <c r="R43" s="343"/>
    </row>
    <row r="44" spans="1:20" s="324" customFormat="1" ht="10.5" customHeight="1">
      <c r="D44" s="343"/>
      <c r="E44" s="343"/>
      <c r="F44" s="343"/>
      <c r="H44" s="343"/>
      <c r="I44" s="343"/>
      <c r="K44" s="343"/>
      <c r="M44" s="343"/>
      <c r="N44" s="343"/>
      <c r="O44" s="343"/>
      <c r="P44" s="343"/>
      <c r="Q44" s="343"/>
      <c r="R44" s="343"/>
    </row>
    <row r="45" spans="1:20" s="324" customFormat="1" ht="10.5" customHeight="1">
      <c r="D45" s="343"/>
      <c r="E45" s="343"/>
      <c r="F45" s="343"/>
      <c r="H45" s="343"/>
      <c r="I45" s="343"/>
      <c r="K45" s="343"/>
      <c r="M45" s="343"/>
      <c r="N45" s="343"/>
      <c r="O45" s="343"/>
      <c r="P45" s="343"/>
      <c r="Q45" s="343"/>
      <c r="R45" s="343"/>
    </row>
    <row r="46" spans="1:20" s="324" customFormat="1" ht="10.5" customHeight="1">
      <c r="D46" s="343"/>
      <c r="E46" s="343"/>
      <c r="F46" s="343"/>
      <c r="H46" s="343"/>
      <c r="I46" s="343"/>
      <c r="K46" s="343"/>
      <c r="M46" s="343"/>
      <c r="N46" s="343"/>
      <c r="O46" s="343"/>
      <c r="P46" s="343"/>
      <c r="Q46" s="343"/>
      <c r="R46" s="343"/>
    </row>
    <row r="47" spans="1:20" s="324" customFormat="1">
      <c r="D47" s="343"/>
      <c r="E47" s="343"/>
      <c r="F47" s="343"/>
      <c r="H47" s="343"/>
      <c r="I47" s="343"/>
      <c r="K47" s="343"/>
      <c r="M47" s="343" t="s">
        <v>333</v>
      </c>
      <c r="N47" s="6"/>
      <c r="O47" s="6"/>
      <c r="P47" s="6"/>
      <c r="Q47" s="6"/>
      <c r="R47" s="6"/>
      <c r="S47" s="143"/>
    </row>
    <row r="48" spans="1:20" s="324" customFormat="1">
      <c r="D48" s="343"/>
      <c r="E48" s="343"/>
      <c r="F48" s="343"/>
      <c r="G48" s="343"/>
      <c r="H48" s="343"/>
      <c r="I48" s="343"/>
      <c r="J48" s="343"/>
      <c r="K48" s="327"/>
      <c r="N48" s="6"/>
      <c r="O48" s="6"/>
      <c r="P48" s="6"/>
      <c r="Q48" s="6"/>
      <c r="R48" s="6"/>
      <c r="S48" s="143"/>
    </row>
    <row r="49" spans="11:11">
      <c r="K49" s="101"/>
    </row>
  </sheetData>
  <mergeCells count="18">
    <mergeCell ref="A3:O3"/>
    <mergeCell ref="A42:C42"/>
    <mergeCell ref="A7:A8"/>
    <mergeCell ref="B7:B8"/>
    <mergeCell ref="C7:C8"/>
    <mergeCell ref="D7:E7"/>
    <mergeCell ref="A9:C9"/>
    <mergeCell ref="A41:C41"/>
    <mergeCell ref="F7:G7"/>
    <mergeCell ref="H7:I7"/>
    <mergeCell ref="J7:K7"/>
    <mergeCell ref="L7:M7"/>
    <mergeCell ref="N6:N7"/>
    <mergeCell ref="Q6:R7"/>
    <mergeCell ref="S6:T7"/>
    <mergeCell ref="O6:O7"/>
    <mergeCell ref="P6:P7"/>
    <mergeCell ref="A4:B4"/>
  </mergeCells>
  <conditionalFormatting sqref="M10:M40">
    <cfRule type="cellIs" dxfId="8858" priority="1" operator="between">
      <formula>3</formula>
      <formula>6</formula>
    </cfRule>
    <cfRule type="cellIs" dxfId="8857" priority="2" operator="lessThan">
      <formula>3</formula>
    </cfRule>
    <cfRule type="cellIs" dxfId="8856" priority="3" operator="greaterThan">
      <formula>6</formula>
    </cfRule>
  </conditionalFormatting>
  <hyperlinks>
    <hyperlink ref="M6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W49"/>
  <sheetViews>
    <sheetView zoomScaleSheetLayoutView="71" workbookViewId="0">
      <pane ySplit="9" topLeftCell="A19" activePane="bottomLeft" state="frozen"/>
      <selection pane="bottomLeft" activeCell="M6" sqref="M6"/>
    </sheetView>
  </sheetViews>
  <sheetFormatPr defaultColWidth="9.28515625" defaultRowHeight="16.5"/>
  <cols>
    <col min="1" max="1" width="5.42578125" style="42" customWidth="1"/>
    <col min="2" max="2" width="8.42578125" style="42" customWidth="1"/>
    <col min="3" max="3" width="16.28515625" style="42" customWidth="1"/>
    <col min="4" max="11" width="8.85546875" style="6" customWidth="1"/>
    <col min="12" max="12" width="6.42578125" style="42" customWidth="1"/>
    <col min="13" max="13" width="10.42578125" style="42" customWidth="1"/>
    <col min="14" max="16" width="6.42578125" style="6" customWidth="1"/>
    <col min="17" max="20" width="5.42578125" style="6" customWidth="1"/>
    <col min="21" max="21" width="11.5703125" style="143" bestFit="1" customWidth="1"/>
    <col min="22" max="16384" width="9.28515625" style="42"/>
  </cols>
  <sheetData>
    <row r="1" spans="1:23" s="143" customFormat="1" ht="13.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142"/>
      <c r="O1" s="142"/>
      <c r="P1" s="142"/>
      <c r="Q1" s="142"/>
      <c r="R1" s="142"/>
      <c r="S1" s="142"/>
      <c r="T1" s="142"/>
      <c r="U1" s="323"/>
      <c r="V1" s="324"/>
      <c r="W1" s="324"/>
    </row>
    <row r="2" spans="1:23" s="143" customFormat="1" ht="13.5" customHeight="1">
      <c r="A2" s="323" t="s">
        <v>173</v>
      </c>
      <c r="B2" s="324"/>
      <c r="C2" s="324"/>
      <c r="D2" s="324"/>
      <c r="E2" s="324"/>
      <c r="F2" s="324"/>
      <c r="H2" s="324"/>
      <c r="J2" s="324"/>
      <c r="K2" s="324"/>
      <c r="L2" s="324"/>
      <c r="M2" s="183" t="s">
        <v>113</v>
      </c>
      <c r="N2" s="142"/>
      <c r="O2" s="142"/>
      <c r="P2" s="142"/>
      <c r="Q2" s="142"/>
      <c r="R2" s="142"/>
      <c r="S2" s="142"/>
      <c r="T2" s="142"/>
      <c r="U2" s="323"/>
      <c r="V2" s="324"/>
    </row>
    <row r="3" spans="1:23" s="143" customFormat="1" ht="18.75" customHeight="1">
      <c r="A3" s="1644" t="s">
        <v>0</v>
      </c>
      <c r="B3" s="1644"/>
      <c r="C3" s="1644"/>
      <c r="D3" s="1644"/>
      <c r="E3" s="1644"/>
      <c r="F3" s="1644"/>
      <c r="G3" s="1644"/>
      <c r="H3" s="1644"/>
      <c r="I3" s="1644"/>
      <c r="J3" s="1644"/>
      <c r="K3" s="1644"/>
      <c r="L3" s="1644"/>
      <c r="M3" s="1644"/>
      <c r="N3" s="1644"/>
      <c r="O3" s="1644"/>
      <c r="P3" s="686"/>
      <c r="Q3" s="712"/>
      <c r="R3" s="712"/>
      <c r="S3" s="712"/>
      <c r="T3" s="712"/>
    </row>
    <row r="4" spans="1:23" s="376" customFormat="1" ht="12.75" customHeight="1">
      <c r="A4" s="1600" t="s">
        <v>33</v>
      </c>
      <c r="B4" s="1600"/>
      <c r="C4" s="323" t="s">
        <v>425</v>
      </c>
      <c r="E4" s="383" t="s">
        <v>228</v>
      </c>
      <c r="F4" s="383" t="s">
        <v>235</v>
      </c>
      <c r="H4" s="376" t="s">
        <v>114</v>
      </c>
      <c r="I4" s="440" t="s">
        <v>424</v>
      </c>
      <c r="J4" s="316"/>
      <c r="N4" s="383"/>
      <c r="O4" s="383"/>
      <c r="P4" s="383"/>
      <c r="Q4" s="383"/>
      <c r="R4" s="383"/>
      <c r="S4" s="383"/>
      <c r="T4" s="383"/>
      <c r="U4" s="143"/>
    </row>
    <row r="5" spans="1:23" s="376" customFormat="1" ht="12.75" customHeight="1" thickBot="1">
      <c r="B5" s="324" t="str">
        <f>'ESPANA 30x60-HA'!B5</f>
        <v xml:space="preserve">Từ ngày:  </v>
      </c>
      <c r="C5" s="324">
        <f>'ESPANA 30x60-HA'!C5</f>
        <v>1</v>
      </c>
      <c r="D5" s="324" t="str">
        <f>'ESPANA 30x60-HA'!D5</f>
        <v>đến ngày</v>
      </c>
      <c r="E5" s="324">
        <f>'ESPANA 30x60-HA'!E5</f>
        <v>17</v>
      </c>
      <c r="F5" s="324" t="str">
        <f>'ESPANA 30x60-HA'!F5</f>
        <v>tháng</v>
      </c>
      <c r="G5" s="324">
        <f>'ESPANA 30x60-HA'!G5</f>
        <v>8</v>
      </c>
      <c r="H5" s="324" t="str">
        <f>'ESPANA 30x60-HA'!H5</f>
        <v xml:space="preserve">năm </v>
      </c>
      <c r="I5" s="324">
        <f>'ESPANA 30x60-HA'!I5</f>
        <v>2026</v>
      </c>
      <c r="J5" s="316"/>
      <c r="N5" s="343"/>
      <c r="O5" s="343"/>
      <c r="P5" s="343"/>
      <c r="Q5" s="343"/>
      <c r="R5" s="343"/>
      <c r="S5" s="383"/>
      <c r="T5" s="383"/>
      <c r="U5" s="143"/>
    </row>
    <row r="6" spans="1:23" s="376" customFormat="1" ht="12.75" customHeight="1">
      <c r="B6" s="324"/>
      <c r="C6" s="324"/>
      <c r="D6" s="324"/>
      <c r="E6" s="324"/>
      <c r="F6" s="324"/>
      <c r="G6" s="324"/>
      <c r="J6" s="316"/>
      <c r="L6" s="508" t="s">
        <v>292</v>
      </c>
      <c r="M6" s="375" t="s">
        <v>149</v>
      </c>
      <c r="N6" s="1620" t="s">
        <v>343</v>
      </c>
      <c r="O6" s="1620" t="s">
        <v>244</v>
      </c>
      <c r="P6" s="1645" t="s">
        <v>821</v>
      </c>
      <c r="Q6" s="1636" t="s">
        <v>353</v>
      </c>
      <c r="R6" s="1637"/>
      <c r="S6" s="1640" t="s">
        <v>1017</v>
      </c>
      <c r="T6" s="1641"/>
      <c r="U6" s="143"/>
    </row>
    <row r="7" spans="1:23" s="305" customFormat="1" ht="24.75" customHeight="1">
      <c r="A7" s="1609" t="s">
        <v>2</v>
      </c>
      <c r="B7" s="1611" t="s">
        <v>1</v>
      </c>
      <c r="C7" s="1611" t="s">
        <v>24</v>
      </c>
      <c r="D7" s="1607" t="s">
        <v>250</v>
      </c>
      <c r="E7" s="1608"/>
      <c r="F7" s="1607" t="s">
        <v>249</v>
      </c>
      <c r="G7" s="1608"/>
      <c r="H7" s="1607" t="s">
        <v>265</v>
      </c>
      <c r="I7" s="1608"/>
      <c r="J7" s="1607" t="s">
        <v>253</v>
      </c>
      <c r="K7" s="1608"/>
      <c r="L7" s="1607" t="s">
        <v>30</v>
      </c>
      <c r="M7" s="1608"/>
      <c r="N7" s="1621"/>
      <c r="O7" s="1621"/>
      <c r="P7" s="1646"/>
      <c r="Q7" s="1638"/>
      <c r="R7" s="1639"/>
      <c r="S7" s="1642"/>
      <c r="T7" s="1643"/>
      <c r="U7" s="143"/>
    </row>
    <row r="8" spans="1:23" s="305" customFormat="1" ht="14.25" customHeight="1">
      <c r="A8" s="1610"/>
      <c r="B8" s="1612"/>
      <c r="C8" s="1612"/>
      <c r="D8" s="299" t="s">
        <v>49</v>
      </c>
      <c r="E8" s="298" t="s">
        <v>143</v>
      </c>
      <c r="F8" s="299" t="s">
        <v>49</v>
      </c>
      <c r="G8" s="298" t="s">
        <v>143</v>
      </c>
      <c r="H8" s="299" t="s">
        <v>49</v>
      </c>
      <c r="I8" s="298" t="s">
        <v>143</v>
      </c>
      <c r="J8" s="299" t="s">
        <v>49</v>
      </c>
      <c r="K8" s="298" t="s">
        <v>143</v>
      </c>
      <c r="L8" s="299" t="s">
        <v>49</v>
      </c>
      <c r="M8" s="298" t="s">
        <v>143</v>
      </c>
      <c r="N8" s="688"/>
      <c r="O8" s="688"/>
      <c r="P8" s="711"/>
      <c r="Q8" s="714" t="s">
        <v>49</v>
      </c>
      <c r="R8" s="297" t="s">
        <v>143</v>
      </c>
      <c r="S8" s="296" t="s">
        <v>49</v>
      </c>
      <c r="T8" s="715" t="s">
        <v>143</v>
      </c>
      <c r="U8" s="143"/>
    </row>
    <row r="9" spans="1:23" s="305" customFormat="1" ht="12" customHeight="1">
      <c r="A9" s="1597" t="s">
        <v>3</v>
      </c>
      <c r="B9" s="1598"/>
      <c r="C9" s="1599"/>
      <c r="D9" s="387">
        <f>J9</f>
        <v>3320</v>
      </c>
      <c r="E9" s="389">
        <f>K9</f>
        <v>166</v>
      </c>
      <c r="F9" s="387"/>
      <c r="G9" s="387"/>
      <c r="H9" s="387"/>
      <c r="I9" s="387"/>
      <c r="J9" s="316">
        <v>3320</v>
      </c>
      <c r="K9" s="389">
        <f>J9/20</f>
        <v>166</v>
      </c>
      <c r="L9" s="303"/>
      <c r="M9" s="304"/>
      <c r="N9" s="846"/>
      <c r="O9" s="846"/>
      <c r="P9" s="845"/>
      <c r="Q9" s="716"/>
      <c r="R9" s="692"/>
      <c r="S9" s="692"/>
      <c r="T9" s="717"/>
      <c r="U9" s="647">
        <v>164</v>
      </c>
    </row>
    <row r="10" spans="1:23" s="333" customFormat="1" ht="12" customHeight="1">
      <c r="A10" s="330">
        <v>1</v>
      </c>
      <c r="B10" s="365">
        <f>'FRIT HGE91-FHG'!B9</f>
        <v>46235</v>
      </c>
      <c r="C10" s="331" t="s">
        <v>104</v>
      </c>
      <c r="D10" s="1441">
        <f>Q10+S10</f>
        <v>0</v>
      </c>
      <c r="E10" s="718">
        <f>D10/20</f>
        <v>0</v>
      </c>
      <c r="F10" s="1441">
        <f>N10+O10+P10</f>
        <v>0</v>
      </c>
      <c r="G10" s="1442">
        <f>F10/20</f>
        <v>0</v>
      </c>
      <c r="H10" s="1443">
        <f>SUM($F$9:F10)/A10</f>
        <v>0</v>
      </c>
      <c r="I10" s="1444">
        <f>SUM($G$9:G10)/A10</f>
        <v>0</v>
      </c>
      <c r="J10" s="1445">
        <f>J9+D10-F10</f>
        <v>3320</v>
      </c>
      <c r="K10" s="1446">
        <f>K9+E10-G10</f>
        <v>166</v>
      </c>
      <c r="L10" s="1447" t="e">
        <f>J10/H10</f>
        <v>#DIV/0!</v>
      </c>
      <c r="M10" s="1447" t="e">
        <f>K10/I10</f>
        <v>#DIV/0!</v>
      </c>
      <c r="N10" s="1485"/>
      <c r="O10" s="1485"/>
      <c r="P10" s="1484"/>
      <c r="Q10" s="716"/>
      <c r="R10" s="718">
        <f>Q10/20</f>
        <v>0</v>
      </c>
      <c r="S10" s="692"/>
      <c r="T10" s="719">
        <f>S10/20</f>
        <v>0</v>
      </c>
      <c r="U10" s="647">
        <f>J10/$U$9</f>
        <v>20.243902439024389</v>
      </c>
    </row>
    <row r="11" spans="1:23" s="333" customFormat="1" ht="12" customHeight="1">
      <c r="A11" s="330">
        <v>2</v>
      </c>
      <c r="B11" s="365">
        <f>'FRIT HGE91-FHG'!B10</f>
        <v>46236</v>
      </c>
      <c r="C11" s="331" t="s">
        <v>346</v>
      </c>
      <c r="D11" s="1441">
        <f>Q11+S11</f>
        <v>0</v>
      </c>
      <c r="E11" s="718">
        <f>D11/20</f>
        <v>0</v>
      </c>
      <c r="F11" s="1441">
        <f t="shared" ref="F11:F40" si="0">N11+O11+P11</f>
        <v>0</v>
      </c>
      <c r="G11" s="1442">
        <f t="shared" ref="G11:G40" si="1">F11/20</f>
        <v>0</v>
      </c>
      <c r="H11" s="1443">
        <f>SUM($F$9:F11)/A11</f>
        <v>0</v>
      </c>
      <c r="I11" s="1444">
        <f>SUM($G$9:G11)/A11</f>
        <v>0</v>
      </c>
      <c r="J11" s="1445">
        <f t="shared" ref="J11:K26" si="2">J10+D11-F11</f>
        <v>3320</v>
      </c>
      <c r="K11" s="1446">
        <f t="shared" si="2"/>
        <v>166</v>
      </c>
      <c r="L11" s="1447" t="e">
        <f t="shared" ref="L11:M40" si="3">J11/H11</f>
        <v>#DIV/0!</v>
      </c>
      <c r="M11" s="1447" t="e">
        <f>K11/I11</f>
        <v>#DIV/0!</v>
      </c>
      <c r="N11" s="1499"/>
      <c r="O11" s="1499"/>
      <c r="P11" s="1498"/>
      <c r="Q11" s="716"/>
      <c r="R11" s="718">
        <f t="shared" ref="R11:R40" si="4">Q11/20</f>
        <v>0</v>
      </c>
      <c r="S11" s="692"/>
      <c r="T11" s="719">
        <f t="shared" ref="T11:T40" si="5">S11/20</f>
        <v>0</v>
      </c>
      <c r="U11" s="647">
        <f t="shared" ref="U11:U40" si="6">J11/$U$9</f>
        <v>20.243902439024389</v>
      </c>
    </row>
    <row r="12" spans="1:23" s="333" customFormat="1" ht="12" customHeight="1">
      <c r="A12" s="330">
        <v>3</v>
      </c>
      <c r="B12" s="365">
        <f>'FRIT HGE91-FHG'!B11</f>
        <v>46237</v>
      </c>
      <c r="C12" s="331" t="s">
        <v>285</v>
      </c>
      <c r="D12" s="1441">
        <f t="shared" ref="D12:D40" si="7">Q12+S12</f>
        <v>0</v>
      </c>
      <c r="E12" s="718">
        <f t="shared" ref="E12:E40" si="8">D12/20</f>
        <v>0</v>
      </c>
      <c r="F12" s="1441">
        <f t="shared" si="0"/>
        <v>0</v>
      </c>
      <c r="G12" s="1442">
        <f t="shared" si="1"/>
        <v>0</v>
      </c>
      <c r="H12" s="1443">
        <f>SUM($F$9:F12)/A12</f>
        <v>0</v>
      </c>
      <c r="I12" s="1444">
        <f>SUM($G$9:G12)/A12</f>
        <v>0</v>
      </c>
      <c r="J12" s="1445">
        <f t="shared" si="2"/>
        <v>3320</v>
      </c>
      <c r="K12" s="1446">
        <f t="shared" si="2"/>
        <v>166</v>
      </c>
      <c r="L12" s="1447" t="e">
        <f t="shared" si="3"/>
        <v>#DIV/0!</v>
      </c>
      <c r="M12" s="1447" t="e">
        <f t="shared" si="3"/>
        <v>#DIV/0!</v>
      </c>
      <c r="N12" s="1499"/>
      <c r="O12" s="1499"/>
      <c r="P12" s="1498"/>
      <c r="Q12" s="716"/>
      <c r="R12" s="718">
        <f t="shared" si="4"/>
        <v>0</v>
      </c>
      <c r="S12" s="692"/>
      <c r="T12" s="719">
        <f t="shared" si="5"/>
        <v>0</v>
      </c>
      <c r="U12" s="647">
        <f t="shared" si="6"/>
        <v>20.243902439024389</v>
      </c>
    </row>
    <row r="13" spans="1:23" s="367" customFormat="1" ht="12" customHeight="1">
      <c r="A13" s="330">
        <v>4</v>
      </c>
      <c r="B13" s="365">
        <f>'FRIT HGE91-FHG'!B12</f>
        <v>46238</v>
      </c>
      <c r="C13" s="331" t="s">
        <v>346</v>
      </c>
      <c r="D13" s="1441">
        <f t="shared" si="7"/>
        <v>0</v>
      </c>
      <c r="E13" s="718">
        <f t="shared" si="8"/>
        <v>0</v>
      </c>
      <c r="F13" s="1441">
        <f t="shared" si="0"/>
        <v>1000</v>
      </c>
      <c r="G13" s="1442">
        <f>F13/20</f>
        <v>50</v>
      </c>
      <c r="H13" s="1443">
        <f>SUM($F$9:F13)/A13</f>
        <v>250</v>
      </c>
      <c r="I13" s="1444">
        <f>SUM($G$9:G13)/A13</f>
        <v>12.5</v>
      </c>
      <c r="J13" s="1445">
        <f t="shared" si="2"/>
        <v>2320</v>
      </c>
      <c r="K13" s="1446">
        <f t="shared" si="2"/>
        <v>116</v>
      </c>
      <c r="L13" s="1447">
        <f t="shared" si="3"/>
        <v>9.2799999999999994</v>
      </c>
      <c r="M13" s="1447">
        <f t="shared" si="3"/>
        <v>9.2799999999999994</v>
      </c>
      <c r="N13" s="1499"/>
      <c r="O13" s="1499">
        <v>1000</v>
      </c>
      <c r="P13" s="1498"/>
      <c r="Q13" s="716"/>
      <c r="R13" s="718">
        <f t="shared" si="4"/>
        <v>0</v>
      </c>
      <c r="S13" s="692"/>
      <c r="T13" s="719">
        <f t="shared" si="5"/>
        <v>0</v>
      </c>
      <c r="U13" s="647">
        <f t="shared" si="6"/>
        <v>14.146341463414634</v>
      </c>
    </row>
    <row r="14" spans="1:23" s="367" customFormat="1" ht="12" customHeight="1">
      <c r="A14" s="425">
        <v>5</v>
      </c>
      <c r="B14" s="365">
        <f>'FRIT HGE91-FHG'!B13</f>
        <v>46239</v>
      </c>
      <c r="C14" s="331" t="s">
        <v>104</v>
      </c>
      <c r="D14" s="1441">
        <f t="shared" si="7"/>
        <v>0</v>
      </c>
      <c r="E14" s="718">
        <f t="shared" si="8"/>
        <v>0</v>
      </c>
      <c r="F14" s="1441">
        <f t="shared" si="0"/>
        <v>0</v>
      </c>
      <c r="G14" s="1442">
        <f t="shared" si="1"/>
        <v>0</v>
      </c>
      <c r="H14" s="1448">
        <f>SUM($F$9:F14)/A14</f>
        <v>200</v>
      </c>
      <c r="I14" s="1444">
        <f>SUM($G$9:G14)/A14</f>
        <v>10</v>
      </c>
      <c r="J14" s="1448">
        <f t="shared" si="2"/>
        <v>2320</v>
      </c>
      <c r="K14" s="1446">
        <f t="shared" si="2"/>
        <v>116</v>
      </c>
      <c r="L14" s="1447">
        <f t="shared" si="3"/>
        <v>11.6</v>
      </c>
      <c r="M14" s="1447">
        <f t="shared" si="3"/>
        <v>11.6</v>
      </c>
      <c r="N14" s="1499"/>
      <c r="O14" s="1499"/>
      <c r="P14" s="1498"/>
      <c r="Q14" s="716"/>
      <c r="R14" s="718">
        <f t="shared" si="4"/>
        <v>0</v>
      </c>
      <c r="S14" s="692"/>
      <c r="T14" s="719">
        <f t="shared" si="5"/>
        <v>0</v>
      </c>
      <c r="U14" s="647">
        <f t="shared" si="6"/>
        <v>14.146341463414634</v>
      </c>
    </row>
    <row r="15" spans="1:23" s="367" customFormat="1" ht="12" customHeight="1">
      <c r="A15" s="330">
        <v>6</v>
      </c>
      <c r="B15" s="365">
        <f>'FRIT HGE91-FHG'!B14</f>
        <v>46240</v>
      </c>
      <c r="C15" s="331" t="s">
        <v>285</v>
      </c>
      <c r="D15" s="1441">
        <f t="shared" si="7"/>
        <v>0</v>
      </c>
      <c r="E15" s="718">
        <f t="shared" si="8"/>
        <v>0</v>
      </c>
      <c r="F15" s="1441">
        <f t="shared" si="0"/>
        <v>0</v>
      </c>
      <c r="G15" s="1442">
        <f t="shared" si="1"/>
        <v>0</v>
      </c>
      <c r="H15" s="1443">
        <f>SUM($F$9:F15)/A15</f>
        <v>166.66666666666666</v>
      </c>
      <c r="I15" s="1444">
        <f>SUM($G$9:G15)/A15</f>
        <v>8.3333333333333339</v>
      </c>
      <c r="J15" s="1445">
        <f t="shared" si="2"/>
        <v>2320</v>
      </c>
      <c r="K15" s="1446">
        <f t="shared" si="2"/>
        <v>116</v>
      </c>
      <c r="L15" s="1447">
        <f t="shared" si="3"/>
        <v>13.92</v>
      </c>
      <c r="M15" s="1447">
        <f t="shared" si="3"/>
        <v>13.919999999999998</v>
      </c>
      <c r="N15" s="1499"/>
      <c r="O15" s="1499"/>
      <c r="P15" s="1498"/>
      <c r="Q15" s="716"/>
      <c r="R15" s="718">
        <f t="shared" si="4"/>
        <v>0</v>
      </c>
      <c r="S15" s="692"/>
      <c r="T15" s="719">
        <f t="shared" si="5"/>
        <v>0</v>
      </c>
      <c r="U15" s="647">
        <f t="shared" si="6"/>
        <v>14.146341463414634</v>
      </c>
    </row>
    <row r="16" spans="1:23" s="367" customFormat="1" ht="12" customHeight="1">
      <c r="A16" s="330">
        <v>7</v>
      </c>
      <c r="B16" s="365">
        <f>'FRIT HGE91-FHG'!B15</f>
        <v>46241</v>
      </c>
      <c r="C16" s="331" t="s">
        <v>285</v>
      </c>
      <c r="D16" s="1441">
        <f t="shared" si="7"/>
        <v>0</v>
      </c>
      <c r="E16" s="718">
        <f t="shared" si="8"/>
        <v>0</v>
      </c>
      <c r="F16" s="1441">
        <f t="shared" si="0"/>
        <v>800</v>
      </c>
      <c r="G16" s="1442">
        <f t="shared" si="1"/>
        <v>40</v>
      </c>
      <c r="H16" s="1443">
        <f>SUM($F$9:F16)/A16</f>
        <v>257.14285714285717</v>
      </c>
      <c r="I16" s="1444">
        <f>SUM($G$9:G16)/A16</f>
        <v>12.857142857142858</v>
      </c>
      <c r="J16" s="1445">
        <f t="shared" si="2"/>
        <v>1520</v>
      </c>
      <c r="K16" s="1446">
        <f t="shared" si="2"/>
        <v>76</v>
      </c>
      <c r="L16" s="1447">
        <f t="shared" si="3"/>
        <v>5.9111111111111105</v>
      </c>
      <c r="M16" s="1447">
        <f t="shared" si="3"/>
        <v>5.9111111111111105</v>
      </c>
      <c r="N16" s="1499">
        <v>800</v>
      </c>
      <c r="O16" s="1499"/>
      <c r="P16" s="1498"/>
      <c r="Q16" s="716"/>
      <c r="R16" s="718">
        <f t="shared" si="4"/>
        <v>0</v>
      </c>
      <c r="S16" s="692"/>
      <c r="T16" s="719">
        <f t="shared" si="5"/>
        <v>0</v>
      </c>
      <c r="U16" s="647">
        <f t="shared" si="6"/>
        <v>9.2682926829268286</v>
      </c>
    </row>
    <row r="17" spans="1:21" s="367" customFormat="1" ht="12" customHeight="1">
      <c r="A17" s="330">
        <v>8</v>
      </c>
      <c r="B17" s="365">
        <f>'FRIT HGE91-FHG'!B16</f>
        <v>46242</v>
      </c>
      <c r="C17" s="331" t="s">
        <v>346</v>
      </c>
      <c r="D17" s="1441">
        <f t="shared" si="7"/>
        <v>0</v>
      </c>
      <c r="E17" s="718">
        <f t="shared" si="8"/>
        <v>0</v>
      </c>
      <c r="F17" s="1441">
        <f t="shared" si="0"/>
        <v>0</v>
      </c>
      <c r="G17" s="1442">
        <f t="shared" si="1"/>
        <v>0</v>
      </c>
      <c r="H17" s="1443">
        <f>SUM($F$9:F17)/A17</f>
        <v>225</v>
      </c>
      <c r="I17" s="1444">
        <f>SUM($G$9:G17)/A17</f>
        <v>11.25</v>
      </c>
      <c r="J17" s="1445">
        <f t="shared" si="2"/>
        <v>1520</v>
      </c>
      <c r="K17" s="1446">
        <f t="shared" si="2"/>
        <v>76</v>
      </c>
      <c r="L17" s="1447">
        <f t="shared" si="3"/>
        <v>6.7555555555555555</v>
      </c>
      <c r="M17" s="1447">
        <f t="shared" si="3"/>
        <v>6.7555555555555555</v>
      </c>
      <c r="N17" s="1499"/>
      <c r="O17" s="1499"/>
      <c r="P17" s="1498"/>
      <c r="Q17" s="716"/>
      <c r="R17" s="718">
        <f t="shared" si="4"/>
        <v>0</v>
      </c>
      <c r="S17" s="692"/>
      <c r="T17" s="719">
        <f t="shared" si="5"/>
        <v>0</v>
      </c>
      <c r="U17" s="647">
        <f t="shared" si="6"/>
        <v>9.2682926829268286</v>
      </c>
    </row>
    <row r="18" spans="1:21" s="367" customFormat="1" ht="12" customHeight="1">
      <c r="A18" s="330">
        <v>9</v>
      </c>
      <c r="B18" s="365">
        <f>'FRIT HGE91-FHG'!B17</f>
        <v>46243</v>
      </c>
      <c r="C18" s="331" t="s">
        <v>285</v>
      </c>
      <c r="D18" s="1441">
        <f t="shared" si="7"/>
        <v>0</v>
      </c>
      <c r="E18" s="718">
        <f t="shared" si="8"/>
        <v>0</v>
      </c>
      <c r="F18" s="1441">
        <f t="shared" si="0"/>
        <v>0</v>
      </c>
      <c r="G18" s="1442">
        <f t="shared" si="1"/>
        <v>0</v>
      </c>
      <c r="H18" s="1443">
        <f>SUM($F$9:F18)/A18</f>
        <v>200</v>
      </c>
      <c r="I18" s="1444">
        <f>SUM($G$9:G18)/A18</f>
        <v>10</v>
      </c>
      <c r="J18" s="1445">
        <f t="shared" si="2"/>
        <v>1520</v>
      </c>
      <c r="K18" s="1446">
        <f t="shared" si="2"/>
        <v>76</v>
      </c>
      <c r="L18" s="1447">
        <f t="shared" si="3"/>
        <v>7.6</v>
      </c>
      <c r="M18" s="1447">
        <f t="shared" si="3"/>
        <v>7.6</v>
      </c>
      <c r="N18" s="1499"/>
      <c r="O18" s="1499"/>
      <c r="P18" s="1498"/>
      <c r="Q18" s="716"/>
      <c r="R18" s="718">
        <f t="shared" si="4"/>
        <v>0</v>
      </c>
      <c r="S18" s="692"/>
      <c r="T18" s="719">
        <f t="shared" si="5"/>
        <v>0</v>
      </c>
      <c r="U18" s="647">
        <f t="shared" si="6"/>
        <v>9.2682926829268286</v>
      </c>
    </row>
    <row r="19" spans="1:21" s="367" customFormat="1" ht="12" customHeight="1">
      <c r="A19" s="425">
        <v>10</v>
      </c>
      <c r="B19" s="365">
        <f>'FRIT HGE91-FHG'!B18</f>
        <v>46244</v>
      </c>
      <c r="C19" s="331" t="s">
        <v>285</v>
      </c>
      <c r="D19" s="1441">
        <f t="shared" si="7"/>
        <v>0</v>
      </c>
      <c r="E19" s="718">
        <f t="shared" si="8"/>
        <v>0</v>
      </c>
      <c r="F19" s="1441">
        <f t="shared" si="0"/>
        <v>0</v>
      </c>
      <c r="G19" s="1442">
        <f t="shared" si="1"/>
        <v>0</v>
      </c>
      <c r="H19" s="1448">
        <f>SUM($F$9:F19)/A19</f>
        <v>180</v>
      </c>
      <c r="I19" s="1444">
        <f>SUM($G$9:G19)/A19</f>
        <v>9</v>
      </c>
      <c r="J19" s="1448">
        <f t="shared" si="2"/>
        <v>1520</v>
      </c>
      <c r="K19" s="1446">
        <f t="shared" si="2"/>
        <v>76</v>
      </c>
      <c r="L19" s="1447">
        <f t="shared" si="3"/>
        <v>8.4444444444444446</v>
      </c>
      <c r="M19" s="1447">
        <f t="shared" si="3"/>
        <v>8.4444444444444446</v>
      </c>
      <c r="N19" s="1499"/>
      <c r="O19" s="1499"/>
      <c r="P19" s="1498"/>
      <c r="Q19" s="716"/>
      <c r="R19" s="718">
        <f t="shared" si="4"/>
        <v>0</v>
      </c>
      <c r="S19" s="692"/>
      <c r="T19" s="719">
        <f t="shared" si="5"/>
        <v>0</v>
      </c>
      <c r="U19" s="647">
        <f t="shared" si="6"/>
        <v>9.2682926829268286</v>
      </c>
    </row>
    <row r="20" spans="1:21" s="367" customFormat="1" ht="12" customHeight="1">
      <c r="A20" s="330">
        <v>11</v>
      </c>
      <c r="B20" s="365">
        <f>'FRIT HGE91-FHG'!B19</f>
        <v>46245</v>
      </c>
      <c r="C20" s="331" t="s">
        <v>285</v>
      </c>
      <c r="D20" s="1441">
        <f t="shared" si="7"/>
        <v>0</v>
      </c>
      <c r="E20" s="718">
        <f t="shared" si="8"/>
        <v>0</v>
      </c>
      <c r="F20" s="1441">
        <f t="shared" si="0"/>
        <v>0</v>
      </c>
      <c r="G20" s="1442">
        <f t="shared" si="1"/>
        <v>0</v>
      </c>
      <c r="H20" s="1443">
        <f>SUM($F$9:F20)/A20</f>
        <v>163.63636363636363</v>
      </c>
      <c r="I20" s="1444">
        <f>SUM($G$9:G20)/A20</f>
        <v>8.1818181818181817</v>
      </c>
      <c r="J20" s="1445">
        <f t="shared" si="2"/>
        <v>1520</v>
      </c>
      <c r="K20" s="1446">
        <f t="shared" si="2"/>
        <v>76</v>
      </c>
      <c r="L20" s="1447">
        <f t="shared" si="3"/>
        <v>9.2888888888888896</v>
      </c>
      <c r="M20" s="1447">
        <f t="shared" si="3"/>
        <v>9.2888888888888896</v>
      </c>
      <c r="N20" s="1499"/>
      <c r="O20" s="1499"/>
      <c r="P20" s="1498"/>
      <c r="Q20" s="716"/>
      <c r="R20" s="718">
        <f t="shared" si="4"/>
        <v>0</v>
      </c>
      <c r="S20" s="692"/>
      <c r="T20" s="719">
        <f t="shared" si="5"/>
        <v>0</v>
      </c>
      <c r="U20" s="647">
        <f t="shared" si="6"/>
        <v>9.2682926829268286</v>
      </c>
    </row>
    <row r="21" spans="1:21" s="367" customFormat="1" ht="12" customHeight="1">
      <c r="A21" s="330">
        <v>12</v>
      </c>
      <c r="B21" s="365">
        <f>'FRIT HGE91-FHG'!B20</f>
        <v>46246</v>
      </c>
      <c r="C21" s="331" t="s">
        <v>285</v>
      </c>
      <c r="D21" s="1441">
        <f t="shared" si="7"/>
        <v>0</v>
      </c>
      <c r="E21" s="718">
        <f t="shared" si="8"/>
        <v>0</v>
      </c>
      <c r="F21" s="1441">
        <f t="shared" si="0"/>
        <v>300</v>
      </c>
      <c r="G21" s="1442">
        <f t="shared" si="1"/>
        <v>15</v>
      </c>
      <c r="H21" s="1443">
        <f>SUM($F$9:F21)/A21</f>
        <v>175</v>
      </c>
      <c r="I21" s="1444">
        <f>SUM($G$9:G21)/A21</f>
        <v>8.75</v>
      </c>
      <c r="J21" s="1445">
        <f t="shared" si="2"/>
        <v>1220</v>
      </c>
      <c r="K21" s="1446">
        <f t="shared" si="2"/>
        <v>61</v>
      </c>
      <c r="L21" s="1447">
        <f t="shared" si="3"/>
        <v>6.9714285714285715</v>
      </c>
      <c r="M21" s="1447">
        <f t="shared" si="3"/>
        <v>6.9714285714285715</v>
      </c>
      <c r="N21" s="1499"/>
      <c r="O21" s="1499">
        <v>300</v>
      </c>
      <c r="P21" s="1498"/>
      <c r="Q21" s="716"/>
      <c r="R21" s="718">
        <f t="shared" si="4"/>
        <v>0</v>
      </c>
      <c r="S21" s="692"/>
      <c r="T21" s="719">
        <f t="shared" si="5"/>
        <v>0</v>
      </c>
      <c r="U21" s="647">
        <f t="shared" si="6"/>
        <v>7.4390243902439028</v>
      </c>
    </row>
    <row r="22" spans="1:21" s="367" customFormat="1" ht="12" customHeight="1">
      <c r="A22" s="330">
        <v>13</v>
      </c>
      <c r="B22" s="365">
        <f>'FRIT HGE91-FHG'!B21</f>
        <v>46247</v>
      </c>
      <c r="C22" s="331" t="s">
        <v>285</v>
      </c>
      <c r="D22" s="1441">
        <f t="shared" si="7"/>
        <v>3000</v>
      </c>
      <c r="E22" s="718">
        <f t="shared" si="8"/>
        <v>150</v>
      </c>
      <c r="F22" s="1441">
        <f t="shared" si="0"/>
        <v>1000</v>
      </c>
      <c r="G22" s="1442">
        <f t="shared" si="1"/>
        <v>50</v>
      </c>
      <c r="H22" s="1443">
        <f>SUM($F$9:F22)/A22</f>
        <v>238.46153846153845</v>
      </c>
      <c r="I22" s="1444">
        <f>SUM($G$9:G22)/A22</f>
        <v>11.923076923076923</v>
      </c>
      <c r="J22" s="1445">
        <f t="shared" si="2"/>
        <v>3220</v>
      </c>
      <c r="K22" s="1446">
        <f t="shared" si="2"/>
        <v>161</v>
      </c>
      <c r="L22" s="1447">
        <f t="shared" si="3"/>
        <v>13.503225806451614</v>
      </c>
      <c r="M22" s="1447">
        <f t="shared" si="3"/>
        <v>13.503225806451612</v>
      </c>
      <c r="N22" s="1499"/>
      <c r="O22" s="1499">
        <v>1000</v>
      </c>
      <c r="P22" s="1498"/>
      <c r="Q22" s="716"/>
      <c r="R22" s="718">
        <f t="shared" si="4"/>
        <v>0</v>
      </c>
      <c r="S22" s="692">
        <v>3000</v>
      </c>
      <c r="T22" s="719">
        <f t="shared" si="5"/>
        <v>150</v>
      </c>
      <c r="U22" s="647">
        <f t="shared" si="6"/>
        <v>19.634146341463413</v>
      </c>
    </row>
    <row r="23" spans="1:21" s="367" customFormat="1" ht="12" customHeight="1">
      <c r="A23" s="330">
        <v>14</v>
      </c>
      <c r="B23" s="365">
        <f>'FRIT HGE91-FHG'!B22</f>
        <v>46248</v>
      </c>
      <c r="C23" s="331" t="s">
        <v>285</v>
      </c>
      <c r="D23" s="1441">
        <f t="shared" si="7"/>
        <v>0</v>
      </c>
      <c r="E23" s="718">
        <f t="shared" si="8"/>
        <v>0</v>
      </c>
      <c r="F23" s="1441">
        <f t="shared" si="0"/>
        <v>1600</v>
      </c>
      <c r="G23" s="1442">
        <f t="shared" si="1"/>
        <v>80</v>
      </c>
      <c r="H23" s="1443">
        <f>SUM($F$9:F23)/A23</f>
        <v>335.71428571428572</v>
      </c>
      <c r="I23" s="1444">
        <f>SUM($G$9:G23)/A23</f>
        <v>16.785714285714285</v>
      </c>
      <c r="J23" s="1445">
        <f t="shared" si="2"/>
        <v>1620</v>
      </c>
      <c r="K23" s="1446">
        <f t="shared" si="2"/>
        <v>81</v>
      </c>
      <c r="L23" s="1447">
        <f t="shared" si="3"/>
        <v>4.8255319148936167</v>
      </c>
      <c r="M23" s="1447">
        <f t="shared" si="3"/>
        <v>4.8255319148936175</v>
      </c>
      <c r="N23" s="1499">
        <v>800</v>
      </c>
      <c r="O23" s="1499"/>
      <c r="P23" s="1498">
        <v>800</v>
      </c>
      <c r="Q23" s="716"/>
      <c r="R23" s="718">
        <f t="shared" si="4"/>
        <v>0</v>
      </c>
      <c r="S23" s="692"/>
      <c r="T23" s="719">
        <f t="shared" si="5"/>
        <v>0</v>
      </c>
      <c r="U23" s="647">
        <f t="shared" si="6"/>
        <v>9.8780487804878057</v>
      </c>
    </row>
    <row r="24" spans="1:21" s="367" customFormat="1" ht="12" customHeight="1">
      <c r="A24" s="425">
        <v>15</v>
      </c>
      <c r="B24" s="365">
        <f>'FRIT HGE91-FHG'!B23</f>
        <v>46249</v>
      </c>
      <c r="C24" s="331" t="s">
        <v>285</v>
      </c>
      <c r="D24" s="1441">
        <f t="shared" si="7"/>
        <v>0</v>
      </c>
      <c r="E24" s="718">
        <f t="shared" si="8"/>
        <v>0</v>
      </c>
      <c r="F24" s="1441">
        <f t="shared" si="0"/>
        <v>0</v>
      </c>
      <c r="G24" s="1442">
        <f t="shared" si="1"/>
        <v>0</v>
      </c>
      <c r="H24" s="1448">
        <f>SUM($F$9:F24)/A24</f>
        <v>313.33333333333331</v>
      </c>
      <c r="I24" s="1444">
        <f>SUM($G$9:G24)/A24</f>
        <v>15.666666666666666</v>
      </c>
      <c r="J24" s="1448">
        <f t="shared" si="2"/>
        <v>1620</v>
      </c>
      <c r="K24" s="1446">
        <f t="shared" si="2"/>
        <v>81</v>
      </c>
      <c r="L24" s="1447">
        <f t="shared" si="3"/>
        <v>5.1702127659574471</v>
      </c>
      <c r="M24" s="1447">
        <f t="shared" si="3"/>
        <v>5.1702127659574471</v>
      </c>
      <c r="N24" s="1499"/>
      <c r="O24" s="1499"/>
      <c r="P24" s="1498"/>
      <c r="Q24" s="716"/>
      <c r="R24" s="718">
        <f t="shared" si="4"/>
        <v>0</v>
      </c>
      <c r="S24" s="692"/>
      <c r="T24" s="719">
        <f t="shared" si="5"/>
        <v>0</v>
      </c>
      <c r="U24" s="647">
        <f t="shared" si="6"/>
        <v>9.8780487804878057</v>
      </c>
    </row>
    <row r="25" spans="1:21" s="367" customFormat="1" ht="12" customHeight="1">
      <c r="A25" s="330">
        <v>16</v>
      </c>
      <c r="B25" s="365">
        <f>'FRIT HGE91-FHG'!B24</f>
        <v>46250</v>
      </c>
      <c r="C25" s="331" t="s">
        <v>285</v>
      </c>
      <c r="D25" s="1441">
        <f t="shared" si="7"/>
        <v>0</v>
      </c>
      <c r="E25" s="718">
        <f>D25/20</f>
        <v>0</v>
      </c>
      <c r="F25" s="1441">
        <f t="shared" si="0"/>
        <v>0</v>
      </c>
      <c r="G25" s="1442">
        <f t="shared" si="1"/>
        <v>0</v>
      </c>
      <c r="H25" s="1443">
        <f>SUM($F$9:F25)/A25</f>
        <v>293.75</v>
      </c>
      <c r="I25" s="1444">
        <f>SUM($G$9:G25)/A25</f>
        <v>14.6875</v>
      </c>
      <c r="J25" s="1445">
        <f t="shared" si="2"/>
        <v>1620</v>
      </c>
      <c r="K25" s="1446">
        <f t="shared" si="2"/>
        <v>81</v>
      </c>
      <c r="L25" s="1447">
        <f t="shared" si="3"/>
        <v>5.5148936170212766</v>
      </c>
      <c r="M25" s="1447">
        <f t="shared" si="3"/>
        <v>5.5148936170212766</v>
      </c>
      <c r="N25" s="1499"/>
      <c r="O25" s="1499"/>
      <c r="P25" s="1498"/>
      <c r="Q25" s="716"/>
      <c r="R25" s="718">
        <f t="shared" si="4"/>
        <v>0</v>
      </c>
      <c r="S25" s="692"/>
      <c r="T25" s="719">
        <f t="shared" si="5"/>
        <v>0</v>
      </c>
      <c r="U25" s="647">
        <f t="shared" si="6"/>
        <v>9.8780487804878057</v>
      </c>
    </row>
    <row r="26" spans="1:21" s="367" customFormat="1" ht="12" customHeight="1">
      <c r="A26" s="330">
        <v>17</v>
      </c>
      <c r="B26" s="365">
        <f>'FRIT HGE91-FHG'!B25</f>
        <v>46251</v>
      </c>
      <c r="C26" s="331" t="s">
        <v>285</v>
      </c>
      <c r="D26" s="1441">
        <f t="shared" si="7"/>
        <v>0</v>
      </c>
      <c r="E26" s="718">
        <f t="shared" si="8"/>
        <v>0</v>
      </c>
      <c r="F26" s="1441">
        <f t="shared" si="0"/>
        <v>0</v>
      </c>
      <c r="G26" s="1442">
        <f t="shared" si="1"/>
        <v>0</v>
      </c>
      <c r="H26" s="1443">
        <f>SUM($F$9:F26)/A26</f>
        <v>276.47058823529414</v>
      </c>
      <c r="I26" s="1444">
        <f>SUM($G$9:G26)/A26</f>
        <v>13.823529411764707</v>
      </c>
      <c r="J26" s="1445">
        <f t="shared" si="2"/>
        <v>1620</v>
      </c>
      <c r="K26" s="1446">
        <f t="shared" si="2"/>
        <v>81</v>
      </c>
      <c r="L26" s="1447">
        <f t="shared" si="3"/>
        <v>5.8595744680851061</v>
      </c>
      <c r="M26" s="1447">
        <f t="shared" si="3"/>
        <v>5.8595744680851061</v>
      </c>
      <c r="N26" s="1499"/>
      <c r="O26" s="1499"/>
      <c r="P26" s="1498"/>
      <c r="Q26" s="716"/>
      <c r="R26" s="718">
        <f t="shared" si="4"/>
        <v>0</v>
      </c>
      <c r="S26" s="692"/>
      <c r="T26" s="719">
        <f t="shared" si="5"/>
        <v>0</v>
      </c>
      <c r="U26" s="647">
        <f t="shared" si="6"/>
        <v>9.8780487804878057</v>
      </c>
    </row>
    <row r="27" spans="1:21" s="367" customFormat="1" ht="12" customHeight="1">
      <c r="A27" s="330">
        <v>18</v>
      </c>
      <c r="B27" s="365">
        <f>'FRIT HGE91-FHG'!B26</f>
        <v>46252</v>
      </c>
      <c r="C27" s="331" t="s">
        <v>285</v>
      </c>
      <c r="D27" s="1441">
        <f t="shared" si="7"/>
        <v>0</v>
      </c>
      <c r="E27" s="718">
        <f t="shared" si="8"/>
        <v>0</v>
      </c>
      <c r="F27" s="1441">
        <f t="shared" si="0"/>
        <v>0</v>
      </c>
      <c r="G27" s="1442">
        <f t="shared" si="1"/>
        <v>0</v>
      </c>
      <c r="H27" s="1443">
        <f>SUM($F$9:F27)/A27</f>
        <v>261.11111111111109</v>
      </c>
      <c r="I27" s="1444">
        <f>SUM($G$9:G27)/A27</f>
        <v>13.055555555555555</v>
      </c>
      <c r="J27" s="1445">
        <f t="shared" ref="J27:K40" si="9">J26+D27-F27</f>
        <v>1620</v>
      </c>
      <c r="K27" s="1446">
        <f t="shared" si="9"/>
        <v>81</v>
      </c>
      <c r="L27" s="1447">
        <f t="shared" si="3"/>
        <v>6.2042553191489365</v>
      </c>
      <c r="M27" s="1447">
        <f t="shared" si="3"/>
        <v>6.2042553191489365</v>
      </c>
      <c r="N27" s="1499"/>
      <c r="O27" s="1499"/>
      <c r="P27" s="1498"/>
      <c r="Q27" s="716"/>
      <c r="R27" s="718">
        <f t="shared" si="4"/>
        <v>0</v>
      </c>
      <c r="S27" s="692"/>
      <c r="T27" s="719">
        <f t="shared" si="5"/>
        <v>0</v>
      </c>
      <c r="U27" s="647">
        <f t="shared" si="6"/>
        <v>9.8780487804878057</v>
      </c>
    </row>
    <row r="28" spans="1:21" s="367" customFormat="1" ht="12" customHeight="1">
      <c r="A28" s="330">
        <v>19</v>
      </c>
      <c r="B28" s="365">
        <f>'FRIT HGE91-FHG'!B27</f>
        <v>46253</v>
      </c>
      <c r="C28" s="331" t="s">
        <v>285</v>
      </c>
      <c r="D28" s="1441">
        <f t="shared" si="7"/>
        <v>0</v>
      </c>
      <c r="E28" s="718">
        <f t="shared" si="8"/>
        <v>0</v>
      </c>
      <c r="F28" s="1441">
        <f t="shared" si="0"/>
        <v>0</v>
      </c>
      <c r="G28" s="1442">
        <f t="shared" si="1"/>
        <v>0</v>
      </c>
      <c r="H28" s="1443">
        <f>SUM($F$9:F28)/A28</f>
        <v>247.36842105263159</v>
      </c>
      <c r="I28" s="1444">
        <f>SUM($G$9:G28)/A28</f>
        <v>12.368421052631579</v>
      </c>
      <c r="J28" s="1445">
        <f t="shared" si="9"/>
        <v>1620</v>
      </c>
      <c r="K28" s="1446">
        <f t="shared" si="9"/>
        <v>81</v>
      </c>
      <c r="L28" s="1447">
        <f t="shared" si="3"/>
        <v>6.548936170212766</v>
      </c>
      <c r="M28" s="1447">
        <f t="shared" si="3"/>
        <v>6.548936170212766</v>
      </c>
      <c r="N28" s="1499"/>
      <c r="O28" s="1499"/>
      <c r="P28" s="1498"/>
      <c r="Q28" s="716"/>
      <c r="R28" s="718">
        <f t="shared" si="4"/>
        <v>0</v>
      </c>
      <c r="S28" s="692"/>
      <c r="T28" s="719">
        <f t="shared" si="5"/>
        <v>0</v>
      </c>
      <c r="U28" s="647">
        <f t="shared" si="6"/>
        <v>9.8780487804878057</v>
      </c>
    </row>
    <row r="29" spans="1:21" s="367" customFormat="1" ht="12" customHeight="1">
      <c r="A29" s="425">
        <v>20</v>
      </c>
      <c r="B29" s="365">
        <f>'FRIT HGE91-FHG'!B28</f>
        <v>46254</v>
      </c>
      <c r="C29" s="331" t="s">
        <v>285</v>
      </c>
      <c r="D29" s="1441">
        <f t="shared" si="7"/>
        <v>0</v>
      </c>
      <c r="E29" s="718">
        <f t="shared" si="8"/>
        <v>0</v>
      </c>
      <c r="F29" s="1441">
        <f t="shared" si="0"/>
        <v>0</v>
      </c>
      <c r="G29" s="1442">
        <f t="shared" si="1"/>
        <v>0</v>
      </c>
      <c r="H29" s="1448">
        <f>SUM($F$9:F29)/A29</f>
        <v>235</v>
      </c>
      <c r="I29" s="1444">
        <f>SUM($G$9:G29)/A29</f>
        <v>11.75</v>
      </c>
      <c r="J29" s="1448">
        <f t="shared" si="9"/>
        <v>1620</v>
      </c>
      <c r="K29" s="1446">
        <f t="shared" si="9"/>
        <v>81</v>
      </c>
      <c r="L29" s="1447">
        <f t="shared" si="3"/>
        <v>6.8936170212765955</v>
      </c>
      <c r="M29" s="1447">
        <f t="shared" si="3"/>
        <v>6.8936170212765955</v>
      </c>
      <c r="N29" s="1499"/>
      <c r="O29" s="1499"/>
      <c r="P29" s="1498"/>
      <c r="Q29" s="716"/>
      <c r="R29" s="718">
        <f t="shared" si="4"/>
        <v>0</v>
      </c>
      <c r="S29" s="692"/>
      <c r="T29" s="719">
        <f t="shared" si="5"/>
        <v>0</v>
      </c>
      <c r="U29" s="647">
        <f t="shared" si="6"/>
        <v>9.8780487804878057</v>
      </c>
    </row>
    <row r="30" spans="1:21" s="367" customFormat="1" ht="12" customHeight="1">
      <c r="A30" s="330">
        <v>21</v>
      </c>
      <c r="B30" s="365">
        <f>'FRIT HGE91-FHG'!B29</f>
        <v>46255</v>
      </c>
      <c r="C30" s="331" t="s">
        <v>285</v>
      </c>
      <c r="D30" s="1441">
        <f t="shared" si="7"/>
        <v>0</v>
      </c>
      <c r="E30" s="718">
        <f t="shared" si="8"/>
        <v>0</v>
      </c>
      <c r="F30" s="1441">
        <f t="shared" si="0"/>
        <v>0</v>
      </c>
      <c r="G30" s="1442">
        <f t="shared" si="1"/>
        <v>0</v>
      </c>
      <c r="H30" s="1443">
        <f>SUM($F$9:F30)/A30</f>
        <v>223.8095238095238</v>
      </c>
      <c r="I30" s="1444">
        <f>SUM($G$9:G30)/A30</f>
        <v>11.19047619047619</v>
      </c>
      <c r="J30" s="1445">
        <f t="shared" si="9"/>
        <v>1620</v>
      </c>
      <c r="K30" s="1446">
        <f t="shared" si="9"/>
        <v>81</v>
      </c>
      <c r="L30" s="1447">
        <f t="shared" si="3"/>
        <v>7.2382978723404259</v>
      </c>
      <c r="M30" s="1447">
        <f t="shared" si="3"/>
        <v>7.2382978723404259</v>
      </c>
      <c r="N30" s="1499"/>
      <c r="O30" s="1499"/>
      <c r="P30" s="1498"/>
      <c r="Q30" s="716"/>
      <c r="R30" s="718">
        <f t="shared" si="4"/>
        <v>0</v>
      </c>
      <c r="S30" s="692"/>
      <c r="T30" s="719">
        <f t="shared" si="5"/>
        <v>0</v>
      </c>
      <c r="U30" s="647">
        <f t="shared" si="6"/>
        <v>9.8780487804878057</v>
      </c>
    </row>
    <row r="31" spans="1:21" s="367" customFormat="1" ht="12" customHeight="1">
      <c r="A31" s="330">
        <v>22</v>
      </c>
      <c r="B31" s="365">
        <f>'FRIT HGE91-FHG'!B30</f>
        <v>46256</v>
      </c>
      <c r="C31" s="331" t="s">
        <v>285</v>
      </c>
      <c r="D31" s="1441">
        <f t="shared" si="7"/>
        <v>0</v>
      </c>
      <c r="E31" s="718">
        <f t="shared" si="8"/>
        <v>0</v>
      </c>
      <c r="F31" s="1441">
        <f t="shared" si="0"/>
        <v>0</v>
      </c>
      <c r="G31" s="1442">
        <f t="shared" si="1"/>
        <v>0</v>
      </c>
      <c r="H31" s="1443">
        <f>SUM($F$9:F31)/A31</f>
        <v>213.63636363636363</v>
      </c>
      <c r="I31" s="1444">
        <f>SUM($G$9:G31)/A31</f>
        <v>10.681818181818182</v>
      </c>
      <c r="J31" s="1445">
        <f t="shared" si="9"/>
        <v>1620</v>
      </c>
      <c r="K31" s="1446">
        <f t="shared" si="9"/>
        <v>81</v>
      </c>
      <c r="L31" s="1447">
        <f t="shared" si="3"/>
        <v>7.5829787234042554</v>
      </c>
      <c r="M31" s="1447">
        <f t="shared" si="3"/>
        <v>7.5829787234042554</v>
      </c>
      <c r="N31" s="1499"/>
      <c r="O31" s="1499"/>
      <c r="P31" s="1498"/>
      <c r="Q31" s="716"/>
      <c r="R31" s="718">
        <f t="shared" si="4"/>
        <v>0</v>
      </c>
      <c r="S31" s="692"/>
      <c r="T31" s="719">
        <f t="shared" si="5"/>
        <v>0</v>
      </c>
      <c r="U31" s="647">
        <f t="shared" si="6"/>
        <v>9.8780487804878057</v>
      </c>
    </row>
    <row r="32" spans="1:21" s="367" customFormat="1" ht="12" customHeight="1">
      <c r="A32" s="330">
        <v>23</v>
      </c>
      <c r="B32" s="365">
        <f>'FRIT HGE91-FHG'!B31</f>
        <v>46257</v>
      </c>
      <c r="C32" s="331" t="s">
        <v>285</v>
      </c>
      <c r="D32" s="1441">
        <f t="shared" si="7"/>
        <v>0</v>
      </c>
      <c r="E32" s="718">
        <f t="shared" si="8"/>
        <v>0</v>
      </c>
      <c r="F32" s="1441">
        <f t="shared" si="0"/>
        <v>0</v>
      </c>
      <c r="G32" s="1442">
        <f t="shared" si="1"/>
        <v>0</v>
      </c>
      <c r="H32" s="1443">
        <f>SUM($F$9:F32)/A32</f>
        <v>204.34782608695653</v>
      </c>
      <c r="I32" s="1444">
        <f>SUM($G$9:G32)/A32</f>
        <v>10.217391304347826</v>
      </c>
      <c r="J32" s="1445">
        <f t="shared" si="9"/>
        <v>1620</v>
      </c>
      <c r="K32" s="1446">
        <f t="shared" si="9"/>
        <v>81</v>
      </c>
      <c r="L32" s="1447">
        <f t="shared" si="3"/>
        <v>7.9276595744680849</v>
      </c>
      <c r="M32" s="1447">
        <f t="shared" si="3"/>
        <v>7.9276595744680849</v>
      </c>
      <c r="N32" s="1499"/>
      <c r="O32" s="1499"/>
      <c r="P32" s="1498"/>
      <c r="Q32" s="716"/>
      <c r="R32" s="718">
        <f t="shared" si="4"/>
        <v>0</v>
      </c>
      <c r="S32" s="692"/>
      <c r="T32" s="719">
        <f t="shared" si="5"/>
        <v>0</v>
      </c>
      <c r="U32" s="647">
        <f t="shared" si="6"/>
        <v>9.8780487804878057</v>
      </c>
    </row>
    <row r="33" spans="1:21" s="367" customFormat="1" ht="12" customHeight="1">
      <c r="A33" s="330">
        <v>24</v>
      </c>
      <c r="B33" s="365">
        <f>'FRIT HGE91-FHG'!B32</f>
        <v>46258</v>
      </c>
      <c r="C33" s="331" t="s">
        <v>285</v>
      </c>
      <c r="D33" s="1441">
        <f t="shared" si="7"/>
        <v>0</v>
      </c>
      <c r="E33" s="718">
        <f t="shared" si="8"/>
        <v>0</v>
      </c>
      <c r="F33" s="1441">
        <f t="shared" si="0"/>
        <v>0</v>
      </c>
      <c r="G33" s="1442">
        <f t="shared" si="1"/>
        <v>0</v>
      </c>
      <c r="H33" s="1443">
        <f>SUM($F$9:F33)/A33</f>
        <v>195.83333333333334</v>
      </c>
      <c r="I33" s="1444">
        <f>SUM($G$9:G33)/A33</f>
        <v>9.7916666666666661</v>
      </c>
      <c r="J33" s="1445">
        <f t="shared" si="9"/>
        <v>1620</v>
      </c>
      <c r="K33" s="1446">
        <f t="shared" si="9"/>
        <v>81</v>
      </c>
      <c r="L33" s="1447">
        <f t="shared" si="3"/>
        <v>8.2723404255319153</v>
      </c>
      <c r="M33" s="1447">
        <f t="shared" si="3"/>
        <v>8.2723404255319153</v>
      </c>
      <c r="N33" s="1499"/>
      <c r="O33" s="1499"/>
      <c r="P33" s="1498"/>
      <c r="Q33" s="716"/>
      <c r="R33" s="718">
        <f t="shared" si="4"/>
        <v>0</v>
      </c>
      <c r="S33" s="692"/>
      <c r="T33" s="719">
        <f t="shared" si="5"/>
        <v>0</v>
      </c>
      <c r="U33" s="647">
        <f t="shared" si="6"/>
        <v>9.8780487804878057</v>
      </c>
    </row>
    <row r="34" spans="1:21" s="367" customFormat="1" ht="12" customHeight="1">
      <c r="A34" s="426">
        <v>25</v>
      </c>
      <c r="B34" s="365">
        <f>'FRIT HGE91-FHG'!B33</f>
        <v>46259</v>
      </c>
      <c r="C34" s="331" t="s">
        <v>285</v>
      </c>
      <c r="D34" s="1441">
        <f>Q34+S34</f>
        <v>0</v>
      </c>
      <c r="E34" s="718">
        <f t="shared" si="8"/>
        <v>0</v>
      </c>
      <c r="F34" s="1441">
        <f t="shared" si="0"/>
        <v>0</v>
      </c>
      <c r="G34" s="1442">
        <f t="shared" si="1"/>
        <v>0</v>
      </c>
      <c r="H34" s="1449">
        <f>SUM($F$9:F34)/A34</f>
        <v>188</v>
      </c>
      <c r="I34" s="1444">
        <f>SUM($G$9:G34)/A34</f>
        <v>9.4</v>
      </c>
      <c r="J34" s="1450">
        <f t="shared" si="9"/>
        <v>1620</v>
      </c>
      <c r="K34" s="1446">
        <f t="shared" si="9"/>
        <v>81</v>
      </c>
      <c r="L34" s="1447">
        <f t="shared" si="3"/>
        <v>8.6170212765957448</v>
      </c>
      <c r="M34" s="1447">
        <f t="shared" si="3"/>
        <v>8.6170212765957448</v>
      </c>
      <c r="N34" s="1499"/>
      <c r="O34" s="1499"/>
      <c r="P34" s="1498"/>
      <c r="Q34" s="716"/>
      <c r="R34" s="718">
        <f t="shared" si="4"/>
        <v>0</v>
      </c>
      <c r="S34" s="692"/>
      <c r="T34" s="719">
        <f t="shared" si="5"/>
        <v>0</v>
      </c>
      <c r="U34" s="647">
        <f t="shared" si="6"/>
        <v>9.8780487804878057</v>
      </c>
    </row>
    <row r="35" spans="1:21" s="367" customFormat="1" ht="12" customHeight="1">
      <c r="A35" s="330">
        <v>26</v>
      </c>
      <c r="B35" s="365">
        <f>'FRIT HGE91-FHG'!B34</f>
        <v>46260</v>
      </c>
      <c r="C35" s="331" t="s">
        <v>285</v>
      </c>
      <c r="D35" s="1441">
        <f t="shared" si="7"/>
        <v>0</v>
      </c>
      <c r="E35" s="718">
        <f>D35/20</f>
        <v>0</v>
      </c>
      <c r="F35" s="1441">
        <f t="shared" si="0"/>
        <v>0</v>
      </c>
      <c r="G35" s="1442">
        <f t="shared" si="1"/>
        <v>0</v>
      </c>
      <c r="H35" s="1443">
        <f>SUM($F$9:F35)/A35</f>
        <v>180.76923076923077</v>
      </c>
      <c r="I35" s="1444">
        <f>SUM($G$9:G35)/A35</f>
        <v>9.0384615384615383</v>
      </c>
      <c r="J35" s="1445">
        <f t="shared" si="9"/>
        <v>1620</v>
      </c>
      <c r="K35" s="1446">
        <f t="shared" si="9"/>
        <v>81</v>
      </c>
      <c r="L35" s="1447">
        <f t="shared" si="3"/>
        <v>8.9617021276595743</v>
      </c>
      <c r="M35" s="1447">
        <f t="shared" si="3"/>
        <v>8.9617021276595743</v>
      </c>
      <c r="N35" s="1499"/>
      <c r="O35" s="1499"/>
      <c r="P35" s="1498"/>
      <c r="Q35" s="716"/>
      <c r="R35" s="718">
        <f t="shared" si="4"/>
        <v>0</v>
      </c>
      <c r="S35" s="692"/>
      <c r="T35" s="719">
        <f t="shared" si="5"/>
        <v>0</v>
      </c>
      <c r="U35" s="647">
        <f t="shared" si="6"/>
        <v>9.8780487804878057</v>
      </c>
    </row>
    <row r="36" spans="1:21" s="367" customFormat="1" ht="12" customHeight="1">
      <c r="A36" s="330">
        <v>27</v>
      </c>
      <c r="B36" s="365">
        <f>'FRIT HGE91-FHG'!B35</f>
        <v>46261</v>
      </c>
      <c r="C36" s="331" t="s">
        <v>285</v>
      </c>
      <c r="D36" s="1441">
        <f t="shared" si="7"/>
        <v>0</v>
      </c>
      <c r="E36" s="718">
        <f t="shared" si="8"/>
        <v>0</v>
      </c>
      <c r="F36" s="1441">
        <f t="shared" si="0"/>
        <v>0</v>
      </c>
      <c r="G36" s="1442">
        <f t="shared" si="1"/>
        <v>0</v>
      </c>
      <c r="H36" s="1443">
        <f>SUM($F$9:F36)/A36</f>
        <v>174.07407407407408</v>
      </c>
      <c r="I36" s="1444">
        <f>SUM($G$9:G36)/A36</f>
        <v>8.7037037037037042</v>
      </c>
      <c r="J36" s="1445">
        <f t="shared" si="9"/>
        <v>1620</v>
      </c>
      <c r="K36" s="1446">
        <f t="shared" si="9"/>
        <v>81</v>
      </c>
      <c r="L36" s="1447">
        <f t="shared" si="3"/>
        <v>9.3063829787234038</v>
      </c>
      <c r="M36" s="1447">
        <f t="shared" si="3"/>
        <v>9.3063829787234038</v>
      </c>
      <c r="N36" s="1499"/>
      <c r="O36" s="1499"/>
      <c r="P36" s="1498"/>
      <c r="Q36" s="716"/>
      <c r="R36" s="718">
        <f t="shared" si="4"/>
        <v>0</v>
      </c>
      <c r="S36" s="692"/>
      <c r="T36" s="719">
        <f t="shared" si="5"/>
        <v>0</v>
      </c>
      <c r="U36" s="647">
        <f t="shared" si="6"/>
        <v>9.8780487804878057</v>
      </c>
    </row>
    <row r="37" spans="1:21" s="367" customFormat="1" ht="15">
      <c r="A37" s="330">
        <v>28</v>
      </c>
      <c r="B37" s="365">
        <f>'FRIT HGE91-FHG'!B36</f>
        <v>46262</v>
      </c>
      <c r="C37" s="331" t="s">
        <v>285</v>
      </c>
      <c r="D37" s="1441">
        <f t="shared" si="7"/>
        <v>0</v>
      </c>
      <c r="E37" s="718">
        <f t="shared" si="8"/>
        <v>0</v>
      </c>
      <c r="F37" s="1441">
        <f t="shared" si="0"/>
        <v>0</v>
      </c>
      <c r="G37" s="1442">
        <f t="shared" si="1"/>
        <v>0</v>
      </c>
      <c r="H37" s="1443">
        <f>SUM($F$9:F37)/A37</f>
        <v>167.85714285714286</v>
      </c>
      <c r="I37" s="1444">
        <f>SUM($G$9:G37)/A37</f>
        <v>8.3928571428571423</v>
      </c>
      <c r="J37" s="1445">
        <f t="shared" si="9"/>
        <v>1620</v>
      </c>
      <c r="K37" s="1446">
        <f t="shared" si="9"/>
        <v>81</v>
      </c>
      <c r="L37" s="1447">
        <f t="shared" si="3"/>
        <v>9.6510638297872333</v>
      </c>
      <c r="M37" s="1447">
        <f t="shared" si="3"/>
        <v>9.6510638297872351</v>
      </c>
      <c r="N37" s="1499"/>
      <c r="O37" s="1499"/>
      <c r="P37" s="1498"/>
      <c r="Q37" s="716"/>
      <c r="R37" s="718">
        <f t="shared" si="4"/>
        <v>0</v>
      </c>
      <c r="S37" s="692"/>
      <c r="T37" s="719">
        <f t="shared" si="5"/>
        <v>0</v>
      </c>
      <c r="U37" s="647">
        <f t="shared" si="6"/>
        <v>9.8780487804878057</v>
      </c>
    </row>
    <row r="38" spans="1:21" s="367" customFormat="1" ht="12" customHeight="1">
      <c r="A38" s="330">
        <v>29</v>
      </c>
      <c r="B38" s="365">
        <f>'FRIT HGE91-FHG'!B37</f>
        <v>46263</v>
      </c>
      <c r="C38" s="331" t="s">
        <v>285</v>
      </c>
      <c r="D38" s="1441">
        <f t="shared" si="7"/>
        <v>0</v>
      </c>
      <c r="E38" s="718">
        <f t="shared" si="8"/>
        <v>0</v>
      </c>
      <c r="F38" s="1441">
        <f t="shared" si="0"/>
        <v>0</v>
      </c>
      <c r="G38" s="1442">
        <f t="shared" si="1"/>
        <v>0</v>
      </c>
      <c r="H38" s="1443">
        <f>SUM($F$9:F38)/A38</f>
        <v>162.06896551724137</v>
      </c>
      <c r="I38" s="1444">
        <f>SUM($G$9:G38)/A38</f>
        <v>8.1034482758620694</v>
      </c>
      <c r="J38" s="1445">
        <f t="shared" si="9"/>
        <v>1620</v>
      </c>
      <c r="K38" s="1446">
        <f t="shared" si="9"/>
        <v>81</v>
      </c>
      <c r="L38" s="1447">
        <f t="shared" si="3"/>
        <v>9.9957446808510646</v>
      </c>
      <c r="M38" s="1447">
        <f t="shared" si="3"/>
        <v>9.9957446808510628</v>
      </c>
      <c r="N38" s="1499"/>
      <c r="O38" s="1499"/>
      <c r="P38" s="1498"/>
      <c r="Q38" s="716"/>
      <c r="R38" s="718">
        <f t="shared" si="4"/>
        <v>0</v>
      </c>
      <c r="S38" s="692"/>
      <c r="T38" s="719">
        <f t="shared" si="5"/>
        <v>0</v>
      </c>
      <c r="U38" s="647">
        <f t="shared" si="6"/>
        <v>9.8780487804878057</v>
      </c>
    </row>
    <row r="39" spans="1:21" s="367" customFormat="1" ht="12" customHeight="1">
      <c r="A39" s="425">
        <v>30</v>
      </c>
      <c r="B39" s="365">
        <f>'FRIT HGE91-FHG'!B38</f>
        <v>46264</v>
      </c>
      <c r="C39" s="331" t="s">
        <v>285</v>
      </c>
      <c r="D39" s="1441">
        <f t="shared" si="7"/>
        <v>0</v>
      </c>
      <c r="E39" s="718">
        <f t="shared" si="8"/>
        <v>0</v>
      </c>
      <c r="F39" s="1441">
        <f t="shared" si="0"/>
        <v>0</v>
      </c>
      <c r="G39" s="1442">
        <f t="shared" si="1"/>
        <v>0</v>
      </c>
      <c r="H39" s="1448">
        <f>SUM($F$9:F39)/A39</f>
        <v>156.66666666666666</v>
      </c>
      <c r="I39" s="1444">
        <f>SUM($G$9:G39)/A39</f>
        <v>7.833333333333333</v>
      </c>
      <c r="J39" s="1448">
        <f t="shared" si="9"/>
        <v>1620</v>
      </c>
      <c r="K39" s="1446">
        <f t="shared" si="9"/>
        <v>81</v>
      </c>
      <c r="L39" s="1447">
        <f t="shared" si="3"/>
        <v>10.340425531914894</v>
      </c>
      <c r="M39" s="1447">
        <f t="shared" si="3"/>
        <v>10.340425531914894</v>
      </c>
      <c r="N39" s="1499"/>
      <c r="O39" s="1499"/>
      <c r="P39" s="1498"/>
      <c r="Q39" s="716"/>
      <c r="R39" s="718">
        <f t="shared" si="4"/>
        <v>0</v>
      </c>
      <c r="S39" s="692"/>
      <c r="T39" s="719">
        <f t="shared" si="5"/>
        <v>0</v>
      </c>
      <c r="U39" s="647">
        <f t="shared" si="6"/>
        <v>9.8780487804878057</v>
      </c>
    </row>
    <row r="40" spans="1:21" s="367" customFormat="1" ht="12" customHeight="1">
      <c r="A40" s="330">
        <v>31</v>
      </c>
      <c r="B40" s="365">
        <f>'FRIT HGE91-FHG'!B39</f>
        <v>46265</v>
      </c>
      <c r="C40" s="331" t="s">
        <v>285</v>
      </c>
      <c r="D40" s="1441">
        <f t="shared" si="7"/>
        <v>0</v>
      </c>
      <c r="E40" s="718">
        <f t="shared" si="8"/>
        <v>0</v>
      </c>
      <c r="F40" s="1441">
        <f t="shared" si="0"/>
        <v>0</v>
      </c>
      <c r="G40" s="1442">
        <f t="shared" si="1"/>
        <v>0</v>
      </c>
      <c r="H40" s="1443">
        <f>SUM($F$9:F40)/A40</f>
        <v>151.61290322580646</v>
      </c>
      <c r="I40" s="1444">
        <f>SUM($G$9:G40)/A40</f>
        <v>7.580645161290323</v>
      </c>
      <c r="J40" s="1445">
        <f t="shared" si="9"/>
        <v>1620</v>
      </c>
      <c r="K40" s="1446">
        <f t="shared" si="9"/>
        <v>81</v>
      </c>
      <c r="L40" s="1447">
        <f t="shared" si="3"/>
        <v>10.685106382978722</v>
      </c>
      <c r="M40" s="1447">
        <f t="shared" si="3"/>
        <v>10.685106382978724</v>
      </c>
      <c r="N40" s="1499"/>
      <c r="O40" s="1499"/>
      <c r="P40" s="1498"/>
      <c r="Q40" s="716"/>
      <c r="R40" s="718">
        <f t="shared" si="4"/>
        <v>0</v>
      </c>
      <c r="S40" s="692"/>
      <c r="T40" s="719">
        <f t="shared" si="5"/>
        <v>0</v>
      </c>
      <c r="U40" s="647">
        <f t="shared" si="6"/>
        <v>9.8780487804878057</v>
      </c>
    </row>
    <row r="41" spans="1:21" s="374" customFormat="1" ht="12" customHeight="1" thickBot="1">
      <c r="A41" s="1613" t="s">
        <v>29</v>
      </c>
      <c r="B41" s="1614"/>
      <c r="C41" s="1615"/>
      <c r="D41" s="388">
        <f>SUM(D10:D40)</f>
        <v>3000</v>
      </c>
      <c r="E41" s="388">
        <f>SUM(E10:E40)</f>
        <v>150</v>
      </c>
      <c r="F41" s="389">
        <f>SUM(F10:F40)</f>
        <v>4700</v>
      </c>
      <c r="G41" s="389">
        <f>SUM(G10:G40)</f>
        <v>235</v>
      </c>
      <c r="H41" s="389"/>
      <c r="I41" s="389"/>
      <c r="J41" s="667">
        <f>J40</f>
        <v>1620</v>
      </c>
      <c r="K41" s="461">
        <f>K40</f>
        <v>81</v>
      </c>
      <c r="L41" s="302"/>
      <c r="M41" s="302"/>
      <c r="N41" s="691">
        <f>SUM(N10:N40)</f>
        <v>1600</v>
      </c>
      <c r="O41" s="691">
        <f t="shared" ref="O41:T41" si="10">SUM(O10:O40)</f>
        <v>2300</v>
      </c>
      <c r="P41" s="713">
        <f t="shared" si="10"/>
        <v>800</v>
      </c>
      <c r="Q41" s="721">
        <f t="shared" si="10"/>
        <v>0</v>
      </c>
      <c r="R41" s="722">
        <f t="shared" si="10"/>
        <v>0</v>
      </c>
      <c r="S41" s="722">
        <f t="shared" si="10"/>
        <v>3000</v>
      </c>
      <c r="T41" s="723">
        <f t="shared" si="10"/>
        <v>150</v>
      </c>
    </row>
    <row r="42" spans="1:21" s="374" customFormat="1" ht="12" customHeight="1">
      <c r="A42" s="1613" t="s">
        <v>15</v>
      </c>
      <c r="B42" s="1614"/>
      <c r="C42" s="1615"/>
      <c r="D42" s="388">
        <f>D9+D41</f>
        <v>6320</v>
      </c>
      <c r="E42" s="388">
        <f>E9+E41</f>
        <v>316</v>
      </c>
      <c r="F42" s="389">
        <f>F41</f>
        <v>4700</v>
      </c>
      <c r="G42" s="389">
        <f>G41</f>
        <v>235</v>
      </c>
      <c r="H42" s="389"/>
      <c r="I42" s="389"/>
      <c r="J42" s="389">
        <f>D42-F42</f>
        <v>1620</v>
      </c>
      <c r="K42" s="389">
        <f>E42-G42</f>
        <v>81</v>
      </c>
      <c r="L42" s="302"/>
      <c r="M42" s="302"/>
      <c r="N42" s="343"/>
      <c r="O42" s="343"/>
      <c r="P42" s="343"/>
      <c r="Q42" s="343"/>
      <c r="R42" s="343"/>
      <c r="S42" s="343"/>
      <c r="T42" s="343"/>
      <c r="U42" s="324"/>
    </row>
    <row r="43" spans="1:21" s="324" customFormat="1" ht="12.75">
      <c r="D43" s="343"/>
      <c r="E43" s="343"/>
      <c r="F43" s="343"/>
      <c r="H43" s="343"/>
      <c r="I43" s="343"/>
      <c r="K43" s="343"/>
      <c r="M43" s="343" t="s">
        <v>227</v>
      </c>
      <c r="N43" s="343"/>
      <c r="O43" s="343"/>
      <c r="P43" s="343"/>
      <c r="Q43" s="343"/>
      <c r="R43" s="343"/>
      <c r="S43" s="343"/>
      <c r="T43" s="343"/>
    </row>
    <row r="44" spans="1:21" s="324" customFormat="1" ht="9.75" customHeight="1">
      <c r="D44" s="343"/>
      <c r="E44" s="343"/>
      <c r="F44" s="343"/>
      <c r="H44" s="343"/>
      <c r="I44" s="343"/>
      <c r="K44" s="343"/>
      <c r="M44" s="343"/>
      <c r="N44" s="343"/>
      <c r="O44" s="343"/>
      <c r="P44" s="343"/>
      <c r="Q44" s="343"/>
      <c r="R44" s="343"/>
      <c r="S44" s="343"/>
      <c r="T44" s="343"/>
    </row>
    <row r="45" spans="1:21" s="324" customFormat="1" ht="9.75" customHeight="1">
      <c r="D45" s="343"/>
      <c r="E45" s="343"/>
      <c r="F45" s="343"/>
      <c r="H45" s="343"/>
      <c r="I45" s="343"/>
      <c r="K45" s="343"/>
      <c r="M45" s="343"/>
      <c r="N45" s="343"/>
      <c r="O45" s="343"/>
      <c r="P45" s="343"/>
      <c r="Q45" s="343"/>
      <c r="R45" s="343"/>
      <c r="S45" s="343"/>
      <c r="T45" s="343"/>
    </row>
    <row r="46" spans="1:21" s="324" customFormat="1" ht="9.75" customHeight="1">
      <c r="D46" s="343"/>
      <c r="E46" s="343"/>
      <c r="F46" s="343"/>
      <c r="H46" s="343"/>
      <c r="I46" s="343"/>
      <c r="K46" s="343"/>
      <c r="M46" s="343"/>
      <c r="N46" s="343"/>
      <c r="O46" s="343"/>
      <c r="P46" s="343"/>
      <c r="Q46" s="343"/>
      <c r="R46" s="343"/>
      <c r="S46" s="343"/>
      <c r="T46" s="343"/>
    </row>
    <row r="47" spans="1:21" s="324" customFormat="1">
      <c r="D47" s="343"/>
      <c r="E47" s="343"/>
      <c r="F47" s="343"/>
      <c r="H47" s="343"/>
      <c r="I47" s="343"/>
      <c r="K47" s="343"/>
      <c r="M47" s="343" t="s">
        <v>333</v>
      </c>
      <c r="N47" s="6"/>
      <c r="O47" s="6"/>
      <c r="P47" s="6"/>
      <c r="Q47" s="6"/>
      <c r="R47" s="6"/>
      <c r="S47" s="6"/>
      <c r="T47" s="6"/>
      <c r="U47" s="143"/>
    </row>
    <row r="48" spans="1:21" s="324" customFormat="1">
      <c r="D48" s="343"/>
      <c r="E48" s="343"/>
      <c r="F48" s="343"/>
      <c r="G48" s="343"/>
      <c r="H48" s="343"/>
      <c r="I48" s="343"/>
      <c r="J48" s="343"/>
      <c r="K48" s="327"/>
      <c r="N48" s="6"/>
      <c r="O48" s="6"/>
      <c r="P48" s="6"/>
      <c r="Q48" s="6"/>
      <c r="R48" s="6"/>
      <c r="S48" s="6"/>
      <c r="T48" s="6"/>
      <c r="U48" s="143"/>
    </row>
    <row r="49" spans="11:11">
      <c r="K49" s="101"/>
    </row>
  </sheetData>
  <mergeCells count="18">
    <mergeCell ref="A3:O3"/>
    <mergeCell ref="A4:B4"/>
    <mergeCell ref="A7:A8"/>
    <mergeCell ref="B7:B8"/>
    <mergeCell ref="C7:C8"/>
    <mergeCell ref="D7:E7"/>
    <mergeCell ref="F7:G7"/>
    <mergeCell ref="H7:I7"/>
    <mergeCell ref="J7:K7"/>
    <mergeCell ref="L7:M7"/>
    <mergeCell ref="N6:N7"/>
    <mergeCell ref="O6:O7"/>
    <mergeCell ref="Q6:R7"/>
    <mergeCell ref="S6:T7"/>
    <mergeCell ref="P6:P7"/>
    <mergeCell ref="A9:C9"/>
    <mergeCell ref="A42:C42"/>
    <mergeCell ref="A41:C41"/>
  </mergeCells>
  <conditionalFormatting sqref="M10:M40">
    <cfRule type="cellIs" dxfId="8855" priority="4" operator="between">
      <formula>3</formula>
      <formula>6</formula>
    </cfRule>
    <cfRule type="cellIs" dxfId="8854" priority="5" operator="lessThan">
      <formula>3</formula>
    </cfRule>
    <cfRule type="cellIs" dxfId="8853" priority="6" operator="greaterThan">
      <formula>6</formula>
    </cfRule>
  </conditionalFormatting>
  <conditionalFormatting sqref="M10:M40">
    <cfRule type="cellIs" dxfId="8852" priority="1" operator="between">
      <formula>3</formula>
      <formula>6</formula>
    </cfRule>
    <cfRule type="cellIs" dxfId="8851" priority="2" operator="lessThan">
      <formula>3</formula>
    </cfRule>
    <cfRule type="cellIs" dxfId="8850" priority="3" operator="greaterThan">
      <formula>6</formula>
    </cfRule>
  </conditionalFormatting>
  <hyperlinks>
    <hyperlink ref="M6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AD49"/>
  <sheetViews>
    <sheetView zoomScale="90" zoomScaleNormal="90" workbookViewId="0">
      <pane ySplit="8" topLeftCell="A9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9.28515625" style="42" customWidth="1"/>
    <col min="10" max="10" width="10.42578125" style="42" customWidth="1"/>
    <col min="11" max="11" width="8.7109375" style="42" customWidth="1"/>
    <col min="12" max="12" width="14.7109375" style="42" customWidth="1"/>
    <col min="13" max="13" width="13.5703125" style="42" customWidth="1"/>
    <col min="14" max="15" width="8.7109375" style="42" customWidth="1"/>
    <col min="16" max="16" width="11.5703125" style="143" bestFit="1" customWidth="1"/>
    <col min="17" max="17" width="7.5703125" style="42" customWidth="1"/>
    <col min="18" max="18" width="13" style="42" customWidth="1"/>
    <col min="19" max="19" width="13.28515625" style="42" customWidth="1"/>
    <col min="20" max="16384" width="9.28515625" style="42"/>
  </cols>
  <sheetData>
    <row r="1" spans="1:30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3"/>
      <c r="T1" s="323"/>
      <c r="U1" s="324"/>
      <c r="V1" s="324"/>
      <c r="W1" s="324"/>
      <c r="X1" s="324"/>
      <c r="Y1" s="324"/>
      <c r="Z1" s="324"/>
      <c r="AA1" s="324"/>
      <c r="AB1" s="324"/>
      <c r="AC1" s="324"/>
      <c r="AD1" s="324"/>
    </row>
    <row r="2" spans="1:30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P2" s="323"/>
      <c r="Q2" s="142"/>
      <c r="T2" s="323"/>
      <c r="U2" s="324"/>
      <c r="V2" s="324"/>
      <c r="W2" s="324"/>
      <c r="X2" s="324"/>
      <c r="Y2" s="324"/>
      <c r="Z2" s="324"/>
      <c r="AA2" s="324"/>
      <c r="AB2" s="324"/>
      <c r="AC2" s="324"/>
    </row>
    <row r="3" spans="1:30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L3" s="967"/>
      <c r="M3" s="967"/>
      <c r="N3" s="967"/>
      <c r="O3" s="967"/>
      <c r="Q3" s="442"/>
      <c r="R3" s="442"/>
      <c r="S3" s="442"/>
    </row>
    <row r="4" spans="1:30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387</v>
      </c>
      <c r="L4" s="968"/>
      <c r="M4" s="968"/>
      <c r="N4" s="968"/>
      <c r="O4" s="968"/>
      <c r="P4" s="143"/>
    </row>
    <row r="5" spans="1:30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324"/>
      <c r="O5" s="324"/>
      <c r="P5" s="143"/>
    </row>
    <row r="6" spans="1:30" s="766" customFormat="1" ht="12" customHeight="1">
      <c r="B6" s="453"/>
      <c r="C6" s="453"/>
      <c r="D6" s="453"/>
      <c r="E6" s="453"/>
      <c r="F6" s="453"/>
      <c r="G6" s="453">
        <v>158870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324"/>
      <c r="P6" s="442"/>
      <c r="S6" s="968"/>
    </row>
    <row r="7" spans="1:30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821</v>
      </c>
      <c r="L7" s="1649" t="s">
        <v>771</v>
      </c>
      <c r="M7" s="1649" t="s">
        <v>772</v>
      </c>
      <c r="N7" s="324"/>
      <c r="O7" s="324"/>
      <c r="P7" s="143"/>
      <c r="S7" s="968"/>
    </row>
    <row r="8" spans="1:30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649"/>
      <c r="M8" s="1649"/>
      <c r="N8" s="969"/>
      <c r="O8" s="969"/>
      <c r="P8" s="143">
        <v>10902.8</v>
      </c>
    </row>
    <row r="9" spans="1:30" s="305" customFormat="1" ht="12" customHeight="1">
      <c r="A9" s="761">
        <v>1</v>
      </c>
      <c r="B9" s="365">
        <f>'FRIT HGE91-FHG'!B9</f>
        <v>46235</v>
      </c>
      <c r="C9" s="331" t="s">
        <v>334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 t="shared" ref="G9:G38" si="0">G8+D9-E9</f>
        <v>0</v>
      </c>
      <c r="H9" s="451">
        <f>G9/10417</f>
        <v>0</v>
      </c>
      <c r="I9" s="772"/>
      <c r="J9" s="772"/>
      <c r="K9" s="772"/>
      <c r="L9" s="970"/>
      <c r="M9" s="970"/>
      <c r="N9" s="969"/>
      <c r="O9" s="969"/>
      <c r="P9" s="650">
        <f>G9/$P$8</f>
        <v>0</v>
      </c>
    </row>
    <row r="10" spans="1:30" s="333" customFormat="1" ht="12" customHeight="1">
      <c r="A10" s="330">
        <v>2</v>
      </c>
      <c r="B10" s="365">
        <f>'FRIT HGE91-FHG'!B10</f>
        <v>46236</v>
      </c>
      <c r="C10" s="331" t="s">
        <v>334</v>
      </c>
      <c r="D10" s="396">
        <f t="shared" ref="D10:D39" si="1">L10+M10</f>
        <v>0</v>
      </c>
      <c r="E10" s="396">
        <f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970"/>
      <c r="M10" s="970"/>
      <c r="N10" s="969"/>
      <c r="O10" s="969"/>
      <c r="P10" s="650">
        <f t="shared" ref="P10:P39" si="3">G10/$P$8</f>
        <v>0</v>
      </c>
    </row>
    <row r="11" spans="1:30" s="333" customFormat="1" ht="12" customHeight="1">
      <c r="A11" s="330">
        <v>3</v>
      </c>
      <c r="B11" s="365">
        <f>'FRIT HGE91-FHG'!B11</f>
        <v>46237</v>
      </c>
      <c r="C11" s="331" t="s">
        <v>334</v>
      </c>
      <c r="D11" s="396">
        <f t="shared" si="1"/>
        <v>0</v>
      </c>
      <c r="E11" s="396">
        <f t="shared" ref="E11:E39" si="4">I11+J11+K11</f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970"/>
      <c r="M11" s="970"/>
      <c r="N11" s="969"/>
      <c r="O11" s="969"/>
      <c r="P11" s="650">
        <f t="shared" si="3"/>
        <v>0</v>
      </c>
    </row>
    <row r="12" spans="1:30" s="367" customFormat="1" ht="12" customHeight="1">
      <c r="A12" s="330">
        <v>4</v>
      </c>
      <c r="B12" s="365">
        <f>'FRIT HGE91-FHG'!B12</f>
        <v>46238</v>
      </c>
      <c r="C12" s="331" t="s">
        <v>334</v>
      </c>
      <c r="D12" s="396">
        <f t="shared" si="1"/>
        <v>0</v>
      </c>
      <c r="E12" s="396">
        <f t="shared" si="4"/>
        <v>0</v>
      </c>
      <c r="F12" s="396">
        <f t="shared" ref="F12:F39" si="5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970"/>
      <c r="M12" s="970"/>
      <c r="N12" s="969"/>
      <c r="O12" s="969"/>
      <c r="P12" s="650">
        <f t="shared" si="3"/>
        <v>0</v>
      </c>
    </row>
    <row r="13" spans="1:30" s="367" customFormat="1" ht="12" customHeight="1">
      <c r="A13" s="425">
        <v>5</v>
      </c>
      <c r="B13" s="365">
        <f>'FRIT HGE91-FHG'!B13</f>
        <v>46239</v>
      </c>
      <c r="C13" s="331" t="s">
        <v>334</v>
      </c>
      <c r="D13" s="396">
        <f t="shared" si="1"/>
        <v>0</v>
      </c>
      <c r="E13" s="396">
        <f t="shared" si="4"/>
        <v>0</v>
      </c>
      <c r="F13" s="396">
        <f t="shared" si="5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970"/>
      <c r="M13" s="970"/>
      <c r="N13" s="969"/>
      <c r="O13" s="969"/>
      <c r="P13" s="650">
        <f t="shared" si="3"/>
        <v>0</v>
      </c>
    </row>
    <row r="14" spans="1:30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1"/>
        <v>0</v>
      </c>
      <c r="E14" s="396">
        <f t="shared" si="4"/>
        <v>0</v>
      </c>
      <c r="F14" s="396">
        <f t="shared" si="5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970"/>
      <c r="M14" s="970"/>
      <c r="N14" s="969"/>
      <c r="O14" s="969"/>
      <c r="P14" s="650">
        <f t="shared" si="3"/>
        <v>0</v>
      </c>
    </row>
    <row r="15" spans="1:30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f t="shared" si="1"/>
        <v>0</v>
      </c>
      <c r="E15" s="396">
        <f t="shared" si="4"/>
        <v>0</v>
      </c>
      <c r="F15" s="396">
        <f t="shared" si="5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970"/>
      <c r="M15" s="970"/>
      <c r="N15" s="969"/>
      <c r="O15" s="969"/>
      <c r="P15" s="650">
        <f t="shared" si="3"/>
        <v>0</v>
      </c>
    </row>
    <row r="16" spans="1:30" s="367" customFormat="1" ht="12" customHeight="1">
      <c r="A16" s="330">
        <v>8</v>
      </c>
      <c r="B16" s="365">
        <f>'FRIT HGE91-FHG'!B16</f>
        <v>46242</v>
      </c>
      <c r="C16" s="331" t="s">
        <v>334</v>
      </c>
      <c r="D16" s="396">
        <f t="shared" si="1"/>
        <v>0</v>
      </c>
      <c r="E16" s="396">
        <f t="shared" si="4"/>
        <v>0</v>
      </c>
      <c r="F16" s="396">
        <f t="shared" si="5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970"/>
      <c r="M16" s="970"/>
      <c r="N16" s="969"/>
      <c r="O16" s="969"/>
      <c r="P16" s="650">
        <f t="shared" si="3"/>
        <v>0</v>
      </c>
    </row>
    <row r="17" spans="1:16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396">
        <f t="shared" si="1"/>
        <v>0</v>
      </c>
      <c r="E17" s="396">
        <f t="shared" si="4"/>
        <v>0</v>
      </c>
      <c r="F17" s="396">
        <f t="shared" si="5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970"/>
      <c r="M17" s="970"/>
      <c r="N17" s="969"/>
      <c r="O17" s="969"/>
      <c r="P17" s="650">
        <f t="shared" si="3"/>
        <v>0</v>
      </c>
    </row>
    <row r="18" spans="1:16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396">
        <f t="shared" si="1"/>
        <v>0</v>
      </c>
      <c r="E18" s="396">
        <f t="shared" si="4"/>
        <v>0</v>
      </c>
      <c r="F18" s="396">
        <f t="shared" si="5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970"/>
      <c r="M18" s="970"/>
      <c r="N18" s="969"/>
      <c r="O18" s="969"/>
      <c r="P18" s="650">
        <f t="shared" si="3"/>
        <v>0</v>
      </c>
    </row>
    <row r="19" spans="1:16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4"/>
        <v>0</v>
      </c>
      <c r="F19" s="396">
        <f t="shared" si="5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970"/>
      <c r="M19" s="970"/>
      <c r="N19" s="969"/>
      <c r="O19" s="969"/>
      <c r="P19" s="650">
        <f t="shared" si="3"/>
        <v>0</v>
      </c>
    </row>
    <row r="20" spans="1:16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4"/>
        <v>0</v>
      </c>
      <c r="F20" s="396">
        <f t="shared" si="5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970"/>
      <c r="M20" s="970"/>
      <c r="N20" s="969"/>
      <c r="O20" s="969"/>
      <c r="P20" s="650">
        <f t="shared" si="3"/>
        <v>0</v>
      </c>
    </row>
    <row r="21" spans="1:16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4"/>
        <v>0</v>
      </c>
      <c r="F21" s="396">
        <f t="shared" si="5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970"/>
      <c r="M21" s="970"/>
      <c r="N21" s="969"/>
      <c r="O21" s="969"/>
      <c r="P21" s="650">
        <f t="shared" si="3"/>
        <v>0</v>
      </c>
    </row>
    <row r="22" spans="1:16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4"/>
        <v>0</v>
      </c>
      <c r="F22" s="396">
        <f t="shared" si="5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970"/>
      <c r="M22" s="970"/>
      <c r="N22" s="969"/>
      <c r="O22" s="969"/>
      <c r="P22" s="650">
        <f t="shared" si="3"/>
        <v>0</v>
      </c>
    </row>
    <row r="23" spans="1:16" s="367" customFormat="1" ht="12" customHeight="1">
      <c r="A23" s="425">
        <v>15</v>
      </c>
      <c r="B23" s="365">
        <f>'FRIT HGE91-FHG'!B23</f>
        <v>46249</v>
      </c>
      <c r="C23" s="331" t="s">
        <v>348</v>
      </c>
      <c r="D23" s="396">
        <f t="shared" si="1"/>
        <v>0</v>
      </c>
      <c r="E23" s="396">
        <f t="shared" si="4"/>
        <v>0</v>
      </c>
      <c r="F23" s="396">
        <f t="shared" si="5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970"/>
      <c r="M23" s="970"/>
      <c r="N23" s="969"/>
      <c r="O23" s="969"/>
      <c r="P23" s="650">
        <f t="shared" si="3"/>
        <v>0</v>
      </c>
    </row>
    <row r="24" spans="1:16" s="367" customFormat="1" ht="12" customHeight="1">
      <c r="A24" s="330">
        <v>16</v>
      </c>
      <c r="B24" s="365">
        <f>'FRIT HGE91-FHG'!B24</f>
        <v>46250</v>
      </c>
      <c r="C24" s="331" t="s">
        <v>334</v>
      </c>
      <c r="D24" s="396">
        <f t="shared" si="1"/>
        <v>0</v>
      </c>
      <c r="E24" s="396">
        <f t="shared" si="4"/>
        <v>0</v>
      </c>
      <c r="F24" s="396">
        <f t="shared" si="5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970"/>
      <c r="M24" s="970"/>
      <c r="N24" s="969"/>
      <c r="O24" s="969"/>
      <c r="P24" s="650">
        <f t="shared" si="3"/>
        <v>0</v>
      </c>
    </row>
    <row r="25" spans="1:16" s="367" customFormat="1" ht="12" customHeight="1">
      <c r="A25" s="330">
        <v>17</v>
      </c>
      <c r="B25" s="365">
        <f>'FRIT HGE91-FHG'!B25</f>
        <v>46251</v>
      </c>
      <c r="C25" s="331" t="s">
        <v>346</v>
      </c>
      <c r="D25" s="396">
        <f t="shared" si="1"/>
        <v>0</v>
      </c>
      <c r="E25" s="396">
        <f t="shared" si="4"/>
        <v>0</v>
      </c>
      <c r="F25" s="396">
        <f t="shared" si="5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970"/>
      <c r="M25" s="970"/>
      <c r="N25" s="969"/>
      <c r="O25" s="969"/>
      <c r="P25" s="650">
        <f t="shared" si="3"/>
        <v>0</v>
      </c>
    </row>
    <row r="26" spans="1:16" s="367" customFormat="1" ht="12" customHeight="1">
      <c r="A26" s="330">
        <v>18</v>
      </c>
      <c r="B26" s="365">
        <f>'FRIT HGE91-FHG'!B26</f>
        <v>46252</v>
      </c>
      <c r="C26" s="331" t="s">
        <v>346</v>
      </c>
      <c r="D26" s="396">
        <f t="shared" si="1"/>
        <v>0</v>
      </c>
      <c r="E26" s="396">
        <f t="shared" si="4"/>
        <v>0</v>
      </c>
      <c r="F26" s="396">
        <f t="shared" si="5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970"/>
      <c r="M26" s="970"/>
      <c r="N26" s="969"/>
      <c r="O26" s="969"/>
      <c r="P26" s="650">
        <f t="shared" si="3"/>
        <v>0</v>
      </c>
    </row>
    <row r="27" spans="1:16" s="367" customFormat="1" ht="12" customHeight="1">
      <c r="A27" s="330">
        <v>19</v>
      </c>
      <c r="B27" s="365">
        <f>'FRIT HGE91-FHG'!B27</f>
        <v>46253</v>
      </c>
      <c r="C27" s="331" t="s">
        <v>334</v>
      </c>
      <c r="D27" s="396">
        <f t="shared" si="1"/>
        <v>0</v>
      </c>
      <c r="E27" s="396">
        <f t="shared" si="4"/>
        <v>0</v>
      </c>
      <c r="F27" s="396">
        <f t="shared" si="5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970"/>
      <c r="M27" s="970"/>
      <c r="N27" s="969"/>
      <c r="O27" s="969"/>
      <c r="P27" s="650">
        <f t="shared" si="3"/>
        <v>0</v>
      </c>
    </row>
    <row r="28" spans="1:16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4"/>
        <v>0</v>
      </c>
      <c r="F28" s="396">
        <f t="shared" si="5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970"/>
      <c r="M28" s="970"/>
      <c r="N28" s="969"/>
      <c r="O28" s="969"/>
      <c r="P28" s="650">
        <f t="shared" si="3"/>
        <v>0</v>
      </c>
    </row>
    <row r="29" spans="1:16" s="367" customFormat="1" ht="12" customHeight="1">
      <c r="A29" s="330">
        <v>21</v>
      </c>
      <c r="B29" s="365">
        <f>'FRIT HGE91-FHG'!B29</f>
        <v>46255</v>
      </c>
      <c r="C29" s="331" t="s">
        <v>346</v>
      </c>
      <c r="D29" s="396">
        <f t="shared" si="1"/>
        <v>0</v>
      </c>
      <c r="E29" s="396">
        <f t="shared" si="4"/>
        <v>0</v>
      </c>
      <c r="F29" s="396">
        <f t="shared" si="5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970"/>
      <c r="M29" s="970"/>
      <c r="N29" s="969"/>
      <c r="O29" s="969"/>
      <c r="P29" s="650">
        <f t="shared" si="3"/>
        <v>0</v>
      </c>
    </row>
    <row r="30" spans="1:16" s="367" customFormat="1" ht="12" customHeight="1">
      <c r="A30" s="330">
        <v>22</v>
      </c>
      <c r="B30" s="365">
        <f>'FRIT HGE91-FHG'!B30</f>
        <v>46256</v>
      </c>
      <c r="C30" s="331" t="s">
        <v>346</v>
      </c>
      <c r="D30" s="396">
        <f t="shared" si="1"/>
        <v>0</v>
      </c>
      <c r="E30" s="396">
        <f t="shared" si="4"/>
        <v>0</v>
      </c>
      <c r="F30" s="396">
        <f t="shared" si="5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970"/>
      <c r="M30" s="970"/>
      <c r="N30" s="969"/>
      <c r="O30" s="969"/>
      <c r="P30" s="650">
        <f t="shared" si="3"/>
        <v>0</v>
      </c>
    </row>
    <row r="31" spans="1:16" s="367" customFormat="1" ht="15">
      <c r="A31" s="330">
        <v>23</v>
      </c>
      <c r="B31" s="365">
        <f>'FRIT HGE91-FHG'!B31</f>
        <v>46257</v>
      </c>
      <c r="C31" s="331" t="s">
        <v>346</v>
      </c>
      <c r="D31" s="396">
        <f t="shared" si="1"/>
        <v>0</v>
      </c>
      <c r="E31" s="396">
        <f t="shared" si="4"/>
        <v>0</v>
      </c>
      <c r="F31" s="396">
        <f t="shared" si="5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970"/>
      <c r="M31" s="970"/>
      <c r="N31" s="969"/>
      <c r="O31" s="969"/>
      <c r="P31" s="650">
        <f t="shared" si="3"/>
        <v>0</v>
      </c>
    </row>
    <row r="32" spans="1:16" s="367" customFormat="1" ht="12" customHeight="1">
      <c r="A32" s="330">
        <v>24</v>
      </c>
      <c r="B32" s="365">
        <f>'FRIT HGE91-FHG'!B32</f>
        <v>46258</v>
      </c>
      <c r="C32" s="331" t="s">
        <v>334</v>
      </c>
      <c r="D32" s="396">
        <f t="shared" si="1"/>
        <v>0</v>
      </c>
      <c r="E32" s="396">
        <f t="shared" si="4"/>
        <v>0</v>
      </c>
      <c r="F32" s="396">
        <f t="shared" si="5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970"/>
      <c r="M32" s="970"/>
      <c r="N32" s="969"/>
      <c r="O32" s="969"/>
      <c r="P32" s="650">
        <f t="shared" si="3"/>
        <v>0</v>
      </c>
    </row>
    <row r="33" spans="1:17" s="367" customFormat="1" ht="12" customHeight="1">
      <c r="A33" s="426">
        <v>25</v>
      </c>
      <c r="B33" s="365">
        <f>'FRIT HGE91-FHG'!B33</f>
        <v>46259</v>
      </c>
      <c r="C33" s="331" t="s">
        <v>334</v>
      </c>
      <c r="D33" s="396">
        <f t="shared" si="1"/>
        <v>0</v>
      </c>
      <c r="E33" s="396">
        <f t="shared" si="4"/>
        <v>0</v>
      </c>
      <c r="F33" s="396">
        <f t="shared" si="5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970"/>
      <c r="M33" s="970"/>
      <c r="N33" s="969"/>
      <c r="O33" s="969"/>
      <c r="P33" s="650">
        <f t="shared" si="3"/>
        <v>0</v>
      </c>
    </row>
    <row r="34" spans="1:17" s="367" customFormat="1" ht="12" customHeight="1">
      <c r="A34" s="330">
        <v>26</v>
      </c>
      <c r="B34" s="365">
        <f>'FRIT HGE91-FHG'!B34</f>
        <v>46260</v>
      </c>
      <c r="C34" s="331" t="s">
        <v>346</v>
      </c>
      <c r="D34" s="396">
        <f t="shared" si="1"/>
        <v>0</v>
      </c>
      <c r="E34" s="396">
        <f t="shared" si="4"/>
        <v>0</v>
      </c>
      <c r="F34" s="396">
        <f t="shared" si="5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970"/>
      <c r="M34" s="970"/>
      <c r="N34" s="969"/>
      <c r="O34" s="969"/>
      <c r="P34" s="650">
        <f t="shared" si="3"/>
        <v>0</v>
      </c>
    </row>
    <row r="35" spans="1:17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4"/>
        <v>0</v>
      </c>
      <c r="F35" s="396">
        <f t="shared" si="5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970"/>
      <c r="M35" s="970"/>
      <c r="N35" s="969"/>
      <c r="O35" s="969"/>
      <c r="P35" s="650">
        <f t="shared" si="3"/>
        <v>0</v>
      </c>
    </row>
    <row r="36" spans="1:17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4"/>
        <v>0</v>
      </c>
      <c r="F36" s="396">
        <f t="shared" si="5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970"/>
      <c r="M36" s="970"/>
      <c r="N36" s="969"/>
      <c r="O36" s="969"/>
      <c r="P36" s="650">
        <f t="shared" si="3"/>
        <v>0</v>
      </c>
    </row>
    <row r="37" spans="1:17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4"/>
        <v>0</v>
      </c>
      <c r="F37" s="396">
        <f t="shared" si="5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970"/>
      <c r="M37" s="970"/>
      <c r="N37" s="969"/>
      <c r="O37" s="969"/>
      <c r="P37" s="650">
        <f t="shared" si="3"/>
        <v>0</v>
      </c>
    </row>
    <row r="38" spans="1:17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4"/>
        <v>0</v>
      </c>
      <c r="F38" s="396">
        <f t="shared" si="5"/>
        <v>10902.777777777777</v>
      </c>
      <c r="G38" s="769">
        <f t="shared" si="0"/>
        <v>0</v>
      </c>
      <c r="H38" s="451">
        <f t="shared" si="2"/>
        <v>0</v>
      </c>
      <c r="I38" s="772"/>
      <c r="J38" s="772"/>
      <c r="K38" s="772"/>
      <c r="L38" s="970"/>
      <c r="M38" s="970"/>
      <c r="N38" s="969"/>
      <c r="O38" s="969"/>
      <c r="P38" s="650">
        <f t="shared" si="3"/>
        <v>0</v>
      </c>
    </row>
    <row r="39" spans="1:17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4"/>
        <v>0</v>
      </c>
      <c r="F39" s="396">
        <f t="shared" si="5"/>
        <v>10902.777777777777</v>
      </c>
      <c r="G39" s="396">
        <f>G38+D39-E39</f>
        <v>0</v>
      </c>
      <c r="H39" s="451">
        <f t="shared" si="2"/>
        <v>0</v>
      </c>
      <c r="I39" s="772"/>
      <c r="J39" s="772"/>
      <c r="K39" s="772"/>
      <c r="L39" s="970"/>
      <c r="M39" s="970"/>
      <c r="N39" s="969"/>
      <c r="O39" s="969"/>
      <c r="P39" s="650">
        <f t="shared" si="3"/>
        <v>0</v>
      </c>
    </row>
    <row r="40" spans="1:17" s="374" customFormat="1" ht="12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M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  <c r="N40" s="794"/>
      <c r="O40" s="794"/>
    </row>
    <row r="41" spans="1:17" s="374" customFormat="1" ht="12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  <c r="M41" s="689"/>
      <c r="N41" s="794"/>
      <c r="O41" s="794"/>
    </row>
    <row r="42" spans="1:17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  <c r="O42" s="343"/>
    </row>
    <row r="43" spans="1:17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</row>
    <row r="44" spans="1:17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</row>
    <row r="45" spans="1:17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3"/>
    </row>
    <row r="46" spans="1:17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  <c r="O46" s="343"/>
    </row>
    <row r="47" spans="1:17">
      <c r="Q47" s="151"/>
    </row>
    <row r="48" spans="1:17">
      <c r="Q48" s="151"/>
    </row>
    <row r="49" spans="17:17">
      <c r="Q49" s="151"/>
    </row>
  </sheetData>
  <mergeCells count="7">
    <mergeCell ref="A41:C41"/>
    <mergeCell ref="A4:B4"/>
    <mergeCell ref="L7:L8"/>
    <mergeCell ref="M7:M8"/>
    <mergeCell ref="A3:I3"/>
    <mergeCell ref="A8:C8"/>
    <mergeCell ref="A40:C40"/>
  </mergeCells>
  <conditionalFormatting sqref="H9:H39">
    <cfRule type="cellIs" dxfId="8849" priority="22" operator="between">
      <formula>3.5</formula>
      <formula>6</formula>
    </cfRule>
    <cfRule type="cellIs" dxfId="8848" priority="23" operator="lessThan">
      <formula>3.5</formula>
    </cfRule>
    <cfRule type="cellIs" dxfId="8847" priority="24" operator="greaterThan">
      <formula>6</formula>
    </cfRule>
  </conditionalFormatting>
  <conditionalFormatting sqref="H9:H39">
    <cfRule type="cellIs" dxfId="8846" priority="16" operator="between">
      <formula>3.5</formula>
      <formula>6</formula>
    </cfRule>
    <cfRule type="cellIs" dxfId="8845" priority="17" operator="lessThan">
      <formula>3.5</formula>
    </cfRule>
    <cfRule type="cellIs" dxfId="8844" priority="18" operator="greaterThan">
      <formula>6</formula>
    </cfRule>
  </conditionalFormatting>
  <conditionalFormatting sqref="H9:H39">
    <cfRule type="cellIs" dxfId="8843" priority="13" operator="between">
      <formula>3.5</formula>
      <formula>6</formula>
    </cfRule>
    <cfRule type="cellIs" dxfId="8842" priority="14" operator="lessThan">
      <formula>3.5</formula>
    </cfRule>
    <cfRule type="cellIs" dxfId="8841" priority="15" operator="greaterThan">
      <formula>6</formula>
    </cfRule>
  </conditionalFormatting>
  <conditionalFormatting sqref="H9:H39">
    <cfRule type="cellIs" dxfId="8840" priority="10" operator="between">
      <formula>3.5</formula>
      <formula>6</formula>
    </cfRule>
    <cfRule type="cellIs" dxfId="8839" priority="11" operator="lessThan">
      <formula>3.5</formula>
    </cfRule>
    <cfRule type="cellIs" dxfId="8838" priority="12" operator="greaterThan">
      <formula>6</formula>
    </cfRule>
  </conditionalFormatting>
  <conditionalFormatting sqref="H9:H39">
    <cfRule type="cellIs" dxfId="8837" priority="7" operator="between">
      <formula>3.5</formula>
      <formula>6</formula>
    </cfRule>
    <cfRule type="cellIs" dxfId="8836" priority="8" operator="lessThan">
      <formula>3.5</formula>
    </cfRule>
    <cfRule type="cellIs" dxfId="8835" priority="9" operator="greaterThan">
      <formula>6</formula>
    </cfRule>
  </conditionalFormatting>
  <conditionalFormatting sqref="H9:H39">
    <cfRule type="cellIs" dxfId="8834" priority="4" operator="between">
      <formula>3.5</formula>
      <formula>6</formula>
    </cfRule>
    <cfRule type="cellIs" dxfId="8833" priority="5" operator="lessThan">
      <formula>3.5</formula>
    </cfRule>
    <cfRule type="cellIs" dxfId="8832" priority="6" operator="greaterThan">
      <formula>6</formula>
    </cfRule>
  </conditionalFormatting>
  <conditionalFormatting sqref="H9:H39">
    <cfRule type="cellIs" dxfId="8831" priority="1" operator="between">
      <formula>3.5</formula>
      <formula>6</formula>
    </cfRule>
    <cfRule type="cellIs" dxfId="8830" priority="2" operator="lessThan">
      <formula>3.5</formula>
    </cfRule>
    <cfRule type="cellIs" dxfId="8829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9" orientation="landscape" horizontalDpi="4294967292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AE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9.28515625" style="42" customWidth="1"/>
    <col min="10" max="10" width="10.42578125" style="42" customWidth="1"/>
    <col min="11" max="12" width="8.7109375" style="42" customWidth="1"/>
    <col min="13" max="13" width="14.7109375" style="42" customWidth="1"/>
    <col min="14" max="14" width="13.5703125" style="42" customWidth="1"/>
    <col min="15" max="16" width="8.7109375" style="42" customWidth="1"/>
    <col min="17" max="17" width="11.5703125" style="143" bestFit="1" customWidth="1"/>
    <col min="18" max="18" width="7.5703125" style="42" customWidth="1"/>
    <col min="19" max="19" width="13" style="42" customWidth="1"/>
    <col min="20" max="20" width="13.28515625" style="42" customWidth="1"/>
    <col min="21" max="16384" width="9.28515625" style="42"/>
  </cols>
  <sheetData>
    <row r="1" spans="1:31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3"/>
      <c r="U1" s="323"/>
      <c r="V1" s="324"/>
      <c r="W1" s="324"/>
      <c r="X1" s="324"/>
      <c r="Y1" s="324"/>
      <c r="Z1" s="324"/>
      <c r="AA1" s="324"/>
      <c r="AB1" s="324"/>
      <c r="AC1" s="324"/>
      <c r="AD1" s="324"/>
      <c r="AE1" s="324"/>
    </row>
    <row r="2" spans="1:31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Q2" s="323"/>
      <c r="R2" s="142"/>
      <c r="U2" s="323"/>
      <c r="V2" s="324"/>
      <c r="W2" s="324"/>
      <c r="X2" s="324"/>
      <c r="Y2" s="324"/>
      <c r="Z2" s="324"/>
      <c r="AA2" s="324"/>
      <c r="AB2" s="324"/>
      <c r="AC2" s="324"/>
      <c r="AD2" s="324"/>
    </row>
    <row r="3" spans="1:31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74"/>
      <c r="K3" s="1074"/>
      <c r="L3" s="1121"/>
      <c r="M3" s="1074"/>
      <c r="N3" s="1074"/>
      <c r="O3" s="1074"/>
      <c r="P3" s="1074"/>
      <c r="R3" s="442"/>
      <c r="S3" s="442"/>
      <c r="T3" s="442"/>
    </row>
    <row r="4" spans="1:31" s="1079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864</v>
      </c>
      <c r="L4" s="1122"/>
      <c r="Q4" s="143"/>
    </row>
    <row r="5" spans="1:31" s="107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324"/>
      <c r="O5" s="324"/>
      <c r="P5" s="324"/>
      <c r="Q5" s="143"/>
    </row>
    <row r="6" spans="1:31" s="1079" customFormat="1" ht="12" customHeight="1">
      <c r="B6" s="453"/>
      <c r="C6" s="453"/>
      <c r="D6" s="453"/>
      <c r="E6" s="453"/>
      <c r="F6" s="453"/>
      <c r="G6" s="453">
        <v>158870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324"/>
      <c r="P6" s="324"/>
      <c r="Q6" s="442"/>
    </row>
    <row r="7" spans="1:31" s="305" customFormat="1" ht="28.5" customHeight="1">
      <c r="A7" s="1076" t="s">
        <v>2</v>
      </c>
      <c r="B7" s="1078" t="s">
        <v>1</v>
      </c>
      <c r="C7" s="107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75" t="s">
        <v>30</v>
      </c>
      <c r="I7" s="697" t="s">
        <v>341</v>
      </c>
      <c r="J7" s="697" t="s">
        <v>244</v>
      </c>
      <c r="K7" s="697" t="s">
        <v>344</v>
      </c>
      <c r="L7" s="697" t="s">
        <v>821</v>
      </c>
      <c r="M7" s="1649" t="s">
        <v>1018</v>
      </c>
      <c r="N7" s="1649" t="s">
        <v>772</v>
      </c>
      <c r="O7" s="324"/>
      <c r="P7" s="324"/>
      <c r="Q7" s="143"/>
      <c r="T7" s="1079"/>
    </row>
    <row r="8" spans="1:31" s="305" customFormat="1" ht="12" customHeight="1">
      <c r="A8" s="1650" t="s">
        <v>3</v>
      </c>
      <c r="B8" s="1651"/>
      <c r="C8" s="1652"/>
      <c r="D8" s="771">
        <f>G8</f>
        <v>35801</v>
      </c>
      <c r="E8" s="771">
        <f>E40</f>
        <v>62400</v>
      </c>
      <c r="F8" s="771"/>
      <c r="G8" s="774">
        <v>35801</v>
      </c>
      <c r="H8" s="450"/>
      <c r="I8" s="772"/>
      <c r="J8" s="772"/>
      <c r="K8" s="772"/>
      <c r="L8" s="772"/>
      <c r="M8" s="1649"/>
      <c r="N8" s="1649"/>
      <c r="O8" s="969"/>
      <c r="P8" s="969"/>
      <c r="Q8" s="143">
        <v>10902.8</v>
      </c>
    </row>
    <row r="9" spans="1:31" s="305" customFormat="1" ht="12" customHeight="1">
      <c r="A9" s="1077">
        <v>1</v>
      </c>
      <c r="B9" s="365">
        <f>'FRIT HGE91-FHG'!B9</f>
        <v>46235</v>
      </c>
      <c r="C9" s="331" t="s">
        <v>334</v>
      </c>
      <c r="D9" s="1451">
        <f>M9+N9</f>
        <v>0</v>
      </c>
      <c r="E9" s="1451">
        <f>I9+J9+K9+L9</f>
        <v>7200</v>
      </c>
      <c r="F9" s="1451">
        <f>15700/1.44</f>
        <v>10902.777777777777</v>
      </c>
      <c r="G9" s="1451">
        <f t="shared" ref="G9:G38" si="0">G8+D9-E9</f>
        <v>28601</v>
      </c>
      <c r="H9" s="1452">
        <f>G9/10417</f>
        <v>2.7456081405395025</v>
      </c>
      <c r="I9" s="772">
        <v>7200</v>
      </c>
      <c r="J9" s="772"/>
      <c r="K9" s="772"/>
      <c r="L9" s="772"/>
      <c r="M9" s="970"/>
      <c r="N9" s="970"/>
      <c r="O9" s="969"/>
      <c r="P9" s="969"/>
      <c r="Q9" s="650">
        <f>G9/$Q$8</f>
        <v>2.6232710863264486</v>
      </c>
    </row>
    <row r="10" spans="1:31" s="333" customFormat="1" ht="12" customHeight="1">
      <c r="A10" s="330">
        <v>2</v>
      </c>
      <c r="B10" s="365">
        <f>'FRIT HGE91-FHG'!B10</f>
        <v>46236</v>
      </c>
      <c r="C10" s="331" t="s">
        <v>334</v>
      </c>
      <c r="D10" s="1451">
        <f t="shared" ref="D10:D39" si="1">M10+N10</f>
        <v>0</v>
      </c>
      <c r="E10" s="1451">
        <f t="shared" ref="E10:E39" si="2">I10+J10+K10+L10</f>
        <v>0</v>
      </c>
      <c r="F10" s="1451">
        <f>$F$9</f>
        <v>10902.777777777777</v>
      </c>
      <c r="G10" s="1451">
        <f t="shared" si="0"/>
        <v>28601</v>
      </c>
      <c r="H10" s="1452">
        <f t="shared" ref="H10:H39" si="3">G10/10417</f>
        <v>2.7456081405395025</v>
      </c>
      <c r="I10" s="772"/>
      <c r="J10" s="772"/>
      <c r="K10" s="772"/>
      <c r="L10" s="772"/>
      <c r="M10" s="970"/>
      <c r="N10" s="970"/>
      <c r="O10" s="969"/>
      <c r="P10" s="969"/>
      <c r="Q10" s="650">
        <f t="shared" ref="Q10:Q39" si="4">G10/$Q$8</f>
        <v>2.6232710863264486</v>
      </c>
    </row>
    <row r="11" spans="1:31" s="333" customFormat="1" ht="12" customHeight="1">
      <c r="A11" s="330">
        <v>3</v>
      </c>
      <c r="B11" s="365">
        <f>'FRIT HGE91-FHG'!B11</f>
        <v>46237</v>
      </c>
      <c r="C11" s="331" t="s">
        <v>334</v>
      </c>
      <c r="D11" s="1451">
        <f t="shared" si="1"/>
        <v>0</v>
      </c>
      <c r="E11" s="1451">
        <f t="shared" si="2"/>
        <v>0</v>
      </c>
      <c r="F11" s="1451">
        <f>$F$9</f>
        <v>10902.777777777777</v>
      </c>
      <c r="G11" s="1451">
        <f t="shared" si="0"/>
        <v>28601</v>
      </c>
      <c r="H11" s="1452">
        <f t="shared" si="3"/>
        <v>2.7456081405395025</v>
      </c>
      <c r="I11" s="772"/>
      <c r="J11" s="772"/>
      <c r="K11" s="772"/>
      <c r="L11" s="772"/>
      <c r="M11" s="970"/>
      <c r="N11" s="970"/>
      <c r="O11" s="969"/>
      <c r="P11" s="969"/>
      <c r="Q11" s="650">
        <f t="shared" si="4"/>
        <v>2.6232710863264486</v>
      </c>
    </row>
    <row r="12" spans="1:31" s="367" customFormat="1" ht="12" customHeight="1">
      <c r="A12" s="330">
        <v>4</v>
      </c>
      <c r="B12" s="365">
        <f>'FRIT HGE91-FHG'!B12</f>
        <v>46238</v>
      </c>
      <c r="C12" s="331" t="s">
        <v>334</v>
      </c>
      <c r="D12" s="1451">
        <f t="shared" si="1"/>
        <v>0</v>
      </c>
      <c r="E12" s="1451">
        <f t="shared" si="2"/>
        <v>9600</v>
      </c>
      <c r="F12" s="1451">
        <f t="shared" ref="F12:F39" si="5">$F$9</f>
        <v>10902.777777777777</v>
      </c>
      <c r="G12" s="1451">
        <f t="shared" si="0"/>
        <v>19001</v>
      </c>
      <c r="H12" s="1452">
        <f t="shared" si="3"/>
        <v>1.8240376307958146</v>
      </c>
      <c r="I12" s="772">
        <v>9600</v>
      </c>
      <c r="J12" s="772"/>
      <c r="K12" s="772"/>
      <c r="L12" s="772"/>
      <c r="M12" s="970"/>
      <c r="N12" s="970"/>
      <c r="O12" s="969"/>
      <c r="P12" s="969"/>
      <c r="Q12" s="650">
        <f t="shared" si="4"/>
        <v>1.7427633268518179</v>
      </c>
    </row>
    <row r="13" spans="1:31" s="367" customFormat="1" ht="12" customHeight="1">
      <c r="A13" s="425">
        <v>5</v>
      </c>
      <c r="B13" s="365">
        <f>'FRIT HGE91-FHG'!B13</f>
        <v>46239</v>
      </c>
      <c r="C13" s="331" t="s">
        <v>334</v>
      </c>
      <c r="D13" s="1451">
        <f t="shared" si="1"/>
        <v>0</v>
      </c>
      <c r="E13" s="1451">
        <f t="shared" si="2"/>
        <v>4800</v>
      </c>
      <c r="F13" s="1451">
        <f t="shared" si="5"/>
        <v>10902.777777777777</v>
      </c>
      <c r="G13" s="1453">
        <f t="shared" si="0"/>
        <v>14201</v>
      </c>
      <c r="H13" s="1452">
        <f t="shared" si="3"/>
        <v>1.3632523759239705</v>
      </c>
      <c r="I13" s="772">
        <v>4800</v>
      </c>
      <c r="J13" s="772"/>
      <c r="K13" s="772"/>
      <c r="L13" s="772"/>
      <c r="M13" s="970"/>
      <c r="N13" s="970"/>
      <c r="O13" s="969"/>
      <c r="P13" s="969"/>
      <c r="Q13" s="650">
        <f t="shared" si="4"/>
        <v>1.3025094471145029</v>
      </c>
    </row>
    <row r="14" spans="1:31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1451">
        <f t="shared" si="1"/>
        <v>0</v>
      </c>
      <c r="E14" s="1451">
        <f t="shared" si="2"/>
        <v>2400</v>
      </c>
      <c r="F14" s="1451">
        <f t="shared" si="5"/>
        <v>10902.777777777777</v>
      </c>
      <c r="G14" s="1451">
        <f t="shared" si="0"/>
        <v>11801</v>
      </c>
      <c r="H14" s="1452">
        <f t="shared" si="3"/>
        <v>1.1328597484880485</v>
      </c>
      <c r="I14" s="772">
        <v>2400</v>
      </c>
      <c r="J14" s="772"/>
      <c r="K14" s="772"/>
      <c r="L14" s="772"/>
      <c r="M14" s="970"/>
      <c r="N14" s="970"/>
      <c r="O14" s="969"/>
      <c r="P14" s="969"/>
      <c r="Q14" s="650">
        <f t="shared" si="4"/>
        <v>1.0823825072458453</v>
      </c>
    </row>
    <row r="15" spans="1:31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1451">
        <f t="shared" si="1"/>
        <v>3100</v>
      </c>
      <c r="E15" s="1451">
        <f t="shared" si="2"/>
        <v>0</v>
      </c>
      <c r="F15" s="1451">
        <f t="shared" si="5"/>
        <v>10902.777777777777</v>
      </c>
      <c r="G15" s="1451">
        <f t="shared" si="0"/>
        <v>14901</v>
      </c>
      <c r="H15" s="1452">
        <f t="shared" si="3"/>
        <v>1.4304502255927811</v>
      </c>
      <c r="I15" s="772"/>
      <c r="J15" s="772"/>
      <c r="K15" s="772"/>
      <c r="L15" s="772"/>
      <c r="M15" s="970"/>
      <c r="N15" s="970">
        <v>3100</v>
      </c>
      <c r="O15" s="969"/>
      <c r="P15" s="969"/>
      <c r="Q15" s="650">
        <f t="shared" si="4"/>
        <v>1.3667131379095279</v>
      </c>
    </row>
    <row r="16" spans="1:31" s="367" customFormat="1" ht="12" customHeight="1">
      <c r="A16" s="330">
        <v>8</v>
      </c>
      <c r="B16" s="365">
        <f>'FRIT HGE91-FHG'!B16</f>
        <v>46242</v>
      </c>
      <c r="C16" s="331" t="s">
        <v>334</v>
      </c>
      <c r="D16" s="1451">
        <f t="shared" si="1"/>
        <v>14650</v>
      </c>
      <c r="E16" s="1451">
        <f t="shared" si="2"/>
        <v>7200</v>
      </c>
      <c r="F16" s="1451">
        <f t="shared" si="5"/>
        <v>10902.777777777777</v>
      </c>
      <c r="G16" s="1451">
        <f t="shared" si="0"/>
        <v>22351</v>
      </c>
      <c r="H16" s="1452">
        <f t="shared" si="3"/>
        <v>2.1456273399251224</v>
      </c>
      <c r="I16" s="772">
        <v>7200</v>
      </c>
      <c r="J16" s="772"/>
      <c r="K16" s="772"/>
      <c r="L16" s="772"/>
      <c r="M16" s="970"/>
      <c r="N16" s="970">
        <v>14650</v>
      </c>
      <c r="O16" s="969"/>
      <c r="P16" s="969"/>
      <c r="Q16" s="650">
        <f t="shared" si="4"/>
        <v>2.0500238470851526</v>
      </c>
    </row>
    <row r="17" spans="1:17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1451">
        <f t="shared" si="1"/>
        <v>0</v>
      </c>
      <c r="E17" s="1451">
        <f t="shared" si="2"/>
        <v>0</v>
      </c>
      <c r="F17" s="1451">
        <f t="shared" si="5"/>
        <v>10902.777777777777</v>
      </c>
      <c r="G17" s="1451">
        <f t="shared" si="0"/>
        <v>22351</v>
      </c>
      <c r="H17" s="1452">
        <f t="shared" si="3"/>
        <v>2.1456273399251224</v>
      </c>
      <c r="I17" s="772"/>
      <c r="J17" s="772"/>
      <c r="K17" s="772"/>
      <c r="L17" s="772"/>
      <c r="M17" s="970"/>
      <c r="N17" s="970"/>
      <c r="O17" s="969"/>
      <c r="P17" s="969"/>
      <c r="Q17" s="650">
        <f t="shared" si="4"/>
        <v>2.0500238470851526</v>
      </c>
    </row>
    <row r="18" spans="1:17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1451">
        <f t="shared" si="1"/>
        <v>5580</v>
      </c>
      <c r="E18" s="1451">
        <f t="shared" si="2"/>
        <v>9600</v>
      </c>
      <c r="F18" s="1451">
        <f t="shared" si="5"/>
        <v>10902.777777777777</v>
      </c>
      <c r="G18" s="1453">
        <f t="shared" si="0"/>
        <v>18331</v>
      </c>
      <c r="H18" s="1452">
        <f t="shared" si="3"/>
        <v>1.7597196889699529</v>
      </c>
      <c r="I18" s="772">
        <v>9600</v>
      </c>
      <c r="J18" s="772"/>
      <c r="K18" s="772"/>
      <c r="L18" s="772"/>
      <c r="M18" s="970"/>
      <c r="N18" s="970">
        <v>5580</v>
      </c>
      <c r="O18" s="969"/>
      <c r="P18" s="969"/>
      <c r="Q18" s="650">
        <f t="shared" si="4"/>
        <v>1.681311222805151</v>
      </c>
    </row>
    <row r="19" spans="1:17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1451">
        <f t="shared" si="1"/>
        <v>10820</v>
      </c>
      <c r="E19" s="1451">
        <f t="shared" si="2"/>
        <v>4800</v>
      </c>
      <c r="F19" s="1451">
        <f t="shared" si="5"/>
        <v>10902.777777777777</v>
      </c>
      <c r="G19" s="1451">
        <f t="shared" si="0"/>
        <v>24351</v>
      </c>
      <c r="H19" s="1452">
        <f t="shared" si="3"/>
        <v>2.3376211961217241</v>
      </c>
      <c r="I19" s="772">
        <v>4800</v>
      </c>
      <c r="J19" s="772"/>
      <c r="K19" s="772"/>
      <c r="L19" s="772"/>
      <c r="M19" s="970"/>
      <c r="N19" s="970">
        <v>10820</v>
      </c>
      <c r="O19" s="969"/>
      <c r="P19" s="969"/>
      <c r="Q19" s="650">
        <f t="shared" si="4"/>
        <v>2.2334629636423671</v>
      </c>
    </row>
    <row r="20" spans="1:17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1451">
        <f t="shared" si="1"/>
        <v>0</v>
      </c>
      <c r="E20" s="1451">
        <f t="shared" si="2"/>
        <v>4800</v>
      </c>
      <c r="F20" s="1451">
        <f t="shared" si="5"/>
        <v>10902.777777777777</v>
      </c>
      <c r="G20" s="1451">
        <f t="shared" si="0"/>
        <v>19551</v>
      </c>
      <c r="H20" s="1452">
        <f t="shared" si="3"/>
        <v>1.8768359412498801</v>
      </c>
      <c r="I20" s="772">
        <v>4800</v>
      </c>
      <c r="J20" s="772"/>
      <c r="K20" s="772"/>
      <c r="L20" s="772"/>
      <c r="M20" s="970"/>
      <c r="N20" s="970"/>
      <c r="O20" s="969"/>
      <c r="P20" s="969"/>
      <c r="Q20" s="650">
        <f t="shared" si="4"/>
        <v>1.7932090839050521</v>
      </c>
    </row>
    <row r="21" spans="1:17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1451">
        <f t="shared" si="1"/>
        <v>0</v>
      </c>
      <c r="E21" s="1451">
        <f t="shared" si="2"/>
        <v>4800</v>
      </c>
      <c r="F21" s="1451">
        <f t="shared" si="5"/>
        <v>10902.777777777777</v>
      </c>
      <c r="G21" s="1451">
        <f t="shared" si="0"/>
        <v>14751</v>
      </c>
      <c r="H21" s="1452">
        <f t="shared" si="3"/>
        <v>1.416050686378036</v>
      </c>
      <c r="I21" s="772">
        <v>4800</v>
      </c>
      <c r="J21" s="772"/>
      <c r="K21" s="772"/>
      <c r="L21" s="772"/>
      <c r="M21" s="970"/>
      <c r="N21" s="970"/>
      <c r="O21" s="969"/>
      <c r="P21" s="969"/>
      <c r="Q21" s="650">
        <f t="shared" si="4"/>
        <v>1.3529552041677368</v>
      </c>
    </row>
    <row r="22" spans="1:17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1451">
        <f t="shared" si="1"/>
        <v>5600</v>
      </c>
      <c r="E22" s="1451">
        <f t="shared" si="2"/>
        <v>2400</v>
      </c>
      <c r="F22" s="1451">
        <f t="shared" si="5"/>
        <v>10902.777777777777</v>
      </c>
      <c r="G22" s="1451">
        <f t="shared" si="0"/>
        <v>17951</v>
      </c>
      <c r="H22" s="1452">
        <f t="shared" si="3"/>
        <v>1.7232408562925987</v>
      </c>
      <c r="I22" s="772">
        <v>2400</v>
      </c>
      <c r="J22" s="772"/>
      <c r="K22" s="772"/>
      <c r="L22" s="772"/>
      <c r="M22" s="970"/>
      <c r="N22" s="970">
        <v>5600</v>
      </c>
      <c r="O22" s="969"/>
      <c r="P22" s="969"/>
      <c r="Q22" s="650">
        <f t="shared" si="4"/>
        <v>1.6464577906592803</v>
      </c>
    </row>
    <row r="23" spans="1:17" s="367" customFormat="1" ht="12" customHeight="1">
      <c r="A23" s="425">
        <v>15</v>
      </c>
      <c r="B23" s="365">
        <f>'FRIT HGE91-FHG'!B23</f>
        <v>46249</v>
      </c>
      <c r="C23" s="331" t="s">
        <v>348</v>
      </c>
      <c r="D23" s="1451">
        <f t="shared" si="1"/>
        <v>15130</v>
      </c>
      <c r="E23" s="1451">
        <f t="shared" si="2"/>
        <v>4800</v>
      </c>
      <c r="F23" s="1451">
        <f t="shared" si="5"/>
        <v>10902.777777777777</v>
      </c>
      <c r="G23" s="1453">
        <f t="shared" si="0"/>
        <v>28281</v>
      </c>
      <c r="H23" s="1452">
        <f t="shared" si="3"/>
        <v>2.7148891235480463</v>
      </c>
      <c r="I23" s="772">
        <v>4800</v>
      </c>
      <c r="J23" s="772"/>
      <c r="K23" s="772"/>
      <c r="L23" s="772"/>
      <c r="M23" s="970"/>
      <c r="N23" s="970">
        <v>15130</v>
      </c>
      <c r="O23" s="969"/>
      <c r="P23" s="969"/>
      <c r="Q23" s="650">
        <f t="shared" si="4"/>
        <v>2.593920827677294</v>
      </c>
    </row>
    <row r="24" spans="1:17" s="367" customFormat="1" ht="12" customHeight="1">
      <c r="A24" s="330">
        <v>16</v>
      </c>
      <c r="B24" s="365">
        <f>'FRIT HGE91-FHG'!B24</f>
        <v>46250</v>
      </c>
      <c r="C24" s="331" t="s">
        <v>334</v>
      </c>
      <c r="D24" s="1451">
        <f t="shared" si="1"/>
        <v>0</v>
      </c>
      <c r="E24" s="1451">
        <f t="shared" si="2"/>
        <v>0</v>
      </c>
      <c r="F24" s="1451">
        <f t="shared" si="5"/>
        <v>10902.777777777777</v>
      </c>
      <c r="G24" s="1451">
        <f t="shared" si="0"/>
        <v>28281</v>
      </c>
      <c r="H24" s="1452">
        <f t="shared" si="3"/>
        <v>2.7148891235480463</v>
      </c>
      <c r="I24" s="772"/>
      <c r="J24" s="772"/>
      <c r="K24" s="772"/>
      <c r="L24" s="772"/>
      <c r="M24" s="970"/>
      <c r="N24" s="970"/>
      <c r="O24" s="969"/>
      <c r="P24" s="969"/>
      <c r="Q24" s="650">
        <f t="shared" si="4"/>
        <v>2.593920827677294</v>
      </c>
    </row>
    <row r="25" spans="1:17" s="367" customFormat="1" ht="12" customHeight="1">
      <c r="A25" s="330">
        <v>17</v>
      </c>
      <c r="B25" s="365">
        <f>'FRIT HGE91-FHG'!B25</f>
        <v>46251</v>
      </c>
      <c r="C25" s="331" t="s">
        <v>346</v>
      </c>
      <c r="D25" s="1451">
        <f t="shared" si="1"/>
        <v>0</v>
      </c>
      <c r="E25" s="1451">
        <f t="shared" si="2"/>
        <v>0</v>
      </c>
      <c r="F25" s="1451">
        <f t="shared" si="5"/>
        <v>10902.777777777777</v>
      </c>
      <c r="G25" s="1451">
        <f t="shared" si="0"/>
        <v>28281</v>
      </c>
      <c r="H25" s="1452">
        <f t="shared" si="3"/>
        <v>2.7148891235480463</v>
      </c>
      <c r="I25" s="772"/>
      <c r="J25" s="772"/>
      <c r="K25" s="772"/>
      <c r="L25" s="772"/>
      <c r="M25" s="970"/>
      <c r="N25" s="970"/>
      <c r="O25" s="969"/>
      <c r="P25" s="969"/>
      <c r="Q25" s="650">
        <f t="shared" si="4"/>
        <v>2.593920827677294</v>
      </c>
    </row>
    <row r="26" spans="1:17" s="367" customFormat="1" ht="12" customHeight="1">
      <c r="A26" s="330">
        <v>18</v>
      </c>
      <c r="B26" s="365">
        <f>'FRIT HGE91-FHG'!B26</f>
        <v>46252</v>
      </c>
      <c r="C26" s="331" t="s">
        <v>346</v>
      </c>
      <c r="D26" s="1451">
        <f t="shared" si="1"/>
        <v>0</v>
      </c>
      <c r="E26" s="1451">
        <f t="shared" si="2"/>
        <v>0</v>
      </c>
      <c r="F26" s="1451">
        <f t="shared" si="5"/>
        <v>10902.777777777777</v>
      </c>
      <c r="G26" s="1451">
        <f t="shared" si="0"/>
        <v>28281</v>
      </c>
      <c r="H26" s="1452">
        <f t="shared" si="3"/>
        <v>2.7148891235480463</v>
      </c>
      <c r="I26" s="772"/>
      <c r="J26" s="772"/>
      <c r="K26" s="772"/>
      <c r="L26" s="772"/>
      <c r="M26" s="970"/>
      <c r="N26" s="970"/>
      <c r="O26" s="969"/>
      <c r="P26" s="969"/>
      <c r="Q26" s="650">
        <f t="shared" si="4"/>
        <v>2.593920827677294</v>
      </c>
    </row>
    <row r="27" spans="1:17" s="367" customFormat="1" ht="12" customHeight="1">
      <c r="A27" s="330">
        <v>19</v>
      </c>
      <c r="B27" s="365">
        <f>'FRIT HGE91-FHG'!B27</f>
        <v>46253</v>
      </c>
      <c r="C27" s="331" t="s">
        <v>334</v>
      </c>
      <c r="D27" s="1451">
        <f t="shared" si="1"/>
        <v>0</v>
      </c>
      <c r="E27" s="1451">
        <f t="shared" si="2"/>
        <v>0</v>
      </c>
      <c r="F27" s="1451">
        <f t="shared" si="5"/>
        <v>10902.777777777777</v>
      </c>
      <c r="G27" s="1451">
        <f t="shared" si="0"/>
        <v>28281</v>
      </c>
      <c r="H27" s="1452">
        <f t="shared" si="3"/>
        <v>2.7148891235480463</v>
      </c>
      <c r="I27" s="772"/>
      <c r="J27" s="772"/>
      <c r="K27" s="772"/>
      <c r="L27" s="772"/>
      <c r="M27" s="970"/>
      <c r="N27" s="970"/>
      <c r="O27" s="969"/>
      <c r="P27" s="969"/>
      <c r="Q27" s="650">
        <f t="shared" si="4"/>
        <v>2.593920827677294</v>
      </c>
    </row>
    <row r="28" spans="1:17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1451">
        <f t="shared" si="1"/>
        <v>0</v>
      </c>
      <c r="E28" s="1451">
        <f t="shared" si="2"/>
        <v>0</v>
      </c>
      <c r="F28" s="1451">
        <f t="shared" si="5"/>
        <v>10902.777777777777</v>
      </c>
      <c r="G28" s="1453">
        <f t="shared" si="0"/>
        <v>28281</v>
      </c>
      <c r="H28" s="1452">
        <f t="shared" si="3"/>
        <v>2.7148891235480463</v>
      </c>
      <c r="I28" s="772"/>
      <c r="J28" s="772"/>
      <c r="K28" s="772"/>
      <c r="L28" s="772"/>
      <c r="M28" s="970"/>
      <c r="N28" s="970"/>
      <c r="O28" s="969"/>
      <c r="P28" s="969"/>
      <c r="Q28" s="650">
        <f t="shared" si="4"/>
        <v>2.593920827677294</v>
      </c>
    </row>
    <row r="29" spans="1:17" s="367" customFormat="1" ht="12" customHeight="1">
      <c r="A29" s="330">
        <v>21</v>
      </c>
      <c r="B29" s="365">
        <f>'FRIT HGE91-FHG'!B29</f>
        <v>46255</v>
      </c>
      <c r="C29" s="331" t="s">
        <v>346</v>
      </c>
      <c r="D29" s="1451">
        <f t="shared" si="1"/>
        <v>0</v>
      </c>
      <c r="E29" s="1451">
        <f t="shared" si="2"/>
        <v>0</v>
      </c>
      <c r="F29" s="1451">
        <f t="shared" si="5"/>
        <v>10902.777777777777</v>
      </c>
      <c r="G29" s="1454">
        <f t="shared" si="0"/>
        <v>28281</v>
      </c>
      <c r="H29" s="1452">
        <f t="shared" si="3"/>
        <v>2.7148891235480463</v>
      </c>
      <c r="I29" s="772"/>
      <c r="J29" s="772"/>
      <c r="K29" s="772"/>
      <c r="L29" s="772"/>
      <c r="M29" s="970"/>
      <c r="N29" s="970"/>
      <c r="O29" s="969"/>
      <c r="P29" s="969"/>
      <c r="Q29" s="650">
        <f t="shared" si="4"/>
        <v>2.593920827677294</v>
      </c>
    </row>
    <row r="30" spans="1:17" s="367" customFormat="1" ht="12" customHeight="1">
      <c r="A30" s="330">
        <v>22</v>
      </c>
      <c r="B30" s="365">
        <f>'FRIT HGE91-FHG'!B30</f>
        <v>46256</v>
      </c>
      <c r="C30" s="331" t="s">
        <v>346</v>
      </c>
      <c r="D30" s="1451">
        <f t="shared" si="1"/>
        <v>0</v>
      </c>
      <c r="E30" s="1451">
        <f t="shared" si="2"/>
        <v>0</v>
      </c>
      <c r="F30" s="1451">
        <f t="shared" si="5"/>
        <v>10902.777777777777</v>
      </c>
      <c r="G30" s="1454">
        <f t="shared" si="0"/>
        <v>28281</v>
      </c>
      <c r="H30" s="1452">
        <f t="shared" si="3"/>
        <v>2.7148891235480463</v>
      </c>
      <c r="I30" s="772"/>
      <c r="J30" s="772"/>
      <c r="K30" s="772"/>
      <c r="L30" s="772"/>
      <c r="M30" s="970"/>
      <c r="N30" s="970"/>
      <c r="O30" s="969"/>
      <c r="P30" s="969"/>
      <c r="Q30" s="650">
        <f t="shared" si="4"/>
        <v>2.593920827677294</v>
      </c>
    </row>
    <row r="31" spans="1:17" s="367" customFormat="1" ht="15">
      <c r="A31" s="330">
        <v>23</v>
      </c>
      <c r="B31" s="365">
        <f>'FRIT HGE91-FHG'!B31</f>
        <v>46257</v>
      </c>
      <c r="C31" s="331" t="s">
        <v>346</v>
      </c>
      <c r="D31" s="1451">
        <f t="shared" si="1"/>
        <v>0</v>
      </c>
      <c r="E31" s="1451">
        <f t="shared" si="2"/>
        <v>0</v>
      </c>
      <c r="F31" s="1451">
        <f t="shared" si="5"/>
        <v>10902.777777777777</v>
      </c>
      <c r="G31" s="1454">
        <f t="shared" si="0"/>
        <v>28281</v>
      </c>
      <c r="H31" s="1452">
        <f t="shared" si="3"/>
        <v>2.7148891235480463</v>
      </c>
      <c r="I31" s="772"/>
      <c r="J31" s="772"/>
      <c r="K31" s="772"/>
      <c r="L31" s="772"/>
      <c r="M31" s="970"/>
      <c r="N31" s="970"/>
      <c r="O31" s="969"/>
      <c r="P31" s="969"/>
      <c r="Q31" s="650">
        <f t="shared" si="4"/>
        <v>2.593920827677294</v>
      </c>
    </row>
    <row r="32" spans="1:17" s="367" customFormat="1" ht="12" customHeight="1">
      <c r="A32" s="330">
        <v>24</v>
      </c>
      <c r="B32" s="365">
        <f>'FRIT HGE91-FHG'!B32</f>
        <v>46258</v>
      </c>
      <c r="C32" s="331" t="s">
        <v>334</v>
      </c>
      <c r="D32" s="1451">
        <f t="shared" si="1"/>
        <v>0</v>
      </c>
      <c r="E32" s="1451">
        <f t="shared" si="2"/>
        <v>0</v>
      </c>
      <c r="F32" s="1451">
        <f t="shared" si="5"/>
        <v>10902.777777777777</v>
      </c>
      <c r="G32" s="1454">
        <f t="shared" si="0"/>
        <v>28281</v>
      </c>
      <c r="H32" s="1452">
        <f t="shared" si="3"/>
        <v>2.7148891235480463</v>
      </c>
      <c r="I32" s="772"/>
      <c r="J32" s="772"/>
      <c r="K32" s="772"/>
      <c r="L32" s="772"/>
      <c r="M32" s="970"/>
      <c r="N32" s="970"/>
      <c r="O32" s="969"/>
      <c r="P32" s="969"/>
      <c r="Q32" s="650">
        <f t="shared" si="4"/>
        <v>2.593920827677294</v>
      </c>
    </row>
    <row r="33" spans="1:18" s="367" customFormat="1" ht="12" customHeight="1">
      <c r="A33" s="426">
        <v>25</v>
      </c>
      <c r="B33" s="365">
        <f>'FRIT HGE91-FHG'!B33</f>
        <v>46259</v>
      </c>
      <c r="C33" s="331" t="s">
        <v>334</v>
      </c>
      <c r="D33" s="1451">
        <f t="shared" si="1"/>
        <v>0</v>
      </c>
      <c r="E33" s="1451">
        <f t="shared" si="2"/>
        <v>0</v>
      </c>
      <c r="F33" s="1451">
        <f t="shared" si="5"/>
        <v>10902.777777777777</v>
      </c>
      <c r="G33" s="1455">
        <f t="shared" si="0"/>
        <v>28281</v>
      </c>
      <c r="H33" s="1452">
        <f t="shared" si="3"/>
        <v>2.7148891235480463</v>
      </c>
      <c r="I33" s="772"/>
      <c r="J33" s="772"/>
      <c r="K33" s="772"/>
      <c r="L33" s="772"/>
      <c r="M33" s="970"/>
      <c r="N33" s="970"/>
      <c r="O33" s="969"/>
      <c r="P33" s="969"/>
      <c r="Q33" s="650">
        <f t="shared" si="4"/>
        <v>2.593920827677294</v>
      </c>
    </row>
    <row r="34" spans="1:18" s="367" customFormat="1" ht="12" customHeight="1">
      <c r="A34" s="330">
        <v>26</v>
      </c>
      <c r="B34" s="365">
        <f>'FRIT HGE91-FHG'!B34</f>
        <v>46260</v>
      </c>
      <c r="C34" s="331" t="s">
        <v>346</v>
      </c>
      <c r="D34" s="1451">
        <f t="shared" si="1"/>
        <v>0</v>
      </c>
      <c r="E34" s="1451">
        <f t="shared" si="2"/>
        <v>0</v>
      </c>
      <c r="F34" s="1451">
        <f t="shared" si="5"/>
        <v>10902.777777777777</v>
      </c>
      <c r="G34" s="1451">
        <f t="shared" si="0"/>
        <v>28281</v>
      </c>
      <c r="H34" s="1452">
        <f t="shared" si="3"/>
        <v>2.7148891235480463</v>
      </c>
      <c r="I34" s="772"/>
      <c r="J34" s="772"/>
      <c r="K34" s="772"/>
      <c r="L34" s="772"/>
      <c r="M34" s="970"/>
      <c r="N34" s="970"/>
      <c r="O34" s="969"/>
      <c r="P34" s="969"/>
      <c r="Q34" s="650">
        <f t="shared" si="4"/>
        <v>2.593920827677294</v>
      </c>
    </row>
    <row r="35" spans="1:18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1451">
        <f t="shared" si="1"/>
        <v>0</v>
      </c>
      <c r="E35" s="1451">
        <f t="shared" si="2"/>
        <v>0</v>
      </c>
      <c r="F35" s="1451">
        <f t="shared" si="5"/>
        <v>10902.777777777777</v>
      </c>
      <c r="G35" s="1451">
        <f t="shared" si="0"/>
        <v>28281</v>
      </c>
      <c r="H35" s="1452">
        <f t="shared" si="3"/>
        <v>2.7148891235480463</v>
      </c>
      <c r="I35" s="772"/>
      <c r="J35" s="772"/>
      <c r="K35" s="772"/>
      <c r="L35" s="772"/>
      <c r="M35" s="970"/>
      <c r="N35" s="970"/>
      <c r="O35" s="969"/>
      <c r="P35" s="969"/>
      <c r="Q35" s="650">
        <f t="shared" si="4"/>
        <v>2.593920827677294</v>
      </c>
    </row>
    <row r="36" spans="1:18" s="367" customFormat="1" ht="12.75" customHeight="1">
      <c r="A36" s="330">
        <v>28</v>
      </c>
      <c r="B36" s="365">
        <f>'FRIT HGE91-FHG'!B36</f>
        <v>46262</v>
      </c>
      <c r="C36" s="331" t="s">
        <v>346</v>
      </c>
      <c r="D36" s="1451">
        <f t="shared" si="1"/>
        <v>0</v>
      </c>
      <c r="E36" s="1451">
        <f t="shared" si="2"/>
        <v>0</v>
      </c>
      <c r="F36" s="1451">
        <f t="shared" si="5"/>
        <v>10902.777777777777</v>
      </c>
      <c r="G36" s="1451">
        <f t="shared" si="0"/>
        <v>28281</v>
      </c>
      <c r="H36" s="1452">
        <f t="shared" si="3"/>
        <v>2.7148891235480463</v>
      </c>
      <c r="I36" s="772"/>
      <c r="J36" s="772"/>
      <c r="K36" s="772"/>
      <c r="L36" s="772"/>
      <c r="M36" s="970"/>
      <c r="N36" s="970"/>
      <c r="O36" s="969"/>
      <c r="P36" s="969"/>
      <c r="Q36" s="650">
        <f t="shared" si="4"/>
        <v>2.593920827677294</v>
      </c>
    </row>
    <row r="37" spans="1:18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1451">
        <f t="shared" si="1"/>
        <v>0</v>
      </c>
      <c r="E37" s="1451">
        <f t="shared" si="2"/>
        <v>0</v>
      </c>
      <c r="F37" s="1451">
        <f t="shared" si="5"/>
        <v>10902.777777777777</v>
      </c>
      <c r="G37" s="1451">
        <f t="shared" si="0"/>
        <v>28281</v>
      </c>
      <c r="H37" s="1452">
        <f t="shared" si="3"/>
        <v>2.7148891235480463</v>
      </c>
      <c r="I37" s="772"/>
      <c r="J37" s="772"/>
      <c r="K37" s="772"/>
      <c r="L37" s="772"/>
      <c r="M37" s="970"/>
      <c r="N37" s="970"/>
      <c r="O37" s="969"/>
      <c r="P37" s="969"/>
      <c r="Q37" s="650">
        <f t="shared" si="4"/>
        <v>2.593920827677294</v>
      </c>
    </row>
    <row r="38" spans="1:18" s="367" customFormat="1" ht="12" customHeight="1">
      <c r="A38" s="425">
        <v>30</v>
      </c>
      <c r="B38" s="365">
        <f>'FRIT HGE91-FHG'!B38</f>
        <v>46264</v>
      </c>
      <c r="C38" s="331" t="s">
        <v>346</v>
      </c>
      <c r="D38" s="1451">
        <f t="shared" si="1"/>
        <v>0</v>
      </c>
      <c r="E38" s="1451">
        <f t="shared" si="2"/>
        <v>0</v>
      </c>
      <c r="F38" s="1451">
        <f t="shared" si="5"/>
        <v>10902.777777777777</v>
      </c>
      <c r="G38" s="1453">
        <f t="shared" si="0"/>
        <v>28281</v>
      </c>
      <c r="H38" s="1452">
        <f t="shared" si="3"/>
        <v>2.7148891235480463</v>
      </c>
      <c r="I38" s="772"/>
      <c r="J38" s="772"/>
      <c r="K38" s="772"/>
      <c r="L38" s="772"/>
      <c r="M38" s="970"/>
      <c r="N38" s="970"/>
      <c r="O38" s="969"/>
      <c r="P38" s="969"/>
      <c r="Q38" s="650">
        <f t="shared" si="4"/>
        <v>2.593920827677294</v>
      </c>
    </row>
    <row r="39" spans="1:18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1451">
        <f t="shared" si="1"/>
        <v>0</v>
      </c>
      <c r="E39" s="1451">
        <f t="shared" si="2"/>
        <v>0</v>
      </c>
      <c r="F39" s="1451">
        <f t="shared" si="5"/>
        <v>10902.777777777777</v>
      </c>
      <c r="G39" s="1451">
        <f>G38+D39-E39</f>
        <v>28281</v>
      </c>
      <c r="H39" s="1452">
        <f t="shared" si="3"/>
        <v>2.7148891235480463</v>
      </c>
      <c r="I39" s="772"/>
      <c r="J39" s="772"/>
      <c r="K39" s="772"/>
      <c r="L39" s="772"/>
      <c r="M39" s="970"/>
      <c r="N39" s="970"/>
      <c r="O39" s="969"/>
      <c r="P39" s="969"/>
      <c r="Q39" s="650">
        <f t="shared" si="4"/>
        <v>2.593920827677294</v>
      </c>
    </row>
    <row r="40" spans="1:18" s="374" customFormat="1" ht="12" customHeight="1">
      <c r="A40" s="1647" t="s">
        <v>29</v>
      </c>
      <c r="B40" s="1647"/>
      <c r="C40" s="1647"/>
      <c r="D40" s="448">
        <f>SUM(D9:D39)</f>
        <v>54880</v>
      </c>
      <c r="E40" s="389">
        <f>SUM(E9:E39)</f>
        <v>62400</v>
      </c>
      <c r="F40" s="449"/>
      <c r="G40" s="389">
        <f>G39</f>
        <v>28281</v>
      </c>
      <c r="H40" s="309"/>
      <c r="I40" s="689">
        <f>SUM(I9:I39)</f>
        <v>62400</v>
      </c>
      <c r="J40" s="689">
        <f t="shared" ref="J40:N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  <c r="N40" s="689">
        <f t="shared" si="6"/>
        <v>54880</v>
      </c>
      <c r="O40" s="794"/>
      <c r="P40" s="794"/>
    </row>
    <row r="41" spans="1:18" s="374" customFormat="1" ht="12" customHeight="1">
      <c r="A41" s="1647" t="s">
        <v>15</v>
      </c>
      <c r="B41" s="1647"/>
      <c r="C41" s="1647"/>
      <c r="D41" s="448">
        <f>D8+D40</f>
        <v>90681</v>
      </c>
      <c r="E41" s="389">
        <f>E40</f>
        <v>62400</v>
      </c>
      <c r="F41" s="449"/>
      <c r="G41" s="389">
        <f>D41-E41</f>
        <v>28281</v>
      </c>
      <c r="H41" s="309"/>
      <c r="I41" s="689"/>
      <c r="J41" s="689"/>
      <c r="K41" s="689"/>
      <c r="L41" s="689"/>
      <c r="M41" s="689"/>
      <c r="N41" s="689"/>
      <c r="O41" s="794"/>
      <c r="P41" s="794"/>
    </row>
    <row r="42" spans="1:18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  <c r="O42" s="343"/>
      <c r="P42" s="343"/>
    </row>
    <row r="43" spans="1:18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  <c r="P43" s="343"/>
    </row>
    <row r="44" spans="1:18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  <c r="P44" s="343"/>
    </row>
    <row r="45" spans="1:18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3"/>
      <c r="P45" s="343"/>
    </row>
    <row r="46" spans="1:18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  <c r="O46" s="343"/>
      <c r="P46" s="343"/>
    </row>
    <row r="47" spans="1:18">
      <c r="R47" s="151"/>
    </row>
    <row r="48" spans="1:18">
      <c r="R48" s="151"/>
    </row>
    <row r="49" spans="18:18">
      <c r="R49" s="151"/>
    </row>
  </sheetData>
  <mergeCells count="7">
    <mergeCell ref="A41:C41"/>
    <mergeCell ref="A3:I3"/>
    <mergeCell ref="A4:B4"/>
    <mergeCell ref="M7:M8"/>
    <mergeCell ref="N7:N8"/>
    <mergeCell ref="A8:C8"/>
    <mergeCell ref="A40:C40"/>
  </mergeCells>
  <conditionalFormatting sqref="H9:H39">
    <cfRule type="cellIs" dxfId="8828" priority="19" operator="between">
      <formula>3.5</formula>
      <formula>6</formula>
    </cfRule>
    <cfRule type="cellIs" dxfId="8827" priority="20" operator="lessThan">
      <formula>3.5</formula>
    </cfRule>
    <cfRule type="cellIs" dxfId="8826" priority="21" operator="greaterThan">
      <formula>6</formula>
    </cfRule>
  </conditionalFormatting>
  <conditionalFormatting sqref="H9:H39">
    <cfRule type="cellIs" dxfId="8825" priority="16" operator="between">
      <formula>3.5</formula>
      <formula>6</formula>
    </cfRule>
    <cfRule type="cellIs" dxfId="8824" priority="17" operator="lessThan">
      <formula>3.5</formula>
    </cfRule>
    <cfRule type="cellIs" dxfId="8823" priority="18" operator="greaterThan">
      <formula>6</formula>
    </cfRule>
  </conditionalFormatting>
  <conditionalFormatting sqref="H9:H39">
    <cfRule type="cellIs" dxfId="8822" priority="13" operator="between">
      <formula>3.5</formula>
      <formula>6</formula>
    </cfRule>
    <cfRule type="cellIs" dxfId="8821" priority="14" operator="lessThan">
      <formula>3.5</formula>
    </cfRule>
    <cfRule type="cellIs" dxfId="8820" priority="15" operator="greaterThan">
      <formula>6</formula>
    </cfRule>
  </conditionalFormatting>
  <conditionalFormatting sqref="H9:H39">
    <cfRule type="cellIs" dxfId="8819" priority="10" operator="between">
      <formula>3.5</formula>
      <formula>6</formula>
    </cfRule>
    <cfRule type="cellIs" dxfId="8818" priority="11" operator="lessThan">
      <formula>3.5</formula>
    </cfRule>
    <cfRule type="cellIs" dxfId="8817" priority="12" operator="greaterThan">
      <formula>6</formula>
    </cfRule>
  </conditionalFormatting>
  <conditionalFormatting sqref="H9:H39">
    <cfRule type="cellIs" dxfId="8816" priority="7" operator="between">
      <formula>3.5</formula>
      <formula>6</formula>
    </cfRule>
    <cfRule type="cellIs" dxfId="8815" priority="8" operator="lessThan">
      <formula>3.5</formula>
    </cfRule>
    <cfRule type="cellIs" dxfId="8814" priority="9" operator="greaterThan">
      <formula>6</formula>
    </cfRule>
  </conditionalFormatting>
  <conditionalFormatting sqref="H9:H39">
    <cfRule type="cellIs" dxfId="8813" priority="4" operator="between">
      <formula>3.5</formula>
      <formula>6</formula>
    </cfRule>
    <cfRule type="cellIs" dxfId="8812" priority="5" operator="lessThan">
      <formula>3.5</formula>
    </cfRule>
    <cfRule type="cellIs" dxfId="8811" priority="6" operator="greaterThan">
      <formula>6</formula>
    </cfRule>
  </conditionalFormatting>
  <conditionalFormatting sqref="H9:H39">
    <cfRule type="cellIs" dxfId="8810" priority="1" operator="between">
      <formula>3.5</formula>
      <formula>6</formula>
    </cfRule>
    <cfRule type="cellIs" dxfId="8809" priority="2" operator="lessThan">
      <formula>3.5</formula>
    </cfRule>
    <cfRule type="cellIs" dxfId="880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9" orientation="landscape" horizontalDpi="4294967292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AE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8.7109375" style="42" customWidth="1"/>
    <col min="10" max="10" width="10.42578125" style="42" customWidth="1"/>
    <col min="11" max="12" width="8.7109375" style="42" customWidth="1"/>
    <col min="13" max="13" width="14.7109375" style="42" customWidth="1"/>
    <col min="14" max="14" width="13.5703125" style="42" customWidth="1"/>
    <col min="15" max="16" width="8.7109375" style="42" customWidth="1"/>
    <col min="17" max="17" width="11.5703125" style="143" bestFit="1" customWidth="1"/>
    <col min="18" max="18" width="7.5703125" style="42" customWidth="1"/>
    <col min="19" max="19" width="13" style="42" customWidth="1"/>
    <col min="20" max="20" width="13.28515625" style="42" customWidth="1"/>
    <col min="21" max="16384" width="9.28515625" style="42"/>
  </cols>
  <sheetData>
    <row r="1" spans="1:31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3"/>
      <c r="U1" s="323"/>
      <c r="V1" s="324"/>
      <c r="W1" s="324"/>
      <c r="X1" s="324"/>
      <c r="Y1" s="324"/>
      <c r="Z1" s="324"/>
      <c r="AA1" s="324"/>
      <c r="AB1" s="324"/>
      <c r="AC1" s="324"/>
      <c r="AD1" s="324"/>
      <c r="AE1" s="324"/>
    </row>
    <row r="2" spans="1:31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Q2" s="323"/>
      <c r="R2" s="142"/>
      <c r="U2" s="323"/>
      <c r="V2" s="324"/>
      <c r="W2" s="324"/>
      <c r="X2" s="324"/>
      <c r="Y2" s="324"/>
      <c r="Z2" s="324"/>
      <c r="AA2" s="324"/>
      <c r="AB2" s="324"/>
      <c r="AC2" s="324"/>
      <c r="AD2" s="324"/>
    </row>
    <row r="3" spans="1:31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08"/>
      <c r="K3" s="1008"/>
      <c r="L3" s="1284"/>
      <c r="M3" s="1008"/>
      <c r="N3" s="1008"/>
      <c r="O3" s="1008"/>
      <c r="P3" s="1008"/>
      <c r="R3" s="442"/>
      <c r="S3" s="442"/>
      <c r="T3" s="442"/>
    </row>
    <row r="4" spans="1:31" s="1013" customFormat="1" ht="12" customHeight="1">
      <c r="A4" s="1648" t="s">
        <v>33</v>
      </c>
      <c r="B4" s="1648"/>
      <c r="C4" s="551" t="str">
        <f>H4</f>
        <v>GRANDCERA TÍM 50x50-HA</v>
      </c>
      <c r="E4" s="549" t="s">
        <v>228</v>
      </c>
      <c r="F4" s="549" t="s">
        <v>235</v>
      </c>
      <c r="G4" s="550" t="s">
        <v>114</v>
      </c>
      <c r="H4" s="551" t="s">
        <v>822</v>
      </c>
      <c r="L4" s="1285"/>
      <c r="Q4" s="143"/>
    </row>
    <row r="5" spans="1:31" s="1013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324"/>
      <c r="O5" s="324"/>
      <c r="P5" s="324"/>
      <c r="Q5" s="143"/>
    </row>
    <row r="6" spans="1:31" s="1013" customFormat="1" ht="12" customHeight="1">
      <c r="B6" s="453"/>
      <c r="C6" s="453"/>
      <c r="D6" s="453"/>
      <c r="E6" s="453"/>
      <c r="F6" s="453"/>
      <c r="G6" s="453">
        <v>158870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324"/>
      <c r="P6" s="324"/>
      <c r="Q6" s="442"/>
    </row>
    <row r="7" spans="1:31" s="305" customFormat="1" ht="28.5" customHeight="1">
      <c r="A7" s="1010" t="s">
        <v>2</v>
      </c>
      <c r="B7" s="1012" t="s">
        <v>1</v>
      </c>
      <c r="C7" s="101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09" t="s">
        <v>30</v>
      </c>
      <c r="I7" s="697" t="s">
        <v>341</v>
      </c>
      <c r="J7" s="697" t="s">
        <v>244</v>
      </c>
      <c r="K7" s="697" t="s">
        <v>821</v>
      </c>
      <c r="L7" s="697" t="s">
        <v>344</v>
      </c>
      <c r="M7" s="1649" t="s">
        <v>771</v>
      </c>
      <c r="N7" s="1649" t="s">
        <v>772</v>
      </c>
      <c r="O7" s="324"/>
      <c r="P7" s="324"/>
      <c r="Q7" s="143"/>
      <c r="T7" s="1013"/>
    </row>
    <row r="8" spans="1:31" s="305" customFormat="1" ht="12" customHeight="1">
      <c r="A8" s="1650" t="s">
        <v>3</v>
      </c>
      <c r="B8" s="1651"/>
      <c r="C8" s="1652"/>
      <c r="D8" s="771">
        <f>G8</f>
        <v>14789</v>
      </c>
      <c r="E8" s="771">
        <f>E40</f>
        <v>21500</v>
      </c>
      <c r="F8" s="771"/>
      <c r="G8" s="774">
        <v>14789</v>
      </c>
      <c r="H8" s="450"/>
      <c r="I8" s="772"/>
      <c r="J8" s="772"/>
      <c r="K8" s="772"/>
      <c r="L8" s="772"/>
      <c r="M8" s="1649"/>
      <c r="N8" s="1649"/>
      <c r="O8" s="969"/>
      <c r="P8" s="969"/>
      <c r="Q8" s="143">
        <v>10902.8</v>
      </c>
    </row>
    <row r="9" spans="1:31" s="305" customFormat="1" ht="12" customHeight="1">
      <c r="A9" s="1011">
        <v>1</v>
      </c>
      <c r="B9" s="365">
        <f>'FRIT HGE91-FHG'!B9</f>
        <v>46235</v>
      </c>
      <c r="C9" s="331" t="s">
        <v>334</v>
      </c>
      <c r="D9" s="396">
        <f>M9+N9</f>
        <v>0</v>
      </c>
      <c r="E9" s="396">
        <f>I9+J9+K9+L9</f>
        <v>0</v>
      </c>
      <c r="F9" s="396">
        <f>15700/1.44</f>
        <v>10902.777777777777</v>
      </c>
      <c r="G9" s="396">
        <f t="shared" ref="G9:G38" si="0">G8+D9-E9</f>
        <v>14789</v>
      </c>
      <c r="H9" s="451">
        <f>G9/10417</f>
        <v>1.4196985696457713</v>
      </c>
      <c r="I9" s="772"/>
      <c r="J9" s="772"/>
      <c r="K9" s="772"/>
      <c r="L9" s="772"/>
      <c r="M9" s="970"/>
      <c r="N9" s="970"/>
      <c r="O9" s="969"/>
      <c r="P9" s="969"/>
      <c r="Q9" s="650">
        <f>G9/$Q$8</f>
        <v>1.356440547382324</v>
      </c>
    </row>
    <row r="10" spans="1:31" s="333" customFormat="1" ht="12" customHeight="1">
      <c r="A10" s="330">
        <v>2</v>
      </c>
      <c r="B10" s="365">
        <f>'FRIT HGE91-FHG'!B10</f>
        <v>46236</v>
      </c>
      <c r="C10" s="331" t="s">
        <v>334</v>
      </c>
      <c r="D10" s="396">
        <f t="shared" ref="D10:D39" si="1">M10+N10</f>
        <v>0</v>
      </c>
      <c r="E10" s="396">
        <f t="shared" ref="E10:E39" si="2">I10+J10+K10+L10</f>
        <v>0</v>
      </c>
      <c r="F10" s="396">
        <f>$F$9</f>
        <v>10902.777777777777</v>
      </c>
      <c r="G10" s="396">
        <f t="shared" si="0"/>
        <v>14789</v>
      </c>
      <c r="H10" s="451">
        <f t="shared" ref="H10:H39" si="3">G10/10417</f>
        <v>1.4196985696457713</v>
      </c>
      <c r="I10" s="772"/>
      <c r="J10" s="772"/>
      <c r="K10" s="772"/>
      <c r="L10" s="772"/>
      <c r="M10" s="970"/>
      <c r="N10" s="970"/>
      <c r="O10" s="969"/>
      <c r="P10" s="969"/>
      <c r="Q10" s="650">
        <f t="shared" ref="Q10:Q39" si="4">G10/$Q$8</f>
        <v>1.356440547382324</v>
      </c>
    </row>
    <row r="11" spans="1:31" s="333" customFormat="1" ht="12" customHeight="1">
      <c r="A11" s="330">
        <v>3</v>
      </c>
      <c r="B11" s="365">
        <f>'FRIT HGE91-FHG'!B11</f>
        <v>46237</v>
      </c>
      <c r="C11" s="331" t="s">
        <v>334</v>
      </c>
      <c r="D11" s="396">
        <f t="shared" si="1"/>
        <v>4800</v>
      </c>
      <c r="E11" s="396">
        <f t="shared" si="2"/>
        <v>10000</v>
      </c>
      <c r="F11" s="396">
        <f>$F$9</f>
        <v>10902.777777777777</v>
      </c>
      <c r="G11" s="396">
        <f t="shared" si="0"/>
        <v>9589</v>
      </c>
      <c r="H11" s="451">
        <f t="shared" si="3"/>
        <v>0.92051454353460693</v>
      </c>
      <c r="I11" s="772"/>
      <c r="J11" s="772">
        <v>10000</v>
      </c>
      <c r="K11" s="772"/>
      <c r="L11" s="772"/>
      <c r="M11" s="970"/>
      <c r="N11" s="970">
        <v>4800</v>
      </c>
      <c r="O11" s="969"/>
      <c r="P11" s="969"/>
      <c r="Q11" s="650">
        <f t="shared" si="4"/>
        <v>0.87949884433356573</v>
      </c>
    </row>
    <row r="12" spans="1:31" s="367" customFormat="1" ht="12" customHeight="1">
      <c r="A12" s="330">
        <v>4</v>
      </c>
      <c r="B12" s="365">
        <f>'FRIT HGE91-FHG'!B12</f>
        <v>46238</v>
      </c>
      <c r="C12" s="331" t="s">
        <v>334</v>
      </c>
      <c r="D12" s="396">
        <f t="shared" si="1"/>
        <v>5080</v>
      </c>
      <c r="E12" s="396">
        <f t="shared" si="2"/>
        <v>0</v>
      </c>
      <c r="F12" s="396">
        <f t="shared" ref="F12:F39" si="5">$F$9</f>
        <v>10902.777777777777</v>
      </c>
      <c r="G12" s="396">
        <f t="shared" si="0"/>
        <v>14669</v>
      </c>
      <c r="H12" s="451">
        <f t="shared" si="3"/>
        <v>1.4081789382739753</v>
      </c>
      <c r="I12" s="772"/>
      <c r="J12" s="772"/>
      <c r="K12" s="772"/>
      <c r="L12" s="772"/>
      <c r="M12" s="970"/>
      <c r="N12" s="970">
        <v>5080</v>
      </c>
      <c r="O12" s="969"/>
      <c r="P12" s="969"/>
      <c r="Q12" s="650">
        <f t="shared" si="4"/>
        <v>1.3454342003888911</v>
      </c>
    </row>
    <row r="13" spans="1:31" s="367" customFormat="1" ht="12" customHeight="1">
      <c r="A13" s="425">
        <v>5</v>
      </c>
      <c r="B13" s="365">
        <f>'FRIT HGE91-FHG'!B13</f>
        <v>46239</v>
      </c>
      <c r="C13" s="331" t="s">
        <v>334</v>
      </c>
      <c r="D13" s="396">
        <f t="shared" si="1"/>
        <v>0</v>
      </c>
      <c r="E13" s="396">
        <f t="shared" si="2"/>
        <v>5000</v>
      </c>
      <c r="F13" s="396">
        <f t="shared" si="5"/>
        <v>10902.777777777777</v>
      </c>
      <c r="G13" s="769">
        <f t="shared" si="0"/>
        <v>9669</v>
      </c>
      <c r="H13" s="451">
        <f t="shared" si="3"/>
        <v>0.92819429778247098</v>
      </c>
      <c r="I13" s="772"/>
      <c r="J13" s="772">
        <v>5000</v>
      </c>
      <c r="K13" s="772"/>
      <c r="L13" s="772"/>
      <c r="M13" s="970"/>
      <c r="N13" s="970"/>
      <c r="O13" s="969"/>
      <c r="P13" s="969"/>
      <c r="Q13" s="650">
        <f t="shared" si="4"/>
        <v>0.88683640899585436</v>
      </c>
    </row>
    <row r="14" spans="1:31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1"/>
        <v>0</v>
      </c>
      <c r="E14" s="396">
        <f t="shared" si="2"/>
        <v>5000</v>
      </c>
      <c r="F14" s="396">
        <f t="shared" si="5"/>
        <v>10902.777777777777</v>
      </c>
      <c r="G14" s="396">
        <f t="shared" si="0"/>
        <v>4669</v>
      </c>
      <c r="H14" s="451">
        <f t="shared" si="3"/>
        <v>0.44820965729096668</v>
      </c>
      <c r="I14" s="772"/>
      <c r="J14" s="772">
        <v>5000</v>
      </c>
      <c r="K14" s="772"/>
      <c r="L14" s="772"/>
      <c r="M14" s="970"/>
      <c r="N14" s="970"/>
      <c r="O14" s="969"/>
      <c r="P14" s="969"/>
      <c r="Q14" s="650">
        <f t="shared" si="4"/>
        <v>0.42823861760281767</v>
      </c>
    </row>
    <row r="15" spans="1:31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f t="shared" si="1"/>
        <v>2300</v>
      </c>
      <c r="E15" s="396">
        <f t="shared" si="2"/>
        <v>0</v>
      </c>
      <c r="F15" s="396">
        <f t="shared" si="5"/>
        <v>10902.777777777777</v>
      </c>
      <c r="G15" s="396">
        <f t="shared" si="0"/>
        <v>6969</v>
      </c>
      <c r="H15" s="451">
        <f t="shared" si="3"/>
        <v>0.66900259191705869</v>
      </c>
      <c r="I15" s="772"/>
      <c r="J15" s="772"/>
      <c r="K15" s="772"/>
      <c r="L15" s="772"/>
      <c r="M15" s="970"/>
      <c r="N15" s="970">
        <v>2300</v>
      </c>
      <c r="O15" s="969"/>
      <c r="P15" s="969"/>
      <c r="Q15" s="650">
        <f t="shared" si="4"/>
        <v>0.6391936016436145</v>
      </c>
    </row>
    <row r="16" spans="1:31" s="367" customFormat="1" ht="12" customHeight="1">
      <c r="A16" s="330">
        <v>8</v>
      </c>
      <c r="B16" s="365">
        <f>'FRIT HGE91-FHG'!B16</f>
        <v>46242</v>
      </c>
      <c r="C16" s="331" t="s">
        <v>334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6969</v>
      </c>
      <c r="H16" s="451">
        <f t="shared" si="3"/>
        <v>0.66900259191705869</v>
      </c>
      <c r="I16" s="772"/>
      <c r="J16" s="772"/>
      <c r="K16" s="772"/>
      <c r="L16" s="772"/>
      <c r="M16" s="970"/>
      <c r="N16" s="970"/>
      <c r="O16" s="969"/>
      <c r="P16" s="969"/>
      <c r="Q16" s="650">
        <f t="shared" si="4"/>
        <v>0.6391936016436145</v>
      </c>
    </row>
    <row r="17" spans="1:17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6969</v>
      </c>
      <c r="H17" s="451">
        <f t="shared" si="3"/>
        <v>0.66900259191705869</v>
      </c>
      <c r="I17" s="772"/>
      <c r="J17" s="772"/>
      <c r="K17" s="772"/>
      <c r="L17" s="772"/>
      <c r="M17" s="970"/>
      <c r="N17" s="970"/>
      <c r="O17" s="969"/>
      <c r="P17" s="969"/>
      <c r="Q17" s="650">
        <f t="shared" si="4"/>
        <v>0.6391936016436145</v>
      </c>
    </row>
    <row r="18" spans="1:17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6969</v>
      </c>
      <c r="H18" s="451">
        <f t="shared" si="3"/>
        <v>0.66900259191705869</v>
      </c>
      <c r="I18" s="772"/>
      <c r="J18" s="772"/>
      <c r="K18" s="772"/>
      <c r="L18" s="772"/>
      <c r="M18" s="970"/>
      <c r="N18" s="970"/>
      <c r="O18" s="969"/>
      <c r="P18" s="969"/>
      <c r="Q18" s="650">
        <f t="shared" si="4"/>
        <v>0.6391936016436145</v>
      </c>
    </row>
    <row r="19" spans="1:17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6969</v>
      </c>
      <c r="H19" s="451">
        <f t="shared" si="3"/>
        <v>0.66900259191705869</v>
      </c>
      <c r="I19" s="772"/>
      <c r="J19" s="772"/>
      <c r="K19" s="772"/>
      <c r="L19" s="772"/>
      <c r="M19" s="970"/>
      <c r="N19" s="970"/>
      <c r="O19" s="969"/>
      <c r="P19" s="969"/>
      <c r="Q19" s="650">
        <f t="shared" si="4"/>
        <v>0.6391936016436145</v>
      </c>
    </row>
    <row r="20" spans="1:17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1500</v>
      </c>
      <c r="F20" s="396">
        <f t="shared" si="5"/>
        <v>10902.777777777777</v>
      </c>
      <c r="G20" s="396">
        <f t="shared" si="0"/>
        <v>5469</v>
      </c>
      <c r="H20" s="451">
        <f t="shared" si="3"/>
        <v>0.52500719976960741</v>
      </c>
      <c r="I20" s="772"/>
      <c r="J20" s="772">
        <v>1500</v>
      </c>
      <c r="K20" s="772"/>
      <c r="L20" s="772"/>
      <c r="M20" s="970"/>
      <c r="N20" s="970"/>
      <c r="O20" s="969"/>
      <c r="P20" s="969"/>
      <c r="Q20" s="650">
        <f t="shared" si="4"/>
        <v>0.50161426422570354</v>
      </c>
    </row>
    <row r="21" spans="1:17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5469</v>
      </c>
      <c r="H21" s="451">
        <f t="shared" si="3"/>
        <v>0.52500719976960741</v>
      </c>
      <c r="I21" s="772"/>
      <c r="J21" s="772"/>
      <c r="K21" s="772"/>
      <c r="L21" s="772"/>
      <c r="M21" s="970"/>
      <c r="N21" s="970"/>
      <c r="O21" s="969"/>
      <c r="P21" s="969"/>
      <c r="Q21" s="650">
        <f t="shared" si="4"/>
        <v>0.50161426422570354</v>
      </c>
    </row>
    <row r="22" spans="1:17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5469</v>
      </c>
      <c r="H22" s="451">
        <f t="shared" si="3"/>
        <v>0.52500719976960741</v>
      </c>
      <c r="I22" s="772"/>
      <c r="J22" s="772"/>
      <c r="K22" s="772"/>
      <c r="L22" s="772"/>
      <c r="M22" s="970"/>
      <c r="N22" s="970"/>
      <c r="O22" s="969"/>
      <c r="P22" s="969"/>
      <c r="Q22" s="650">
        <f t="shared" si="4"/>
        <v>0.50161426422570354</v>
      </c>
    </row>
    <row r="23" spans="1:17" s="367" customFormat="1" ht="12" customHeight="1">
      <c r="A23" s="425">
        <v>15</v>
      </c>
      <c r="B23" s="365">
        <f>'FRIT HGE91-FHG'!B23</f>
        <v>46249</v>
      </c>
      <c r="C23" s="331" t="s">
        <v>348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5469</v>
      </c>
      <c r="H23" s="451">
        <f t="shared" si="3"/>
        <v>0.52500719976960741</v>
      </c>
      <c r="I23" s="772"/>
      <c r="J23" s="772"/>
      <c r="K23" s="772"/>
      <c r="L23" s="772"/>
      <c r="M23" s="970"/>
      <c r="N23" s="970"/>
      <c r="O23" s="969"/>
      <c r="P23" s="969"/>
      <c r="Q23" s="650">
        <f t="shared" si="4"/>
        <v>0.50161426422570354</v>
      </c>
    </row>
    <row r="24" spans="1:17" s="367" customFormat="1" ht="12" customHeight="1">
      <c r="A24" s="330">
        <v>16</v>
      </c>
      <c r="B24" s="365">
        <f>'FRIT HGE91-FHG'!B24</f>
        <v>46250</v>
      </c>
      <c r="C24" s="331" t="s">
        <v>334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5469</v>
      </c>
      <c r="H24" s="451">
        <f t="shared" si="3"/>
        <v>0.52500719976960741</v>
      </c>
      <c r="I24" s="772"/>
      <c r="J24" s="772"/>
      <c r="K24" s="772"/>
      <c r="L24" s="772"/>
      <c r="M24" s="970"/>
      <c r="N24" s="970"/>
      <c r="O24" s="969"/>
      <c r="P24" s="969"/>
      <c r="Q24" s="650">
        <f t="shared" si="4"/>
        <v>0.50161426422570354</v>
      </c>
    </row>
    <row r="25" spans="1:17" s="367" customFormat="1" ht="12" customHeight="1">
      <c r="A25" s="330">
        <v>17</v>
      </c>
      <c r="B25" s="365">
        <f>'FRIT HGE91-FHG'!B25</f>
        <v>46251</v>
      </c>
      <c r="C25" s="331" t="s">
        <v>346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5469</v>
      </c>
      <c r="H25" s="451">
        <f t="shared" si="3"/>
        <v>0.52500719976960741</v>
      </c>
      <c r="I25" s="772"/>
      <c r="J25" s="772"/>
      <c r="K25" s="772"/>
      <c r="L25" s="772"/>
      <c r="M25" s="970"/>
      <c r="N25" s="970"/>
      <c r="O25" s="969"/>
      <c r="P25" s="969"/>
      <c r="Q25" s="650">
        <f t="shared" si="4"/>
        <v>0.50161426422570354</v>
      </c>
    </row>
    <row r="26" spans="1:17" s="367" customFormat="1" ht="12" customHeight="1">
      <c r="A26" s="330">
        <v>18</v>
      </c>
      <c r="B26" s="365">
        <f>'FRIT HGE91-FHG'!B26</f>
        <v>46252</v>
      </c>
      <c r="C26" s="331" t="s">
        <v>346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5469</v>
      </c>
      <c r="H26" s="451">
        <f t="shared" si="3"/>
        <v>0.52500719976960741</v>
      </c>
      <c r="I26" s="772"/>
      <c r="J26" s="772"/>
      <c r="K26" s="772"/>
      <c r="L26" s="772"/>
      <c r="M26" s="970"/>
      <c r="N26" s="970"/>
      <c r="O26" s="969"/>
      <c r="P26" s="969"/>
      <c r="Q26" s="650">
        <f t="shared" si="4"/>
        <v>0.50161426422570354</v>
      </c>
    </row>
    <row r="27" spans="1:17" s="367" customFormat="1" ht="12" customHeight="1">
      <c r="A27" s="330">
        <v>19</v>
      </c>
      <c r="B27" s="365">
        <f>'FRIT HGE91-FHG'!B27</f>
        <v>46253</v>
      </c>
      <c r="C27" s="331" t="s">
        <v>334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5469</v>
      </c>
      <c r="H27" s="451">
        <f t="shared" si="3"/>
        <v>0.52500719976960741</v>
      </c>
      <c r="I27" s="772"/>
      <c r="J27" s="772"/>
      <c r="K27" s="772"/>
      <c r="L27" s="772"/>
      <c r="M27" s="970"/>
      <c r="N27" s="970"/>
      <c r="O27" s="969"/>
      <c r="P27" s="969"/>
      <c r="Q27" s="650">
        <f t="shared" si="4"/>
        <v>0.50161426422570354</v>
      </c>
    </row>
    <row r="28" spans="1:17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5469</v>
      </c>
      <c r="H28" s="451">
        <f t="shared" si="3"/>
        <v>0.52500719976960741</v>
      </c>
      <c r="I28" s="772"/>
      <c r="J28" s="772"/>
      <c r="K28" s="772"/>
      <c r="L28" s="772"/>
      <c r="M28" s="970"/>
      <c r="N28" s="970"/>
      <c r="O28" s="969"/>
      <c r="P28" s="969"/>
      <c r="Q28" s="650">
        <f t="shared" si="4"/>
        <v>0.50161426422570354</v>
      </c>
    </row>
    <row r="29" spans="1:17" s="367" customFormat="1" ht="12" customHeight="1">
      <c r="A29" s="330">
        <v>21</v>
      </c>
      <c r="B29" s="365">
        <f>'FRIT HGE91-FHG'!B29</f>
        <v>46255</v>
      </c>
      <c r="C29" s="331" t="s">
        <v>346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5469</v>
      </c>
      <c r="H29" s="451">
        <f t="shared" si="3"/>
        <v>0.52500719976960741</v>
      </c>
      <c r="I29" s="772"/>
      <c r="J29" s="772"/>
      <c r="K29" s="772"/>
      <c r="L29" s="772"/>
      <c r="M29" s="970"/>
      <c r="N29" s="970"/>
      <c r="O29" s="969"/>
      <c r="P29" s="969"/>
      <c r="Q29" s="650">
        <f t="shared" si="4"/>
        <v>0.50161426422570354</v>
      </c>
    </row>
    <row r="30" spans="1:17" s="367" customFormat="1" ht="12" customHeight="1">
      <c r="A30" s="330">
        <v>22</v>
      </c>
      <c r="B30" s="365">
        <f>'FRIT HGE91-FHG'!B30</f>
        <v>46256</v>
      </c>
      <c r="C30" s="331" t="s">
        <v>346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5469</v>
      </c>
      <c r="H30" s="451">
        <f t="shared" si="3"/>
        <v>0.52500719976960741</v>
      </c>
      <c r="I30" s="772"/>
      <c r="J30" s="772"/>
      <c r="K30" s="772"/>
      <c r="L30" s="772"/>
      <c r="M30" s="970"/>
      <c r="N30" s="970"/>
      <c r="O30" s="969"/>
      <c r="P30" s="969"/>
      <c r="Q30" s="650">
        <f t="shared" si="4"/>
        <v>0.50161426422570354</v>
      </c>
    </row>
    <row r="31" spans="1:17" s="367" customFormat="1" ht="15">
      <c r="A31" s="330">
        <v>23</v>
      </c>
      <c r="B31" s="365">
        <f>'FRIT HGE91-FHG'!B31</f>
        <v>46257</v>
      </c>
      <c r="C31" s="331" t="s">
        <v>346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5469</v>
      </c>
      <c r="H31" s="451">
        <f t="shared" si="3"/>
        <v>0.52500719976960741</v>
      </c>
      <c r="I31" s="772"/>
      <c r="J31" s="772"/>
      <c r="K31" s="772"/>
      <c r="L31" s="772"/>
      <c r="M31" s="970"/>
      <c r="N31" s="970"/>
      <c r="O31" s="969"/>
      <c r="P31" s="969"/>
      <c r="Q31" s="650">
        <f t="shared" si="4"/>
        <v>0.50161426422570354</v>
      </c>
    </row>
    <row r="32" spans="1:17" s="367" customFormat="1" ht="12" customHeight="1">
      <c r="A32" s="330">
        <v>24</v>
      </c>
      <c r="B32" s="365">
        <f>'FRIT HGE91-FHG'!B32</f>
        <v>46258</v>
      </c>
      <c r="C32" s="331" t="s">
        <v>334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5469</v>
      </c>
      <c r="H32" s="451">
        <f t="shared" si="3"/>
        <v>0.52500719976960741</v>
      </c>
      <c r="I32" s="772"/>
      <c r="J32" s="772"/>
      <c r="K32" s="772"/>
      <c r="L32" s="772"/>
      <c r="M32" s="970"/>
      <c r="N32" s="970"/>
      <c r="O32" s="969"/>
      <c r="P32" s="969"/>
      <c r="Q32" s="650">
        <f t="shared" si="4"/>
        <v>0.50161426422570354</v>
      </c>
    </row>
    <row r="33" spans="1:18" s="367" customFormat="1" ht="12" customHeight="1">
      <c r="A33" s="426">
        <v>25</v>
      </c>
      <c r="B33" s="365">
        <f>'FRIT HGE91-FHG'!B33</f>
        <v>46259</v>
      </c>
      <c r="C33" s="331" t="s">
        <v>334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5469</v>
      </c>
      <c r="H33" s="451">
        <f t="shared" si="3"/>
        <v>0.52500719976960741</v>
      </c>
      <c r="I33" s="772"/>
      <c r="J33" s="772"/>
      <c r="K33" s="772"/>
      <c r="L33" s="772"/>
      <c r="M33" s="970"/>
      <c r="N33" s="970"/>
      <c r="O33" s="969"/>
      <c r="P33" s="969"/>
      <c r="Q33" s="650">
        <f t="shared" si="4"/>
        <v>0.50161426422570354</v>
      </c>
    </row>
    <row r="34" spans="1:18" s="367" customFormat="1" ht="12" customHeight="1">
      <c r="A34" s="330">
        <v>26</v>
      </c>
      <c r="B34" s="365">
        <f>'FRIT HGE91-FHG'!B34</f>
        <v>46260</v>
      </c>
      <c r="C34" s="331" t="s">
        <v>346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5469</v>
      </c>
      <c r="H34" s="451">
        <f t="shared" si="3"/>
        <v>0.52500719976960741</v>
      </c>
      <c r="I34" s="772"/>
      <c r="J34" s="772"/>
      <c r="K34" s="772"/>
      <c r="L34" s="772"/>
      <c r="M34" s="970"/>
      <c r="N34" s="970"/>
      <c r="O34" s="969"/>
      <c r="P34" s="969"/>
      <c r="Q34" s="650">
        <f t="shared" si="4"/>
        <v>0.50161426422570354</v>
      </c>
    </row>
    <row r="35" spans="1:18" s="367" customFormat="1" ht="15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5469</v>
      </c>
      <c r="H35" s="451">
        <f t="shared" si="3"/>
        <v>0.52500719976960741</v>
      </c>
      <c r="I35" s="772"/>
      <c r="J35" s="772"/>
      <c r="K35" s="772"/>
      <c r="L35" s="772"/>
      <c r="M35" s="970"/>
      <c r="N35" s="970"/>
      <c r="O35" s="969"/>
      <c r="P35" s="969"/>
      <c r="Q35" s="650">
        <f t="shared" si="4"/>
        <v>0.50161426422570354</v>
      </c>
    </row>
    <row r="36" spans="1:18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5469</v>
      </c>
      <c r="H36" s="451">
        <f t="shared" si="3"/>
        <v>0.52500719976960741</v>
      </c>
      <c r="I36" s="772"/>
      <c r="J36" s="772"/>
      <c r="K36" s="772"/>
      <c r="L36" s="772"/>
      <c r="M36" s="970"/>
      <c r="N36" s="970"/>
      <c r="O36" s="969"/>
      <c r="P36" s="969"/>
      <c r="Q36" s="650">
        <f t="shared" si="4"/>
        <v>0.50161426422570354</v>
      </c>
    </row>
    <row r="37" spans="1:18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5469</v>
      </c>
      <c r="H37" s="451">
        <f t="shared" si="3"/>
        <v>0.52500719976960741</v>
      </c>
      <c r="I37" s="772"/>
      <c r="J37" s="772"/>
      <c r="K37" s="772"/>
      <c r="L37" s="772"/>
      <c r="M37" s="970"/>
      <c r="N37" s="970"/>
      <c r="O37" s="969"/>
      <c r="P37" s="969"/>
      <c r="Q37" s="650">
        <f t="shared" si="4"/>
        <v>0.50161426422570354</v>
      </c>
    </row>
    <row r="38" spans="1:18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 t="shared" si="0"/>
        <v>5469</v>
      </c>
      <c r="H38" s="451">
        <f t="shared" si="3"/>
        <v>0.52500719976960741</v>
      </c>
      <c r="I38" s="772"/>
      <c r="J38" s="772"/>
      <c r="K38" s="772"/>
      <c r="L38" s="772"/>
      <c r="M38" s="970"/>
      <c r="N38" s="970"/>
      <c r="O38" s="969"/>
      <c r="P38" s="969"/>
      <c r="Q38" s="650">
        <f t="shared" si="4"/>
        <v>0.50161426422570354</v>
      </c>
    </row>
    <row r="39" spans="1:18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 t="shared" si="5"/>
        <v>10902.777777777777</v>
      </c>
      <c r="G39" s="396">
        <f>G38+D39-E39</f>
        <v>5469</v>
      </c>
      <c r="H39" s="451">
        <f t="shared" si="3"/>
        <v>0.52500719976960741</v>
      </c>
      <c r="I39" s="772"/>
      <c r="J39" s="772"/>
      <c r="K39" s="772"/>
      <c r="L39" s="772"/>
      <c r="M39" s="970"/>
      <c r="N39" s="970"/>
      <c r="O39" s="969"/>
      <c r="P39" s="969"/>
      <c r="Q39" s="650">
        <f t="shared" si="4"/>
        <v>0.50161426422570354</v>
      </c>
    </row>
    <row r="40" spans="1:18" s="374" customFormat="1" ht="12" customHeight="1">
      <c r="A40" s="1647" t="s">
        <v>29</v>
      </c>
      <c r="B40" s="1647"/>
      <c r="C40" s="1647"/>
      <c r="D40" s="448">
        <f>SUM(D9:D39)</f>
        <v>12180</v>
      </c>
      <c r="E40" s="389">
        <f>SUM(E9:E39)</f>
        <v>21500</v>
      </c>
      <c r="F40" s="449"/>
      <c r="G40" s="389">
        <f>G39</f>
        <v>5469</v>
      </c>
      <c r="H40" s="309"/>
      <c r="I40" s="689">
        <f>SUM(I9:I39)</f>
        <v>0</v>
      </c>
      <c r="J40" s="689">
        <f t="shared" ref="J40:N40" si="6">SUM(J9:J39)</f>
        <v>21500</v>
      </c>
      <c r="K40" s="689">
        <f t="shared" si="6"/>
        <v>0</v>
      </c>
      <c r="L40" s="689">
        <f t="shared" si="6"/>
        <v>0</v>
      </c>
      <c r="M40" s="689">
        <f t="shared" si="6"/>
        <v>0</v>
      </c>
      <c r="N40" s="689">
        <f t="shared" si="6"/>
        <v>12180</v>
      </c>
      <c r="O40" s="794"/>
      <c r="P40" s="794"/>
    </row>
    <row r="41" spans="1:18" s="374" customFormat="1" ht="12" customHeight="1">
      <c r="A41" s="1647" t="s">
        <v>15</v>
      </c>
      <c r="B41" s="1647"/>
      <c r="C41" s="1647"/>
      <c r="D41" s="448">
        <f>D8+D40</f>
        <v>26969</v>
      </c>
      <c r="E41" s="389">
        <f>E40</f>
        <v>21500</v>
      </c>
      <c r="F41" s="449"/>
      <c r="G41" s="389">
        <f>D41-E41</f>
        <v>5469</v>
      </c>
      <c r="H41" s="309"/>
      <c r="I41" s="689"/>
      <c r="J41" s="689"/>
      <c r="K41" s="689"/>
      <c r="L41" s="689"/>
      <c r="M41" s="689"/>
      <c r="N41" s="689"/>
      <c r="O41" s="794"/>
      <c r="P41" s="794"/>
    </row>
    <row r="42" spans="1:18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  <c r="O42" s="343"/>
      <c r="P42" s="343"/>
    </row>
    <row r="43" spans="1:18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  <c r="O43" s="343"/>
      <c r="P43" s="343"/>
    </row>
    <row r="44" spans="1:18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  <c r="P44" s="343"/>
    </row>
    <row r="45" spans="1:18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  <c r="O45" s="343"/>
      <c r="P45" s="343"/>
    </row>
    <row r="46" spans="1:18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  <c r="O46" s="343"/>
      <c r="P46" s="343"/>
    </row>
    <row r="47" spans="1:18">
      <c r="R47" s="151"/>
    </row>
    <row r="48" spans="1:18">
      <c r="R48" s="151"/>
    </row>
    <row r="49" spans="18:18">
      <c r="R49" s="151"/>
    </row>
  </sheetData>
  <mergeCells count="7">
    <mergeCell ref="A41:C41"/>
    <mergeCell ref="A3:I3"/>
    <mergeCell ref="A4:B4"/>
    <mergeCell ref="M7:M8"/>
    <mergeCell ref="N7:N8"/>
    <mergeCell ref="A8:C8"/>
    <mergeCell ref="A40:C40"/>
  </mergeCells>
  <conditionalFormatting sqref="H9:H39">
    <cfRule type="cellIs" dxfId="8807" priority="19" operator="between">
      <formula>3.5</formula>
      <formula>6</formula>
    </cfRule>
    <cfRule type="cellIs" dxfId="8806" priority="20" operator="lessThan">
      <formula>3.5</formula>
    </cfRule>
    <cfRule type="cellIs" dxfId="8805" priority="21" operator="greaterThan">
      <formula>6</formula>
    </cfRule>
  </conditionalFormatting>
  <conditionalFormatting sqref="H9:H39">
    <cfRule type="cellIs" dxfId="8804" priority="16" operator="between">
      <formula>3.5</formula>
      <formula>6</formula>
    </cfRule>
    <cfRule type="cellIs" dxfId="8803" priority="17" operator="lessThan">
      <formula>3.5</formula>
    </cfRule>
    <cfRule type="cellIs" dxfId="8802" priority="18" operator="greaterThan">
      <formula>6</formula>
    </cfRule>
  </conditionalFormatting>
  <conditionalFormatting sqref="H9:H39">
    <cfRule type="cellIs" dxfId="8801" priority="13" operator="between">
      <formula>3.5</formula>
      <formula>6</formula>
    </cfRule>
    <cfRule type="cellIs" dxfId="8800" priority="14" operator="lessThan">
      <formula>3.5</formula>
    </cfRule>
    <cfRule type="cellIs" dxfId="8799" priority="15" operator="greaterThan">
      <formula>6</formula>
    </cfRule>
  </conditionalFormatting>
  <conditionalFormatting sqref="H9:H39">
    <cfRule type="cellIs" dxfId="8798" priority="10" operator="between">
      <formula>3.5</formula>
      <formula>6</formula>
    </cfRule>
    <cfRule type="cellIs" dxfId="8797" priority="11" operator="lessThan">
      <formula>3.5</formula>
    </cfRule>
    <cfRule type="cellIs" dxfId="8796" priority="12" operator="greaterThan">
      <formula>6</formula>
    </cfRule>
  </conditionalFormatting>
  <conditionalFormatting sqref="H9:H39">
    <cfRule type="cellIs" dxfId="8795" priority="7" operator="between">
      <formula>3.5</formula>
      <formula>6</formula>
    </cfRule>
    <cfRule type="cellIs" dxfId="8794" priority="8" operator="lessThan">
      <formula>3.5</formula>
    </cfRule>
    <cfRule type="cellIs" dxfId="8793" priority="9" operator="greaterThan">
      <formula>6</formula>
    </cfRule>
  </conditionalFormatting>
  <conditionalFormatting sqref="H9:H39">
    <cfRule type="cellIs" dxfId="8792" priority="4" operator="between">
      <formula>3.5</formula>
      <formula>6</formula>
    </cfRule>
    <cfRule type="cellIs" dxfId="8791" priority="5" operator="lessThan">
      <formula>3.5</formula>
    </cfRule>
    <cfRule type="cellIs" dxfId="8790" priority="6" operator="greaterThan">
      <formula>6</formula>
    </cfRule>
  </conditionalFormatting>
  <conditionalFormatting sqref="H9:H39">
    <cfRule type="cellIs" dxfId="8789" priority="1" operator="between">
      <formula>3.5</formula>
      <formula>6</formula>
    </cfRule>
    <cfRule type="cellIs" dxfId="8788" priority="2" operator="lessThan">
      <formula>3.5</formula>
    </cfRule>
    <cfRule type="cellIs" dxfId="8787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9" orientation="landscape" horizontalDpi="4294967292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Z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388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10903</v>
      </c>
    </row>
    <row r="9" spans="1:26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8" si="0">G8+D9-E9</f>
        <v>0</v>
      </c>
      <c r="H9" s="451">
        <f t="shared" ref="H9:H39" si="1">G9/10417</f>
        <v>0</v>
      </c>
      <c r="I9" s="767"/>
      <c r="J9" s="767"/>
      <c r="K9" s="767"/>
      <c r="L9" s="650">
        <f>G9/L8</f>
        <v>0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2">I10+J10+K10</f>
        <v>0</v>
      </c>
      <c r="F10" s="396">
        <f>$F$9</f>
        <v>10902.777777777777</v>
      </c>
      <c r="G10" s="396">
        <f t="shared" si="0"/>
        <v>0</v>
      </c>
      <c r="H10" s="451">
        <f t="shared" si="1"/>
        <v>0</v>
      </c>
      <c r="I10" s="767"/>
      <c r="J10" s="767"/>
      <c r="K10" s="767"/>
      <c r="L10" s="650" t="e">
        <f t="shared" ref="L10:L39" si="3">G10/L9</f>
        <v>#DIV/0!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2"/>
        <v>0</v>
      </c>
      <c r="F11" s="396">
        <f>$F$9</f>
        <v>10902.777777777777</v>
      </c>
      <c r="G11" s="396">
        <f t="shared" si="0"/>
        <v>0</v>
      </c>
      <c r="H11" s="451">
        <f t="shared" si="1"/>
        <v>0</v>
      </c>
      <c r="I11" s="767"/>
      <c r="J11" s="767"/>
      <c r="K11" s="767"/>
      <c r="L11" s="650" t="e">
        <f t="shared" si="3"/>
        <v>#DIV/0!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2"/>
        <v>0</v>
      </c>
      <c r="F12" s="396">
        <f t="shared" ref="F12:F39" si="4">$F$9</f>
        <v>10902.777777777777</v>
      </c>
      <c r="G12" s="396">
        <f t="shared" si="0"/>
        <v>0</v>
      </c>
      <c r="H12" s="451">
        <f t="shared" si="1"/>
        <v>0</v>
      </c>
      <c r="I12" s="767"/>
      <c r="J12" s="767"/>
      <c r="K12" s="767"/>
      <c r="L12" s="650" t="e">
        <f t="shared" si="3"/>
        <v>#DIV/0!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346</v>
      </c>
      <c r="D13" s="768"/>
      <c r="E13" s="396">
        <f t="shared" si="2"/>
        <v>0</v>
      </c>
      <c r="F13" s="396">
        <f t="shared" si="4"/>
        <v>10902.777777777777</v>
      </c>
      <c r="G13" s="769">
        <f t="shared" si="0"/>
        <v>0</v>
      </c>
      <c r="H13" s="451">
        <f t="shared" si="1"/>
        <v>0</v>
      </c>
      <c r="I13" s="767"/>
      <c r="J13" s="767"/>
      <c r="K13" s="767"/>
      <c r="L13" s="650" t="e">
        <f t="shared" si="3"/>
        <v>#DIV/0!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2"/>
        <v>0</v>
      </c>
      <c r="F14" s="396">
        <f t="shared" si="4"/>
        <v>10902.777777777777</v>
      </c>
      <c r="G14" s="396">
        <f t="shared" si="0"/>
        <v>0</v>
      </c>
      <c r="H14" s="451">
        <f t="shared" si="1"/>
        <v>0</v>
      </c>
      <c r="I14" s="767"/>
      <c r="J14" s="767"/>
      <c r="K14" s="767"/>
      <c r="L14" s="650" t="e">
        <f t="shared" si="3"/>
        <v>#DIV/0!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104</v>
      </c>
      <c r="D15" s="768"/>
      <c r="E15" s="396">
        <f t="shared" si="2"/>
        <v>0</v>
      </c>
      <c r="F15" s="396">
        <f t="shared" si="4"/>
        <v>10902.777777777777</v>
      </c>
      <c r="G15" s="396">
        <f t="shared" si="0"/>
        <v>0</v>
      </c>
      <c r="H15" s="451">
        <f t="shared" si="1"/>
        <v>0</v>
      </c>
      <c r="I15" s="767"/>
      <c r="J15" s="767"/>
      <c r="K15" s="767"/>
      <c r="L15" s="650" t="e">
        <f t="shared" si="3"/>
        <v>#DIV/0!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104</v>
      </c>
      <c r="D16" s="768"/>
      <c r="E16" s="396">
        <f t="shared" si="2"/>
        <v>0</v>
      </c>
      <c r="F16" s="396">
        <f t="shared" si="4"/>
        <v>10902.777777777777</v>
      </c>
      <c r="G16" s="396">
        <f t="shared" si="0"/>
        <v>0</v>
      </c>
      <c r="H16" s="451">
        <f t="shared" si="1"/>
        <v>0</v>
      </c>
      <c r="I16" s="767"/>
      <c r="J16" s="767"/>
      <c r="K16" s="767"/>
      <c r="L16" s="650" t="e">
        <f t="shared" si="3"/>
        <v>#DIV/0!</v>
      </c>
    </row>
    <row r="17" spans="1:12" s="367" customFormat="1" ht="12" customHeight="1">
      <c r="A17" s="330">
        <v>9</v>
      </c>
      <c r="B17" s="365">
        <f>'FRIT HGE91-FHG'!B17</f>
        <v>46243</v>
      </c>
      <c r="C17" s="331" t="s">
        <v>104</v>
      </c>
      <c r="D17" s="768"/>
      <c r="E17" s="396">
        <f t="shared" si="2"/>
        <v>0</v>
      </c>
      <c r="F17" s="396">
        <f t="shared" si="4"/>
        <v>10902.777777777777</v>
      </c>
      <c r="G17" s="396">
        <f t="shared" si="0"/>
        <v>0</v>
      </c>
      <c r="H17" s="451">
        <f t="shared" si="1"/>
        <v>0</v>
      </c>
      <c r="I17" s="767"/>
      <c r="J17" s="767"/>
      <c r="K17" s="767"/>
      <c r="L17" s="650" t="e">
        <f t="shared" si="3"/>
        <v>#DIV/0!</v>
      </c>
    </row>
    <row r="18" spans="1:12" s="367" customFormat="1" ht="12" customHeight="1">
      <c r="A18" s="425">
        <v>10</v>
      </c>
      <c r="B18" s="365">
        <f>'FRIT HGE91-FHG'!B18</f>
        <v>46244</v>
      </c>
      <c r="C18" s="331" t="s">
        <v>104</v>
      </c>
      <c r="D18" s="768"/>
      <c r="E18" s="396">
        <f t="shared" si="2"/>
        <v>0</v>
      </c>
      <c r="F18" s="396">
        <f t="shared" si="4"/>
        <v>10902.777777777777</v>
      </c>
      <c r="G18" s="769">
        <f t="shared" si="0"/>
        <v>0</v>
      </c>
      <c r="H18" s="451">
        <f t="shared" si="1"/>
        <v>0</v>
      </c>
      <c r="I18" s="767"/>
      <c r="J18" s="767"/>
      <c r="K18" s="767"/>
      <c r="L18" s="650" t="e">
        <f t="shared" si="3"/>
        <v>#DIV/0!</v>
      </c>
    </row>
    <row r="19" spans="1:12" s="367" customFormat="1" ht="12" customHeight="1">
      <c r="A19" s="330">
        <v>11</v>
      </c>
      <c r="B19" s="365">
        <f>'FRIT HGE91-FHG'!B19</f>
        <v>46245</v>
      </c>
      <c r="C19" s="331" t="s">
        <v>346</v>
      </c>
      <c r="D19" s="768"/>
      <c r="E19" s="396">
        <f t="shared" si="2"/>
        <v>0</v>
      </c>
      <c r="F19" s="396">
        <f t="shared" si="4"/>
        <v>10902.777777777777</v>
      </c>
      <c r="G19" s="396">
        <f t="shared" si="0"/>
        <v>0</v>
      </c>
      <c r="H19" s="451">
        <f t="shared" si="1"/>
        <v>0</v>
      </c>
      <c r="I19" s="767"/>
      <c r="J19" s="767"/>
      <c r="K19" s="767"/>
      <c r="L19" s="650" t="e">
        <f t="shared" si="3"/>
        <v>#DIV/0!</v>
      </c>
    </row>
    <row r="20" spans="1:12" s="367" customFormat="1" ht="12" customHeight="1">
      <c r="A20" s="330">
        <v>12</v>
      </c>
      <c r="B20" s="365">
        <f>'FRIT HGE91-FHG'!B20</f>
        <v>46246</v>
      </c>
      <c r="C20" s="331" t="s">
        <v>104</v>
      </c>
      <c r="D20" s="768"/>
      <c r="E20" s="396">
        <f t="shared" si="2"/>
        <v>0</v>
      </c>
      <c r="F20" s="396">
        <f t="shared" si="4"/>
        <v>10902.777777777777</v>
      </c>
      <c r="G20" s="396">
        <f t="shared" si="0"/>
        <v>0</v>
      </c>
      <c r="H20" s="451">
        <f t="shared" si="1"/>
        <v>0</v>
      </c>
      <c r="I20" s="767"/>
      <c r="J20" s="767"/>
      <c r="K20" s="767"/>
      <c r="L20" s="650" t="e">
        <f t="shared" si="3"/>
        <v>#DIV/0!</v>
      </c>
    </row>
    <row r="21" spans="1:12" s="367" customFormat="1" ht="12" customHeight="1">
      <c r="A21" s="330">
        <v>13</v>
      </c>
      <c r="B21" s="365">
        <f>'FRIT HGE91-FHG'!B21</f>
        <v>46247</v>
      </c>
      <c r="C21" s="331" t="s">
        <v>104</v>
      </c>
      <c r="D21" s="768"/>
      <c r="E21" s="396">
        <f t="shared" si="2"/>
        <v>0</v>
      </c>
      <c r="F21" s="396">
        <f t="shared" si="4"/>
        <v>10902.777777777777</v>
      </c>
      <c r="G21" s="396">
        <f t="shared" si="0"/>
        <v>0</v>
      </c>
      <c r="H21" s="451">
        <f t="shared" si="1"/>
        <v>0</v>
      </c>
      <c r="I21" s="767"/>
      <c r="J21" s="767"/>
      <c r="K21" s="767"/>
      <c r="L21" s="650" t="e">
        <f t="shared" si="3"/>
        <v>#DIV/0!</v>
      </c>
    </row>
    <row r="22" spans="1:12" s="367" customFormat="1" ht="12" customHeight="1">
      <c r="A22" s="330">
        <v>14</v>
      </c>
      <c r="B22" s="365">
        <f>'FRIT HGE91-FHG'!B22</f>
        <v>46248</v>
      </c>
      <c r="C22" s="331" t="s">
        <v>104</v>
      </c>
      <c r="D22" s="768"/>
      <c r="E22" s="396">
        <f t="shared" si="2"/>
        <v>0</v>
      </c>
      <c r="F22" s="396">
        <f t="shared" si="4"/>
        <v>10902.777777777777</v>
      </c>
      <c r="G22" s="396">
        <f t="shared" si="0"/>
        <v>0</v>
      </c>
      <c r="H22" s="451">
        <f t="shared" si="1"/>
        <v>0</v>
      </c>
      <c r="I22" s="767"/>
      <c r="J22" s="767"/>
      <c r="K22" s="767"/>
      <c r="L22" s="650" t="e">
        <f t="shared" si="3"/>
        <v>#DIV/0!</v>
      </c>
    </row>
    <row r="23" spans="1:12" s="367" customFormat="1" ht="12" customHeight="1">
      <c r="A23" s="425">
        <v>15</v>
      </c>
      <c r="B23" s="365">
        <f>'FRIT HGE91-FHG'!B23</f>
        <v>46249</v>
      </c>
      <c r="C23" s="331" t="s">
        <v>104</v>
      </c>
      <c r="D23" s="768"/>
      <c r="E23" s="396">
        <f t="shared" si="2"/>
        <v>0</v>
      </c>
      <c r="F23" s="396">
        <f t="shared" si="4"/>
        <v>10902.777777777777</v>
      </c>
      <c r="G23" s="769">
        <f t="shared" si="0"/>
        <v>0</v>
      </c>
      <c r="H23" s="451">
        <f t="shared" si="1"/>
        <v>0</v>
      </c>
      <c r="I23" s="767"/>
      <c r="J23" s="767"/>
      <c r="K23" s="767"/>
      <c r="L23" s="650" t="e">
        <f t="shared" si="3"/>
        <v>#DIV/0!</v>
      </c>
    </row>
    <row r="24" spans="1:12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2"/>
        <v>0</v>
      </c>
      <c r="F24" s="396">
        <f t="shared" si="4"/>
        <v>10902.777777777777</v>
      </c>
      <c r="G24" s="396">
        <f t="shared" si="0"/>
        <v>0</v>
      </c>
      <c r="H24" s="451">
        <f t="shared" si="1"/>
        <v>0</v>
      </c>
      <c r="I24" s="767"/>
      <c r="J24" s="767"/>
      <c r="K24" s="767"/>
      <c r="L24" s="650" t="e">
        <f t="shared" si="3"/>
        <v>#DIV/0!</v>
      </c>
    </row>
    <row r="25" spans="1:12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2"/>
        <v>0</v>
      </c>
      <c r="F25" s="396">
        <f t="shared" si="4"/>
        <v>10902.777777777777</v>
      </c>
      <c r="G25" s="396">
        <f t="shared" si="0"/>
        <v>0</v>
      </c>
      <c r="H25" s="451">
        <f t="shared" si="1"/>
        <v>0</v>
      </c>
      <c r="I25" s="767"/>
      <c r="J25" s="767"/>
      <c r="K25" s="767"/>
      <c r="L25" s="650" t="e">
        <f t="shared" si="3"/>
        <v>#DIV/0!</v>
      </c>
    </row>
    <row r="26" spans="1:12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2"/>
        <v>0</v>
      </c>
      <c r="F26" s="396">
        <f t="shared" si="4"/>
        <v>10902.777777777777</v>
      </c>
      <c r="G26" s="396">
        <f t="shared" si="0"/>
        <v>0</v>
      </c>
      <c r="H26" s="451">
        <f t="shared" si="1"/>
        <v>0</v>
      </c>
      <c r="I26" s="767"/>
      <c r="J26" s="767"/>
      <c r="K26" s="767"/>
      <c r="L26" s="650" t="e">
        <f t="shared" si="3"/>
        <v>#DIV/0!</v>
      </c>
    </row>
    <row r="27" spans="1:12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2"/>
        <v>0</v>
      </c>
      <c r="F27" s="396">
        <f t="shared" si="4"/>
        <v>10902.777777777777</v>
      </c>
      <c r="G27" s="396">
        <f t="shared" si="0"/>
        <v>0</v>
      </c>
      <c r="H27" s="451">
        <f t="shared" si="1"/>
        <v>0</v>
      </c>
      <c r="I27" s="767"/>
      <c r="J27" s="767"/>
      <c r="K27" s="767"/>
      <c r="L27" s="650" t="e">
        <f t="shared" si="3"/>
        <v>#DIV/0!</v>
      </c>
    </row>
    <row r="28" spans="1:12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2"/>
        <v>0</v>
      </c>
      <c r="F28" s="396">
        <f t="shared" si="4"/>
        <v>10902.777777777777</v>
      </c>
      <c r="G28" s="769">
        <f t="shared" si="0"/>
        <v>0</v>
      </c>
      <c r="H28" s="451">
        <f t="shared" si="1"/>
        <v>0</v>
      </c>
      <c r="I28" s="767"/>
      <c r="J28" s="767"/>
      <c r="K28" s="767"/>
      <c r="L28" s="650" t="e">
        <f t="shared" si="3"/>
        <v>#DIV/0!</v>
      </c>
    </row>
    <row r="29" spans="1:12" s="367" customFormat="1" ht="12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2"/>
        <v>0</v>
      </c>
      <c r="F29" s="396">
        <f t="shared" si="4"/>
        <v>10902.777777777777</v>
      </c>
      <c r="G29" s="393">
        <f t="shared" si="0"/>
        <v>0</v>
      </c>
      <c r="H29" s="451">
        <f t="shared" si="1"/>
        <v>0</v>
      </c>
      <c r="I29" s="767"/>
      <c r="J29" s="767"/>
      <c r="K29" s="767"/>
      <c r="L29" s="650" t="e">
        <f t="shared" si="3"/>
        <v>#DIV/0!</v>
      </c>
    </row>
    <row r="30" spans="1:12" s="367" customFormat="1" ht="12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2"/>
        <v>0</v>
      </c>
      <c r="F30" s="396">
        <f t="shared" si="4"/>
        <v>10902.777777777777</v>
      </c>
      <c r="G30" s="393">
        <f t="shared" si="0"/>
        <v>0</v>
      </c>
      <c r="H30" s="451">
        <f t="shared" si="1"/>
        <v>0</v>
      </c>
      <c r="I30" s="767"/>
      <c r="J30" s="767"/>
      <c r="K30" s="767"/>
      <c r="L30" s="650" t="e">
        <f t="shared" si="3"/>
        <v>#DIV/0!</v>
      </c>
    </row>
    <row r="31" spans="1:12" s="367" customFormat="1" ht="12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2"/>
        <v>0</v>
      </c>
      <c r="F31" s="396">
        <f t="shared" si="4"/>
        <v>10902.777777777777</v>
      </c>
      <c r="G31" s="393">
        <f t="shared" si="0"/>
        <v>0</v>
      </c>
      <c r="H31" s="451">
        <f t="shared" si="1"/>
        <v>0</v>
      </c>
      <c r="I31" s="767"/>
      <c r="J31" s="767"/>
      <c r="K31" s="767"/>
      <c r="L31" s="650" t="e">
        <f t="shared" si="3"/>
        <v>#DIV/0!</v>
      </c>
    </row>
    <row r="32" spans="1:12" s="367" customFormat="1" ht="12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2"/>
        <v>0</v>
      </c>
      <c r="F32" s="396">
        <f t="shared" si="4"/>
        <v>10902.777777777777</v>
      </c>
      <c r="G32" s="393">
        <f t="shared" si="0"/>
        <v>0</v>
      </c>
      <c r="H32" s="451">
        <f t="shared" si="1"/>
        <v>0</v>
      </c>
      <c r="I32" s="767"/>
      <c r="J32" s="767"/>
      <c r="K32" s="767"/>
      <c r="L32" s="650" t="e">
        <f t="shared" si="3"/>
        <v>#DIV/0!</v>
      </c>
    </row>
    <row r="33" spans="1:13" s="367" customFormat="1" ht="12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2"/>
        <v>0</v>
      </c>
      <c r="F33" s="396">
        <f t="shared" si="4"/>
        <v>10902.777777777777</v>
      </c>
      <c r="G33" s="770">
        <f t="shared" si="0"/>
        <v>0</v>
      </c>
      <c r="H33" s="451">
        <f t="shared" si="1"/>
        <v>0</v>
      </c>
      <c r="I33" s="767"/>
      <c r="J33" s="767"/>
      <c r="K33" s="767"/>
      <c r="L33" s="650" t="e">
        <f t="shared" si="3"/>
        <v>#DIV/0!</v>
      </c>
    </row>
    <row r="34" spans="1:13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2"/>
        <v>0</v>
      </c>
      <c r="F34" s="396">
        <f t="shared" si="4"/>
        <v>10902.777777777777</v>
      </c>
      <c r="G34" s="396">
        <f t="shared" si="0"/>
        <v>0</v>
      </c>
      <c r="H34" s="451">
        <f t="shared" si="1"/>
        <v>0</v>
      </c>
      <c r="I34" s="767"/>
      <c r="J34" s="767"/>
      <c r="K34" s="767"/>
      <c r="L34" s="650" t="e">
        <f t="shared" si="3"/>
        <v>#DIV/0!</v>
      </c>
    </row>
    <row r="35" spans="1:13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2"/>
        <v>0</v>
      </c>
      <c r="F35" s="396">
        <f t="shared" si="4"/>
        <v>10902.777777777777</v>
      </c>
      <c r="G35" s="396">
        <f t="shared" si="0"/>
        <v>0</v>
      </c>
      <c r="H35" s="451">
        <f t="shared" si="1"/>
        <v>0</v>
      </c>
      <c r="I35" s="767"/>
      <c r="J35" s="767"/>
      <c r="K35" s="767"/>
      <c r="L35" s="650" t="e">
        <f t="shared" si="3"/>
        <v>#DIV/0!</v>
      </c>
    </row>
    <row r="36" spans="1:13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2"/>
        <v>0</v>
      </c>
      <c r="F36" s="396">
        <f t="shared" si="4"/>
        <v>10902.777777777777</v>
      </c>
      <c r="G36" s="396">
        <f t="shared" si="0"/>
        <v>0</v>
      </c>
      <c r="H36" s="451">
        <f t="shared" si="1"/>
        <v>0</v>
      </c>
      <c r="I36" s="767"/>
      <c r="J36" s="767"/>
      <c r="K36" s="767"/>
      <c r="L36" s="650" t="e">
        <f t="shared" si="3"/>
        <v>#DIV/0!</v>
      </c>
    </row>
    <row r="37" spans="1:13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2"/>
        <v>0</v>
      </c>
      <c r="F37" s="396">
        <f t="shared" si="4"/>
        <v>10902.777777777777</v>
      </c>
      <c r="G37" s="396">
        <f t="shared" si="0"/>
        <v>0</v>
      </c>
      <c r="H37" s="451">
        <f t="shared" si="1"/>
        <v>0</v>
      </c>
      <c r="I37" s="767"/>
      <c r="J37" s="767"/>
      <c r="K37" s="767"/>
      <c r="L37" s="650" t="e">
        <f t="shared" si="3"/>
        <v>#DIV/0!</v>
      </c>
    </row>
    <row r="38" spans="1:13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2"/>
        <v>0</v>
      </c>
      <c r="F38" s="396">
        <f t="shared" si="4"/>
        <v>10902.777777777777</v>
      </c>
      <c r="G38" s="769">
        <f t="shared" si="0"/>
        <v>0</v>
      </c>
      <c r="H38" s="451">
        <f t="shared" si="1"/>
        <v>0</v>
      </c>
      <c r="I38" s="767"/>
      <c r="J38" s="767"/>
      <c r="K38" s="767"/>
      <c r="L38" s="650" t="e">
        <f t="shared" si="3"/>
        <v>#DIV/0!</v>
      </c>
    </row>
    <row r="39" spans="1:13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2"/>
        <v>0</v>
      </c>
      <c r="F39" s="396">
        <f t="shared" si="4"/>
        <v>10902.777777777777</v>
      </c>
      <c r="G39" s="396">
        <f>G38+D39-E39</f>
        <v>0</v>
      </c>
      <c r="H39" s="451">
        <f t="shared" si="1"/>
        <v>0</v>
      </c>
      <c r="I39" s="767"/>
      <c r="J39" s="767"/>
      <c r="K39" s="767"/>
      <c r="L39" s="650" t="e">
        <f t="shared" si="3"/>
        <v>#DIV/0!</v>
      </c>
    </row>
    <row r="40" spans="1:13" s="374" customFormat="1" ht="12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2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8786" priority="43" operator="between">
      <formula>3.5</formula>
      <formula>6</formula>
    </cfRule>
    <cfRule type="cellIs" dxfId="8785" priority="44" operator="lessThan">
      <formula>3.5</formula>
    </cfRule>
    <cfRule type="cellIs" dxfId="8784" priority="45" operator="greaterThan">
      <formula>6</formula>
    </cfRule>
  </conditionalFormatting>
  <conditionalFormatting sqref="H9:H39">
    <cfRule type="cellIs" dxfId="8783" priority="28" operator="between">
      <formula>3.5</formula>
      <formula>6</formula>
    </cfRule>
    <cfRule type="cellIs" dxfId="8782" priority="29" operator="lessThan">
      <formula>3.5</formula>
    </cfRule>
    <cfRule type="cellIs" dxfId="8781" priority="30" operator="greaterThan">
      <formula>6</formula>
    </cfRule>
  </conditionalFormatting>
  <conditionalFormatting sqref="H9:H39">
    <cfRule type="cellIs" dxfId="8780" priority="25" operator="between">
      <formula>3.5</formula>
      <formula>6</formula>
    </cfRule>
    <cfRule type="cellIs" dxfId="8779" priority="26" operator="lessThan">
      <formula>3.5</formula>
    </cfRule>
    <cfRule type="cellIs" dxfId="8778" priority="27" operator="greaterThan">
      <formula>6</formula>
    </cfRule>
  </conditionalFormatting>
  <conditionalFormatting sqref="H9:H39">
    <cfRule type="cellIs" dxfId="8777" priority="22" operator="between">
      <formula>3.5</formula>
      <formula>6</formula>
    </cfRule>
    <cfRule type="cellIs" dxfId="8776" priority="23" operator="lessThan">
      <formula>3.5</formula>
    </cfRule>
    <cfRule type="cellIs" dxfId="8775" priority="24" operator="greaterThan">
      <formula>6</formula>
    </cfRule>
  </conditionalFormatting>
  <conditionalFormatting sqref="H9:H39">
    <cfRule type="cellIs" dxfId="8774" priority="19" operator="between">
      <formula>3.5</formula>
      <formula>6</formula>
    </cfRule>
    <cfRule type="cellIs" dxfId="8773" priority="20" operator="lessThan">
      <formula>3.5</formula>
    </cfRule>
    <cfRule type="cellIs" dxfId="8772" priority="21" operator="greaterThan">
      <formula>6</formula>
    </cfRule>
  </conditionalFormatting>
  <conditionalFormatting sqref="H9:H39">
    <cfRule type="cellIs" dxfId="8771" priority="16" operator="between">
      <formula>3.5</formula>
      <formula>6</formula>
    </cfRule>
    <cfRule type="cellIs" dxfId="8770" priority="17" operator="lessThan">
      <formula>3.5</formula>
    </cfRule>
    <cfRule type="cellIs" dxfId="8769" priority="18" operator="greaterThan">
      <formula>6</formula>
    </cfRule>
  </conditionalFormatting>
  <conditionalFormatting sqref="H9:H39">
    <cfRule type="cellIs" dxfId="8768" priority="13" operator="between">
      <formula>3.5</formula>
      <formula>6</formula>
    </cfRule>
    <cfRule type="cellIs" dxfId="8767" priority="14" operator="lessThan">
      <formula>3.5</formula>
    </cfRule>
    <cfRule type="cellIs" dxfId="8766" priority="15" operator="greaterThan">
      <formula>6</formula>
    </cfRule>
  </conditionalFormatting>
  <conditionalFormatting sqref="H9:H39">
    <cfRule type="cellIs" dxfId="8765" priority="10" operator="between">
      <formula>3.5</formula>
      <formula>6</formula>
    </cfRule>
    <cfRule type="cellIs" dxfId="8764" priority="11" operator="lessThan">
      <formula>3.5</formula>
    </cfRule>
    <cfRule type="cellIs" dxfId="8763" priority="12" operator="greaterThan">
      <formula>6</formula>
    </cfRule>
  </conditionalFormatting>
  <conditionalFormatting sqref="H9:H39">
    <cfRule type="cellIs" dxfId="8762" priority="7" operator="between">
      <formula>3.5</formula>
      <formula>6</formula>
    </cfRule>
    <cfRule type="cellIs" dxfId="8761" priority="8" operator="lessThan">
      <formula>3.5</formula>
    </cfRule>
    <cfRule type="cellIs" dxfId="8760" priority="9" operator="greaterThan">
      <formula>6</formula>
    </cfRule>
  </conditionalFormatting>
  <conditionalFormatting sqref="H9:H39">
    <cfRule type="cellIs" dxfId="8759" priority="4" operator="between">
      <formula>3.5</formula>
      <formula>6</formula>
    </cfRule>
    <cfRule type="cellIs" dxfId="8758" priority="5" operator="lessThan">
      <formula>3.5</formula>
    </cfRule>
    <cfRule type="cellIs" dxfId="8757" priority="6" operator="greaterThan">
      <formula>6</formula>
    </cfRule>
  </conditionalFormatting>
  <conditionalFormatting sqref="H9:H39">
    <cfRule type="cellIs" dxfId="8756" priority="1" operator="between">
      <formula>3.5</formula>
      <formula>6</formula>
    </cfRule>
    <cfRule type="cellIs" dxfId="8755" priority="2" operator="lessThan">
      <formula>3.5</formula>
    </cfRule>
    <cfRule type="cellIs" dxfId="875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9" orientation="landscape" verticalDpi="0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Z49"/>
  <sheetViews>
    <sheetView zoomScale="90" zoomScaleNormal="90" workbookViewId="0">
      <pane ySplit="8" topLeftCell="A27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10.7109375" style="42" customWidth="1"/>
    <col min="10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389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0</v>
      </c>
    </row>
    <row r="9" spans="1:26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8" si="0">G8+D9-E9</f>
        <v>0</v>
      </c>
      <c r="H9" s="451">
        <f t="shared" ref="H9:H39" si="1">G9/10417</f>
        <v>0</v>
      </c>
      <c r="I9" s="772"/>
      <c r="J9" s="772"/>
      <c r="K9" s="772"/>
      <c r="L9" s="650" t="e">
        <f>G9/$L$8</f>
        <v>#DIV/0!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2">I10+J10+K10</f>
        <v>0</v>
      </c>
      <c r="F10" s="396">
        <f>$F$9</f>
        <v>10902.777777777777</v>
      </c>
      <c r="G10" s="396">
        <f t="shared" si="0"/>
        <v>0</v>
      </c>
      <c r="H10" s="451">
        <f t="shared" si="1"/>
        <v>0</v>
      </c>
      <c r="I10" s="772"/>
      <c r="J10" s="772"/>
      <c r="K10" s="772"/>
      <c r="L10" s="650" t="e">
        <f t="shared" ref="L10:L39" si="3">G10/$L$8</f>
        <v>#DIV/0!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2"/>
        <v>0</v>
      </c>
      <c r="F11" s="396">
        <f>$F$9</f>
        <v>10902.777777777777</v>
      </c>
      <c r="G11" s="396">
        <f t="shared" si="0"/>
        <v>0</v>
      </c>
      <c r="H11" s="451">
        <f t="shared" si="1"/>
        <v>0</v>
      </c>
      <c r="I11" s="772"/>
      <c r="J11" s="772"/>
      <c r="K11" s="772"/>
      <c r="L11" s="650" t="e">
        <f t="shared" si="3"/>
        <v>#DIV/0!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2"/>
        <v>0</v>
      </c>
      <c r="F12" s="396">
        <f t="shared" ref="F12:F39" si="4">$F$9</f>
        <v>10902.777777777777</v>
      </c>
      <c r="G12" s="396">
        <f>G11+D12-E12</f>
        <v>0</v>
      </c>
      <c r="H12" s="451">
        <f t="shared" si="1"/>
        <v>0</v>
      </c>
      <c r="I12" s="772"/>
      <c r="J12" s="772"/>
      <c r="K12" s="772"/>
      <c r="L12" s="650" t="e">
        <f t="shared" si="3"/>
        <v>#DIV/0!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96"/>
      <c r="E13" s="396">
        <f t="shared" si="2"/>
        <v>0</v>
      </c>
      <c r="F13" s="396">
        <f t="shared" si="4"/>
        <v>10902.777777777777</v>
      </c>
      <c r="G13" s="769">
        <f t="shared" si="0"/>
        <v>0</v>
      </c>
      <c r="H13" s="451">
        <f t="shared" si="1"/>
        <v>0</v>
      </c>
      <c r="I13" s="772"/>
      <c r="J13" s="772"/>
      <c r="K13" s="772"/>
      <c r="L13" s="650" t="e">
        <f t="shared" si="3"/>
        <v>#DIV/0!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2"/>
        <v>0</v>
      </c>
      <c r="F14" s="396">
        <f t="shared" si="4"/>
        <v>10902.777777777777</v>
      </c>
      <c r="G14" s="396">
        <f t="shared" si="0"/>
        <v>0</v>
      </c>
      <c r="H14" s="451">
        <f t="shared" si="1"/>
        <v>0</v>
      </c>
      <c r="I14" s="772"/>
      <c r="J14" s="772"/>
      <c r="K14" s="772"/>
      <c r="L14" s="650" t="e">
        <f t="shared" si="3"/>
        <v>#DIV/0!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2"/>
        <v>0</v>
      </c>
      <c r="F15" s="396">
        <f t="shared" si="4"/>
        <v>10902.777777777777</v>
      </c>
      <c r="G15" s="396">
        <f t="shared" si="0"/>
        <v>0</v>
      </c>
      <c r="H15" s="451">
        <f t="shared" si="1"/>
        <v>0</v>
      </c>
      <c r="I15" s="772"/>
      <c r="J15" s="772"/>
      <c r="K15" s="772"/>
      <c r="L15" s="650" t="e">
        <f t="shared" si="3"/>
        <v>#DIV/0!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2"/>
        <v>0</v>
      </c>
      <c r="F16" s="396">
        <f t="shared" si="4"/>
        <v>10902.777777777777</v>
      </c>
      <c r="G16" s="396">
        <f t="shared" si="0"/>
        <v>0</v>
      </c>
      <c r="H16" s="451">
        <f t="shared" si="1"/>
        <v>0</v>
      </c>
      <c r="I16" s="772"/>
      <c r="J16" s="772"/>
      <c r="K16" s="772"/>
      <c r="L16" s="650" t="e">
        <f t="shared" si="3"/>
        <v>#DIV/0!</v>
      </c>
    </row>
    <row r="17" spans="1:12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2"/>
        <v>0</v>
      </c>
      <c r="F17" s="396">
        <f t="shared" si="4"/>
        <v>10902.777777777777</v>
      </c>
      <c r="G17" s="396">
        <f t="shared" si="0"/>
        <v>0</v>
      </c>
      <c r="H17" s="451">
        <f t="shared" si="1"/>
        <v>0</v>
      </c>
      <c r="I17" s="772"/>
      <c r="J17" s="772"/>
      <c r="K17" s="772"/>
      <c r="L17" s="650" t="e">
        <f t="shared" si="3"/>
        <v>#DIV/0!</v>
      </c>
    </row>
    <row r="18" spans="1:12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2"/>
        <v>0</v>
      </c>
      <c r="F18" s="396">
        <f t="shared" si="4"/>
        <v>10902.777777777777</v>
      </c>
      <c r="G18" s="769">
        <f t="shared" si="0"/>
        <v>0</v>
      </c>
      <c r="H18" s="451">
        <f t="shared" si="1"/>
        <v>0</v>
      </c>
      <c r="I18" s="772"/>
      <c r="J18" s="772"/>
      <c r="K18" s="772"/>
      <c r="L18" s="650" t="e">
        <f t="shared" si="3"/>
        <v>#DIV/0!</v>
      </c>
    </row>
    <row r="19" spans="1:12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2"/>
        <v>0</v>
      </c>
      <c r="F19" s="396">
        <f t="shared" si="4"/>
        <v>10902.777777777777</v>
      </c>
      <c r="G19" s="396">
        <f t="shared" si="0"/>
        <v>0</v>
      </c>
      <c r="H19" s="451">
        <f t="shared" si="1"/>
        <v>0</v>
      </c>
      <c r="I19" s="772"/>
      <c r="J19" s="772"/>
      <c r="K19" s="772"/>
      <c r="L19" s="650" t="e">
        <f t="shared" si="3"/>
        <v>#DIV/0!</v>
      </c>
    </row>
    <row r="20" spans="1:12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2"/>
        <v>0</v>
      </c>
      <c r="F20" s="396">
        <f t="shared" si="4"/>
        <v>10902.777777777777</v>
      </c>
      <c r="G20" s="396">
        <f t="shared" si="0"/>
        <v>0</v>
      </c>
      <c r="H20" s="451">
        <f t="shared" si="1"/>
        <v>0</v>
      </c>
      <c r="I20" s="772"/>
      <c r="J20" s="772"/>
      <c r="K20" s="772"/>
      <c r="L20" s="650" t="e">
        <f t="shared" si="3"/>
        <v>#DIV/0!</v>
      </c>
    </row>
    <row r="21" spans="1:12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2"/>
        <v>0</v>
      </c>
      <c r="F21" s="396">
        <f t="shared" si="4"/>
        <v>10902.777777777777</v>
      </c>
      <c r="G21" s="396">
        <f t="shared" si="0"/>
        <v>0</v>
      </c>
      <c r="H21" s="451">
        <f t="shared" si="1"/>
        <v>0</v>
      </c>
      <c r="I21" s="772"/>
      <c r="J21" s="772"/>
      <c r="K21" s="772"/>
      <c r="L21" s="650" t="e">
        <f t="shared" si="3"/>
        <v>#DIV/0!</v>
      </c>
    </row>
    <row r="22" spans="1:12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2"/>
        <v>0</v>
      </c>
      <c r="F22" s="396">
        <f t="shared" si="4"/>
        <v>10902.777777777777</v>
      </c>
      <c r="G22" s="396">
        <f t="shared" si="0"/>
        <v>0</v>
      </c>
      <c r="H22" s="451">
        <f t="shared" si="1"/>
        <v>0</v>
      </c>
      <c r="I22" s="772"/>
      <c r="J22" s="772"/>
      <c r="K22" s="772"/>
      <c r="L22" s="650" t="e">
        <f t="shared" si="3"/>
        <v>#DIV/0!</v>
      </c>
    </row>
    <row r="23" spans="1:12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2"/>
        <v>0</v>
      </c>
      <c r="F23" s="396">
        <f t="shared" si="4"/>
        <v>10902.777777777777</v>
      </c>
      <c r="G23" s="769">
        <f t="shared" si="0"/>
        <v>0</v>
      </c>
      <c r="H23" s="451">
        <f t="shared" si="1"/>
        <v>0</v>
      </c>
      <c r="I23" s="772"/>
      <c r="J23" s="772"/>
      <c r="K23" s="772"/>
      <c r="L23" s="650" t="e">
        <f t="shared" si="3"/>
        <v>#DIV/0!</v>
      </c>
    </row>
    <row r="24" spans="1:12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2"/>
        <v>0</v>
      </c>
      <c r="F24" s="396">
        <f t="shared" si="4"/>
        <v>10902.777777777777</v>
      </c>
      <c r="G24" s="396">
        <f t="shared" si="0"/>
        <v>0</v>
      </c>
      <c r="H24" s="451">
        <f t="shared" si="1"/>
        <v>0</v>
      </c>
      <c r="I24" s="772"/>
      <c r="J24" s="772"/>
      <c r="K24" s="772"/>
      <c r="L24" s="650" t="e">
        <f t="shared" si="3"/>
        <v>#DIV/0!</v>
      </c>
    </row>
    <row r="25" spans="1:12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2"/>
        <v>0</v>
      </c>
      <c r="F25" s="396">
        <f t="shared" si="4"/>
        <v>10902.777777777777</v>
      </c>
      <c r="G25" s="396">
        <f t="shared" si="0"/>
        <v>0</v>
      </c>
      <c r="H25" s="451">
        <f t="shared" si="1"/>
        <v>0</v>
      </c>
      <c r="I25" s="772"/>
      <c r="J25" s="772"/>
      <c r="K25" s="772"/>
      <c r="L25" s="650" t="e">
        <f t="shared" si="3"/>
        <v>#DIV/0!</v>
      </c>
    </row>
    <row r="26" spans="1:12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2"/>
        <v>0</v>
      </c>
      <c r="F26" s="396">
        <f t="shared" si="4"/>
        <v>10902.777777777777</v>
      </c>
      <c r="G26" s="396">
        <f t="shared" si="0"/>
        <v>0</v>
      </c>
      <c r="H26" s="451">
        <f t="shared" si="1"/>
        <v>0</v>
      </c>
      <c r="I26" s="772"/>
      <c r="J26" s="772"/>
      <c r="K26" s="772"/>
      <c r="L26" s="650" t="e">
        <f t="shared" si="3"/>
        <v>#DIV/0!</v>
      </c>
    </row>
    <row r="27" spans="1:12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2"/>
        <v>0</v>
      </c>
      <c r="F27" s="396">
        <f t="shared" si="4"/>
        <v>10902.777777777777</v>
      </c>
      <c r="G27" s="396">
        <f t="shared" si="0"/>
        <v>0</v>
      </c>
      <c r="H27" s="451">
        <f t="shared" si="1"/>
        <v>0</v>
      </c>
      <c r="I27" s="772"/>
      <c r="J27" s="772"/>
      <c r="K27" s="772"/>
      <c r="L27" s="650" t="e">
        <f t="shared" si="3"/>
        <v>#DIV/0!</v>
      </c>
    </row>
    <row r="28" spans="1:12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2"/>
        <v>0</v>
      </c>
      <c r="F28" s="396">
        <f t="shared" si="4"/>
        <v>10902.777777777777</v>
      </c>
      <c r="G28" s="769">
        <f t="shared" si="0"/>
        <v>0</v>
      </c>
      <c r="H28" s="451">
        <f t="shared" si="1"/>
        <v>0</v>
      </c>
      <c r="I28" s="772"/>
      <c r="J28" s="772"/>
      <c r="K28" s="772"/>
      <c r="L28" s="650" t="e">
        <f t="shared" si="3"/>
        <v>#DIV/0!</v>
      </c>
    </row>
    <row r="29" spans="1:12" s="367" customFormat="1" ht="12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2"/>
        <v>0</v>
      </c>
      <c r="F29" s="396">
        <f t="shared" si="4"/>
        <v>10902.777777777777</v>
      </c>
      <c r="G29" s="393">
        <f t="shared" si="0"/>
        <v>0</v>
      </c>
      <c r="H29" s="451">
        <f t="shared" si="1"/>
        <v>0</v>
      </c>
      <c r="I29" s="772"/>
      <c r="J29" s="772"/>
      <c r="K29" s="772"/>
      <c r="L29" s="650" t="e">
        <f t="shared" si="3"/>
        <v>#DIV/0!</v>
      </c>
    </row>
    <row r="30" spans="1:12" s="367" customFormat="1" ht="12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2"/>
        <v>0</v>
      </c>
      <c r="F30" s="396">
        <f t="shared" si="4"/>
        <v>10902.777777777777</v>
      </c>
      <c r="G30" s="393">
        <f t="shared" si="0"/>
        <v>0</v>
      </c>
      <c r="H30" s="451">
        <f t="shared" si="1"/>
        <v>0</v>
      </c>
      <c r="I30" s="772"/>
      <c r="J30" s="772"/>
      <c r="K30" s="772"/>
      <c r="L30" s="650" t="e">
        <f t="shared" si="3"/>
        <v>#DIV/0!</v>
      </c>
    </row>
    <row r="31" spans="1:12" s="367" customFormat="1" ht="12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2"/>
        <v>0</v>
      </c>
      <c r="F31" s="396">
        <f t="shared" si="4"/>
        <v>10902.777777777777</v>
      </c>
      <c r="G31" s="393">
        <f t="shared" si="0"/>
        <v>0</v>
      </c>
      <c r="H31" s="451">
        <f t="shared" si="1"/>
        <v>0</v>
      </c>
      <c r="I31" s="772"/>
      <c r="J31" s="772"/>
      <c r="K31" s="772"/>
      <c r="L31" s="650" t="e">
        <f t="shared" si="3"/>
        <v>#DIV/0!</v>
      </c>
    </row>
    <row r="32" spans="1:12" s="367" customFormat="1" ht="12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2"/>
        <v>0</v>
      </c>
      <c r="F32" s="396">
        <f t="shared" si="4"/>
        <v>10902.777777777777</v>
      </c>
      <c r="G32" s="393">
        <f t="shared" si="0"/>
        <v>0</v>
      </c>
      <c r="H32" s="451">
        <f t="shared" si="1"/>
        <v>0</v>
      </c>
      <c r="I32" s="772"/>
      <c r="J32" s="772"/>
      <c r="K32" s="772"/>
      <c r="L32" s="650" t="e">
        <f t="shared" si="3"/>
        <v>#DIV/0!</v>
      </c>
    </row>
    <row r="33" spans="1:13" s="367" customFormat="1" ht="12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2"/>
        <v>0</v>
      </c>
      <c r="F33" s="396">
        <f t="shared" si="4"/>
        <v>10902.777777777777</v>
      </c>
      <c r="G33" s="770">
        <f t="shared" si="0"/>
        <v>0</v>
      </c>
      <c r="H33" s="451">
        <f t="shared" si="1"/>
        <v>0</v>
      </c>
      <c r="I33" s="772"/>
      <c r="J33" s="772"/>
      <c r="K33" s="772"/>
      <c r="L33" s="650" t="e">
        <f t="shared" si="3"/>
        <v>#DIV/0!</v>
      </c>
    </row>
    <row r="34" spans="1:13" s="367" customFormat="1" ht="12.7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2"/>
        <v>0</v>
      </c>
      <c r="F34" s="396">
        <f t="shared" si="4"/>
        <v>10902.777777777777</v>
      </c>
      <c r="G34" s="396">
        <f t="shared" si="0"/>
        <v>0</v>
      </c>
      <c r="H34" s="451">
        <f t="shared" si="1"/>
        <v>0</v>
      </c>
      <c r="I34" s="772"/>
      <c r="J34" s="772"/>
      <c r="K34" s="772"/>
      <c r="L34" s="650" t="e">
        <f t="shared" si="3"/>
        <v>#DIV/0!</v>
      </c>
    </row>
    <row r="35" spans="1:13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2"/>
        <v>0</v>
      </c>
      <c r="F35" s="396">
        <f t="shared" si="4"/>
        <v>10902.777777777777</v>
      </c>
      <c r="G35" s="396">
        <f t="shared" si="0"/>
        <v>0</v>
      </c>
      <c r="H35" s="451">
        <f t="shared" si="1"/>
        <v>0</v>
      </c>
      <c r="I35" s="772"/>
      <c r="J35" s="772"/>
      <c r="K35" s="772"/>
      <c r="L35" s="650" t="e">
        <f t="shared" si="3"/>
        <v>#DIV/0!</v>
      </c>
    </row>
    <row r="36" spans="1:13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2"/>
        <v>0</v>
      </c>
      <c r="F36" s="396">
        <f t="shared" si="4"/>
        <v>10902.777777777777</v>
      </c>
      <c r="G36" s="396">
        <f t="shared" si="0"/>
        <v>0</v>
      </c>
      <c r="H36" s="451">
        <f t="shared" si="1"/>
        <v>0</v>
      </c>
      <c r="I36" s="772"/>
      <c r="J36" s="772"/>
      <c r="K36" s="772"/>
      <c r="L36" s="650" t="e">
        <f t="shared" si="3"/>
        <v>#DIV/0!</v>
      </c>
    </row>
    <row r="37" spans="1:13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2"/>
        <v>0</v>
      </c>
      <c r="F37" s="396">
        <f t="shared" si="4"/>
        <v>10902.777777777777</v>
      </c>
      <c r="G37" s="396">
        <f t="shared" si="0"/>
        <v>0</v>
      </c>
      <c r="H37" s="451">
        <f t="shared" si="1"/>
        <v>0</v>
      </c>
      <c r="I37" s="772"/>
      <c r="J37" s="772"/>
      <c r="K37" s="772"/>
      <c r="L37" s="650" t="e">
        <f t="shared" si="3"/>
        <v>#DIV/0!</v>
      </c>
    </row>
    <row r="38" spans="1:13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2"/>
        <v>0</v>
      </c>
      <c r="F38" s="396">
        <f t="shared" si="4"/>
        <v>10902.777777777777</v>
      </c>
      <c r="G38" s="769">
        <f t="shared" si="0"/>
        <v>0</v>
      </c>
      <c r="H38" s="451">
        <f t="shared" si="1"/>
        <v>0</v>
      </c>
      <c r="I38" s="772"/>
      <c r="J38" s="772"/>
      <c r="K38" s="772"/>
      <c r="L38" s="650" t="e">
        <f t="shared" si="3"/>
        <v>#DIV/0!</v>
      </c>
    </row>
    <row r="39" spans="1:13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396"/>
      <c r="E39" s="396">
        <f t="shared" si="2"/>
        <v>0</v>
      </c>
      <c r="F39" s="396">
        <f t="shared" si="4"/>
        <v>10902.777777777777</v>
      </c>
      <c r="G39" s="396">
        <f>G38+D39-E39</f>
        <v>0</v>
      </c>
      <c r="H39" s="451">
        <f t="shared" si="1"/>
        <v>0</v>
      </c>
      <c r="I39" s="772"/>
      <c r="J39" s="772"/>
      <c r="K39" s="772"/>
      <c r="L39" s="650" t="e">
        <f t="shared" si="3"/>
        <v>#DIV/0!</v>
      </c>
    </row>
    <row r="40" spans="1:13" s="374" customFormat="1" ht="12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2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8:C8"/>
    <mergeCell ref="A40:C40"/>
    <mergeCell ref="A41:C41"/>
    <mergeCell ref="A4:B4"/>
  </mergeCells>
  <conditionalFormatting sqref="H9:H39">
    <cfRule type="cellIs" dxfId="8753" priority="52" operator="between">
      <formula>3.5</formula>
      <formula>6</formula>
    </cfRule>
    <cfRule type="cellIs" dxfId="8752" priority="53" operator="lessThan">
      <formula>3.5</formula>
    </cfRule>
    <cfRule type="cellIs" dxfId="8751" priority="54" operator="greaterThan">
      <formula>6</formula>
    </cfRule>
  </conditionalFormatting>
  <conditionalFormatting sqref="H9:H39">
    <cfRule type="cellIs" dxfId="8750" priority="31" operator="between">
      <formula>3.5</formula>
      <formula>6</formula>
    </cfRule>
    <cfRule type="cellIs" dxfId="8749" priority="32" operator="lessThan">
      <formula>3.5</formula>
    </cfRule>
    <cfRule type="cellIs" dxfId="8748" priority="33" operator="greaterThan">
      <formula>6</formula>
    </cfRule>
  </conditionalFormatting>
  <conditionalFormatting sqref="H9:H39">
    <cfRule type="cellIs" dxfId="8747" priority="28" operator="between">
      <formula>3.5</formula>
      <formula>6</formula>
    </cfRule>
    <cfRule type="cellIs" dxfId="8746" priority="29" operator="lessThan">
      <formula>3.5</formula>
    </cfRule>
    <cfRule type="cellIs" dxfId="8745" priority="30" operator="greaterThan">
      <formula>6</formula>
    </cfRule>
  </conditionalFormatting>
  <conditionalFormatting sqref="H9:H39">
    <cfRule type="cellIs" dxfId="8744" priority="25" operator="between">
      <formula>3.5</formula>
      <formula>6</formula>
    </cfRule>
    <cfRule type="cellIs" dxfId="8743" priority="26" operator="lessThan">
      <formula>3.5</formula>
    </cfRule>
    <cfRule type="cellIs" dxfId="8742" priority="27" operator="greaterThan">
      <formula>6</formula>
    </cfRule>
  </conditionalFormatting>
  <conditionalFormatting sqref="H9:H39">
    <cfRule type="cellIs" dxfId="8741" priority="22" operator="between">
      <formula>3.5</formula>
      <formula>6</formula>
    </cfRule>
    <cfRule type="cellIs" dxfId="8740" priority="23" operator="lessThan">
      <formula>3.5</formula>
    </cfRule>
    <cfRule type="cellIs" dxfId="8739" priority="24" operator="greaterThan">
      <formula>6</formula>
    </cfRule>
  </conditionalFormatting>
  <conditionalFormatting sqref="H9:H39">
    <cfRule type="cellIs" dxfId="8738" priority="19" operator="between">
      <formula>3.5</formula>
      <formula>6</formula>
    </cfRule>
    <cfRule type="cellIs" dxfId="8737" priority="20" operator="lessThan">
      <formula>3.5</formula>
    </cfRule>
    <cfRule type="cellIs" dxfId="8736" priority="21" operator="greaterThan">
      <formula>6</formula>
    </cfRule>
  </conditionalFormatting>
  <conditionalFormatting sqref="H9:H39">
    <cfRule type="cellIs" dxfId="8735" priority="16" operator="between">
      <formula>3.5</formula>
      <formula>6</formula>
    </cfRule>
    <cfRule type="cellIs" dxfId="8734" priority="17" operator="lessThan">
      <formula>3.5</formula>
    </cfRule>
    <cfRule type="cellIs" dxfId="8733" priority="18" operator="greaterThan">
      <formula>6</formula>
    </cfRule>
  </conditionalFormatting>
  <conditionalFormatting sqref="H9:H39">
    <cfRule type="cellIs" dxfId="8732" priority="13" operator="between">
      <formula>3.5</formula>
      <formula>6</formula>
    </cfRule>
    <cfRule type="cellIs" dxfId="8731" priority="14" operator="lessThan">
      <formula>3.5</formula>
    </cfRule>
    <cfRule type="cellIs" dxfId="8730" priority="15" operator="greaterThan">
      <formula>6</formula>
    </cfRule>
  </conditionalFormatting>
  <conditionalFormatting sqref="H9:H39">
    <cfRule type="cellIs" dxfId="8729" priority="10" operator="between">
      <formula>3.5</formula>
      <formula>6</formula>
    </cfRule>
    <cfRule type="cellIs" dxfId="8728" priority="11" operator="lessThan">
      <formula>3.5</formula>
    </cfRule>
    <cfRule type="cellIs" dxfId="8727" priority="12" operator="greaterThan">
      <formula>6</formula>
    </cfRule>
  </conditionalFormatting>
  <conditionalFormatting sqref="H9:H39">
    <cfRule type="cellIs" dxfId="8726" priority="7" operator="between">
      <formula>3.5</formula>
      <formula>6</formula>
    </cfRule>
    <cfRule type="cellIs" dxfId="8725" priority="8" operator="lessThan">
      <formula>3.5</formula>
    </cfRule>
    <cfRule type="cellIs" dxfId="8724" priority="9" operator="greaterThan">
      <formula>6</formula>
    </cfRule>
  </conditionalFormatting>
  <conditionalFormatting sqref="H9:H39">
    <cfRule type="cellIs" dxfId="8723" priority="4" operator="between">
      <formula>3.5</formula>
      <formula>6</formula>
    </cfRule>
    <cfRule type="cellIs" dxfId="8722" priority="5" operator="lessThan">
      <formula>3.5</formula>
    </cfRule>
    <cfRule type="cellIs" dxfId="8721" priority="6" operator="greaterThan">
      <formula>6</formula>
    </cfRule>
  </conditionalFormatting>
  <conditionalFormatting sqref="H9:H39">
    <cfRule type="cellIs" dxfId="8720" priority="1" operator="between">
      <formula>3.5</formula>
      <formula>6</formula>
    </cfRule>
    <cfRule type="cellIs" dxfId="8719" priority="2" operator="lessThan">
      <formula>3.5</formula>
    </cfRule>
    <cfRule type="cellIs" dxfId="871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23622047244094491"/>
  <pageSetup paperSize="8" orientation="landscape" horizontalDpi="4294967292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AB49"/>
  <sheetViews>
    <sheetView zoomScale="90" zoomScaleNormal="90" workbookViewId="0">
      <pane ySplit="8" topLeftCell="A24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5.7109375" style="42" customWidth="1"/>
    <col min="13" max="13" width="16.140625" style="42" customWidth="1"/>
    <col min="14" max="14" width="11.5703125" style="143" bestFit="1" customWidth="1"/>
    <col min="15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L3" s="971"/>
      <c r="M3" s="971"/>
      <c r="O3" s="442"/>
      <c r="P3" s="442"/>
      <c r="Q3" s="442"/>
    </row>
    <row r="4" spans="1:28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394</v>
      </c>
      <c r="L4" s="972"/>
      <c r="M4" s="972"/>
      <c r="N4" s="143"/>
    </row>
    <row r="5" spans="1:28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143"/>
    </row>
    <row r="6" spans="1:28" s="766" customFormat="1" ht="12" customHeight="1">
      <c r="B6" s="453"/>
      <c r="C6" s="453"/>
      <c r="D6" s="453"/>
      <c r="E6" s="453"/>
      <c r="F6" s="453"/>
      <c r="G6" s="453">
        <v>53700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649" t="s">
        <v>771</v>
      </c>
      <c r="M7" s="1649" t="s">
        <v>772</v>
      </c>
      <c r="N7" s="143"/>
    </row>
    <row r="8" spans="1:28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649"/>
      <c r="M8" s="1649"/>
      <c r="N8" s="143">
        <v>10902.8</v>
      </c>
    </row>
    <row r="9" spans="1:28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>G8+D9-E9</f>
        <v>0</v>
      </c>
      <c r="H9" s="451">
        <f>G9/10417</f>
        <v>0</v>
      </c>
      <c r="I9" s="772"/>
      <c r="J9" s="772"/>
      <c r="K9" s="772"/>
      <c r="L9" s="970"/>
      <c r="M9" s="970"/>
      <c r="N9" s="650">
        <f>G9/$N$8</f>
        <v>0</v>
      </c>
    </row>
    <row r="10" spans="1:28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>
        <f t="shared" ref="D10:D39" si="0">L10+M10</f>
        <v>0</v>
      </c>
      <c r="E10" s="396">
        <f t="shared" ref="E10:E39" si="1">I10+J10+K10</f>
        <v>0</v>
      </c>
      <c r="F10" s="396">
        <f>$F$9</f>
        <v>10902.777777777777</v>
      </c>
      <c r="G10" s="396">
        <f>G9+D10-E10</f>
        <v>0</v>
      </c>
      <c r="H10" s="451">
        <f t="shared" ref="H10:H39" si="2">G10/10417</f>
        <v>0</v>
      </c>
      <c r="I10" s="772"/>
      <c r="J10" s="772"/>
      <c r="K10" s="772"/>
      <c r="L10" s="970"/>
      <c r="M10" s="970"/>
      <c r="N10" s="650">
        <f t="shared" ref="N10:N39" si="3">G10/$N$8</f>
        <v>0</v>
      </c>
    </row>
    <row r="11" spans="1:28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0"/>
        <v>0</v>
      </c>
      <c r="E11" s="396">
        <f t="shared" si="1"/>
        <v>0</v>
      </c>
      <c r="F11" s="396">
        <f>$F$9</f>
        <v>10902.777777777777</v>
      </c>
      <c r="G11" s="396">
        <f>G10+D11-E11</f>
        <v>0</v>
      </c>
      <c r="H11" s="451">
        <f t="shared" si="2"/>
        <v>0</v>
      </c>
      <c r="I11" s="772"/>
      <c r="J11" s="772"/>
      <c r="K11" s="772"/>
      <c r="L11" s="970"/>
      <c r="M11" s="970"/>
      <c r="N11" s="650">
        <f t="shared" si="3"/>
        <v>0</v>
      </c>
    </row>
    <row r="12" spans="1:28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>
        <f t="shared" si="0"/>
        <v>0</v>
      </c>
      <c r="E12" s="396">
        <f t="shared" si="1"/>
        <v>0</v>
      </c>
      <c r="F12" s="396">
        <f t="shared" ref="F12:F39" si="4">$F$9</f>
        <v>10902.777777777777</v>
      </c>
      <c r="G12" s="396">
        <f>G11+D12-E12</f>
        <v>0</v>
      </c>
      <c r="H12" s="451">
        <f t="shared" si="2"/>
        <v>0</v>
      </c>
      <c r="I12" s="772"/>
      <c r="J12" s="772"/>
      <c r="K12" s="772"/>
      <c r="L12" s="970"/>
      <c r="M12" s="970"/>
      <c r="N12" s="650">
        <f t="shared" si="3"/>
        <v>0</v>
      </c>
    </row>
    <row r="13" spans="1:28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0"/>
        <v>0</v>
      </c>
      <c r="E13" s="396">
        <f t="shared" si="1"/>
        <v>0</v>
      </c>
      <c r="F13" s="396">
        <f t="shared" si="4"/>
        <v>10902.777777777777</v>
      </c>
      <c r="G13" s="769">
        <f>G12+D13-E13</f>
        <v>0</v>
      </c>
      <c r="H13" s="451">
        <f t="shared" si="2"/>
        <v>0</v>
      </c>
      <c r="I13" s="772"/>
      <c r="J13" s="772"/>
      <c r="K13" s="772"/>
      <c r="L13" s="970"/>
      <c r="M13" s="970"/>
      <c r="N13" s="650">
        <f t="shared" si="3"/>
        <v>0</v>
      </c>
    </row>
    <row r="14" spans="1:28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0"/>
        <v>0</v>
      </c>
      <c r="E14" s="396">
        <f t="shared" si="1"/>
        <v>0</v>
      </c>
      <c r="F14" s="396">
        <f t="shared" si="4"/>
        <v>10902.777777777777</v>
      </c>
      <c r="G14" s="396">
        <f t="shared" ref="G14:G39" si="5">G13+D14-E14</f>
        <v>0</v>
      </c>
      <c r="H14" s="451">
        <f t="shared" si="2"/>
        <v>0</v>
      </c>
      <c r="I14" s="772"/>
      <c r="J14" s="772"/>
      <c r="K14" s="772"/>
      <c r="L14" s="970"/>
      <c r="M14" s="970"/>
      <c r="N14" s="650">
        <f t="shared" si="3"/>
        <v>0</v>
      </c>
    </row>
    <row r="15" spans="1:28" s="367" customFormat="1" ht="12" customHeight="1">
      <c r="A15" s="330">
        <v>7</v>
      </c>
      <c r="B15" s="365">
        <f>'FRIT HGE91-FHG'!B15</f>
        <v>46241</v>
      </c>
      <c r="C15" s="331" t="s">
        <v>348</v>
      </c>
      <c r="D15" s="396">
        <f t="shared" si="0"/>
        <v>0</v>
      </c>
      <c r="E15" s="396">
        <f t="shared" si="1"/>
        <v>0</v>
      </c>
      <c r="F15" s="396">
        <f t="shared" si="4"/>
        <v>10902.777777777777</v>
      </c>
      <c r="G15" s="396">
        <f t="shared" si="5"/>
        <v>0</v>
      </c>
      <c r="H15" s="451">
        <f t="shared" si="2"/>
        <v>0</v>
      </c>
      <c r="I15" s="772"/>
      <c r="J15" s="772"/>
      <c r="K15" s="772"/>
      <c r="L15" s="970"/>
      <c r="M15" s="970"/>
      <c r="N15" s="650">
        <f t="shared" si="3"/>
        <v>0</v>
      </c>
    </row>
    <row r="16" spans="1:28" s="367" customFormat="1" ht="12" customHeight="1">
      <c r="A16" s="330">
        <v>8</v>
      </c>
      <c r="B16" s="365">
        <f>'FRIT HGE91-FHG'!B16</f>
        <v>46242</v>
      </c>
      <c r="C16" s="331" t="s">
        <v>348</v>
      </c>
      <c r="D16" s="396">
        <f t="shared" si="0"/>
        <v>0</v>
      </c>
      <c r="E16" s="396">
        <f t="shared" si="1"/>
        <v>0</v>
      </c>
      <c r="F16" s="396">
        <f t="shared" si="4"/>
        <v>10902.777777777777</v>
      </c>
      <c r="G16" s="396">
        <f t="shared" si="5"/>
        <v>0</v>
      </c>
      <c r="H16" s="451">
        <f t="shared" si="2"/>
        <v>0</v>
      </c>
      <c r="I16" s="772"/>
      <c r="J16" s="772"/>
      <c r="K16" s="772"/>
      <c r="L16" s="970"/>
      <c r="M16" s="970"/>
      <c r="N16" s="650">
        <f t="shared" si="3"/>
        <v>0</v>
      </c>
    </row>
    <row r="17" spans="1:14" s="367" customFormat="1" ht="12" customHeight="1">
      <c r="A17" s="330">
        <v>9</v>
      </c>
      <c r="B17" s="365">
        <f>'FRIT HGE91-FHG'!B17</f>
        <v>46243</v>
      </c>
      <c r="C17" s="331" t="s">
        <v>348</v>
      </c>
      <c r="D17" s="396">
        <f t="shared" si="0"/>
        <v>0</v>
      </c>
      <c r="E17" s="396">
        <f t="shared" si="1"/>
        <v>0</v>
      </c>
      <c r="F17" s="396">
        <f t="shared" si="4"/>
        <v>10902.777777777777</v>
      </c>
      <c r="G17" s="396">
        <f t="shared" si="5"/>
        <v>0</v>
      </c>
      <c r="H17" s="451">
        <f t="shared" si="2"/>
        <v>0</v>
      </c>
      <c r="I17" s="772"/>
      <c r="J17" s="772"/>
      <c r="K17" s="772"/>
      <c r="L17" s="970"/>
      <c r="M17" s="970"/>
      <c r="N17" s="650">
        <f t="shared" si="3"/>
        <v>0</v>
      </c>
    </row>
    <row r="18" spans="1:14" s="367" customFormat="1" ht="12" customHeight="1">
      <c r="A18" s="425">
        <v>10</v>
      </c>
      <c r="B18" s="365">
        <f>'FRIT HGE91-FHG'!B18</f>
        <v>46244</v>
      </c>
      <c r="C18" s="331" t="s">
        <v>348</v>
      </c>
      <c r="D18" s="396">
        <f t="shared" si="0"/>
        <v>0</v>
      </c>
      <c r="E18" s="396">
        <f t="shared" si="1"/>
        <v>0</v>
      </c>
      <c r="F18" s="396">
        <f t="shared" si="4"/>
        <v>10902.777777777777</v>
      </c>
      <c r="G18" s="769">
        <f t="shared" si="5"/>
        <v>0</v>
      </c>
      <c r="H18" s="451">
        <f t="shared" si="2"/>
        <v>0</v>
      </c>
      <c r="I18" s="772"/>
      <c r="J18" s="772"/>
      <c r="K18" s="772"/>
      <c r="L18" s="970"/>
      <c r="M18" s="970"/>
      <c r="N18" s="650">
        <f t="shared" si="3"/>
        <v>0</v>
      </c>
    </row>
    <row r="19" spans="1:14" s="367" customFormat="1" ht="12" customHeight="1">
      <c r="A19" s="330">
        <v>11</v>
      </c>
      <c r="B19" s="365">
        <f>'FRIT HGE91-FHG'!B19</f>
        <v>46245</v>
      </c>
      <c r="C19" s="331" t="s">
        <v>348</v>
      </c>
      <c r="D19" s="396">
        <f t="shared" si="0"/>
        <v>0</v>
      </c>
      <c r="E19" s="396">
        <f t="shared" si="1"/>
        <v>0</v>
      </c>
      <c r="F19" s="396">
        <f t="shared" si="4"/>
        <v>10902.777777777777</v>
      </c>
      <c r="G19" s="396">
        <f t="shared" si="5"/>
        <v>0</v>
      </c>
      <c r="H19" s="451">
        <f t="shared" si="2"/>
        <v>0</v>
      </c>
      <c r="I19" s="772"/>
      <c r="J19" s="772"/>
      <c r="K19" s="772"/>
      <c r="L19" s="970"/>
      <c r="M19" s="970"/>
      <c r="N19" s="650">
        <f t="shared" si="3"/>
        <v>0</v>
      </c>
    </row>
    <row r="20" spans="1:14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0"/>
        <v>0</v>
      </c>
      <c r="E20" s="396">
        <f t="shared" si="1"/>
        <v>0</v>
      </c>
      <c r="F20" s="396">
        <f t="shared" si="4"/>
        <v>10902.777777777777</v>
      </c>
      <c r="G20" s="396">
        <f t="shared" si="5"/>
        <v>0</v>
      </c>
      <c r="H20" s="451">
        <f t="shared" si="2"/>
        <v>0</v>
      </c>
      <c r="I20" s="772"/>
      <c r="J20" s="772"/>
      <c r="K20" s="772"/>
      <c r="L20" s="970"/>
      <c r="M20" s="970"/>
      <c r="N20" s="650">
        <f t="shared" si="3"/>
        <v>0</v>
      </c>
    </row>
    <row r="21" spans="1:14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0"/>
        <v>0</v>
      </c>
      <c r="E21" s="396">
        <f t="shared" si="1"/>
        <v>0</v>
      </c>
      <c r="F21" s="396">
        <f t="shared" si="4"/>
        <v>10902.777777777777</v>
      </c>
      <c r="G21" s="396">
        <f t="shared" si="5"/>
        <v>0</v>
      </c>
      <c r="H21" s="451">
        <f t="shared" si="2"/>
        <v>0</v>
      </c>
      <c r="I21" s="772"/>
      <c r="J21" s="772"/>
      <c r="K21" s="772"/>
      <c r="L21" s="970"/>
      <c r="M21" s="970"/>
      <c r="N21" s="650">
        <f t="shared" si="3"/>
        <v>0</v>
      </c>
    </row>
    <row r="22" spans="1:14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0"/>
        <v>0</v>
      </c>
      <c r="E22" s="396">
        <f t="shared" si="1"/>
        <v>0</v>
      </c>
      <c r="F22" s="396">
        <f t="shared" si="4"/>
        <v>10902.777777777777</v>
      </c>
      <c r="G22" s="396">
        <f t="shared" si="5"/>
        <v>0</v>
      </c>
      <c r="H22" s="451">
        <f t="shared" si="2"/>
        <v>0</v>
      </c>
      <c r="I22" s="772"/>
      <c r="J22" s="772"/>
      <c r="K22" s="772"/>
      <c r="L22" s="970"/>
      <c r="M22" s="970"/>
      <c r="N22" s="650">
        <f t="shared" si="3"/>
        <v>0</v>
      </c>
    </row>
    <row r="23" spans="1:14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0"/>
        <v>0</v>
      </c>
      <c r="E23" s="396">
        <f t="shared" si="1"/>
        <v>0</v>
      </c>
      <c r="F23" s="396">
        <f t="shared" si="4"/>
        <v>10902.777777777777</v>
      </c>
      <c r="G23" s="769">
        <f t="shared" si="5"/>
        <v>0</v>
      </c>
      <c r="H23" s="451">
        <f t="shared" si="2"/>
        <v>0</v>
      </c>
      <c r="I23" s="772"/>
      <c r="J23" s="772"/>
      <c r="K23" s="772"/>
      <c r="L23" s="970"/>
      <c r="M23" s="970"/>
      <c r="N23" s="650">
        <f t="shared" si="3"/>
        <v>0</v>
      </c>
    </row>
    <row r="24" spans="1:14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0"/>
        <v>0</v>
      </c>
      <c r="E24" s="396">
        <f t="shared" si="1"/>
        <v>0</v>
      </c>
      <c r="F24" s="396">
        <f t="shared" si="4"/>
        <v>10902.777777777777</v>
      </c>
      <c r="G24" s="396">
        <f t="shared" si="5"/>
        <v>0</v>
      </c>
      <c r="H24" s="451">
        <f t="shared" si="2"/>
        <v>0</v>
      </c>
      <c r="I24" s="772"/>
      <c r="J24" s="772"/>
      <c r="K24" s="772"/>
      <c r="L24" s="970"/>
      <c r="M24" s="970"/>
      <c r="N24" s="650">
        <f t="shared" si="3"/>
        <v>0</v>
      </c>
    </row>
    <row r="25" spans="1:14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0"/>
        <v>0</v>
      </c>
      <c r="E25" s="396">
        <f t="shared" si="1"/>
        <v>0</v>
      </c>
      <c r="F25" s="396">
        <f t="shared" si="4"/>
        <v>10902.777777777777</v>
      </c>
      <c r="G25" s="396">
        <f t="shared" si="5"/>
        <v>0</v>
      </c>
      <c r="H25" s="451">
        <f t="shared" si="2"/>
        <v>0</v>
      </c>
      <c r="I25" s="772"/>
      <c r="J25" s="772"/>
      <c r="K25" s="772"/>
      <c r="L25" s="970"/>
      <c r="M25" s="970"/>
      <c r="N25" s="650">
        <f t="shared" si="3"/>
        <v>0</v>
      </c>
    </row>
    <row r="26" spans="1:14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0"/>
        <v>0</v>
      </c>
      <c r="E26" s="396">
        <f t="shared" si="1"/>
        <v>0</v>
      </c>
      <c r="F26" s="396">
        <f t="shared" si="4"/>
        <v>10902.777777777777</v>
      </c>
      <c r="G26" s="396">
        <f t="shared" si="5"/>
        <v>0</v>
      </c>
      <c r="H26" s="451">
        <f t="shared" si="2"/>
        <v>0</v>
      </c>
      <c r="I26" s="772"/>
      <c r="J26" s="772"/>
      <c r="K26" s="772"/>
      <c r="L26" s="970"/>
      <c r="M26" s="970"/>
      <c r="N26" s="650">
        <f t="shared" si="3"/>
        <v>0</v>
      </c>
    </row>
    <row r="27" spans="1:14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0"/>
        <v>0</v>
      </c>
      <c r="E27" s="396">
        <f t="shared" si="1"/>
        <v>0</v>
      </c>
      <c r="F27" s="396">
        <f t="shared" si="4"/>
        <v>10902.777777777777</v>
      </c>
      <c r="G27" s="396">
        <f t="shared" si="5"/>
        <v>0</v>
      </c>
      <c r="H27" s="451">
        <f t="shared" si="2"/>
        <v>0</v>
      </c>
      <c r="I27" s="772"/>
      <c r="J27" s="772"/>
      <c r="K27" s="772"/>
      <c r="L27" s="970"/>
      <c r="M27" s="970"/>
      <c r="N27" s="650">
        <f t="shared" si="3"/>
        <v>0</v>
      </c>
    </row>
    <row r="28" spans="1:14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0"/>
        <v>0</v>
      </c>
      <c r="E28" s="396">
        <f t="shared" si="1"/>
        <v>0</v>
      </c>
      <c r="F28" s="396">
        <f t="shared" si="4"/>
        <v>10902.777777777777</v>
      </c>
      <c r="G28" s="769">
        <f t="shared" si="5"/>
        <v>0</v>
      </c>
      <c r="H28" s="451">
        <f t="shared" si="2"/>
        <v>0</v>
      </c>
      <c r="I28" s="772"/>
      <c r="J28" s="772"/>
      <c r="K28" s="772"/>
      <c r="L28" s="970"/>
      <c r="M28" s="970"/>
      <c r="N28" s="650">
        <f t="shared" si="3"/>
        <v>0</v>
      </c>
    </row>
    <row r="29" spans="1:14" s="367" customFormat="1" ht="12" customHeight="1">
      <c r="A29" s="330">
        <v>21</v>
      </c>
      <c r="B29" s="365">
        <f>'FRIT HGE91-FHG'!B29</f>
        <v>46255</v>
      </c>
      <c r="C29" s="331" t="s">
        <v>334</v>
      </c>
      <c r="D29" s="396">
        <f t="shared" si="0"/>
        <v>0</v>
      </c>
      <c r="E29" s="396">
        <f t="shared" si="1"/>
        <v>0</v>
      </c>
      <c r="F29" s="396">
        <f t="shared" si="4"/>
        <v>10902.777777777777</v>
      </c>
      <c r="G29" s="393">
        <f t="shared" si="5"/>
        <v>0</v>
      </c>
      <c r="H29" s="451">
        <f t="shared" si="2"/>
        <v>0</v>
      </c>
      <c r="I29" s="772"/>
      <c r="J29" s="772"/>
      <c r="K29" s="772"/>
      <c r="L29" s="970"/>
      <c r="M29" s="970"/>
      <c r="N29" s="650">
        <f t="shared" si="3"/>
        <v>0</v>
      </c>
    </row>
    <row r="30" spans="1:14" s="367" customFormat="1" ht="12" customHeight="1">
      <c r="A30" s="330">
        <v>22</v>
      </c>
      <c r="B30" s="365">
        <f>'FRIT HGE91-FHG'!B30</f>
        <v>46256</v>
      </c>
      <c r="C30" s="331" t="s">
        <v>334</v>
      </c>
      <c r="D30" s="396">
        <f t="shared" si="0"/>
        <v>0</v>
      </c>
      <c r="E30" s="396">
        <f t="shared" si="1"/>
        <v>0</v>
      </c>
      <c r="F30" s="396">
        <f t="shared" si="4"/>
        <v>10902.777777777777</v>
      </c>
      <c r="G30" s="393">
        <f t="shared" si="5"/>
        <v>0</v>
      </c>
      <c r="H30" s="451">
        <f t="shared" si="2"/>
        <v>0</v>
      </c>
      <c r="I30" s="772"/>
      <c r="J30" s="772"/>
      <c r="K30" s="772"/>
      <c r="L30" s="970"/>
      <c r="M30" s="970"/>
      <c r="N30" s="650">
        <f t="shared" si="3"/>
        <v>0</v>
      </c>
    </row>
    <row r="31" spans="1:14" s="367" customFormat="1" ht="12" customHeight="1">
      <c r="A31" s="330">
        <v>23</v>
      </c>
      <c r="B31" s="365">
        <f>'FRIT HGE91-FHG'!B31</f>
        <v>46257</v>
      </c>
      <c r="C31" s="331" t="s">
        <v>334</v>
      </c>
      <c r="D31" s="396">
        <f t="shared" si="0"/>
        <v>0</v>
      </c>
      <c r="E31" s="396">
        <f t="shared" si="1"/>
        <v>0</v>
      </c>
      <c r="F31" s="396">
        <f t="shared" si="4"/>
        <v>10902.777777777777</v>
      </c>
      <c r="G31" s="393">
        <f t="shared" si="5"/>
        <v>0</v>
      </c>
      <c r="H31" s="451">
        <f t="shared" si="2"/>
        <v>0</v>
      </c>
      <c r="I31" s="772"/>
      <c r="J31" s="772"/>
      <c r="K31" s="772"/>
      <c r="L31" s="970"/>
      <c r="M31" s="970"/>
      <c r="N31" s="650">
        <f t="shared" si="3"/>
        <v>0</v>
      </c>
    </row>
    <row r="32" spans="1:14" s="367" customFormat="1" ht="12" customHeight="1">
      <c r="A32" s="330">
        <v>24</v>
      </c>
      <c r="B32" s="365">
        <f>'FRIT HGE91-FHG'!B32</f>
        <v>46258</v>
      </c>
      <c r="C32" s="331" t="s">
        <v>334</v>
      </c>
      <c r="D32" s="396">
        <f t="shared" si="0"/>
        <v>0</v>
      </c>
      <c r="E32" s="396">
        <f t="shared" si="1"/>
        <v>0</v>
      </c>
      <c r="F32" s="396">
        <f t="shared" si="4"/>
        <v>10902.777777777777</v>
      </c>
      <c r="G32" s="393">
        <f t="shared" si="5"/>
        <v>0</v>
      </c>
      <c r="H32" s="451">
        <f t="shared" si="2"/>
        <v>0</v>
      </c>
      <c r="I32" s="772"/>
      <c r="J32" s="772"/>
      <c r="K32" s="772"/>
      <c r="L32" s="970"/>
      <c r="M32" s="970"/>
      <c r="N32" s="650">
        <f t="shared" si="3"/>
        <v>0</v>
      </c>
    </row>
    <row r="33" spans="1:15" s="367" customFormat="1" ht="12" customHeight="1">
      <c r="A33" s="426">
        <v>25</v>
      </c>
      <c r="B33" s="365">
        <f>'FRIT HGE91-FHG'!B33</f>
        <v>46259</v>
      </c>
      <c r="C33" s="331" t="s">
        <v>334</v>
      </c>
      <c r="D33" s="396">
        <f t="shared" si="0"/>
        <v>0</v>
      </c>
      <c r="E33" s="396">
        <f t="shared" si="1"/>
        <v>0</v>
      </c>
      <c r="F33" s="396">
        <f t="shared" si="4"/>
        <v>10902.777777777777</v>
      </c>
      <c r="G33" s="770">
        <f t="shared" si="5"/>
        <v>0</v>
      </c>
      <c r="H33" s="451">
        <f t="shared" si="2"/>
        <v>0</v>
      </c>
      <c r="I33" s="772"/>
      <c r="J33" s="772"/>
      <c r="K33" s="772"/>
      <c r="L33" s="970"/>
      <c r="M33" s="970"/>
      <c r="N33" s="650">
        <f t="shared" si="3"/>
        <v>0</v>
      </c>
    </row>
    <row r="34" spans="1:15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0"/>
        <v>0</v>
      </c>
      <c r="E34" s="396">
        <f t="shared" si="1"/>
        <v>0</v>
      </c>
      <c r="F34" s="396">
        <f t="shared" si="4"/>
        <v>10902.777777777777</v>
      </c>
      <c r="G34" s="396">
        <f t="shared" si="5"/>
        <v>0</v>
      </c>
      <c r="H34" s="451">
        <f t="shared" si="2"/>
        <v>0</v>
      </c>
      <c r="I34" s="772"/>
      <c r="J34" s="772"/>
      <c r="K34" s="772"/>
      <c r="L34" s="970"/>
      <c r="M34" s="970"/>
      <c r="N34" s="650">
        <f t="shared" si="3"/>
        <v>0</v>
      </c>
    </row>
    <row r="35" spans="1:15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0"/>
        <v>0</v>
      </c>
      <c r="E35" s="396">
        <f t="shared" si="1"/>
        <v>0</v>
      </c>
      <c r="F35" s="396">
        <f t="shared" si="4"/>
        <v>10902.777777777777</v>
      </c>
      <c r="G35" s="396">
        <f t="shared" si="5"/>
        <v>0</v>
      </c>
      <c r="H35" s="451">
        <f t="shared" si="2"/>
        <v>0</v>
      </c>
      <c r="I35" s="772"/>
      <c r="J35" s="772"/>
      <c r="K35" s="772"/>
      <c r="L35" s="970"/>
      <c r="M35" s="970"/>
      <c r="N35" s="650">
        <f t="shared" si="3"/>
        <v>0</v>
      </c>
    </row>
    <row r="36" spans="1:15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0"/>
        <v>0</v>
      </c>
      <c r="E36" s="396">
        <f t="shared" si="1"/>
        <v>0</v>
      </c>
      <c r="F36" s="396">
        <f t="shared" si="4"/>
        <v>10902.777777777777</v>
      </c>
      <c r="G36" s="396">
        <f t="shared" si="5"/>
        <v>0</v>
      </c>
      <c r="H36" s="451">
        <f t="shared" si="2"/>
        <v>0</v>
      </c>
      <c r="I36" s="772"/>
      <c r="J36" s="772"/>
      <c r="K36" s="772"/>
      <c r="L36" s="970"/>
      <c r="M36" s="970"/>
      <c r="N36" s="650">
        <f t="shared" si="3"/>
        <v>0</v>
      </c>
    </row>
    <row r="37" spans="1:15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0"/>
        <v>0</v>
      </c>
      <c r="E37" s="396">
        <f t="shared" si="1"/>
        <v>0</v>
      </c>
      <c r="F37" s="396">
        <f t="shared" si="4"/>
        <v>10902.777777777777</v>
      </c>
      <c r="G37" s="396">
        <f t="shared" si="5"/>
        <v>0</v>
      </c>
      <c r="H37" s="451">
        <f t="shared" si="2"/>
        <v>0</v>
      </c>
      <c r="I37" s="772"/>
      <c r="J37" s="772"/>
      <c r="K37" s="772"/>
      <c r="L37" s="970"/>
      <c r="M37" s="970"/>
      <c r="N37" s="650">
        <f t="shared" si="3"/>
        <v>0</v>
      </c>
    </row>
    <row r="38" spans="1:15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0"/>
        <v>0</v>
      </c>
      <c r="E38" s="396">
        <f t="shared" si="1"/>
        <v>0</v>
      </c>
      <c r="F38" s="396">
        <f t="shared" si="4"/>
        <v>10902.777777777777</v>
      </c>
      <c r="G38" s="769">
        <f t="shared" si="5"/>
        <v>0</v>
      </c>
      <c r="H38" s="451">
        <f t="shared" si="2"/>
        <v>0</v>
      </c>
      <c r="I38" s="772"/>
      <c r="J38" s="772"/>
      <c r="K38" s="772"/>
      <c r="L38" s="970"/>
      <c r="M38" s="970"/>
      <c r="N38" s="650">
        <f t="shared" si="3"/>
        <v>0</v>
      </c>
    </row>
    <row r="39" spans="1:15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0"/>
        <v>0</v>
      </c>
      <c r="E39" s="396">
        <f t="shared" si="1"/>
        <v>0</v>
      </c>
      <c r="F39" s="396">
        <f t="shared" si="4"/>
        <v>10902.777777777777</v>
      </c>
      <c r="G39" s="396">
        <f t="shared" si="5"/>
        <v>0</v>
      </c>
      <c r="H39" s="451">
        <f t="shared" si="2"/>
        <v>0</v>
      </c>
      <c r="I39" s="772"/>
      <c r="J39" s="772"/>
      <c r="K39" s="772"/>
      <c r="L39" s="970"/>
      <c r="M39" s="970"/>
      <c r="N39" s="650">
        <f t="shared" si="3"/>
        <v>0</v>
      </c>
    </row>
    <row r="40" spans="1:15" s="374" customFormat="1" ht="12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M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</row>
    <row r="41" spans="1:15" s="374" customFormat="1" ht="12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  <c r="M41" s="689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A40:C40"/>
    <mergeCell ref="A41:C41"/>
    <mergeCell ref="L7:L8"/>
    <mergeCell ref="M7:M8"/>
    <mergeCell ref="A3:I3"/>
    <mergeCell ref="A4:B4"/>
    <mergeCell ref="A8:C8"/>
  </mergeCells>
  <conditionalFormatting sqref="H9:H39">
    <cfRule type="cellIs" dxfId="8717" priority="37" operator="between">
      <formula>3.5</formula>
      <formula>6</formula>
    </cfRule>
    <cfRule type="cellIs" dxfId="8716" priority="38" operator="lessThan">
      <formula>3.5</formula>
    </cfRule>
    <cfRule type="cellIs" dxfId="8715" priority="39" operator="greaterThan">
      <formula>6</formula>
    </cfRule>
  </conditionalFormatting>
  <conditionalFormatting sqref="H9:H39">
    <cfRule type="cellIs" dxfId="8714" priority="34" operator="between">
      <formula>3.5</formula>
      <formula>6</formula>
    </cfRule>
    <cfRule type="cellIs" dxfId="8713" priority="35" operator="lessThan">
      <formula>3.5</formula>
    </cfRule>
    <cfRule type="cellIs" dxfId="8712" priority="36" operator="greaterThan">
      <formula>6</formula>
    </cfRule>
  </conditionalFormatting>
  <conditionalFormatting sqref="H9:H39">
    <cfRule type="cellIs" dxfId="8711" priority="31" operator="between">
      <formula>3.5</formula>
      <formula>6</formula>
    </cfRule>
    <cfRule type="cellIs" dxfId="8710" priority="32" operator="lessThan">
      <formula>3.5</formula>
    </cfRule>
    <cfRule type="cellIs" dxfId="8709" priority="33" operator="greaterThan">
      <formula>6</formula>
    </cfRule>
  </conditionalFormatting>
  <conditionalFormatting sqref="H9:H39">
    <cfRule type="cellIs" dxfId="8708" priority="28" operator="between">
      <formula>3.5</formula>
      <formula>6</formula>
    </cfRule>
    <cfRule type="cellIs" dxfId="8707" priority="29" operator="lessThan">
      <formula>3.5</formula>
    </cfRule>
    <cfRule type="cellIs" dxfId="8706" priority="30" operator="greaterThan">
      <formula>6</formula>
    </cfRule>
  </conditionalFormatting>
  <conditionalFormatting sqref="H9:H39">
    <cfRule type="cellIs" dxfId="8705" priority="25" operator="between">
      <formula>3.5</formula>
      <formula>6</formula>
    </cfRule>
    <cfRule type="cellIs" dxfId="8704" priority="26" operator="lessThan">
      <formula>3.5</formula>
    </cfRule>
    <cfRule type="cellIs" dxfId="8703" priority="27" operator="greaterThan">
      <formula>6</formula>
    </cfRule>
  </conditionalFormatting>
  <conditionalFormatting sqref="H9:H39">
    <cfRule type="cellIs" dxfId="8702" priority="22" operator="between">
      <formula>3.5</formula>
      <formula>6</formula>
    </cfRule>
    <cfRule type="cellIs" dxfId="8701" priority="23" operator="lessThan">
      <formula>3.5</formula>
    </cfRule>
    <cfRule type="cellIs" dxfId="8700" priority="24" operator="greaterThan">
      <formula>6</formula>
    </cfRule>
  </conditionalFormatting>
  <conditionalFormatting sqref="H9:H39">
    <cfRule type="cellIs" dxfId="8699" priority="19" operator="between">
      <formula>3.5</formula>
      <formula>6</formula>
    </cfRule>
    <cfRule type="cellIs" dxfId="8698" priority="20" operator="lessThan">
      <formula>3.5</formula>
    </cfRule>
    <cfRule type="cellIs" dxfId="8697" priority="21" operator="greaterThan">
      <formula>6</formula>
    </cfRule>
  </conditionalFormatting>
  <conditionalFormatting sqref="H9:H39">
    <cfRule type="cellIs" dxfId="8696" priority="16" operator="between">
      <formula>3.5</formula>
      <formula>6</formula>
    </cfRule>
    <cfRule type="cellIs" dxfId="8695" priority="17" operator="lessThan">
      <formula>3.5</formula>
    </cfRule>
    <cfRule type="cellIs" dxfId="8694" priority="18" operator="greaterThan">
      <formula>6</formula>
    </cfRule>
  </conditionalFormatting>
  <conditionalFormatting sqref="H9:H39">
    <cfRule type="cellIs" dxfId="8693" priority="13" operator="between">
      <formula>3.5</formula>
      <formula>6</formula>
    </cfRule>
    <cfRule type="cellIs" dxfId="8692" priority="14" operator="lessThan">
      <formula>3.5</formula>
    </cfRule>
    <cfRule type="cellIs" dxfId="8691" priority="15" operator="greaterThan">
      <formula>6</formula>
    </cfRule>
  </conditionalFormatting>
  <conditionalFormatting sqref="H9:H39">
    <cfRule type="cellIs" dxfId="8690" priority="10" operator="between">
      <formula>3.5</formula>
      <formula>6</formula>
    </cfRule>
    <cfRule type="cellIs" dxfId="8689" priority="11" operator="lessThan">
      <formula>3.5</formula>
    </cfRule>
    <cfRule type="cellIs" dxfId="8688" priority="12" operator="greaterThan">
      <formula>6</formula>
    </cfRule>
  </conditionalFormatting>
  <conditionalFormatting sqref="H9:H39">
    <cfRule type="cellIs" dxfId="8687" priority="7" operator="between">
      <formula>3.5</formula>
      <formula>6</formula>
    </cfRule>
    <cfRule type="cellIs" dxfId="8686" priority="8" operator="lessThan">
      <formula>3.5</formula>
    </cfRule>
    <cfRule type="cellIs" dxfId="8685" priority="9" operator="greaterThan">
      <formula>6</formula>
    </cfRule>
  </conditionalFormatting>
  <conditionalFormatting sqref="H9:H39">
    <cfRule type="cellIs" dxfId="8684" priority="4" operator="between">
      <formula>3.5</formula>
      <formula>6</formula>
    </cfRule>
    <cfRule type="cellIs" dxfId="8683" priority="5" operator="lessThan">
      <formula>3.5</formula>
    </cfRule>
    <cfRule type="cellIs" dxfId="8682" priority="6" operator="greaterThan">
      <formula>6</formula>
    </cfRule>
  </conditionalFormatting>
  <conditionalFormatting sqref="H9:H39">
    <cfRule type="cellIs" dxfId="8681" priority="1" operator="between">
      <formula>3.5</formula>
      <formula>6</formula>
    </cfRule>
    <cfRule type="cellIs" dxfId="8680" priority="2" operator="lessThan">
      <formula>3.5</formula>
    </cfRule>
    <cfRule type="cellIs" dxfId="8679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9" orientation="landscape" verticalDpi="0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AC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5.7109375" style="42" customWidth="1"/>
    <col min="14" max="14" width="16.140625" style="42" customWidth="1"/>
    <col min="15" max="15" width="11.5703125" style="143" bestFit="1" customWidth="1"/>
    <col min="16" max="18" width="7.5703125" style="42" customWidth="1"/>
    <col min="19" max="16384" width="9.28515625" style="42"/>
  </cols>
  <sheetData>
    <row r="1" spans="1:29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3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O2" s="323"/>
      <c r="P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04"/>
      <c r="K3" s="1104"/>
      <c r="L3" s="1121"/>
      <c r="M3" s="1104"/>
      <c r="N3" s="1104"/>
      <c r="P3" s="442"/>
      <c r="Q3" s="442"/>
      <c r="R3" s="442"/>
    </row>
    <row r="4" spans="1:29" s="1109" customFormat="1" ht="12" customHeight="1">
      <c r="A4" s="1648" t="s">
        <v>33</v>
      </c>
      <c r="B4" s="1648"/>
      <c r="C4" s="551" t="str">
        <f>H4</f>
        <v>GRANDCERA XANH 30x60-HA nâu</v>
      </c>
      <c r="E4" s="549" t="s">
        <v>228</v>
      </c>
      <c r="F4" s="549" t="s">
        <v>235</v>
      </c>
      <c r="G4" s="550" t="s">
        <v>114</v>
      </c>
      <c r="H4" s="551" t="s">
        <v>894</v>
      </c>
      <c r="L4" s="1122"/>
      <c r="O4" s="143"/>
    </row>
    <row r="5" spans="1:29" s="110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324"/>
      <c r="O5" s="143"/>
    </row>
    <row r="6" spans="1:29" s="1109" customFormat="1" ht="12" customHeight="1">
      <c r="B6" s="453"/>
      <c r="C6" s="453"/>
      <c r="D6" s="453"/>
      <c r="E6" s="453"/>
      <c r="F6" s="453"/>
      <c r="G6" s="453">
        <v>53700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442"/>
    </row>
    <row r="7" spans="1:29" s="305" customFormat="1" ht="28.5" customHeight="1">
      <c r="A7" s="1106" t="s">
        <v>2</v>
      </c>
      <c r="B7" s="1108" t="s">
        <v>1</v>
      </c>
      <c r="C7" s="110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05" t="s">
        <v>30</v>
      </c>
      <c r="I7" s="697" t="s">
        <v>341</v>
      </c>
      <c r="J7" s="697" t="s">
        <v>244</v>
      </c>
      <c r="K7" s="697" t="s">
        <v>344</v>
      </c>
      <c r="L7" s="697" t="s">
        <v>821</v>
      </c>
      <c r="M7" s="1649" t="s">
        <v>771</v>
      </c>
      <c r="N7" s="1649" t="s">
        <v>772</v>
      </c>
      <c r="O7" s="143"/>
    </row>
    <row r="8" spans="1:29" s="305" customFormat="1" ht="12" customHeight="1">
      <c r="A8" s="1650" t="s">
        <v>3</v>
      </c>
      <c r="B8" s="1651"/>
      <c r="C8" s="1652"/>
      <c r="D8" s="771">
        <f>G8</f>
        <v>4915</v>
      </c>
      <c r="E8" s="771">
        <f>E40</f>
        <v>500</v>
      </c>
      <c r="F8" s="771"/>
      <c r="G8" s="774">
        <v>4915</v>
      </c>
      <c r="H8" s="450"/>
      <c r="I8" s="772"/>
      <c r="J8" s="772"/>
      <c r="K8" s="772"/>
      <c r="L8" s="772"/>
      <c r="M8" s="1649"/>
      <c r="N8" s="1649"/>
      <c r="O8" s="143">
        <v>10902.8</v>
      </c>
    </row>
    <row r="9" spans="1:29" s="305" customFormat="1" ht="12" customHeight="1">
      <c r="A9" s="1107">
        <v>1</v>
      </c>
      <c r="B9" s="365">
        <f>'FRIT HGE91-FHG'!B9</f>
        <v>46235</v>
      </c>
      <c r="C9" s="331" t="s">
        <v>285</v>
      </c>
      <c r="D9" s="396">
        <f>M9+N9</f>
        <v>0</v>
      </c>
      <c r="E9" s="396">
        <f>I9+J9+K9+L9</f>
        <v>0</v>
      </c>
      <c r="F9" s="396">
        <f>15700/1.44</f>
        <v>10902.777777777777</v>
      </c>
      <c r="G9" s="396">
        <f>G8+D9-E9</f>
        <v>4915</v>
      </c>
      <c r="H9" s="451">
        <f>G9/10417</f>
        <v>0.47182490160314872</v>
      </c>
      <c r="I9" s="772"/>
      <c r="J9" s="772"/>
      <c r="K9" s="772"/>
      <c r="L9" s="772"/>
      <c r="M9" s="970"/>
      <c r="N9" s="970"/>
      <c r="O9" s="650">
        <f>G9/$O$8</f>
        <v>0.45080162893935505</v>
      </c>
    </row>
    <row r="10" spans="1:29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>
        <f t="shared" ref="D10:D39" si="0">M10+N10</f>
        <v>0</v>
      </c>
      <c r="E10" s="396">
        <f t="shared" ref="E10:E39" si="1">I10+J10+K10+L10</f>
        <v>0</v>
      </c>
      <c r="F10" s="396">
        <f>$F$9</f>
        <v>10902.777777777777</v>
      </c>
      <c r="G10" s="396">
        <f>G9+D10-E10</f>
        <v>4915</v>
      </c>
      <c r="H10" s="451">
        <f t="shared" ref="H10:H39" si="2">G10/10417</f>
        <v>0.47182490160314872</v>
      </c>
      <c r="I10" s="772"/>
      <c r="J10" s="772"/>
      <c r="K10" s="772"/>
      <c r="L10" s="772"/>
      <c r="M10" s="970"/>
      <c r="N10" s="970"/>
      <c r="O10" s="650">
        <f t="shared" ref="O10:O39" si="3">G10/$O$8</f>
        <v>0.45080162893935505</v>
      </c>
    </row>
    <row r="11" spans="1:29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0"/>
        <v>0</v>
      </c>
      <c r="E11" s="396">
        <f t="shared" si="1"/>
        <v>0</v>
      </c>
      <c r="F11" s="396">
        <f>$F$9</f>
        <v>10902.777777777777</v>
      </c>
      <c r="G11" s="396">
        <f>G10+D11-E11</f>
        <v>4915</v>
      </c>
      <c r="H11" s="451">
        <f t="shared" si="2"/>
        <v>0.47182490160314872</v>
      </c>
      <c r="I11" s="772"/>
      <c r="J11" s="772"/>
      <c r="K11" s="772"/>
      <c r="L11" s="772"/>
      <c r="M11" s="970"/>
      <c r="N11" s="970"/>
      <c r="O11" s="650">
        <f t="shared" si="3"/>
        <v>0.45080162893935505</v>
      </c>
    </row>
    <row r="12" spans="1:29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>
        <f t="shared" si="0"/>
        <v>0</v>
      </c>
      <c r="E12" s="396">
        <f t="shared" si="1"/>
        <v>0</v>
      </c>
      <c r="F12" s="396">
        <f t="shared" ref="F12:F39" si="4">$F$9</f>
        <v>10902.777777777777</v>
      </c>
      <c r="G12" s="396">
        <f>G11+D12-E12</f>
        <v>4915</v>
      </c>
      <c r="H12" s="451">
        <f t="shared" si="2"/>
        <v>0.47182490160314872</v>
      </c>
      <c r="I12" s="772"/>
      <c r="J12" s="772"/>
      <c r="K12" s="772"/>
      <c r="L12" s="772"/>
      <c r="M12" s="970"/>
      <c r="N12" s="970"/>
      <c r="O12" s="650">
        <f t="shared" si="3"/>
        <v>0.45080162893935505</v>
      </c>
    </row>
    <row r="13" spans="1:29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0"/>
        <v>0</v>
      </c>
      <c r="E13" s="396">
        <f t="shared" si="1"/>
        <v>0</v>
      </c>
      <c r="F13" s="396">
        <f t="shared" si="4"/>
        <v>10902.777777777777</v>
      </c>
      <c r="G13" s="769">
        <f>G12+D13-E13</f>
        <v>4915</v>
      </c>
      <c r="H13" s="451">
        <f t="shared" si="2"/>
        <v>0.47182490160314872</v>
      </c>
      <c r="I13" s="772"/>
      <c r="J13" s="772"/>
      <c r="K13" s="772"/>
      <c r="L13" s="772"/>
      <c r="M13" s="970"/>
      <c r="N13" s="970"/>
      <c r="O13" s="650">
        <f t="shared" si="3"/>
        <v>0.45080162893935505</v>
      </c>
    </row>
    <row r="14" spans="1:29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0"/>
        <v>0</v>
      </c>
      <c r="E14" s="396">
        <f t="shared" si="1"/>
        <v>0</v>
      </c>
      <c r="F14" s="396">
        <f t="shared" si="4"/>
        <v>10902.777777777777</v>
      </c>
      <c r="G14" s="396">
        <f t="shared" ref="G14:G39" si="5">G13+D14-E14</f>
        <v>4915</v>
      </c>
      <c r="H14" s="451">
        <f t="shared" si="2"/>
        <v>0.47182490160314872</v>
      </c>
      <c r="I14" s="772"/>
      <c r="J14" s="772"/>
      <c r="K14" s="772"/>
      <c r="L14" s="772"/>
      <c r="M14" s="970"/>
      <c r="N14" s="970"/>
      <c r="O14" s="650">
        <f t="shared" si="3"/>
        <v>0.45080162893935505</v>
      </c>
    </row>
    <row r="15" spans="1:29" s="367" customFormat="1" ht="12" customHeight="1">
      <c r="A15" s="330">
        <v>7</v>
      </c>
      <c r="B15" s="365">
        <f>'FRIT HGE91-FHG'!B15</f>
        <v>46241</v>
      </c>
      <c r="C15" s="331" t="s">
        <v>348</v>
      </c>
      <c r="D15" s="396">
        <f t="shared" si="0"/>
        <v>0</v>
      </c>
      <c r="E15" s="396">
        <f t="shared" si="1"/>
        <v>0</v>
      </c>
      <c r="F15" s="396">
        <f t="shared" si="4"/>
        <v>10902.777777777777</v>
      </c>
      <c r="G15" s="396">
        <f t="shared" si="5"/>
        <v>4915</v>
      </c>
      <c r="H15" s="451">
        <f t="shared" si="2"/>
        <v>0.47182490160314872</v>
      </c>
      <c r="I15" s="772"/>
      <c r="J15" s="772"/>
      <c r="K15" s="772"/>
      <c r="L15" s="772"/>
      <c r="M15" s="970"/>
      <c r="N15" s="970"/>
      <c r="O15" s="650">
        <f t="shared" si="3"/>
        <v>0.45080162893935505</v>
      </c>
    </row>
    <row r="16" spans="1:29" s="367" customFormat="1" ht="12" customHeight="1">
      <c r="A16" s="330">
        <v>8</v>
      </c>
      <c r="B16" s="365">
        <f>'FRIT HGE91-FHG'!B16</f>
        <v>46242</v>
      </c>
      <c r="C16" s="331" t="s">
        <v>348</v>
      </c>
      <c r="D16" s="396">
        <f t="shared" si="0"/>
        <v>0</v>
      </c>
      <c r="E16" s="396">
        <f t="shared" si="1"/>
        <v>500</v>
      </c>
      <c r="F16" s="396">
        <f t="shared" si="4"/>
        <v>10902.777777777777</v>
      </c>
      <c r="G16" s="396">
        <f t="shared" si="5"/>
        <v>4415</v>
      </c>
      <c r="H16" s="451">
        <f t="shared" si="2"/>
        <v>0.42382643755399829</v>
      </c>
      <c r="I16" s="772">
        <v>500</v>
      </c>
      <c r="J16" s="772"/>
      <c r="K16" s="772"/>
      <c r="L16" s="772"/>
      <c r="M16" s="970"/>
      <c r="N16" s="970"/>
      <c r="O16" s="650">
        <f t="shared" si="3"/>
        <v>0.40494184980005138</v>
      </c>
    </row>
    <row r="17" spans="1:15" s="367" customFormat="1" ht="12" customHeight="1">
      <c r="A17" s="330">
        <v>9</v>
      </c>
      <c r="B17" s="365">
        <f>'FRIT HGE91-FHG'!B17</f>
        <v>46243</v>
      </c>
      <c r="C17" s="331" t="s">
        <v>348</v>
      </c>
      <c r="D17" s="396">
        <f t="shared" si="0"/>
        <v>0</v>
      </c>
      <c r="E17" s="396">
        <f t="shared" si="1"/>
        <v>0</v>
      </c>
      <c r="F17" s="396">
        <f t="shared" si="4"/>
        <v>10902.777777777777</v>
      </c>
      <c r="G17" s="396">
        <f t="shared" si="5"/>
        <v>4415</v>
      </c>
      <c r="H17" s="451">
        <f t="shared" si="2"/>
        <v>0.42382643755399829</v>
      </c>
      <c r="I17" s="772"/>
      <c r="J17" s="772"/>
      <c r="K17" s="772"/>
      <c r="L17" s="772"/>
      <c r="M17" s="970"/>
      <c r="N17" s="970"/>
      <c r="O17" s="650">
        <f t="shared" si="3"/>
        <v>0.40494184980005138</v>
      </c>
    </row>
    <row r="18" spans="1:15" s="367" customFormat="1" ht="12" customHeight="1">
      <c r="A18" s="425">
        <v>10</v>
      </c>
      <c r="B18" s="365">
        <f>'FRIT HGE91-FHG'!B18</f>
        <v>46244</v>
      </c>
      <c r="C18" s="331" t="s">
        <v>348</v>
      </c>
      <c r="D18" s="396">
        <f t="shared" si="0"/>
        <v>0</v>
      </c>
      <c r="E18" s="396">
        <f t="shared" si="1"/>
        <v>0</v>
      </c>
      <c r="F18" s="396">
        <f t="shared" si="4"/>
        <v>10902.777777777777</v>
      </c>
      <c r="G18" s="769">
        <f t="shared" si="5"/>
        <v>4415</v>
      </c>
      <c r="H18" s="451">
        <f t="shared" si="2"/>
        <v>0.42382643755399829</v>
      </c>
      <c r="I18" s="772"/>
      <c r="J18" s="772"/>
      <c r="K18" s="772"/>
      <c r="L18" s="772"/>
      <c r="M18" s="970"/>
      <c r="N18" s="970"/>
      <c r="O18" s="650">
        <f t="shared" si="3"/>
        <v>0.40494184980005138</v>
      </c>
    </row>
    <row r="19" spans="1:15" s="367" customFormat="1" ht="12" customHeight="1">
      <c r="A19" s="330">
        <v>11</v>
      </c>
      <c r="B19" s="365">
        <f>'FRIT HGE91-FHG'!B19</f>
        <v>46245</v>
      </c>
      <c r="C19" s="331" t="s">
        <v>348</v>
      </c>
      <c r="D19" s="396">
        <f t="shared" si="0"/>
        <v>0</v>
      </c>
      <c r="E19" s="396">
        <f t="shared" si="1"/>
        <v>0</v>
      </c>
      <c r="F19" s="396">
        <f t="shared" si="4"/>
        <v>10902.777777777777</v>
      </c>
      <c r="G19" s="396">
        <f t="shared" si="5"/>
        <v>4415</v>
      </c>
      <c r="H19" s="451">
        <f t="shared" si="2"/>
        <v>0.42382643755399829</v>
      </c>
      <c r="I19" s="772"/>
      <c r="J19" s="772"/>
      <c r="K19" s="772"/>
      <c r="L19" s="772"/>
      <c r="M19" s="970"/>
      <c r="N19" s="970"/>
      <c r="O19" s="650">
        <f t="shared" si="3"/>
        <v>0.40494184980005138</v>
      </c>
    </row>
    <row r="20" spans="1:15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0"/>
        <v>0</v>
      </c>
      <c r="E20" s="396">
        <f t="shared" si="1"/>
        <v>0</v>
      </c>
      <c r="F20" s="396">
        <f t="shared" si="4"/>
        <v>10902.777777777777</v>
      </c>
      <c r="G20" s="396">
        <f t="shared" si="5"/>
        <v>4415</v>
      </c>
      <c r="H20" s="451">
        <f t="shared" si="2"/>
        <v>0.42382643755399829</v>
      </c>
      <c r="I20" s="772"/>
      <c r="J20" s="772"/>
      <c r="K20" s="772"/>
      <c r="L20" s="772"/>
      <c r="M20" s="970"/>
      <c r="N20" s="970"/>
      <c r="O20" s="650">
        <f t="shared" si="3"/>
        <v>0.40494184980005138</v>
      </c>
    </row>
    <row r="21" spans="1:15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0"/>
        <v>0</v>
      </c>
      <c r="E21" s="396">
        <f t="shared" si="1"/>
        <v>0</v>
      </c>
      <c r="F21" s="396">
        <f t="shared" si="4"/>
        <v>10902.777777777777</v>
      </c>
      <c r="G21" s="396">
        <f t="shared" si="5"/>
        <v>4415</v>
      </c>
      <c r="H21" s="451">
        <f t="shared" si="2"/>
        <v>0.42382643755399829</v>
      </c>
      <c r="I21" s="772"/>
      <c r="J21" s="772"/>
      <c r="K21" s="772"/>
      <c r="L21" s="772"/>
      <c r="M21" s="970"/>
      <c r="N21" s="970"/>
      <c r="O21" s="650">
        <f t="shared" si="3"/>
        <v>0.40494184980005138</v>
      </c>
    </row>
    <row r="22" spans="1:15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0"/>
        <v>0</v>
      </c>
      <c r="E22" s="396">
        <f t="shared" si="1"/>
        <v>0</v>
      </c>
      <c r="F22" s="396">
        <f t="shared" si="4"/>
        <v>10902.777777777777</v>
      </c>
      <c r="G22" s="396">
        <f t="shared" si="5"/>
        <v>4415</v>
      </c>
      <c r="H22" s="451">
        <f t="shared" si="2"/>
        <v>0.42382643755399829</v>
      </c>
      <c r="I22" s="772"/>
      <c r="J22" s="772"/>
      <c r="K22" s="772"/>
      <c r="L22" s="772"/>
      <c r="M22" s="970"/>
      <c r="N22" s="970"/>
      <c r="O22" s="650">
        <f t="shared" si="3"/>
        <v>0.40494184980005138</v>
      </c>
    </row>
    <row r="23" spans="1:15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0"/>
        <v>0</v>
      </c>
      <c r="E23" s="396">
        <f t="shared" si="1"/>
        <v>0</v>
      </c>
      <c r="F23" s="396">
        <f t="shared" si="4"/>
        <v>10902.777777777777</v>
      </c>
      <c r="G23" s="769">
        <f t="shared" si="5"/>
        <v>4415</v>
      </c>
      <c r="H23" s="451">
        <f t="shared" si="2"/>
        <v>0.42382643755399829</v>
      </c>
      <c r="I23" s="772"/>
      <c r="J23" s="772"/>
      <c r="K23" s="772"/>
      <c r="L23" s="772"/>
      <c r="M23" s="970"/>
      <c r="N23" s="970"/>
      <c r="O23" s="650">
        <f t="shared" si="3"/>
        <v>0.40494184980005138</v>
      </c>
    </row>
    <row r="24" spans="1:15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0"/>
        <v>0</v>
      </c>
      <c r="E24" s="396">
        <f t="shared" si="1"/>
        <v>0</v>
      </c>
      <c r="F24" s="396">
        <f t="shared" si="4"/>
        <v>10902.777777777777</v>
      </c>
      <c r="G24" s="396">
        <f t="shared" si="5"/>
        <v>4415</v>
      </c>
      <c r="H24" s="451">
        <f t="shared" si="2"/>
        <v>0.42382643755399829</v>
      </c>
      <c r="I24" s="772"/>
      <c r="J24" s="772"/>
      <c r="K24" s="772"/>
      <c r="L24" s="772"/>
      <c r="M24" s="970"/>
      <c r="N24" s="970"/>
      <c r="O24" s="650">
        <f t="shared" si="3"/>
        <v>0.40494184980005138</v>
      </c>
    </row>
    <row r="25" spans="1:15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0"/>
        <v>0</v>
      </c>
      <c r="E25" s="396">
        <f t="shared" si="1"/>
        <v>0</v>
      </c>
      <c r="F25" s="396">
        <f t="shared" si="4"/>
        <v>10902.777777777777</v>
      </c>
      <c r="G25" s="396">
        <f t="shared" si="5"/>
        <v>4415</v>
      </c>
      <c r="H25" s="451">
        <f t="shared" si="2"/>
        <v>0.42382643755399829</v>
      </c>
      <c r="I25" s="772"/>
      <c r="J25" s="772"/>
      <c r="K25" s="772"/>
      <c r="L25" s="772"/>
      <c r="M25" s="970"/>
      <c r="N25" s="970"/>
      <c r="O25" s="650">
        <f t="shared" si="3"/>
        <v>0.40494184980005138</v>
      </c>
    </row>
    <row r="26" spans="1:15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0"/>
        <v>0</v>
      </c>
      <c r="E26" s="396">
        <f t="shared" si="1"/>
        <v>0</v>
      </c>
      <c r="F26" s="396">
        <f t="shared" si="4"/>
        <v>10902.777777777777</v>
      </c>
      <c r="G26" s="396">
        <f t="shared" si="5"/>
        <v>4415</v>
      </c>
      <c r="H26" s="451">
        <f t="shared" si="2"/>
        <v>0.42382643755399829</v>
      </c>
      <c r="I26" s="772"/>
      <c r="J26" s="772"/>
      <c r="K26" s="772"/>
      <c r="L26" s="772"/>
      <c r="M26" s="970"/>
      <c r="N26" s="970"/>
      <c r="O26" s="650">
        <f t="shared" si="3"/>
        <v>0.40494184980005138</v>
      </c>
    </row>
    <row r="27" spans="1:15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0"/>
        <v>0</v>
      </c>
      <c r="E27" s="396">
        <f t="shared" si="1"/>
        <v>0</v>
      </c>
      <c r="F27" s="396">
        <f t="shared" si="4"/>
        <v>10902.777777777777</v>
      </c>
      <c r="G27" s="396">
        <f t="shared" si="5"/>
        <v>4415</v>
      </c>
      <c r="H27" s="451">
        <f t="shared" si="2"/>
        <v>0.42382643755399829</v>
      </c>
      <c r="I27" s="772"/>
      <c r="J27" s="772"/>
      <c r="K27" s="772"/>
      <c r="L27" s="772"/>
      <c r="M27" s="970"/>
      <c r="N27" s="970"/>
      <c r="O27" s="650">
        <f t="shared" si="3"/>
        <v>0.40494184980005138</v>
      </c>
    </row>
    <row r="28" spans="1:15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0"/>
        <v>0</v>
      </c>
      <c r="E28" s="396">
        <f t="shared" si="1"/>
        <v>0</v>
      </c>
      <c r="F28" s="396">
        <f t="shared" si="4"/>
        <v>10902.777777777777</v>
      </c>
      <c r="G28" s="769">
        <f t="shared" si="5"/>
        <v>4415</v>
      </c>
      <c r="H28" s="451">
        <f t="shared" si="2"/>
        <v>0.42382643755399829</v>
      </c>
      <c r="I28" s="772"/>
      <c r="J28" s="772"/>
      <c r="K28" s="772"/>
      <c r="L28" s="772"/>
      <c r="M28" s="970"/>
      <c r="N28" s="970"/>
      <c r="O28" s="650">
        <f t="shared" si="3"/>
        <v>0.40494184980005138</v>
      </c>
    </row>
    <row r="29" spans="1:15" s="367" customFormat="1" ht="12" customHeight="1">
      <c r="A29" s="330">
        <v>21</v>
      </c>
      <c r="B29" s="365">
        <f>'FRIT HGE91-FHG'!B29</f>
        <v>46255</v>
      </c>
      <c r="C29" s="331" t="s">
        <v>334</v>
      </c>
      <c r="D29" s="396">
        <f t="shared" si="0"/>
        <v>0</v>
      </c>
      <c r="E29" s="396">
        <f t="shared" si="1"/>
        <v>0</v>
      </c>
      <c r="F29" s="396">
        <f t="shared" si="4"/>
        <v>10902.777777777777</v>
      </c>
      <c r="G29" s="393">
        <f t="shared" si="5"/>
        <v>4415</v>
      </c>
      <c r="H29" s="451">
        <f t="shared" si="2"/>
        <v>0.42382643755399829</v>
      </c>
      <c r="I29" s="772"/>
      <c r="J29" s="772"/>
      <c r="K29" s="772"/>
      <c r="L29" s="772"/>
      <c r="M29" s="970"/>
      <c r="N29" s="970"/>
      <c r="O29" s="650">
        <f t="shared" si="3"/>
        <v>0.40494184980005138</v>
      </c>
    </row>
    <row r="30" spans="1:15" s="367" customFormat="1" ht="12" customHeight="1">
      <c r="A30" s="330">
        <v>22</v>
      </c>
      <c r="B30" s="365">
        <f>'FRIT HGE91-FHG'!B30</f>
        <v>46256</v>
      </c>
      <c r="C30" s="331" t="s">
        <v>334</v>
      </c>
      <c r="D30" s="396">
        <f t="shared" si="0"/>
        <v>0</v>
      </c>
      <c r="E30" s="396">
        <f t="shared" si="1"/>
        <v>0</v>
      </c>
      <c r="F30" s="396">
        <f t="shared" si="4"/>
        <v>10902.777777777777</v>
      </c>
      <c r="G30" s="393">
        <f t="shared" si="5"/>
        <v>4415</v>
      </c>
      <c r="H30" s="451">
        <f t="shared" si="2"/>
        <v>0.42382643755399829</v>
      </c>
      <c r="I30" s="772"/>
      <c r="J30" s="772"/>
      <c r="K30" s="772"/>
      <c r="L30" s="772"/>
      <c r="M30" s="970"/>
      <c r="N30" s="970"/>
      <c r="O30" s="650">
        <f t="shared" si="3"/>
        <v>0.40494184980005138</v>
      </c>
    </row>
    <row r="31" spans="1:15" s="367" customFormat="1" ht="12" customHeight="1">
      <c r="A31" s="330">
        <v>23</v>
      </c>
      <c r="B31" s="365">
        <f>'FRIT HGE91-FHG'!B31</f>
        <v>46257</v>
      </c>
      <c r="C31" s="331" t="s">
        <v>334</v>
      </c>
      <c r="D31" s="396">
        <f t="shared" si="0"/>
        <v>0</v>
      </c>
      <c r="E31" s="396">
        <f t="shared" si="1"/>
        <v>0</v>
      </c>
      <c r="F31" s="396">
        <f t="shared" si="4"/>
        <v>10902.777777777777</v>
      </c>
      <c r="G31" s="393">
        <f t="shared" si="5"/>
        <v>4415</v>
      </c>
      <c r="H31" s="451">
        <f t="shared" si="2"/>
        <v>0.42382643755399829</v>
      </c>
      <c r="I31" s="772"/>
      <c r="J31" s="772"/>
      <c r="K31" s="772"/>
      <c r="L31" s="772"/>
      <c r="M31" s="970"/>
      <c r="N31" s="970"/>
      <c r="O31" s="650">
        <f t="shared" si="3"/>
        <v>0.40494184980005138</v>
      </c>
    </row>
    <row r="32" spans="1:15" s="367" customFormat="1" ht="12" customHeight="1">
      <c r="A32" s="330">
        <v>24</v>
      </c>
      <c r="B32" s="365">
        <f>'FRIT HGE91-FHG'!B32</f>
        <v>46258</v>
      </c>
      <c r="C32" s="331" t="s">
        <v>334</v>
      </c>
      <c r="D32" s="396">
        <f t="shared" si="0"/>
        <v>0</v>
      </c>
      <c r="E32" s="396">
        <f t="shared" si="1"/>
        <v>0</v>
      </c>
      <c r="F32" s="396">
        <f t="shared" si="4"/>
        <v>10902.777777777777</v>
      </c>
      <c r="G32" s="393">
        <f t="shared" si="5"/>
        <v>4415</v>
      </c>
      <c r="H32" s="451">
        <f t="shared" si="2"/>
        <v>0.42382643755399829</v>
      </c>
      <c r="I32" s="772"/>
      <c r="J32" s="772"/>
      <c r="K32" s="772"/>
      <c r="L32" s="772"/>
      <c r="M32" s="970"/>
      <c r="N32" s="970"/>
      <c r="O32" s="650">
        <f t="shared" si="3"/>
        <v>0.40494184980005138</v>
      </c>
    </row>
    <row r="33" spans="1:16" s="367" customFormat="1" ht="12" customHeight="1">
      <c r="A33" s="426">
        <v>25</v>
      </c>
      <c r="B33" s="365">
        <f>'FRIT HGE91-FHG'!B33</f>
        <v>46259</v>
      </c>
      <c r="C33" s="331" t="s">
        <v>334</v>
      </c>
      <c r="D33" s="396">
        <f t="shared" si="0"/>
        <v>0</v>
      </c>
      <c r="E33" s="396">
        <f t="shared" si="1"/>
        <v>0</v>
      </c>
      <c r="F33" s="396">
        <f t="shared" si="4"/>
        <v>10902.777777777777</v>
      </c>
      <c r="G33" s="770">
        <f t="shared" si="5"/>
        <v>4415</v>
      </c>
      <c r="H33" s="451">
        <f t="shared" si="2"/>
        <v>0.42382643755399829</v>
      </c>
      <c r="I33" s="772"/>
      <c r="J33" s="772"/>
      <c r="K33" s="772"/>
      <c r="L33" s="772"/>
      <c r="M33" s="970"/>
      <c r="N33" s="970"/>
      <c r="O33" s="650">
        <f t="shared" si="3"/>
        <v>0.40494184980005138</v>
      </c>
    </row>
    <row r="34" spans="1:16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0"/>
        <v>0</v>
      </c>
      <c r="E34" s="396">
        <f t="shared" si="1"/>
        <v>0</v>
      </c>
      <c r="F34" s="396">
        <f t="shared" si="4"/>
        <v>10902.777777777777</v>
      </c>
      <c r="G34" s="396">
        <f t="shared" si="5"/>
        <v>4415</v>
      </c>
      <c r="H34" s="451">
        <f t="shared" si="2"/>
        <v>0.42382643755399829</v>
      </c>
      <c r="I34" s="772"/>
      <c r="J34" s="772"/>
      <c r="K34" s="772"/>
      <c r="L34" s="772"/>
      <c r="M34" s="970"/>
      <c r="N34" s="970"/>
      <c r="O34" s="650">
        <f t="shared" si="3"/>
        <v>0.40494184980005138</v>
      </c>
    </row>
    <row r="35" spans="1:16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0"/>
        <v>0</v>
      </c>
      <c r="E35" s="396">
        <f t="shared" si="1"/>
        <v>0</v>
      </c>
      <c r="F35" s="396">
        <f t="shared" si="4"/>
        <v>10902.777777777777</v>
      </c>
      <c r="G35" s="396">
        <f t="shared" si="5"/>
        <v>4415</v>
      </c>
      <c r="H35" s="451">
        <f t="shared" si="2"/>
        <v>0.42382643755399829</v>
      </c>
      <c r="I35" s="772"/>
      <c r="J35" s="772"/>
      <c r="K35" s="772"/>
      <c r="L35" s="772"/>
      <c r="M35" s="970"/>
      <c r="N35" s="970"/>
      <c r="O35" s="650">
        <f t="shared" si="3"/>
        <v>0.40494184980005138</v>
      </c>
    </row>
    <row r="36" spans="1:16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0"/>
        <v>0</v>
      </c>
      <c r="E36" s="396">
        <f t="shared" si="1"/>
        <v>0</v>
      </c>
      <c r="F36" s="396">
        <f t="shared" si="4"/>
        <v>10902.777777777777</v>
      </c>
      <c r="G36" s="396">
        <f t="shared" si="5"/>
        <v>4415</v>
      </c>
      <c r="H36" s="451">
        <f t="shared" si="2"/>
        <v>0.42382643755399829</v>
      </c>
      <c r="I36" s="772"/>
      <c r="J36" s="772"/>
      <c r="K36" s="772"/>
      <c r="L36" s="772"/>
      <c r="M36" s="970"/>
      <c r="N36" s="970"/>
      <c r="O36" s="650">
        <f t="shared" si="3"/>
        <v>0.40494184980005138</v>
      </c>
    </row>
    <row r="37" spans="1:16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0"/>
        <v>0</v>
      </c>
      <c r="E37" s="396">
        <f t="shared" si="1"/>
        <v>0</v>
      </c>
      <c r="F37" s="396">
        <f t="shared" si="4"/>
        <v>10902.777777777777</v>
      </c>
      <c r="G37" s="396">
        <f t="shared" si="5"/>
        <v>4415</v>
      </c>
      <c r="H37" s="451">
        <f t="shared" si="2"/>
        <v>0.42382643755399829</v>
      </c>
      <c r="I37" s="772"/>
      <c r="J37" s="772"/>
      <c r="K37" s="772"/>
      <c r="L37" s="772"/>
      <c r="M37" s="970"/>
      <c r="N37" s="970"/>
      <c r="O37" s="650">
        <f t="shared" si="3"/>
        <v>0.40494184980005138</v>
      </c>
    </row>
    <row r="38" spans="1:16" s="367" customFormat="1" ht="12" customHeight="1">
      <c r="A38" s="425">
        <v>30</v>
      </c>
      <c r="B38" s="365">
        <f>'FRIT HGE91-FHG'!B38</f>
        <v>46264</v>
      </c>
      <c r="C38" s="331" t="s">
        <v>349</v>
      </c>
      <c r="D38" s="396">
        <f t="shared" si="0"/>
        <v>0</v>
      </c>
      <c r="E38" s="396">
        <f t="shared" si="1"/>
        <v>0</v>
      </c>
      <c r="F38" s="396">
        <f t="shared" si="4"/>
        <v>10902.777777777777</v>
      </c>
      <c r="G38" s="769">
        <f t="shared" si="5"/>
        <v>4415</v>
      </c>
      <c r="H38" s="451">
        <f t="shared" si="2"/>
        <v>0.42382643755399829</v>
      </c>
      <c r="I38" s="772"/>
      <c r="J38" s="772"/>
      <c r="K38" s="772"/>
      <c r="L38" s="772"/>
      <c r="M38" s="970"/>
      <c r="N38" s="970"/>
      <c r="O38" s="650">
        <f t="shared" si="3"/>
        <v>0.40494184980005138</v>
      </c>
    </row>
    <row r="39" spans="1:16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0"/>
        <v>0</v>
      </c>
      <c r="E39" s="396">
        <f t="shared" si="1"/>
        <v>0</v>
      </c>
      <c r="F39" s="396">
        <f t="shared" si="4"/>
        <v>10902.777777777777</v>
      </c>
      <c r="G39" s="396">
        <f t="shared" si="5"/>
        <v>4415</v>
      </c>
      <c r="H39" s="451">
        <f t="shared" si="2"/>
        <v>0.42382643755399829</v>
      </c>
      <c r="I39" s="772"/>
      <c r="J39" s="772"/>
      <c r="K39" s="772"/>
      <c r="L39" s="772"/>
      <c r="M39" s="970"/>
      <c r="N39" s="970"/>
      <c r="O39" s="650">
        <f t="shared" si="3"/>
        <v>0.40494184980005138</v>
      </c>
    </row>
    <row r="40" spans="1:16" s="374" customFormat="1" ht="12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500</v>
      </c>
      <c r="F40" s="449"/>
      <c r="G40" s="389">
        <f>G39</f>
        <v>4415</v>
      </c>
      <c r="H40" s="309"/>
      <c r="I40" s="689">
        <f>SUM(I9:I39)</f>
        <v>500</v>
      </c>
      <c r="J40" s="689">
        <f t="shared" ref="J40:N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  <c r="N40" s="689">
        <f t="shared" si="6"/>
        <v>0</v>
      </c>
    </row>
    <row r="41" spans="1:16" s="374" customFormat="1" ht="12" customHeight="1">
      <c r="A41" s="1647" t="s">
        <v>15</v>
      </c>
      <c r="B41" s="1647"/>
      <c r="C41" s="1647"/>
      <c r="D41" s="448">
        <f>D8+D40</f>
        <v>4915</v>
      </c>
      <c r="E41" s="389">
        <f>E40</f>
        <v>500</v>
      </c>
      <c r="F41" s="449"/>
      <c r="G41" s="389">
        <f>D41-E41</f>
        <v>4415</v>
      </c>
      <c r="H41" s="309"/>
      <c r="I41" s="689"/>
      <c r="J41" s="689"/>
      <c r="K41" s="689"/>
      <c r="L41" s="689"/>
      <c r="M41" s="689"/>
      <c r="N41" s="689"/>
    </row>
    <row r="42" spans="1:16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6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</row>
    <row r="47" spans="1:16">
      <c r="P47" s="151"/>
    </row>
    <row r="48" spans="1:16">
      <c r="P48" s="151"/>
    </row>
    <row r="49" spans="16:16">
      <c r="P49" s="151"/>
    </row>
  </sheetData>
  <mergeCells count="7">
    <mergeCell ref="A41:C41"/>
    <mergeCell ref="A3:I3"/>
    <mergeCell ref="A4:B4"/>
    <mergeCell ref="M7:M8"/>
    <mergeCell ref="N7:N8"/>
    <mergeCell ref="A8:C8"/>
    <mergeCell ref="A40:C40"/>
  </mergeCells>
  <conditionalFormatting sqref="H9:H39">
    <cfRule type="cellIs" dxfId="8678" priority="37" operator="between">
      <formula>3.5</formula>
      <formula>6</formula>
    </cfRule>
    <cfRule type="cellIs" dxfId="8677" priority="38" operator="lessThan">
      <formula>3.5</formula>
    </cfRule>
    <cfRule type="cellIs" dxfId="8676" priority="39" operator="greaterThan">
      <formula>6</formula>
    </cfRule>
  </conditionalFormatting>
  <conditionalFormatting sqref="H9:H39">
    <cfRule type="cellIs" dxfId="8675" priority="34" operator="between">
      <formula>3.5</formula>
      <formula>6</formula>
    </cfRule>
    <cfRule type="cellIs" dxfId="8674" priority="35" operator="lessThan">
      <formula>3.5</formula>
    </cfRule>
    <cfRule type="cellIs" dxfId="8673" priority="36" operator="greaterThan">
      <formula>6</formula>
    </cfRule>
  </conditionalFormatting>
  <conditionalFormatting sqref="H9:H39">
    <cfRule type="cellIs" dxfId="8672" priority="31" operator="between">
      <formula>3.5</formula>
      <formula>6</formula>
    </cfRule>
    <cfRule type="cellIs" dxfId="8671" priority="32" operator="lessThan">
      <formula>3.5</formula>
    </cfRule>
    <cfRule type="cellIs" dxfId="8670" priority="33" operator="greaterThan">
      <formula>6</formula>
    </cfRule>
  </conditionalFormatting>
  <conditionalFormatting sqref="H9:H39">
    <cfRule type="cellIs" dxfId="8669" priority="28" operator="between">
      <formula>3.5</formula>
      <formula>6</formula>
    </cfRule>
    <cfRule type="cellIs" dxfId="8668" priority="29" operator="lessThan">
      <formula>3.5</formula>
    </cfRule>
    <cfRule type="cellIs" dxfId="8667" priority="30" operator="greaterThan">
      <formula>6</formula>
    </cfRule>
  </conditionalFormatting>
  <conditionalFormatting sqref="H9:H39">
    <cfRule type="cellIs" dxfId="8666" priority="25" operator="between">
      <formula>3.5</formula>
      <formula>6</formula>
    </cfRule>
    <cfRule type="cellIs" dxfId="8665" priority="26" operator="lessThan">
      <formula>3.5</formula>
    </cfRule>
    <cfRule type="cellIs" dxfId="8664" priority="27" operator="greaterThan">
      <formula>6</formula>
    </cfRule>
  </conditionalFormatting>
  <conditionalFormatting sqref="H9:H39">
    <cfRule type="cellIs" dxfId="8663" priority="22" operator="between">
      <formula>3.5</formula>
      <formula>6</formula>
    </cfRule>
    <cfRule type="cellIs" dxfId="8662" priority="23" operator="lessThan">
      <formula>3.5</formula>
    </cfRule>
    <cfRule type="cellIs" dxfId="8661" priority="24" operator="greaterThan">
      <formula>6</formula>
    </cfRule>
  </conditionalFormatting>
  <conditionalFormatting sqref="H9:H39">
    <cfRule type="cellIs" dxfId="8660" priority="19" operator="between">
      <formula>3.5</formula>
      <formula>6</formula>
    </cfRule>
    <cfRule type="cellIs" dxfId="8659" priority="20" operator="lessThan">
      <formula>3.5</formula>
    </cfRule>
    <cfRule type="cellIs" dxfId="8658" priority="21" operator="greaterThan">
      <formula>6</formula>
    </cfRule>
  </conditionalFormatting>
  <conditionalFormatting sqref="H9:H39">
    <cfRule type="cellIs" dxfId="8657" priority="16" operator="between">
      <formula>3.5</formula>
      <formula>6</formula>
    </cfRule>
    <cfRule type="cellIs" dxfId="8656" priority="17" operator="lessThan">
      <formula>3.5</formula>
    </cfRule>
    <cfRule type="cellIs" dxfId="8655" priority="18" operator="greaterThan">
      <formula>6</formula>
    </cfRule>
  </conditionalFormatting>
  <conditionalFormatting sqref="H9:H39">
    <cfRule type="cellIs" dxfId="8654" priority="13" operator="between">
      <formula>3.5</formula>
      <formula>6</formula>
    </cfRule>
    <cfRule type="cellIs" dxfId="8653" priority="14" operator="lessThan">
      <formula>3.5</formula>
    </cfRule>
    <cfRule type="cellIs" dxfId="8652" priority="15" operator="greaterThan">
      <formula>6</formula>
    </cfRule>
  </conditionalFormatting>
  <conditionalFormatting sqref="H9:H39">
    <cfRule type="cellIs" dxfId="8651" priority="10" operator="between">
      <formula>3.5</formula>
      <formula>6</formula>
    </cfRule>
    <cfRule type="cellIs" dxfId="8650" priority="11" operator="lessThan">
      <formula>3.5</formula>
    </cfRule>
    <cfRule type="cellIs" dxfId="8649" priority="12" operator="greaterThan">
      <formula>6</formula>
    </cfRule>
  </conditionalFormatting>
  <conditionalFormatting sqref="H9:H39">
    <cfRule type="cellIs" dxfId="8648" priority="7" operator="between">
      <formula>3.5</formula>
      <formula>6</formula>
    </cfRule>
    <cfRule type="cellIs" dxfId="8647" priority="8" operator="lessThan">
      <formula>3.5</formula>
    </cfRule>
    <cfRule type="cellIs" dxfId="8646" priority="9" operator="greaterThan">
      <formula>6</formula>
    </cfRule>
  </conditionalFormatting>
  <conditionalFormatting sqref="H9:H39">
    <cfRule type="cellIs" dxfId="8645" priority="4" operator="between">
      <formula>3.5</formula>
      <formula>6</formula>
    </cfRule>
    <cfRule type="cellIs" dxfId="8644" priority="5" operator="lessThan">
      <formula>3.5</formula>
    </cfRule>
    <cfRule type="cellIs" dxfId="8643" priority="6" operator="greaterThan">
      <formula>6</formula>
    </cfRule>
  </conditionalFormatting>
  <conditionalFormatting sqref="H9:H39">
    <cfRule type="cellIs" dxfId="8642" priority="1" operator="between">
      <formula>3.5</formula>
      <formula>6</formula>
    </cfRule>
    <cfRule type="cellIs" dxfId="8641" priority="2" operator="lessThan">
      <formula>3.5</formula>
    </cfRule>
    <cfRule type="cellIs" dxfId="864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9" orientation="landscape" verticalDpi="0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AC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5.7109375" style="42" customWidth="1"/>
    <col min="14" max="14" width="16.140625" style="42" customWidth="1"/>
    <col min="15" max="15" width="11.5703125" style="143" bestFit="1" customWidth="1"/>
    <col min="16" max="18" width="7.5703125" style="42" customWidth="1"/>
    <col min="19" max="16384" width="9.28515625" style="42"/>
  </cols>
  <sheetData>
    <row r="1" spans="1:29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3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O2" s="323"/>
      <c r="P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17"/>
      <c r="K3" s="1317"/>
      <c r="L3" s="1317"/>
      <c r="M3" s="1317"/>
      <c r="N3" s="1317"/>
      <c r="P3" s="442"/>
      <c r="Q3" s="442"/>
      <c r="R3" s="442"/>
    </row>
    <row r="4" spans="1:29" s="1322" customFormat="1" ht="12" customHeight="1">
      <c r="A4" s="1648" t="s">
        <v>33</v>
      </c>
      <c r="B4" s="1648"/>
      <c r="C4" s="551" t="str">
        <f>H4</f>
        <v>GRANDCERA XANH 30x60-HA nâu MỚI</v>
      </c>
      <c r="E4" s="549" t="s">
        <v>228</v>
      </c>
      <c r="F4" s="549" t="s">
        <v>235</v>
      </c>
      <c r="G4" s="550" t="s">
        <v>114</v>
      </c>
      <c r="H4" s="551" t="s">
        <v>1139</v>
      </c>
      <c r="O4" s="143"/>
    </row>
    <row r="5" spans="1:29" s="1322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324"/>
      <c r="O5" s="143"/>
    </row>
    <row r="6" spans="1:29" s="1322" customFormat="1" ht="12" customHeight="1">
      <c r="B6" s="453"/>
      <c r="C6" s="453"/>
      <c r="D6" s="453"/>
      <c r="E6" s="453"/>
      <c r="F6" s="453"/>
      <c r="G6" s="453">
        <v>53700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442"/>
    </row>
    <row r="7" spans="1:29" s="305" customFormat="1" ht="28.5" customHeight="1">
      <c r="A7" s="1319" t="s">
        <v>2</v>
      </c>
      <c r="B7" s="1321" t="s">
        <v>1</v>
      </c>
      <c r="C7" s="1321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18" t="s">
        <v>30</v>
      </c>
      <c r="I7" s="697" t="s">
        <v>341</v>
      </c>
      <c r="J7" s="697" t="s">
        <v>244</v>
      </c>
      <c r="K7" s="697" t="s">
        <v>344</v>
      </c>
      <c r="L7" s="697" t="s">
        <v>821</v>
      </c>
      <c r="M7" s="1649" t="s">
        <v>771</v>
      </c>
      <c r="N7" s="1649" t="s">
        <v>772</v>
      </c>
      <c r="O7" s="143"/>
    </row>
    <row r="8" spans="1:29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649"/>
      <c r="N8" s="1649"/>
      <c r="O8" s="143">
        <v>10902.8</v>
      </c>
    </row>
    <row r="9" spans="1:29" s="305" customFormat="1" ht="12" customHeight="1">
      <c r="A9" s="1320">
        <v>1</v>
      </c>
      <c r="B9" s="365">
        <f>'FRIT HGE91-FHG'!B9</f>
        <v>46235</v>
      </c>
      <c r="C9" s="331" t="s">
        <v>285</v>
      </c>
      <c r="D9" s="396">
        <f>M9+N9</f>
        <v>0</v>
      </c>
      <c r="E9" s="396">
        <f>I9+J9+K9+L9</f>
        <v>0</v>
      </c>
      <c r="F9" s="396">
        <f>15700/1.44</f>
        <v>10902.777777777777</v>
      </c>
      <c r="G9" s="396">
        <f>G8+D9-E9</f>
        <v>0</v>
      </c>
      <c r="H9" s="451">
        <f>G9/10417</f>
        <v>0</v>
      </c>
      <c r="I9" s="772"/>
      <c r="J9" s="772"/>
      <c r="K9" s="772"/>
      <c r="L9" s="772"/>
      <c r="M9" s="970"/>
      <c r="N9" s="970"/>
      <c r="O9" s="650">
        <f>G9/$O$8</f>
        <v>0</v>
      </c>
    </row>
    <row r="10" spans="1:29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>
        <f t="shared" ref="D10:D39" si="0">M10+N10</f>
        <v>0</v>
      </c>
      <c r="E10" s="396">
        <f t="shared" ref="E10:E39" si="1">I10+J10+K10+L10</f>
        <v>0</v>
      </c>
      <c r="F10" s="396">
        <f>$F$9</f>
        <v>10902.777777777777</v>
      </c>
      <c r="G10" s="396">
        <f>G9+D10-E10</f>
        <v>0</v>
      </c>
      <c r="H10" s="451">
        <f t="shared" ref="H10:H39" si="2">G10/10417</f>
        <v>0</v>
      </c>
      <c r="I10" s="772"/>
      <c r="J10" s="772"/>
      <c r="K10" s="772"/>
      <c r="L10" s="772"/>
      <c r="M10" s="970"/>
      <c r="N10" s="970"/>
      <c r="O10" s="650">
        <f t="shared" ref="O10:O39" si="3">G10/$O$8</f>
        <v>0</v>
      </c>
    </row>
    <row r="11" spans="1:29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0"/>
        <v>0</v>
      </c>
      <c r="E11" s="396">
        <f t="shared" si="1"/>
        <v>0</v>
      </c>
      <c r="F11" s="396">
        <f>$F$9</f>
        <v>10902.777777777777</v>
      </c>
      <c r="G11" s="396">
        <f>G10+D11-E11</f>
        <v>0</v>
      </c>
      <c r="H11" s="451">
        <f t="shared" si="2"/>
        <v>0</v>
      </c>
      <c r="I11" s="772"/>
      <c r="J11" s="772"/>
      <c r="K11" s="772"/>
      <c r="L11" s="772"/>
      <c r="M11" s="970"/>
      <c r="N11" s="970"/>
      <c r="O11" s="650">
        <f t="shared" si="3"/>
        <v>0</v>
      </c>
    </row>
    <row r="12" spans="1:29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>
        <f t="shared" si="0"/>
        <v>0</v>
      </c>
      <c r="E12" s="396">
        <f t="shared" si="1"/>
        <v>0</v>
      </c>
      <c r="F12" s="396">
        <f t="shared" ref="F12:F39" si="4">$F$9</f>
        <v>10902.777777777777</v>
      </c>
      <c r="G12" s="396">
        <f>G11+D12-E12</f>
        <v>0</v>
      </c>
      <c r="H12" s="451">
        <f t="shared" si="2"/>
        <v>0</v>
      </c>
      <c r="I12" s="772"/>
      <c r="J12" s="772"/>
      <c r="K12" s="772"/>
      <c r="L12" s="772"/>
      <c r="M12" s="970"/>
      <c r="N12" s="970"/>
      <c r="O12" s="650">
        <f t="shared" si="3"/>
        <v>0</v>
      </c>
    </row>
    <row r="13" spans="1:29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0"/>
        <v>0</v>
      </c>
      <c r="E13" s="396">
        <f t="shared" si="1"/>
        <v>0</v>
      </c>
      <c r="F13" s="396">
        <f t="shared" si="4"/>
        <v>10902.777777777777</v>
      </c>
      <c r="G13" s="769">
        <f>G12+D13-E13</f>
        <v>0</v>
      </c>
      <c r="H13" s="451">
        <f t="shared" si="2"/>
        <v>0</v>
      </c>
      <c r="I13" s="772"/>
      <c r="J13" s="772"/>
      <c r="K13" s="772"/>
      <c r="L13" s="772"/>
      <c r="M13" s="970"/>
      <c r="N13" s="970"/>
      <c r="O13" s="650">
        <f t="shared" si="3"/>
        <v>0</v>
      </c>
    </row>
    <row r="14" spans="1:29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0"/>
        <v>0</v>
      </c>
      <c r="E14" s="396">
        <f t="shared" si="1"/>
        <v>0</v>
      </c>
      <c r="F14" s="396">
        <f t="shared" si="4"/>
        <v>10902.777777777777</v>
      </c>
      <c r="G14" s="396">
        <f t="shared" ref="G14:G39" si="5">G13+D14-E14</f>
        <v>0</v>
      </c>
      <c r="H14" s="451">
        <f t="shared" si="2"/>
        <v>0</v>
      </c>
      <c r="I14" s="772"/>
      <c r="J14" s="772"/>
      <c r="K14" s="772"/>
      <c r="L14" s="772"/>
      <c r="M14" s="970"/>
      <c r="N14" s="970"/>
      <c r="O14" s="650">
        <f t="shared" si="3"/>
        <v>0</v>
      </c>
    </row>
    <row r="15" spans="1:29" s="367" customFormat="1" ht="12" customHeight="1">
      <c r="A15" s="330">
        <v>7</v>
      </c>
      <c r="B15" s="365">
        <f>'FRIT HGE91-FHG'!B15</f>
        <v>46241</v>
      </c>
      <c r="C15" s="331" t="s">
        <v>348</v>
      </c>
      <c r="D15" s="396">
        <f t="shared" si="0"/>
        <v>0</v>
      </c>
      <c r="E15" s="396">
        <f t="shared" si="1"/>
        <v>0</v>
      </c>
      <c r="F15" s="396">
        <f t="shared" si="4"/>
        <v>10902.777777777777</v>
      </c>
      <c r="G15" s="396">
        <f t="shared" si="5"/>
        <v>0</v>
      </c>
      <c r="H15" s="451">
        <f t="shared" si="2"/>
        <v>0</v>
      </c>
      <c r="I15" s="772"/>
      <c r="J15" s="772"/>
      <c r="K15" s="772"/>
      <c r="L15" s="772"/>
      <c r="M15" s="970"/>
      <c r="N15" s="970"/>
      <c r="O15" s="650">
        <f t="shared" si="3"/>
        <v>0</v>
      </c>
    </row>
    <row r="16" spans="1:29" s="367" customFormat="1" ht="12" customHeight="1">
      <c r="A16" s="330">
        <v>8</v>
      </c>
      <c r="B16" s="365">
        <f>'FRIT HGE91-FHG'!B16</f>
        <v>46242</v>
      </c>
      <c r="C16" s="331" t="s">
        <v>348</v>
      </c>
      <c r="D16" s="396">
        <f t="shared" si="0"/>
        <v>0</v>
      </c>
      <c r="E16" s="396">
        <f t="shared" si="1"/>
        <v>0</v>
      </c>
      <c r="F16" s="396">
        <f t="shared" si="4"/>
        <v>10902.777777777777</v>
      </c>
      <c r="G16" s="396">
        <f t="shared" si="5"/>
        <v>0</v>
      </c>
      <c r="H16" s="451">
        <f t="shared" si="2"/>
        <v>0</v>
      </c>
      <c r="I16" s="772"/>
      <c r="J16" s="772"/>
      <c r="K16" s="772"/>
      <c r="L16" s="772"/>
      <c r="M16" s="970"/>
      <c r="N16" s="970"/>
      <c r="O16" s="650">
        <f t="shared" si="3"/>
        <v>0</v>
      </c>
    </row>
    <row r="17" spans="1:15" s="367" customFormat="1" ht="12" customHeight="1">
      <c r="A17" s="330">
        <v>9</v>
      </c>
      <c r="B17" s="365">
        <f>'FRIT HGE91-FHG'!B17</f>
        <v>46243</v>
      </c>
      <c r="C17" s="331" t="s">
        <v>348</v>
      </c>
      <c r="D17" s="396">
        <f t="shared" si="0"/>
        <v>0</v>
      </c>
      <c r="E17" s="396">
        <f t="shared" si="1"/>
        <v>0</v>
      </c>
      <c r="F17" s="396">
        <f t="shared" si="4"/>
        <v>10902.777777777777</v>
      </c>
      <c r="G17" s="396">
        <f t="shared" si="5"/>
        <v>0</v>
      </c>
      <c r="H17" s="451">
        <f t="shared" si="2"/>
        <v>0</v>
      </c>
      <c r="I17" s="772"/>
      <c r="J17" s="772"/>
      <c r="K17" s="772"/>
      <c r="L17" s="772"/>
      <c r="M17" s="970"/>
      <c r="N17" s="970"/>
      <c r="O17" s="650">
        <f t="shared" si="3"/>
        <v>0</v>
      </c>
    </row>
    <row r="18" spans="1:15" s="367" customFormat="1" ht="12" customHeight="1">
      <c r="A18" s="425">
        <v>10</v>
      </c>
      <c r="B18" s="365">
        <f>'FRIT HGE91-FHG'!B18</f>
        <v>46244</v>
      </c>
      <c r="C18" s="331" t="s">
        <v>348</v>
      </c>
      <c r="D18" s="396">
        <f t="shared" si="0"/>
        <v>0</v>
      </c>
      <c r="E18" s="396">
        <f t="shared" si="1"/>
        <v>0</v>
      </c>
      <c r="F18" s="396">
        <f t="shared" si="4"/>
        <v>10902.777777777777</v>
      </c>
      <c r="G18" s="769">
        <f t="shared" si="5"/>
        <v>0</v>
      </c>
      <c r="H18" s="451">
        <f t="shared" si="2"/>
        <v>0</v>
      </c>
      <c r="I18" s="772"/>
      <c r="J18" s="772"/>
      <c r="K18" s="772"/>
      <c r="L18" s="772"/>
      <c r="M18" s="970"/>
      <c r="N18" s="970"/>
      <c r="O18" s="650">
        <f t="shared" si="3"/>
        <v>0</v>
      </c>
    </row>
    <row r="19" spans="1:15" s="367" customFormat="1" ht="12" customHeight="1">
      <c r="A19" s="330">
        <v>11</v>
      </c>
      <c r="B19" s="365">
        <f>'FRIT HGE91-FHG'!B19</f>
        <v>46245</v>
      </c>
      <c r="C19" s="331" t="s">
        <v>348</v>
      </c>
      <c r="D19" s="396">
        <f t="shared" si="0"/>
        <v>0</v>
      </c>
      <c r="E19" s="396">
        <f t="shared" si="1"/>
        <v>0</v>
      </c>
      <c r="F19" s="396">
        <f t="shared" si="4"/>
        <v>10902.777777777777</v>
      </c>
      <c r="G19" s="396">
        <f t="shared" si="5"/>
        <v>0</v>
      </c>
      <c r="H19" s="451">
        <f t="shared" si="2"/>
        <v>0</v>
      </c>
      <c r="I19" s="772"/>
      <c r="J19" s="772"/>
      <c r="K19" s="772"/>
      <c r="L19" s="772"/>
      <c r="M19" s="970"/>
      <c r="N19" s="970"/>
      <c r="O19" s="650">
        <f t="shared" si="3"/>
        <v>0</v>
      </c>
    </row>
    <row r="20" spans="1:15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0"/>
        <v>0</v>
      </c>
      <c r="E20" s="396">
        <f t="shared" si="1"/>
        <v>0</v>
      </c>
      <c r="F20" s="396">
        <f t="shared" si="4"/>
        <v>10902.777777777777</v>
      </c>
      <c r="G20" s="396">
        <f t="shared" si="5"/>
        <v>0</v>
      </c>
      <c r="H20" s="451">
        <f t="shared" si="2"/>
        <v>0</v>
      </c>
      <c r="I20" s="772"/>
      <c r="J20" s="772"/>
      <c r="K20" s="772"/>
      <c r="L20" s="772"/>
      <c r="M20" s="970"/>
      <c r="N20" s="970"/>
      <c r="O20" s="650">
        <f t="shared" si="3"/>
        <v>0</v>
      </c>
    </row>
    <row r="21" spans="1:15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0"/>
        <v>0</v>
      </c>
      <c r="E21" s="396">
        <f t="shared" si="1"/>
        <v>0</v>
      </c>
      <c r="F21" s="396">
        <f t="shared" si="4"/>
        <v>10902.777777777777</v>
      </c>
      <c r="G21" s="396">
        <f t="shared" si="5"/>
        <v>0</v>
      </c>
      <c r="H21" s="451">
        <f t="shared" si="2"/>
        <v>0</v>
      </c>
      <c r="I21" s="772"/>
      <c r="J21" s="772"/>
      <c r="K21" s="772"/>
      <c r="L21" s="772"/>
      <c r="M21" s="970"/>
      <c r="N21" s="970"/>
      <c r="O21" s="650">
        <f t="shared" si="3"/>
        <v>0</v>
      </c>
    </row>
    <row r="22" spans="1:15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0"/>
        <v>0</v>
      </c>
      <c r="E22" s="396">
        <f t="shared" si="1"/>
        <v>0</v>
      </c>
      <c r="F22" s="396">
        <f t="shared" si="4"/>
        <v>10902.777777777777</v>
      </c>
      <c r="G22" s="396">
        <f t="shared" si="5"/>
        <v>0</v>
      </c>
      <c r="H22" s="451">
        <f t="shared" si="2"/>
        <v>0</v>
      </c>
      <c r="I22" s="772"/>
      <c r="J22" s="772"/>
      <c r="K22" s="772"/>
      <c r="L22" s="772"/>
      <c r="M22" s="970"/>
      <c r="N22" s="970"/>
      <c r="O22" s="650">
        <f t="shared" si="3"/>
        <v>0</v>
      </c>
    </row>
    <row r="23" spans="1:15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0"/>
        <v>0</v>
      </c>
      <c r="E23" s="396">
        <f t="shared" si="1"/>
        <v>0</v>
      </c>
      <c r="F23" s="396">
        <f t="shared" si="4"/>
        <v>10902.777777777777</v>
      </c>
      <c r="G23" s="769">
        <f t="shared" si="5"/>
        <v>0</v>
      </c>
      <c r="H23" s="451">
        <f t="shared" si="2"/>
        <v>0</v>
      </c>
      <c r="I23" s="772"/>
      <c r="J23" s="772"/>
      <c r="K23" s="772"/>
      <c r="L23" s="772"/>
      <c r="M23" s="970"/>
      <c r="N23" s="970"/>
      <c r="O23" s="650">
        <f t="shared" si="3"/>
        <v>0</v>
      </c>
    </row>
    <row r="24" spans="1:15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0"/>
        <v>0</v>
      </c>
      <c r="E24" s="396">
        <f t="shared" si="1"/>
        <v>0</v>
      </c>
      <c r="F24" s="396">
        <f t="shared" si="4"/>
        <v>10902.777777777777</v>
      </c>
      <c r="G24" s="396">
        <f t="shared" si="5"/>
        <v>0</v>
      </c>
      <c r="H24" s="451">
        <f t="shared" si="2"/>
        <v>0</v>
      </c>
      <c r="I24" s="772"/>
      <c r="J24" s="772"/>
      <c r="K24" s="772"/>
      <c r="L24" s="772"/>
      <c r="M24" s="970"/>
      <c r="N24" s="970"/>
      <c r="O24" s="650">
        <f t="shared" si="3"/>
        <v>0</v>
      </c>
    </row>
    <row r="25" spans="1:15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0"/>
        <v>0</v>
      </c>
      <c r="E25" s="396">
        <f t="shared" si="1"/>
        <v>0</v>
      </c>
      <c r="F25" s="396">
        <f t="shared" si="4"/>
        <v>10902.777777777777</v>
      </c>
      <c r="G25" s="396">
        <f t="shared" si="5"/>
        <v>0</v>
      </c>
      <c r="H25" s="451">
        <f t="shared" si="2"/>
        <v>0</v>
      </c>
      <c r="I25" s="772"/>
      <c r="J25" s="772"/>
      <c r="K25" s="772"/>
      <c r="L25" s="772"/>
      <c r="M25" s="970"/>
      <c r="N25" s="970"/>
      <c r="O25" s="650">
        <f t="shared" si="3"/>
        <v>0</v>
      </c>
    </row>
    <row r="26" spans="1:15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0"/>
        <v>0</v>
      </c>
      <c r="E26" s="396">
        <f t="shared" si="1"/>
        <v>0</v>
      </c>
      <c r="F26" s="396">
        <f t="shared" si="4"/>
        <v>10902.777777777777</v>
      </c>
      <c r="G26" s="396">
        <f t="shared" si="5"/>
        <v>0</v>
      </c>
      <c r="H26" s="451">
        <f t="shared" si="2"/>
        <v>0</v>
      </c>
      <c r="I26" s="772"/>
      <c r="J26" s="772"/>
      <c r="K26" s="772"/>
      <c r="L26" s="772"/>
      <c r="M26" s="970"/>
      <c r="N26" s="970"/>
      <c r="O26" s="650">
        <f t="shared" si="3"/>
        <v>0</v>
      </c>
    </row>
    <row r="27" spans="1:15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0"/>
        <v>0</v>
      </c>
      <c r="E27" s="396">
        <f t="shared" si="1"/>
        <v>0</v>
      </c>
      <c r="F27" s="396">
        <f t="shared" si="4"/>
        <v>10902.777777777777</v>
      </c>
      <c r="G27" s="396">
        <f t="shared" si="5"/>
        <v>0</v>
      </c>
      <c r="H27" s="451">
        <f t="shared" si="2"/>
        <v>0</v>
      </c>
      <c r="I27" s="772"/>
      <c r="J27" s="772"/>
      <c r="K27" s="772"/>
      <c r="L27" s="772"/>
      <c r="M27" s="970"/>
      <c r="N27" s="970"/>
      <c r="O27" s="650">
        <f t="shared" si="3"/>
        <v>0</v>
      </c>
    </row>
    <row r="28" spans="1:15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0"/>
        <v>0</v>
      </c>
      <c r="E28" s="396">
        <f t="shared" si="1"/>
        <v>0</v>
      </c>
      <c r="F28" s="396">
        <f t="shared" si="4"/>
        <v>10902.777777777777</v>
      </c>
      <c r="G28" s="769">
        <f t="shared" si="5"/>
        <v>0</v>
      </c>
      <c r="H28" s="451">
        <f t="shared" si="2"/>
        <v>0</v>
      </c>
      <c r="I28" s="772"/>
      <c r="J28" s="772"/>
      <c r="K28" s="772"/>
      <c r="L28" s="772"/>
      <c r="M28" s="970"/>
      <c r="N28" s="970"/>
      <c r="O28" s="650">
        <f t="shared" si="3"/>
        <v>0</v>
      </c>
    </row>
    <row r="29" spans="1:15" s="367" customFormat="1" ht="12" customHeight="1">
      <c r="A29" s="330">
        <v>21</v>
      </c>
      <c r="B29" s="365">
        <f>'FRIT HGE91-FHG'!B29</f>
        <v>46255</v>
      </c>
      <c r="C29" s="331" t="s">
        <v>334</v>
      </c>
      <c r="D29" s="396">
        <f t="shared" si="0"/>
        <v>0</v>
      </c>
      <c r="E29" s="396">
        <f t="shared" si="1"/>
        <v>0</v>
      </c>
      <c r="F29" s="396">
        <f t="shared" si="4"/>
        <v>10902.777777777777</v>
      </c>
      <c r="G29" s="393">
        <f t="shared" si="5"/>
        <v>0</v>
      </c>
      <c r="H29" s="451">
        <f t="shared" si="2"/>
        <v>0</v>
      </c>
      <c r="I29" s="772"/>
      <c r="J29" s="772"/>
      <c r="K29" s="772"/>
      <c r="L29" s="772"/>
      <c r="M29" s="970"/>
      <c r="N29" s="970"/>
      <c r="O29" s="650">
        <f t="shared" si="3"/>
        <v>0</v>
      </c>
    </row>
    <row r="30" spans="1:15" s="367" customFormat="1" ht="12" customHeight="1">
      <c r="A30" s="330">
        <v>22</v>
      </c>
      <c r="B30" s="365">
        <f>'FRIT HGE91-FHG'!B30</f>
        <v>46256</v>
      </c>
      <c r="C30" s="331" t="s">
        <v>334</v>
      </c>
      <c r="D30" s="396">
        <f t="shared" si="0"/>
        <v>0</v>
      </c>
      <c r="E30" s="396">
        <f t="shared" si="1"/>
        <v>0</v>
      </c>
      <c r="F30" s="396">
        <f t="shared" si="4"/>
        <v>10902.777777777777</v>
      </c>
      <c r="G30" s="393">
        <f t="shared" si="5"/>
        <v>0</v>
      </c>
      <c r="H30" s="451">
        <f t="shared" si="2"/>
        <v>0</v>
      </c>
      <c r="I30" s="772"/>
      <c r="J30" s="772"/>
      <c r="K30" s="772"/>
      <c r="L30" s="772"/>
      <c r="M30" s="970"/>
      <c r="N30" s="970"/>
      <c r="O30" s="650">
        <f t="shared" si="3"/>
        <v>0</v>
      </c>
    </row>
    <row r="31" spans="1:15" s="367" customFormat="1" ht="12" customHeight="1">
      <c r="A31" s="330">
        <v>23</v>
      </c>
      <c r="B31" s="365">
        <f>'FRIT HGE91-FHG'!B31</f>
        <v>46257</v>
      </c>
      <c r="C31" s="331" t="s">
        <v>334</v>
      </c>
      <c r="D31" s="396">
        <f t="shared" si="0"/>
        <v>0</v>
      </c>
      <c r="E31" s="396">
        <f t="shared" si="1"/>
        <v>0</v>
      </c>
      <c r="F31" s="396">
        <f t="shared" si="4"/>
        <v>10902.777777777777</v>
      </c>
      <c r="G31" s="393">
        <f t="shared" si="5"/>
        <v>0</v>
      </c>
      <c r="H31" s="451">
        <f t="shared" si="2"/>
        <v>0</v>
      </c>
      <c r="I31" s="772"/>
      <c r="J31" s="772"/>
      <c r="K31" s="772"/>
      <c r="L31" s="772"/>
      <c r="M31" s="970"/>
      <c r="N31" s="970"/>
      <c r="O31" s="650">
        <f t="shared" si="3"/>
        <v>0</v>
      </c>
    </row>
    <row r="32" spans="1:15" s="367" customFormat="1" ht="12" customHeight="1">
      <c r="A32" s="330">
        <v>24</v>
      </c>
      <c r="B32" s="365">
        <f>'FRIT HGE91-FHG'!B32</f>
        <v>46258</v>
      </c>
      <c r="C32" s="331" t="s">
        <v>334</v>
      </c>
      <c r="D32" s="396">
        <f t="shared" si="0"/>
        <v>0</v>
      </c>
      <c r="E32" s="396">
        <f t="shared" si="1"/>
        <v>0</v>
      </c>
      <c r="F32" s="396">
        <f t="shared" si="4"/>
        <v>10902.777777777777</v>
      </c>
      <c r="G32" s="393">
        <f t="shared" si="5"/>
        <v>0</v>
      </c>
      <c r="H32" s="451">
        <f t="shared" si="2"/>
        <v>0</v>
      </c>
      <c r="I32" s="772"/>
      <c r="J32" s="772"/>
      <c r="K32" s="772"/>
      <c r="L32" s="772"/>
      <c r="M32" s="970"/>
      <c r="N32" s="970"/>
      <c r="O32" s="650">
        <f t="shared" si="3"/>
        <v>0</v>
      </c>
    </row>
    <row r="33" spans="1:16" s="367" customFormat="1" ht="12" customHeight="1">
      <c r="A33" s="426">
        <v>25</v>
      </c>
      <c r="B33" s="365">
        <f>'FRIT HGE91-FHG'!B33</f>
        <v>46259</v>
      </c>
      <c r="C33" s="331" t="s">
        <v>334</v>
      </c>
      <c r="D33" s="396">
        <f t="shared" si="0"/>
        <v>0</v>
      </c>
      <c r="E33" s="396">
        <f t="shared" si="1"/>
        <v>0</v>
      </c>
      <c r="F33" s="396">
        <f t="shared" si="4"/>
        <v>10902.777777777777</v>
      </c>
      <c r="G33" s="770">
        <f t="shared" si="5"/>
        <v>0</v>
      </c>
      <c r="H33" s="451">
        <f t="shared" si="2"/>
        <v>0</v>
      </c>
      <c r="I33" s="772"/>
      <c r="J33" s="772"/>
      <c r="K33" s="772"/>
      <c r="L33" s="772"/>
      <c r="M33" s="970"/>
      <c r="N33" s="970"/>
      <c r="O33" s="650">
        <f t="shared" si="3"/>
        <v>0</v>
      </c>
    </row>
    <row r="34" spans="1:16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0"/>
        <v>0</v>
      </c>
      <c r="E34" s="396">
        <f t="shared" si="1"/>
        <v>0</v>
      </c>
      <c r="F34" s="396">
        <f t="shared" si="4"/>
        <v>10902.777777777777</v>
      </c>
      <c r="G34" s="396">
        <f t="shared" si="5"/>
        <v>0</v>
      </c>
      <c r="H34" s="451">
        <f t="shared" si="2"/>
        <v>0</v>
      </c>
      <c r="I34" s="772"/>
      <c r="J34" s="772"/>
      <c r="K34" s="772"/>
      <c r="L34" s="772"/>
      <c r="M34" s="970"/>
      <c r="N34" s="970"/>
      <c r="O34" s="650">
        <f t="shared" si="3"/>
        <v>0</v>
      </c>
    </row>
    <row r="35" spans="1:16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0"/>
        <v>0</v>
      </c>
      <c r="E35" s="396">
        <f t="shared" si="1"/>
        <v>0</v>
      </c>
      <c r="F35" s="396">
        <f t="shared" si="4"/>
        <v>10902.777777777777</v>
      </c>
      <c r="G35" s="396">
        <f t="shared" si="5"/>
        <v>0</v>
      </c>
      <c r="H35" s="451">
        <f t="shared" si="2"/>
        <v>0</v>
      </c>
      <c r="I35" s="772"/>
      <c r="J35" s="772"/>
      <c r="K35" s="772"/>
      <c r="L35" s="772"/>
      <c r="M35" s="970"/>
      <c r="N35" s="970"/>
      <c r="O35" s="650">
        <f t="shared" si="3"/>
        <v>0</v>
      </c>
    </row>
    <row r="36" spans="1:16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0"/>
        <v>0</v>
      </c>
      <c r="E36" s="396">
        <f t="shared" si="1"/>
        <v>0</v>
      </c>
      <c r="F36" s="396">
        <f t="shared" si="4"/>
        <v>10902.777777777777</v>
      </c>
      <c r="G36" s="396">
        <f t="shared" si="5"/>
        <v>0</v>
      </c>
      <c r="H36" s="451">
        <f t="shared" si="2"/>
        <v>0</v>
      </c>
      <c r="I36" s="772"/>
      <c r="J36" s="772"/>
      <c r="K36" s="772"/>
      <c r="L36" s="772"/>
      <c r="M36" s="970"/>
      <c r="N36" s="970"/>
      <c r="O36" s="650">
        <f t="shared" si="3"/>
        <v>0</v>
      </c>
    </row>
    <row r="37" spans="1:16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0"/>
        <v>0</v>
      </c>
      <c r="E37" s="396">
        <f t="shared" si="1"/>
        <v>0</v>
      </c>
      <c r="F37" s="396">
        <f t="shared" si="4"/>
        <v>10902.777777777777</v>
      </c>
      <c r="G37" s="396">
        <f t="shared" si="5"/>
        <v>0</v>
      </c>
      <c r="H37" s="451">
        <f t="shared" si="2"/>
        <v>0</v>
      </c>
      <c r="I37" s="772"/>
      <c r="J37" s="772"/>
      <c r="K37" s="772"/>
      <c r="L37" s="772"/>
      <c r="M37" s="970"/>
      <c r="N37" s="970"/>
      <c r="O37" s="650">
        <f t="shared" si="3"/>
        <v>0</v>
      </c>
    </row>
    <row r="38" spans="1:16" s="367" customFormat="1" ht="12" customHeight="1">
      <c r="A38" s="425">
        <v>30</v>
      </c>
      <c r="B38" s="365">
        <f>'FRIT HGE91-FHG'!B38</f>
        <v>46264</v>
      </c>
      <c r="C38" s="331" t="s">
        <v>349</v>
      </c>
      <c r="D38" s="396">
        <f t="shared" si="0"/>
        <v>0</v>
      </c>
      <c r="E38" s="396">
        <f t="shared" si="1"/>
        <v>0</v>
      </c>
      <c r="F38" s="396">
        <f t="shared" si="4"/>
        <v>10902.777777777777</v>
      </c>
      <c r="G38" s="769">
        <f t="shared" si="5"/>
        <v>0</v>
      </c>
      <c r="H38" s="451">
        <f t="shared" si="2"/>
        <v>0</v>
      </c>
      <c r="I38" s="772"/>
      <c r="J38" s="772"/>
      <c r="K38" s="772"/>
      <c r="L38" s="772"/>
      <c r="M38" s="970"/>
      <c r="N38" s="970"/>
      <c r="O38" s="650">
        <f t="shared" si="3"/>
        <v>0</v>
      </c>
    </row>
    <row r="39" spans="1:16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0"/>
        <v>0</v>
      </c>
      <c r="E39" s="396">
        <f t="shared" si="1"/>
        <v>0</v>
      </c>
      <c r="F39" s="396">
        <f t="shared" si="4"/>
        <v>10902.777777777777</v>
      </c>
      <c r="G39" s="396">
        <f t="shared" si="5"/>
        <v>0</v>
      </c>
      <c r="H39" s="451">
        <f t="shared" si="2"/>
        <v>0</v>
      </c>
      <c r="I39" s="772"/>
      <c r="J39" s="772"/>
      <c r="K39" s="772"/>
      <c r="L39" s="772"/>
      <c r="M39" s="970"/>
      <c r="N39" s="970"/>
      <c r="O39" s="650">
        <f t="shared" si="3"/>
        <v>0</v>
      </c>
    </row>
    <row r="40" spans="1:16" s="374" customFormat="1" ht="12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N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  <c r="N40" s="689">
        <f t="shared" si="6"/>
        <v>0</v>
      </c>
    </row>
    <row r="41" spans="1:16" s="374" customFormat="1" ht="12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  <c r="M41" s="689"/>
      <c r="N41" s="689"/>
    </row>
    <row r="42" spans="1:16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6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</row>
    <row r="47" spans="1:16">
      <c r="P47" s="151"/>
    </row>
    <row r="48" spans="1:16">
      <c r="P48" s="151"/>
    </row>
    <row r="49" spans="16:16">
      <c r="P49" s="151"/>
    </row>
  </sheetData>
  <mergeCells count="7">
    <mergeCell ref="A41:C41"/>
    <mergeCell ref="A3:I3"/>
    <mergeCell ref="A4:B4"/>
    <mergeCell ref="M7:M8"/>
    <mergeCell ref="N7:N8"/>
    <mergeCell ref="A8:C8"/>
    <mergeCell ref="A40:C40"/>
  </mergeCells>
  <conditionalFormatting sqref="H9:H39">
    <cfRule type="cellIs" dxfId="8639" priority="37" operator="between">
      <formula>3.5</formula>
      <formula>6</formula>
    </cfRule>
    <cfRule type="cellIs" dxfId="8638" priority="38" operator="lessThan">
      <formula>3.5</formula>
    </cfRule>
    <cfRule type="cellIs" dxfId="8637" priority="39" operator="greaterThan">
      <formula>6</formula>
    </cfRule>
  </conditionalFormatting>
  <conditionalFormatting sqref="H9:H39">
    <cfRule type="cellIs" dxfId="8636" priority="34" operator="between">
      <formula>3.5</formula>
      <formula>6</formula>
    </cfRule>
    <cfRule type="cellIs" dxfId="8635" priority="35" operator="lessThan">
      <formula>3.5</formula>
    </cfRule>
    <cfRule type="cellIs" dxfId="8634" priority="36" operator="greaterThan">
      <formula>6</formula>
    </cfRule>
  </conditionalFormatting>
  <conditionalFormatting sqref="H9:H39">
    <cfRule type="cellIs" dxfId="8633" priority="31" operator="between">
      <formula>3.5</formula>
      <formula>6</formula>
    </cfRule>
    <cfRule type="cellIs" dxfId="8632" priority="32" operator="lessThan">
      <formula>3.5</formula>
    </cfRule>
    <cfRule type="cellIs" dxfId="8631" priority="33" operator="greaterThan">
      <formula>6</formula>
    </cfRule>
  </conditionalFormatting>
  <conditionalFormatting sqref="H9:H39">
    <cfRule type="cellIs" dxfId="8630" priority="28" operator="between">
      <formula>3.5</formula>
      <formula>6</formula>
    </cfRule>
    <cfRule type="cellIs" dxfId="8629" priority="29" operator="lessThan">
      <formula>3.5</formula>
    </cfRule>
    <cfRule type="cellIs" dxfId="8628" priority="30" operator="greaterThan">
      <formula>6</formula>
    </cfRule>
  </conditionalFormatting>
  <conditionalFormatting sqref="H9:H39">
    <cfRule type="cellIs" dxfId="8627" priority="25" operator="between">
      <formula>3.5</formula>
      <formula>6</formula>
    </cfRule>
    <cfRule type="cellIs" dxfId="8626" priority="26" operator="lessThan">
      <formula>3.5</formula>
    </cfRule>
    <cfRule type="cellIs" dxfId="8625" priority="27" operator="greaterThan">
      <formula>6</formula>
    </cfRule>
  </conditionalFormatting>
  <conditionalFormatting sqref="H9:H39">
    <cfRule type="cellIs" dxfId="8624" priority="22" operator="between">
      <formula>3.5</formula>
      <formula>6</formula>
    </cfRule>
    <cfRule type="cellIs" dxfId="8623" priority="23" operator="lessThan">
      <formula>3.5</formula>
    </cfRule>
    <cfRule type="cellIs" dxfId="8622" priority="24" operator="greaterThan">
      <formula>6</formula>
    </cfRule>
  </conditionalFormatting>
  <conditionalFormatting sqref="H9:H39">
    <cfRule type="cellIs" dxfId="8621" priority="19" operator="between">
      <formula>3.5</formula>
      <formula>6</formula>
    </cfRule>
    <cfRule type="cellIs" dxfId="8620" priority="20" operator="lessThan">
      <formula>3.5</formula>
    </cfRule>
    <cfRule type="cellIs" dxfId="8619" priority="21" operator="greaterThan">
      <formula>6</formula>
    </cfRule>
  </conditionalFormatting>
  <conditionalFormatting sqref="H9:H39">
    <cfRule type="cellIs" dxfId="8618" priority="16" operator="between">
      <formula>3.5</formula>
      <formula>6</formula>
    </cfRule>
    <cfRule type="cellIs" dxfId="8617" priority="17" operator="lessThan">
      <formula>3.5</formula>
    </cfRule>
    <cfRule type="cellIs" dxfId="8616" priority="18" operator="greaterThan">
      <formula>6</formula>
    </cfRule>
  </conditionalFormatting>
  <conditionalFormatting sqref="H9:H39">
    <cfRule type="cellIs" dxfId="8615" priority="13" operator="between">
      <formula>3.5</formula>
      <formula>6</formula>
    </cfRule>
    <cfRule type="cellIs" dxfId="8614" priority="14" operator="lessThan">
      <formula>3.5</formula>
    </cfRule>
    <cfRule type="cellIs" dxfId="8613" priority="15" operator="greaterThan">
      <formula>6</formula>
    </cfRule>
  </conditionalFormatting>
  <conditionalFormatting sqref="H9:H39">
    <cfRule type="cellIs" dxfId="8612" priority="10" operator="between">
      <formula>3.5</formula>
      <formula>6</formula>
    </cfRule>
    <cfRule type="cellIs" dxfId="8611" priority="11" operator="lessThan">
      <formula>3.5</formula>
    </cfRule>
    <cfRule type="cellIs" dxfId="8610" priority="12" operator="greaterThan">
      <formula>6</formula>
    </cfRule>
  </conditionalFormatting>
  <conditionalFormatting sqref="H9:H39">
    <cfRule type="cellIs" dxfId="8609" priority="7" operator="between">
      <formula>3.5</formula>
      <formula>6</formula>
    </cfRule>
    <cfRule type="cellIs" dxfId="8608" priority="8" operator="lessThan">
      <formula>3.5</formula>
    </cfRule>
    <cfRule type="cellIs" dxfId="8607" priority="9" operator="greaterThan">
      <formula>6</formula>
    </cfRule>
  </conditionalFormatting>
  <conditionalFormatting sqref="H9:H39">
    <cfRule type="cellIs" dxfId="8606" priority="4" operator="between">
      <formula>3.5</formula>
      <formula>6</formula>
    </cfRule>
    <cfRule type="cellIs" dxfId="8605" priority="5" operator="lessThan">
      <formula>3.5</formula>
    </cfRule>
    <cfRule type="cellIs" dxfId="8604" priority="6" operator="greaterThan">
      <formula>6</formula>
    </cfRule>
  </conditionalFormatting>
  <conditionalFormatting sqref="H9:H39">
    <cfRule type="cellIs" dxfId="8603" priority="1" operator="between">
      <formula>3.5</formula>
      <formula>6</formula>
    </cfRule>
    <cfRule type="cellIs" dxfId="8602" priority="2" operator="lessThan">
      <formula>3.5</formula>
    </cfRule>
    <cfRule type="cellIs" dxfId="8601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9" orientation="landscape" verticalDpi="0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Z49"/>
  <sheetViews>
    <sheetView zoomScale="90" zoomScaleNormal="90" workbookViewId="0">
      <pane ySplit="8" topLeftCell="A24" activePane="bottomLeft" state="frozen"/>
      <selection pane="bottomLeft" activeCell="Q52" sqref="Q52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395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2" customHeight="1">
      <c r="A8" s="1650" t="s">
        <v>3</v>
      </c>
      <c r="B8" s="1651"/>
      <c r="C8" s="1652"/>
      <c r="D8" s="771">
        <f>G8</f>
        <v>0</v>
      </c>
      <c r="E8" s="771"/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>G8+D9-E9</f>
        <v>0</v>
      </c>
      <c r="H9" s="451">
        <f>G9/10417</f>
        <v>0</v>
      </c>
      <c r="I9" s="767"/>
      <c r="J9" s="767"/>
      <c r="K9" s="767"/>
      <c r="L9" s="650" t="e">
        <f>E9/$Q$8</f>
        <v>#DIV/0!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0">I10+J10+K10</f>
        <v>0</v>
      </c>
      <c r="F10" s="396">
        <f>$F$9</f>
        <v>10902.777777777777</v>
      </c>
      <c r="G10" s="396">
        <f t="shared" ref="G10:G37" si="1">G9+D10-E10</f>
        <v>0</v>
      </c>
      <c r="H10" s="451">
        <f t="shared" ref="H10:H39" si="2">G10/10417</f>
        <v>0</v>
      </c>
      <c r="I10" s="767"/>
      <c r="J10" s="767"/>
      <c r="K10" s="767"/>
      <c r="L10" s="650" t="e">
        <f t="shared" ref="L10:L17" si="3">E10/$Q$8</f>
        <v>#DIV/0!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104</v>
      </c>
      <c r="D11" s="396"/>
      <c r="E11" s="396">
        <f t="shared" si="0"/>
        <v>0</v>
      </c>
      <c r="F11" s="396">
        <f>$F$9</f>
        <v>10902.777777777777</v>
      </c>
      <c r="G11" s="396">
        <f t="shared" si="1"/>
        <v>0</v>
      </c>
      <c r="H11" s="451">
        <f t="shared" si="2"/>
        <v>0</v>
      </c>
      <c r="I11" s="767"/>
      <c r="J11" s="767"/>
      <c r="K11" s="767"/>
      <c r="L11" s="650" t="e">
        <f t="shared" si="3"/>
        <v>#DIV/0!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104</v>
      </c>
      <c r="D12" s="396"/>
      <c r="E12" s="396">
        <f t="shared" si="0"/>
        <v>0</v>
      </c>
      <c r="F12" s="396">
        <f t="shared" ref="F12:F39" si="4">$F$9</f>
        <v>10902.777777777777</v>
      </c>
      <c r="G12" s="396">
        <f t="shared" si="1"/>
        <v>0</v>
      </c>
      <c r="H12" s="451">
        <f t="shared" si="2"/>
        <v>0</v>
      </c>
      <c r="I12" s="767"/>
      <c r="J12" s="767"/>
      <c r="K12" s="767"/>
      <c r="L12" s="650" t="e">
        <f t="shared" si="3"/>
        <v>#DIV/0!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104</v>
      </c>
      <c r="D13" s="396"/>
      <c r="E13" s="396">
        <f t="shared" si="0"/>
        <v>0</v>
      </c>
      <c r="F13" s="396">
        <f t="shared" si="4"/>
        <v>10902.777777777777</v>
      </c>
      <c r="G13" s="769">
        <f t="shared" si="1"/>
        <v>0</v>
      </c>
      <c r="H13" s="451">
        <f t="shared" si="2"/>
        <v>0</v>
      </c>
      <c r="I13" s="767"/>
      <c r="J13" s="767"/>
      <c r="K13" s="767"/>
      <c r="L13" s="650" t="e">
        <f t="shared" si="3"/>
        <v>#DIV/0!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0"/>
        <v>0</v>
      </c>
      <c r="F14" s="396">
        <f t="shared" si="4"/>
        <v>10902.777777777777</v>
      </c>
      <c r="G14" s="396">
        <f t="shared" si="1"/>
        <v>0</v>
      </c>
      <c r="H14" s="451">
        <f t="shared" si="2"/>
        <v>0</v>
      </c>
      <c r="I14" s="767"/>
      <c r="J14" s="767"/>
      <c r="K14" s="767"/>
      <c r="L14" s="650" t="e">
        <f t="shared" si="3"/>
        <v>#DIV/0!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0"/>
        <v>0</v>
      </c>
      <c r="F15" s="396">
        <f t="shared" si="4"/>
        <v>10902.777777777777</v>
      </c>
      <c r="G15" s="396">
        <f t="shared" si="1"/>
        <v>0</v>
      </c>
      <c r="H15" s="451">
        <f t="shared" si="2"/>
        <v>0</v>
      </c>
      <c r="I15" s="767"/>
      <c r="J15" s="767"/>
      <c r="K15" s="767"/>
      <c r="L15" s="650" t="e">
        <f t="shared" si="3"/>
        <v>#DIV/0!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0"/>
        <v>0</v>
      </c>
      <c r="F16" s="396">
        <f t="shared" si="4"/>
        <v>10902.777777777777</v>
      </c>
      <c r="G16" s="396">
        <f t="shared" si="1"/>
        <v>0</v>
      </c>
      <c r="H16" s="451">
        <f t="shared" si="2"/>
        <v>0</v>
      </c>
      <c r="I16" s="767"/>
      <c r="J16" s="767"/>
      <c r="K16" s="767"/>
      <c r="L16" s="650" t="e">
        <f t="shared" si="3"/>
        <v>#DIV/0!</v>
      </c>
    </row>
    <row r="17" spans="1:12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0"/>
        <v>0</v>
      </c>
      <c r="F17" s="396">
        <f t="shared" si="4"/>
        <v>10902.777777777777</v>
      </c>
      <c r="G17" s="396">
        <f t="shared" si="1"/>
        <v>0</v>
      </c>
      <c r="H17" s="451">
        <f t="shared" si="2"/>
        <v>0</v>
      </c>
      <c r="I17" s="767"/>
      <c r="J17" s="767"/>
      <c r="K17" s="767"/>
      <c r="L17" s="650" t="e">
        <f t="shared" si="3"/>
        <v>#DIV/0!</v>
      </c>
    </row>
    <row r="18" spans="1:12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0"/>
        <v>0</v>
      </c>
      <c r="F18" s="396">
        <f t="shared" si="4"/>
        <v>10902.777777777777</v>
      </c>
      <c r="G18" s="769">
        <f t="shared" si="1"/>
        <v>0</v>
      </c>
      <c r="H18" s="451">
        <f t="shared" si="2"/>
        <v>0</v>
      </c>
      <c r="I18" s="767"/>
      <c r="J18" s="767"/>
      <c r="K18" s="767"/>
      <c r="L18" s="650">
        <f>G18/$L$8</f>
        <v>0</v>
      </c>
    </row>
    <row r="19" spans="1:12" s="367" customFormat="1" ht="12" customHeight="1">
      <c r="A19" s="330">
        <v>11</v>
      </c>
      <c r="B19" s="365">
        <f>'FRIT HGE91-FHG'!B19</f>
        <v>46245</v>
      </c>
      <c r="C19" s="331" t="s">
        <v>104</v>
      </c>
      <c r="D19" s="396"/>
      <c r="E19" s="396">
        <f t="shared" si="0"/>
        <v>0</v>
      </c>
      <c r="F19" s="396">
        <f t="shared" si="4"/>
        <v>10902.777777777777</v>
      </c>
      <c r="G19" s="396">
        <f t="shared" si="1"/>
        <v>0</v>
      </c>
      <c r="H19" s="451">
        <f t="shared" si="2"/>
        <v>0</v>
      </c>
      <c r="I19" s="767"/>
      <c r="J19" s="767"/>
      <c r="K19" s="767"/>
      <c r="L19" s="650">
        <f t="shared" ref="L19:L39" si="5">G19/$L$8</f>
        <v>0</v>
      </c>
    </row>
    <row r="20" spans="1:12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0"/>
        <v>0</v>
      </c>
      <c r="F20" s="396">
        <f t="shared" si="4"/>
        <v>10902.777777777777</v>
      </c>
      <c r="G20" s="396">
        <f t="shared" si="1"/>
        <v>0</v>
      </c>
      <c r="H20" s="451">
        <f t="shared" si="2"/>
        <v>0</v>
      </c>
      <c r="I20" s="767"/>
      <c r="J20" s="767"/>
      <c r="K20" s="767"/>
      <c r="L20" s="650">
        <f t="shared" si="5"/>
        <v>0</v>
      </c>
    </row>
    <row r="21" spans="1:12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0"/>
        <v>0</v>
      </c>
      <c r="F21" s="396">
        <f t="shared" si="4"/>
        <v>10902.777777777777</v>
      </c>
      <c r="G21" s="396">
        <f t="shared" si="1"/>
        <v>0</v>
      </c>
      <c r="H21" s="451">
        <f t="shared" si="2"/>
        <v>0</v>
      </c>
      <c r="I21" s="767"/>
      <c r="J21" s="767"/>
      <c r="K21" s="767"/>
      <c r="L21" s="650">
        <f t="shared" si="5"/>
        <v>0</v>
      </c>
    </row>
    <row r="22" spans="1:12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0"/>
        <v>0</v>
      </c>
      <c r="F22" s="396">
        <f t="shared" si="4"/>
        <v>10902.777777777777</v>
      </c>
      <c r="G22" s="396">
        <f t="shared" si="1"/>
        <v>0</v>
      </c>
      <c r="H22" s="451">
        <f t="shared" si="2"/>
        <v>0</v>
      </c>
      <c r="I22" s="767"/>
      <c r="J22" s="767"/>
      <c r="K22" s="767"/>
      <c r="L22" s="650">
        <f t="shared" si="5"/>
        <v>0</v>
      </c>
    </row>
    <row r="23" spans="1:12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0"/>
        <v>0</v>
      </c>
      <c r="F23" s="396">
        <f t="shared" si="4"/>
        <v>10902.777777777777</v>
      </c>
      <c r="G23" s="769">
        <f t="shared" si="1"/>
        <v>0</v>
      </c>
      <c r="H23" s="451">
        <f t="shared" si="2"/>
        <v>0</v>
      </c>
      <c r="I23" s="767"/>
      <c r="J23" s="767"/>
      <c r="K23" s="767"/>
      <c r="L23" s="650">
        <f t="shared" si="5"/>
        <v>0</v>
      </c>
    </row>
    <row r="24" spans="1:12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0"/>
        <v>0</v>
      </c>
      <c r="F24" s="396">
        <f t="shared" si="4"/>
        <v>10902.777777777777</v>
      </c>
      <c r="G24" s="396">
        <f t="shared" si="1"/>
        <v>0</v>
      </c>
      <c r="H24" s="451">
        <f t="shared" si="2"/>
        <v>0</v>
      </c>
      <c r="I24" s="767"/>
      <c r="J24" s="767"/>
      <c r="K24" s="767"/>
      <c r="L24" s="650">
        <f t="shared" si="5"/>
        <v>0</v>
      </c>
    </row>
    <row r="25" spans="1:12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0"/>
        <v>0</v>
      </c>
      <c r="F25" s="396">
        <f t="shared" si="4"/>
        <v>10902.777777777777</v>
      </c>
      <c r="G25" s="396">
        <f t="shared" si="1"/>
        <v>0</v>
      </c>
      <c r="H25" s="451">
        <f t="shared" si="2"/>
        <v>0</v>
      </c>
      <c r="I25" s="767"/>
      <c r="J25" s="767"/>
      <c r="K25" s="767"/>
      <c r="L25" s="650">
        <f t="shared" si="5"/>
        <v>0</v>
      </c>
    </row>
    <row r="26" spans="1:12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0"/>
        <v>0</v>
      </c>
      <c r="F26" s="396">
        <f t="shared" si="4"/>
        <v>10902.777777777777</v>
      </c>
      <c r="G26" s="396">
        <f t="shared" si="1"/>
        <v>0</v>
      </c>
      <c r="H26" s="451">
        <f t="shared" si="2"/>
        <v>0</v>
      </c>
      <c r="I26" s="767"/>
      <c r="J26" s="767"/>
      <c r="K26" s="767"/>
      <c r="L26" s="650">
        <f t="shared" si="5"/>
        <v>0</v>
      </c>
    </row>
    <row r="27" spans="1:12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0"/>
        <v>0</v>
      </c>
      <c r="F27" s="396">
        <f t="shared" si="4"/>
        <v>10902.777777777777</v>
      </c>
      <c r="G27" s="396">
        <f t="shared" si="1"/>
        <v>0</v>
      </c>
      <c r="H27" s="451">
        <f t="shared" si="2"/>
        <v>0</v>
      </c>
      <c r="I27" s="767"/>
      <c r="J27" s="767"/>
      <c r="K27" s="767"/>
      <c r="L27" s="650">
        <f t="shared" si="5"/>
        <v>0</v>
      </c>
    </row>
    <row r="28" spans="1:12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0"/>
        <v>0</v>
      </c>
      <c r="F28" s="396">
        <f t="shared" si="4"/>
        <v>10902.777777777777</v>
      </c>
      <c r="G28" s="769">
        <f t="shared" si="1"/>
        <v>0</v>
      </c>
      <c r="H28" s="451">
        <f t="shared" si="2"/>
        <v>0</v>
      </c>
      <c r="I28" s="767"/>
      <c r="J28" s="767"/>
      <c r="K28" s="767"/>
      <c r="L28" s="650">
        <f t="shared" si="5"/>
        <v>0</v>
      </c>
    </row>
    <row r="29" spans="1:12" s="367" customFormat="1" ht="12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0"/>
        <v>0</v>
      </c>
      <c r="F29" s="396">
        <f t="shared" si="4"/>
        <v>10902.777777777777</v>
      </c>
      <c r="G29" s="393">
        <f t="shared" si="1"/>
        <v>0</v>
      </c>
      <c r="H29" s="451">
        <f t="shared" si="2"/>
        <v>0</v>
      </c>
      <c r="I29" s="767"/>
      <c r="J29" s="767"/>
      <c r="K29" s="767"/>
      <c r="L29" s="650">
        <f t="shared" si="5"/>
        <v>0</v>
      </c>
    </row>
    <row r="30" spans="1:12" s="367" customFormat="1" ht="12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0"/>
        <v>0</v>
      </c>
      <c r="F30" s="396">
        <f t="shared" si="4"/>
        <v>10902.777777777777</v>
      </c>
      <c r="G30" s="393">
        <f t="shared" si="1"/>
        <v>0</v>
      </c>
      <c r="H30" s="451">
        <f t="shared" si="2"/>
        <v>0</v>
      </c>
      <c r="I30" s="767"/>
      <c r="J30" s="767"/>
      <c r="K30" s="767"/>
      <c r="L30" s="650">
        <f t="shared" si="5"/>
        <v>0</v>
      </c>
    </row>
    <row r="31" spans="1:12" s="367" customFormat="1" ht="12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0"/>
        <v>0</v>
      </c>
      <c r="F31" s="396">
        <f t="shared" si="4"/>
        <v>10902.777777777777</v>
      </c>
      <c r="G31" s="393">
        <f t="shared" si="1"/>
        <v>0</v>
      </c>
      <c r="H31" s="451">
        <f t="shared" si="2"/>
        <v>0</v>
      </c>
      <c r="I31" s="767"/>
      <c r="J31" s="767"/>
      <c r="K31" s="767"/>
      <c r="L31" s="650">
        <f t="shared" si="5"/>
        <v>0</v>
      </c>
    </row>
    <row r="32" spans="1:12" s="367" customFormat="1" ht="12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0"/>
        <v>0</v>
      </c>
      <c r="F32" s="396">
        <f t="shared" si="4"/>
        <v>10902.777777777777</v>
      </c>
      <c r="G32" s="393">
        <f t="shared" si="1"/>
        <v>0</v>
      </c>
      <c r="H32" s="451">
        <f t="shared" si="2"/>
        <v>0</v>
      </c>
      <c r="I32" s="767"/>
      <c r="J32" s="767"/>
      <c r="K32" s="767"/>
      <c r="L32" s="650">
        <f t="shared" si="5"/>
        <v>0</v>
      </c>
    </row>
    <row r="33" spans="1:13" s="367" customFormat="1" ht="12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0"/>
        <v>0</v>
      </c>
      <c r="F33" s="396">
        <f t="shared" si="4"/>
        <v>10902.777777777777</v>
      </c>
      <c r="G33" s="770">
        <f t="shared" si="1"/>
        <v>0</v>
      </c>
      <c r="H33" s="451">
        <f t="shared" si="2"/>
        <v>0</v>
      </c>
      <c r="I33" s="767"/>
      <c r="J33" s="767"/>
      <c r="K33" s="767"/>
      <c r="L33" s="650">
        <f t="shared" si="5"/>
        <v>0</v>
      </c>
    </row>
    <row r="34" spans="1:13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0"/>
        <v>0</v>
      </c>
      <c r="F34" s="396">
        <f t="shared" si="4"/>
        <v>10902.777777777777</v>
      </c>
      <c r="G34" s="396">
        <f t="shared" si="1"/>
        <v>0</v>
      </c>
      <c r="H34" s="451">
        <f t="shared" si="2"/>
        <v>0</v>
      </c>
      <c r="I34" s="767"/>
      <c r="J34" s="767"/>
      <c r="K34" s="767"/>
      <c r="L34" s="650">
        <f t="shared" si="5"/>
        <v>0</v>
      </c>
    </row>
    <row r="35" spans="1:13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0"/>
        <v>0</v>
      </c>
      <c r="F35" s="396">
        <f t="shared" si="4"/>
        <v>10902.777777777777</v>
      </c>
      <c r="G35" s="396">
        <f t="shared" si="1"/>
        <v>0</v>
      </c>
      <c r="H35" s="451">
        <f t="shared" si="2"/>
        <v>0</v>
      </c>
      <c r="I35" s="767"/>
      <c r="J35" s="767"/>
      <c r="K35" s="767"/>
      <c r="L35" s="650">
        <f t="shared" si="5"/>
        <v>0</v>
      </c>
    </row>
    <row r="36" spans="1:13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0"/>
        <v>0</v>
      </c>
      <c r="F36" s="396">
        <f t="shared" si="4"/>
        <v>10902.777777777777</v>
      </c>
      <c r="G36" s="396">
        <f t="shared" si="1"/>
        <v>0</v>
      </c>
      <c r="H36" s="451">
        <f t="shared" si="2"/>
        <v>0</v>
      </c>
      <c r="I36" s="767"/>
      <c r="J36" s="767"/>
      <c r="K36" s="767"/>
      <c r="L36" s="650">
        <f t="shared" si="5"/>
        <v>0</v>
      </c>
    </row>
    <row r="37" spans="1:13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0"/>
        <v>0</v>
      </c>
      <c r="F37" s="396">
        <f t="shared" si="4"/>
        <v>10902.777777777777</v>
      </c>
      <c r="G37" s="396">
        <f t="shared" si="1"/>
        <v>0</v>
      </c>
      <c r="H37" s="451">
        <f t="shared" si="2"/>
        <v>0</v>
      </c>
      <c r="I37" s="767"/>
      <c r="J37" s="767"/>
      <c r="K37" s="767"/>
      <c r="L37" s="650">
        <f t="shared" si="5"/>
        <v>0</v>
      </c>
    </row>
    <row r="38" spans="1:13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0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67"/>
      <c r="J38" s="767"/>
      <c r="K38" s="767"/>
      <c r="L38" s="650">
        <f t="shared" si="5"/>
        <v>0</v>
      </c>
    </row>
    <row r="39" spans="1:13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0"/>
        <v>0</v>
      </c>
      <c r="F39" s="396">
        <f t="shared" si="4"/>
        <v>10902.777777777777</v>
      </c>
      <c r="G39" s="396">
        <f>G38+D39-E39</f>
        <v>0</v>
      </c>
      <c r="H39" s="451">
        <f t="shared" si="2"/>
        <v>0</v>
      </c>
      <c r="I39" s="767"/>
      <c r="J39" s="767"/>
      <c r="K39" s="767"/>
      <c r="L39" s="650">
        <f t="shared" si="5"/>
        <v>0</v>
      </c>
    </row>
    <row r="40" spans="1:13" s="374" customFormat="1" ht="12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6">SUM(J9:J39)</f>
        <v>0</v>
      </c>
      <c r="K40" s="689">
        <f t="shared" si="6"/>
        <v>0</v>
      </c>
    </row>
    <row r="41" spans="1:13" s="374" customFormat="1" ht="12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8:C8"/>
    <mergeCell ref="A40:C40"/>
    <mergeCell ref="A41:C41"/>
    <mergeCell ref="A3:I3"/>
    <mergeCell ref="A4:B4"/>
  </mergeCells>
  <conditionalFormatting sqref="H9:H39">
    <cfRule type="cellIs" dxfId="8600" priority="34" operator="between">
      <formula>3.5</formula>
      <formula>6</formula>
    </cfRule>
    <cfRule type="cellIs" dxfId="8599" priority="35" operator="lessThan">
      <formula>3.5</formula>
    </cfRule>
    <cfRule type="cellIs" dxfId="8598" priority="36" operator="greaterThan">
      <formula>6</formula>
    </cfRule>
  </conditionalFormatting>
  <conditionalFormatting sqref="H9:H39">
    <cfRule type="cellIs" dxfId="8597" priority="31" operator="between">
      <formula>3.5</formula>
      <formula>6</formula>
    </cfRule>
    <cfRule type="cellIs" dxfId="8596" priority="32" operator="lessThan">
      <formula>3.5</formula>
    </cfRule>
    <cfRule type="cellIs" dxfId="8595" priority="33" operator="greaterThan">
      <formula>6</formula>
    </cfRule>
  </conditionalFormatting>
  <conditionalFormatting sqref="H9:H39">
    <cfRule type="cellIs" dxfId="8594" priority="28" operator="between">
      <formula>3.5</formula>
      <formula>6</formula>
    </cfRule>
    <cfRule type="cellIs" dxfId="8593" priority="29" operator="lessThan">
      <formula>3.5</formula>
    </cfRule>
    <cfRule type="cellIs" dxfId="8592" priority="30" operator="greaterThan">
      <formula>6</formula>
    </cfRule>
  </conditionalFormatting>
  <conditionalFormatting sqref="H9:H39">
    <cfRule type="cellIs" dxfId="8591" priority="25" operator="between">
      <formula>3.5</formula>
      <formula>6</formula>
    </cfRule>
    <cfRule type="cellIs" dxfId="8590" priority="26" operator="lessThan">
      <formula>3.5</formula>
    </cfRule>
    <cfRule type="cellIs" dxfId="8589" priority="27" operator="greaterThan">
      <formula>6</formula>
    </cfRule>
  </conditionalFormatting>
  <conditionalFormatting sqref="H9:H39">
    <cfRule type="cellIs" dxfId="8588" priority="22" operator="between">
      <formula>3.5</formula>
      <formula>6</formula>
    </cfRule>
    <cfRule type="cellIs" dxfId="8587" priority="23" operator="lessThan">
      <formula>3.5</formula>
    </cfRule>
    <cfRule type="cellIs" dxfId="8586" priority="24" operator="greaterThan">
      <formula>6</formula>
    </cfRule>
  </conditionalFormatting>
  <conditionalFormatting sqref="H9:H39">
    <cfRule type="cellIs" dxfId="8585" priority="19" operator="between">
      <formula>3.5</formula>
      <formula>6</formula>
    </cfRule>
    <cfRule type="cellIs" dxfId="8584" priority="20" operator="lessThan">
      <formula>3.5</formula>
    </cfRule>
    <cfRule type="cellIs" dxfId="8583" priority="21" operator="greaterThan">
      <formula>6</formula>
    </cfRule>
  </conditionalFormatting>
  <conditionalFormatting sqref="H9:H39">
    <cfRule type="cellIs" dxfId="8582" priority="16" operator="between">
      <formula>3.5</formula>
      <formula>6</formula>
    </cfRule>
    <cfRule type="cellIs" dxfId="8581" priority="17" operator="lessThan">
      <formula>3.5</formula>
    </cfRule>
    <cfRule type="cellIs" dxfId="8580" priority="18" operator="greaterThan">
      <formula>6</formula>
    </cfRule>
  </conditionalFormatting>
  <conditionalFormatting sqref="H9:H39">
    <cfRule type="cellIs" dxfId="8579" priority="13" operator="between">
      <formula>3.5</formula>
      <formula>6</formula>
    </cfRule>
    <cfRule type="cellIs" dxfId="8578" priority="14" operator="lessThan">
      <formula>3.5</formula>
    </cfRule>
    <cfRule type="cellIs" dxfId="8577" priority="15" operator="greaterThan">
      <formula>6</formula>
    </cfRule>
  </conditionalFormatting>
  <conditionalFormatting sqref="H9:H39">
    <cfRule type="cellIs" dxfId="8576" priority="10" operator="between">
      <formula>3.5</formula>
      <formula>6</formula>
    </cfRule>
    <cfRule type="cellIs" dxfId="8575" priority="11" operator="lessThan">
      <formula>3.5</formula>
    </cfRule>
    <cfRule type="cellIs" dxfId="8574" priority="12" operator="greaterThan">
      <formula>6</formula>
    </cfRule>
  </conditionalFormatting>
  <conditionalFormatting sqref="H9:H39">
    <cfRule type="cellIs" dxfId="8573" priority="7" operator="between">
      <formula>3.5</formula>
      <formula>6</formula>
    </cfRule>
    <cfRule type="cellIs" dxfId="8572" priority="8" operator="lessThan">
      <formula>3.5</formula>
    </cfRule>
    <cfRule type="cellIs" dxfId="8571" priority="9" operator="greaterThan">
      <formula>6</formula>
    </cfRule>
  </conditionalFormatting>
  <conditionalFormatting sqref="H9:H39">
    <cfRule type="cellIs" dxfId="8570" priority="4" operator="between">
      <formula>3.5</formula>
      <formula>6</formula>
    </cfRule>
    <cfRule type="cellIs" dxfId="8569" priority="5" operator="lessThan">
      <formula>3.5</formula>
    </cfRule>
    <cfRule type="cellIs" dxfId="8568" priority="6" operator="greaterThan">
      <formula>6</formula>
    </cfRule>
  </conditionalFormatting>
  <conditionalFormatting sqref="H9:H39">
    <cfRule type="cellIs" dxfId="8567" priority="1" operator="between">
      <formula>3.5</formula>
      <formula>6</formula>
    </cfRule>
    <cfRule type="cellIs" dxfId="8566" priority="2" operator="lessThan">
      <formula>3.5</formula>
    </cfRule>
    <cfRule type="cellIs" dxfId="8565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31496062992125984"/>
  <pageSetup paperSize="8" orientation="landscape" horizontalDpi="4294967292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Z49"/>
  <sheetViews>
    <sheetView zoomScale="90" zoomScaleNormal="90" workbookViewId="0">
      <pane ySplit="8" topLeftCell="A12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11.140625" style="42" customWidth="1"/>
    <col min="10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396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8" si="0">G8+D9-E9</f>
        <v>0</v>
      </c>
      <c r="H9" s="451">
        <f t="shared" ref="H9:H39" si="1">G9/10417</f>
        <v>0</v>
      </c>
      <c r="I9" s="772"/>
      <c r="J9" s="772"/>
      <c r="K9" s="772"/>
      <c r="L9" s="650">
        <f>G9/$L$8</f>
        <v>0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2">I10+J10+K10</f>
        <v>0</v>
      </c>
      <c r="F10" s="396">
        <f>$F$9</f>
        <v>10902.777777777777</v>
      </c>
      <c r="G10" s="396">
        <f t="shared" si="0"/>
        <v>0</v>
      </c>
      <c r="H10" s="451">
        <f t="shared" si="1"/>
        <v>0</v>
      </c>
      <c r="I10" s="772"/>
      <c r="J10" s="772"/>
      <c r="K10" s="772"/>
      <c r="L10" s="650">
        <f t="shared" ref="L10:L39" si="3">G10/$L$8</f>
        <v>0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2"/>
        <v>0</v>
      </c>
      <c r="F11" s="396">
        <f>$F$9</f>
        <v>10902.777777777777</v>
      </c>
      <c r="G11" s="396">
        <f t="shared" si="0"/>
        <v>0</v>
      </c>
      <c r="H11" s="451">
        <f t="shared" si="1"/>
        <v>0</v>
      </c>
      <c r="I11" s="772"/>
      <c r="J11" s="772"/>
      <c r="K11" s="772"/>
      <c r="L11" s="650">
        <f t="shared" si="3"/>
        <v>0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2"/>
        <v>0</v>
      </c>
      <c r="F12" s="396">
        <f t="shared" ref="F12:F39" si="4">$F$9</f>
        <v>10902.777777777777</v>
      </c>
      <c r="G12" s="396">
        <f t="shared" si="0"/>
        <v>0</v>
      </c>
      <c r="H12" s="451">
        <f t="shared" si="1"/>
        <v>0</v>
      </c>
      <c r="I12" s="772"/>
      <c r="J12" s="772"/>
      <c r="K12" s="772"/>
      <c r="L12" s="650">
        <f t="shared" si="3"/>
        <v>0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96"/>
      <c r="E13" s="396">
        <f t="shared" si="2"/>
        <v>0</v>
      </c>
      <c r="F13" s="396">
        <f t="shared" si="4"/>
        <v>10902.777777777777</v>
      </c>
      <c r="G13" s="769">
        <f t="shared" si="0"/>
        <v>0</v>
      </c>
      <c r="H13" s="451">
        <f t="shared" si="1"/>
        <v>0</v>
      </c>
      <c r="I13" s="772"/>
      <c r="J13" s="772"/>
      <c r="K13" s="772"/>
      <c r="L13" s="650">
        <f t="shared" si="3"/>
        <v>0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2"/>
        <v>0</v>
      </c>
      <c r="F14" s="396">
        <f t="shared" si="4"/>
        <v>10902.777777777777</v>
      </c>
      <c r="G14" s="396">
        <f t="shared" si="0"/>
        <v>0</v>
      </c>
      <c r="H14" s="451">
        <f t="shared" si="1"/>
        <v>0</v>
      </c>
      <c r="I14" s="772"/>
      <c r="J14" s="772"/>
      <c r="K14" s="772"/>
      <c r="L14" s="650">
        <f t="shared" si="3"/>
        <v>0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2"/>
        <v>0</v>
      </c>
      <c r="F15" s="396">
        <f t="shared" si="4"/>
        <v>10902.777777777777</v>
      </c>
      <c r="G15" s="396">
        <f t="shared" si="0"/>
        <v>0</v>
      </c>
      <c r="H15" s="451">
        <f t="shared" si="1"/>
        <v>0</v>
      </c>
      <c r="I15" s="772"/>
      <c r="J15" s="772"/>
      <c r="K15" s="772"/>
      <c r="L15" s="650">
        <f t="shared" si="3"/>
        <v>0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2"/>
        <v>0</v>
      </c>
      <c r="F16" s="396">
        <f t="shared" si="4"/>
        <v>10902.777777777777</v>
      </c>
      <c r="G16" s="396">
        <f t="shared" si="0"/>
        <v>0</v>
      </c>
      <c r="H16" s="451">
        <f t="shared" si="1"/>
        <v>0</v>
      </c>
      <c r="I16" s="772"/>
      <c r="J16" s="772"/>
      <c r="K16" s="772"/>
      <c r="L16" s="650">
        <f t="shared" si="3"/>
        <v>0</v>
      </c>
    </row>
    <row r="17" spans="1:12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2"/>
        <v>0</v>
      </c>
      <c r="F17" s="396">
        <f t="shared" si="4"/>
        <v>10902.777777777777</v>
      </c>
      <c r="G17" s="396">
        <f t="shared" si="0"/>
        <v>0</v>
      </c>
      <c r="H17" s="451">
        <f t="shared" si="1"/>
        <v>0</v>
      </c>
      <c r="I17" s="772"/>
      <c r="J17" s="772"/>
      <c r="K17" s="772"/>
      <c r="L17" s="650">
        <f t="shared" si="3"/>
        <v>0</v>
      </c>
    </row>
    <row r="18" spans="1:12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2"/>
        <v>0</v>
      </c>
      <c r="F18" s="396">
        <f t="shared" si="4"/>
        <v>10902.777777777777</v>
      </c>
      <c r="G18" s="769">
        <f t="shared" si="0"/>
        <v>0</v>
      </c>
      <c r="H18" s="451">
        <f t="shared" si="1"/>
        <v>0</v>
      </c>
      <c r="I18" s="772"/>
      <c r="J18" s="772"/>
      <c r="K18" s="772"/>
      <c r="L18" s="650">
        <f t="shared" si="3"/>
        <v>0</v>
      </c>
    </row>
    <row r="19" spans="1:12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2"/>
        <v>0</v>
      </c>
      <c r="F19" s="396">
        <f t="shared" si="4"/>
        <v>10902.777777777777</v>
      </c>
      <c r="G19" s="396">
        <f t="shared" si="0"/>
        <v>0</v>
      </c>
      <c r="H19" s="451">
        <f t="shared" si="1"/>
        <v>0</v>
      </c>
      <c r="I19" s="772"/>
      <c r="J19" s="772"/>
      <c r="K19" s="772"/>
      <c r="L19" s="650">
        <f t="shared" si="3"/>
        <v>0</v>
      </c>
    </row>
    <row r="20" spans="1:12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2"/>
        <v>0</v>
      </c>
      <c r="F20" s="396">
        <f t="shared" si="4"/>
        <v>10902.777777777777</v>
      </c>
      <c r="G20" s="396">
        <f t="shared" si="0"/>
        <v>0</v>
      </c>
      <c r="H20" s="451">
        <f t="shared" si="1"/>
        <v>0</v>
      </c>
      <c r="I20" s="772"/>
      <c r="J20" s="772"/>
      <c r="K20" s="772"/>
      <c r="L20" s="650">
        <f t="shared" si="3"/>
        <v>0</v>
      </c>
    </row>
    <row r="21" spans="1:12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2"/>
        <v>0</v>
      </c>
      <c r="F21" s="396">
        <f t="shared" si="4"/>
        <v>10902.777777777777</v>
      </c>
      <c r="G21" s="396">
        <f t="shared" si="0"/>
        <v>0</v>
      </c>
      <c r="H21" s="451">
        <f t="shared" si="1"/>
        <v>0</v>
      </c>
      <c r="I21" s="772"/>
      <c r="J21" s="772"/>
      <c r="K21" s="772"/>
      <c r="L21" s="650">
        <f t="shared" si="3"/>
        <v>0</v>
      </c>
    </row>
    <row r="22" spans="1:12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2"/>
        <v>0</v>
      </c>
      <c r="F22" s="396">
        <f t="shared" si="4"/>
        <v>10902.777777777777</v>
      </c>
      <c r="G22" s="396">
        <f t="shared" si="0"/>
        <v>0</v>
      </c>
      <c r="H22" s="451">
        <f t="shared" si="1"/>
        <v>0</v>
      </c>
      <c r="I22" s="772"/>
      <c r="J22" s="772"/>
      <c r="K22" s="772"/>
      <c r="L22" s="650">
        <f t="shared" si="3"/>
        <v>0</v>
      </c>
    </row>
    <row r="23" spans="1:12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2"/>
        <v>0</v>
      </c>
      <c r="F23" s="396">
        <f t="shared" si="4"/>
        <v>10902.777777777777</v>
      </c>
      <c r="G23" s="769">
        <f t="shared" si="0"/>
        <v>0</v>
      </c>
      <c r="H23" s="451">
        <f t="shared" si="1"/>
        <v>0</v>
      </c>
      <c r="I23" s="772"/>
      <c r="J23" s="772"/>
      <c r="K23" s="772"/>
      <c r="L23" s="650">
        <f t="shared" si="3"/>
        <v>0</v>
      </c>
    </row>
    <row r="24" spans="1:12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2"/>
        <v>0</v>
      </c>
      <c r="F24" s="396">
        <f t="shared" si="4"/>
        <v>10902.777777777777</v>
      </c>
      <c r="G24" s="396">
        <f t="shared" si="0"/>
        <v>0</v>
      </c>
      <c r="H24" s="451">
        <f t="shared" si="1"/>
        <v>0</v>
      </c>
      <c r="I24" s="772"/>
      <c r="J24" s="772"/>
      <c r="K24" s="772"/>
      <c r="L24" s="650">
        <f t="shared" si="3"/>
        <v>0</v>
      </c>
    </row>
    <row r="25" spans="1:12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2"/>
        <v>0</v>
      </c>
      <c r="F25" s="396">
        <f t="shared" si="4"/>
        <v>10902.777777777777</v>
      </c>
      <c r="G25" s="396">
        <f t="shared" si="0"/>
        <v>0</v>
      </c>
      <c r="H25" s="451">
        <f t="shared" si="1"/>
        <v>0</v>
      </c>
      <c r="I25" s="772"/>
      <c r="J25" s="772"/>
      <c r="K25" s="772"/>
      <c r="L25" s="650">
        <f t="shared" si="3"/>
        <v>0</v>
      </c>
    </row>
    <row r="26" spans="1:12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2"/>
        <v>0</v>
      </c>
      <c r="F26" s="396">
        <f t="shared" si="4"/>
        <v>10902.777777777777</v>
      </c>
      <c r="G26" s="396">
        <f t="shared" si="0"/>
        <v>0</v>
      </c>
      <c r="H26" s="451">
        <f t="shared" si="1"/>
        <v>0</v>
      </c>
      <c r="I26" s="772"/>
      <c r="J26" s="772"/>
      <c r="K26" s="772"/>
      <c r="L26" s="650">
        <f t="shared" si="3"/>
        <v>0</v>
      </c>
    </row>
    <row r="27" spans="1:12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2"/>
        <v>0</v>
      </c>
      <c r="F27" s="396">
        <f t="shared" si="4"/>
        <v>10902.777777777777</v>
      </c>
      <c r="G27" s="396">
        <f t="shared" si="0"/>
        <v>0</v>
      </c>
      <c r="H27" s="451">
        <f t="shared" si="1"/>
        <v>0</v>
      </c>
      <c r="I27" s="772"/>
      <c r="J27" s="772"/>
      <c r="K27" s="772"/>
      <c r="L27" s="650">
        <f t="shared" si="3"/>
        <v>0</v>
      </c>
    </row>
    <row r="28" spans="1:12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2"/>
        <v>0</v>
      </c>
      <c r="F28" s="396">
        <f t="shared" si="4"/>
        <v>10902.777777777777</v>
      </c>
      <c r="G28" s="769">
        <f t="shared" si="0"/>
        <v>0</v>
      </c>
      <c r="H28" s="451">
        <f t="shared" si="1"/>
        <v>0</v>
      </c>
      <c r="I28" s="772"/>
      <c r="J28" s="772"/>
      <c r="K28" s="772"/>
      <c r="L28" s="650">
        <f t="shared" si="3"/>
        <v>0</v>
      </c>
    </row>
    <row r="29" spans="1:12" s="367" customFormat="1" ht="12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2"/>
        <v>0</v>
      </c>
      <c r="F29" s="396">
        <f t="shared" si="4"/>
        <v>10902.777777777777</v>
      </c>
      <c r="G29" s="393">
        <f t="shared" si="0"/>
        <v>0</v>
      </c>
      <c r="H29" s="451">
        <f t="shared" si="1"/>
        <v>0</v>
      </c>
      <c r="I29" s="772"/>
      <c r="J29" s="772"/>
      <c r="K29" s="772"/>
      <c r="L29" s="650">
        <f t="shared" si="3"/>
        <v>0</v>
      </c>
    </row>
    <row r="30" spans="1:12" s="367" customFormat="1" ht="12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2"/>
        <v>0</v>
      </c>
      <c r="F30" s="396">
        <f t="shared" si="4"/>
        <v>10902.777777777777</v>
      </c>
      <c r="G30" s="393">
        <f t="shared" si="0"/>
        <v>0</v>
      </c>
      <c r="H30" s="451">
        <f t="shared" si="1"/>
        <v>0</v>
      </c>
      <c r="I30" s="772"/>
      <c r="J30" s="772"/>
      <c r="K30" s="772"/>
      <c r="L30" s="650">
        <f t="shared" si="3"/>
        <v>0</v>
      </c>
    </row>
    <row r="31" spans="1:12" s="367" customFormat="1" ht="12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2"/>
        <v>0</v>
      </c>
      <c r="F31" s="396">
        <f t="shared" si="4"/>
        <v>10902.777777777777</v>
      </c>
      <c r="G31" s="393">
        <f t="shared" si="0"/>
        <v>0</v>
      </c>
      <c r="H31" s="451">
        <f t="shared" si="1"/>
        <v>0</v>
      </c>
      <c r="I31" s="772"/>
      <c r="J31" s="772"/>
      <c r="K31" s="772"/>
      <c r="L31" s="650">
        <f t="shared" si="3"/>
        <v>0</v>
      </c>
    </row>
    <row r="32" spans="1:12" s="367" customFormat="1" ht="12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2"/>
        <v>0</v>
      </c>
      <c r="F32" s="396">
        <f t="shared" si="4"/>
        <v>10902.777777777777</v>
      </c>
      <c r="G32" s="393">
        <f t="shared" si="0"/>
        <v>0</v>
      </c>
      <c r="H32" s="451">
        <f t="shared" si="1"/>
        <v>0</v>
      </c>
      <c r="I32" s="772"/>
      <c r="J32" s="772"/>
      <c r="K32" s="772"/>
      <c r="L32" s="650">
        <f t="shared" si="3"/>
        <v>0</v>
      </c>
    </row>
    <row r="33" spans="1:13" s="367" customFormat="1" ht="12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2"/>
        <v>0</v>
      </c>
      <c r="F33" s="396">
        <f t="shared" si="4"/>
        <v>10902.777777777777</v>
      </c>
      <c r="G33" s="770">
        <f t="shared" si="0"/>
        <v>0</v>
      </c>
      <c r="H33" s="451">
        <f t="shared" si="1"/>
        <v>0</v>
      </c>
      <c r="I33" s="772"/>
      <c r="J33" s="772"/>
      <c r="K33" s="772"/>
      <c r="L33" s="650">
        <f t="shared" si="3"/>
        <v>0</v>
      </c>
    </row>
    <row r="34" spans="1:13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2"/>
        <v>0</v>
      </c>
      <c r="F34" s="396">
        <f t="shared" si="4"/>
        <v>10902.777777777777</v>
      </c>
      <c r="G34" s="396">
        <f t="shared" si="0"/>
        <v>0</v>
      </c>
      <c r="H34" s="451">
        <f t="shared" si="1"/>
        <v>0</v>
      </c>
      <c r="I34" s="772"/>
      <c r="J34" s="772"/>
      <c r="K34" s="772"/>
      <c r="L34" s="650">
        <f t="shared" si="3"/>
        <v>0</v>
      </c>
    </row>
    <row r="35" spans="1:13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2"/>
        <v>0</v>
      </c>
      <c r="F35" s="396">
        <f t="shared" si="4"/>
        <v>10902.777777777777</v>
      </c>
      <c r="G35" s="396">
        <f t="shared" si="0"/>
        <v>0</v>
      </c>
      <c r="H35" s="451">
        <f t="shared" si="1"/>
        <v>0</v>
      </c>
      <c r="I35" s="772"/>
      <c r="J35" s="772"/>
      <c r="K35" s="772"/>
      <c r="L35" s="650">
        <f t="shared" si="3"/>
        <v>0</v>
      </c>
    </row>
    <row r="36" spans="1:13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2"/>
        <v>0</v>
      </c>
      <c r="F36" s="396">
        <f t="shared" si="4"/>
        <v>10902.777777777777</v>
      </c>
      <c r="G36" s="396">
        <f t="shared" si="0"/>
        <v>0</v>
      </c>
      <c r="H36" s="451">
        <f t="shared" si="1"/>
        <v>0</v>
      </c>
      <c r="I36" s="772"/>
      <c r="J36" s="772"/>
      <c r="K36" s="772"/>
      <c r="L36" s="650">
        <f t="shared" si="3"/>
        <v>0</v>
      </c>
    </row>
    <row r="37" spans="1:13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2"/>
        <v>0</v>
      </c>
      <c r="F37" s="396">
        <f t="shared" si="4"/>
        <v>10902.777777777777</v>
      </c>
      <c r="G37" s="396">
        <f t="shared" si="0"/>
        <v>0</v>
      </c>
      <c r="H37" s="451">
        <f t="shared" si="1"/>
        <v>0</v>
      </c>
      <c r="I37" s="772"/>
      <c r="J37" s="772"/>
      <c r="K37" s="772"/>
      <c r="L37" s="650">
        <f t="shared" si="3"/>
        <v>0</v>
      </c>
    </row>
    <row r="38" spans="1:13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2"/>
        <v>0</v>
      </c>
      <c r="F38" s="396">
        <f t="shared" si="4"/>
        <v>10902.777777777777</v>
      </c>
      <c r="G38" s="769">
        <f t="shared" si="0"/>
        <v>0</v>
      </c>
      <c r="H38" s="451">
        <f t="shared" si="1"/>
        <v>0</v>
      </c>
      <c r="I38" s="772"/>
      <c r="J38" s="772"/>
      <c r="K38" s="772"/>
      <c r="L38" s="650">
        <f t="shared" si="3"/>
        <v>0</v>
      </c>
    </row>
    <row r="39" spans="1:13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2"/>
        <v>0</v>
      </c>
      <c r="F39" s="396">
        <f t="shared" si="4"/>
        <v>10902.777777777777</v>
      </c>
      <c r="G39" s="396">
        <f>G38+D39-E39</f>
        <v>0</v>
      </c>
      <c r="H39" s="451">
        <f t="shared" si="1"/>
        <v>0</v>
      </c>
      <c r="I39" s="772"/>
      <c r="J39" s="772"/>
      <c r="K39" s="772"/>
      <c r="L39" s="650">
        <f t="shared" si="3"/>
        <v>0</v>
      </c>
    </row>
    <row r="40" spans="1:13" s="374" customFormat="1" ht="12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2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8:C8"/>
    <mergeCell ref="A40:C40"/>
    <mergeCell ref="A41:C41"/>
    <mergeCell ref="A4:B4"/>
  </mergeCells>
  <conditionalFormatting sqref="H9:H39">
    <cfRule type="cellIs" dxfId="8564" priority="49" operator="between">
      <formula>3.5</formula>
      <formula>6</formula>
    </cfRule>
    <cfRule type="cellIs" dxfId="8563" priority="50" operator="lessThan">
      <formula>3.5</formula>
    </cfRule>
    <cfRule type="cellIs" dxfId="8562" priority="51" operator="greaterThan">
      <formula>6</formula>
    </cfRule>
  </conditionalFormatting>
  <conditionalFormatting sqref="H9:H39">
    <cfRule type="cellIs" dxfId="8561" priority="34" operator="between">
      <formula>3.5</formula>
      <formula>6</formula>
    </cfRule>
    <cfRule type="cellIs" dxfId="8560" priority="35" operator="lessThan">
      <formula>3.5</formula>
    </cfRule>
    <cfRule type="cellIs" dxfId="8559" priority="36" operator="greaterThan">
      <formula>6</formula>
    </cfRule>
  </conditionalFormatting>
  <conditionalFormatting sqref="H9:H39">
    <cfRule type="cellIs" dxfId="8558" priority="31" operator="between">
      <formula>3.5</formula>
      <formula>6</formula>
    </cfRule>
    <cfRule type="cellIs" dxfId="8557" priority="32" operator="lessThan">
      <formula>3.5</formula>
    </cfRule>
    <cfRule type="cellIs" dxfId="8556" priority="33" operator="greaterThan">
      <formula>6</formula>
    </cfRule>
  </conditionalFormatting>
  <conditionalFormatting sqref="H9:H39">
    <cfRule type="cellIs" dxfId="8555" priority="28" operator="between">
      <formula>3.5</formula>
      <formula>6</formula>
    </cfRule>
    <cfRule type="cellIs" dxfId="8554" priority="29" operator="lessThan">
      <formula>3.5</formula>
    </cfRule>
    <cfRule type="cellIs" dxfId="8553" priority="30" operator="greaterThan">
      <formula>6</formula>
    </cfRule>
  </conditionalFormatting>
  <conditionalFormatting sqref="H9:H39">
    <cfRule type="cellIs" dxfId="8552" priority="25" operator="between">
      <formula>3.5</formula>
      <formula>6</formula>
    </cfRule>
    <cfRule type="cellIs" dxfId="8551" priority="26" operator="lessThan">
      <formula>3.5</formula>
    </cfRule>
    <cfRule type="cellIs" dxfId="8550" priority="27" operator="greaterThan">
      <formula>6</formula>
    </cfRule>
  </conditionalFormatting>
  <conditionalFormatting sqref="H9:H39">
    <cfRule type="cellIs" dxfId="8549" priority="22" operator="between">
      <formula>3.5</formula>
      <formula>6</formula>
    </cfRule>
    <cfRule type="cellIs" dxfId="8548" priority="23" operator="lessThan">
      <formula>3.5</formula>
    </cfRule>
    <cfRule type="cellIs" dxfId="8547" priority="24" operator="greaterThan">
      <formula>6</formula>
    </cfRule>
  </conditionalFormatting>
  <conditionalFormatting sqref="H9:H39">
    <cfRule type="cellIs" dxfId="8546" priority="19" operator="between">
      <formula>3.5</formula>
      <formula>6</formula>
    </cfRule>
    <cfRule type="cellIs" dxfId="8545" priority="20" operator="lessThan">
      <formula>3.5</formula>
    </cfRule>
    <cfRule type="cellIs" dxfId="8544" priority="21" operator="greaterThan">
      <formula>6</formula>
    </cfRule>
  </conditionalFormatting>
  <conditionalFormatting sqref="H9:H39">
    <cfRule type="cellIs" dxfId="8543" priority="16" operator="between">
      <formula>3.5</formula>
      <formula>6</formula>
    </cfRule>
    <cfRule type="cellIs" dxfId="8542" priority="17" operator="lessThan">
      <formula>3.5</formula>
    </cfRule>
    <cfRule type="cellIs" dxfId="8541" priority="18" operator="greaterThan">
      <formula>6</formula>
    </cfRule>
  </conditionalFormatting>
  <conditionalFormatting sqref="H9:H39">
    <cfRule type="cellIs" dxfId="8540" priority="13" operator="between">
      <formula>3.5</formula>
      <formula>6</formula>
    </cfRule>
    <cfRule type="cellIs" dxfId="8539" priority="14" operator="lessThan">
      <formula>3.5</formula>
    </cfRule>
    <cfRule type="cellIs" dxfId="8538" priority="15" operator="greaterThan">
      <formula>6</formula>
    </cfRule>
  </conditionalFormatting>
  <conditionalFormatting sqref="H9:H39">
    <cfRule type="cellIs" dxfId="8537" priority="10" operator="between">
      <formula>3.5</formula>
      <formula>6</formula>
    </cfRule>
    <cfRule type="cellIs" dxfId="8536" priority="11" operator="lessThan">
      <formula>3.5</formula>
    </cfRule>
    <cfRule type="cellIs" dxfId="8535" priority="12" operator="greaterThan">
      <formula>6</formula>
    </cfRule>
  </conditionalFormatting>
  <conditionalFormatting sqref="H9:H39">
    <cfRule type="cellIs" dxfId="8534" priority="7" operator="between">
      <formula>3.5</formula>
      <formula>6</formula>
    </cfRule>
    <cfRule type="cellIs" dxfId="8533" priority="8" operator="lessThan">
      <formula>3.5</formula>
    </cfRule>
    <cfRule type="cellIs" dxfId="8532" priority="9" operator="greaterThan">
      <formula>6</formula>
    </cfRule>
  </conditionalFormatting>
  <conditionalFormatting sqref="H9:H39">
    <cfRule type="cellIs" dxfId="8531" priority="4" operator="between">
      <formula>3.5</formula>
      <formula>6</formula>
    </cfRule>
    <cfRule type="cellIs" dxfId="8530" priority="5" operator="lessThan">
      <formula>3.5</formula>
    </cfRule>
    <cfRule type="cellIs" dxfId="8529" priority="6" operator="greaterThan">
      <formula>6</formula>
    </cfRule>
  </conditionalFormatting>
  <conditionalFormatting sqref="H9:H39">
    <cfRule type="cellIs" dxfId="8528" priority="1" operator="between">
      <formula>3.5</formula>
      <formula>6</formula>
    </cfRule>
    <cfRule type="cellIs" dxfId="8527" priority="2" operator="lessThan">
      <formula>3.5</formula>
    </cfRule>
    <cfRule type="cellIs" dxfId="852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31496062992125984" footer="0.31496062992125984"/>
  <pageSetup paperSize="9" orientation="landscape" verticalDpi="0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49"/>
  <sheetViews>
    <sheetView zoomScale="90" zoomScaleNormal="90" workbookViewId="0">
      <pane ySplit="8" topLeftCell="A18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397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>D8+D9-E9</f>
        <v>0</v>
      </c>
      <c r="H9" s="451">
        <f t="shared" ref="H9:H39" si="0">G9/10417</f>
        <v>0</v>
      </c>
      <c r="I9" s="772"/>
      <c r="J9" s="772"/>
      <c r="K9" s="772"/>
      <c r="L9" s="650">
        <f>G9/$L$8</f>
        <v>0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ref="G10:G39" si="2">G9+D10-E10</f>
        <v>0</v>
      </c>
      <c r="H10" s="451">
        <f t="shared" si="0"/>
        <v>0</v>
      </c>
      <c r="I10" s="772"/>
      <c r="J10" s="772"/>
      <c r="K10" s="772"/>
      <c r="L10" s="650">
        <f t="shared" ref="L10:L39" si="3">G10/$L$8</f>
        <v>0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1"/>
        <v>0</v>
      </c>
      <c r="F11" s="396">
        <f>$F$9</f>
        <v>10902.777777777777</v>
      </c>
      <c r="G11" s="396">
        <f t="shared" si="2"/>
        <v>0</v>
      </c>
      <c r="H11" s="451">
        <f t="shared" si="0"/>
        <v>0</v>
      </c>
      <c r="I11" s="772"/>
      <c r="J11" s="772"/>
      <c r="K11" s="772"/>
      <c r="L11" s="650">
        <f t="shared" si="3"/>
        <v>0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1"/>
        <v>0</v>
      </c>
      <c r="F12" s="396">
        <f t="shared" ref="F12:F39" si="4">$F$9</f>
        <v>10902.777777777777</v>
      </c>
      <c r="G12" s="396">
        <f t="shared" si="2"/>
        <v>0</v>
      </c>
      <c r="H12" s="451">
        <f t="shared" si="0"/>
        <v>0</v>
      </c>
      <c r="I12" s="772"/>
      <c r="J12" s="772"/>
      <c r="K12" s="772"/>
      <c r="L12" s="650">
        <f t="shared" si="3"/>
        <v>0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2"/>
        <v>0</v>
      </c>
      <c r="H13" s="451">
        <f t="shared" si="0"/>
        <v>0</v>
      </c>
      <c r="I13" s="772"/>
      <c r="J13" s="772"/>
      <c r="K13" s="772"/>
      <c r="L13" s="650">
        <f t="shared" si="3"/>
        <v>0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2"/>
        <v>0</v>
      </c>
      <c r="H14" s="451">
        <f t="shared" si="0"/>
        <v>0</v>
      </c>
      <c r="I14" s="772"/>
      <c r="J14" s="772"/>
      <c r="K14" s="772"/>
      <c r="L14" s="650">
        <f t="shared" si="3"/>
        <v>0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2"/>
        <v>0</v>
      </c>
      <c r="H15" s="451">
        <f t="shared" si="0"/>
        <v>0</v>
      </c>
      <c r="I15" s="772"/>
      <c r="J15" s="772"/>
      <c r="K15" s="772"/>
      <c r="L15" s="650">
        <f t="shared" si="3"/>
        <v>0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2"/>
        <v>0</v>
      </c>
      <c r="H16" s="451">
        <f t="shared" si="0"/>
        <v>0</v>
      </c>
      <c r="I16" s="772"/>
      <c r="J16" s="772"/>
      <c r="K16" s="772"/>
      <c r="L16" s="650">
        <f t="shared" si="3"/>
        <v>0</v>
      </c>
    </row>
    <row r="17" spans="1:12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2"/>
        <v>0</v>
      </c>
      <c r="H17" s="451">
        <f t="shared" si="0"/>
        <v>0</v>
      </c>
      <c r="I17" s="772"/>
      <c r="J17" s="772"/>
      <c r="K17" s="772"/>
      <c r="L17" s="650">
        <f t="shared" si="3"/>
        <v>0</v>
      </c>
    </row>
    <row r="18" spans="1:12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2"/>
        <v>0</v>
      </c>
      <c r="H18" s="451">
        <f t="shared" si="0"/>
        <v>0</v>
      </c>
      <c r="I18" s="772"/>
      <c r="J18" s="772"/>
      <c r="K18" s="772"/>
      <c r="L18" s="650">
        <f t="shared" si="3"/>
        <v>0</v>
      </c>
    </row>
    <row r="19" spans="1:12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2"/>
        <v>0</v>
      </c>
      <c r="H19" s="451">
        <f t="shared" si="0"/>
        <v>0</v>
      </c>
      <c r="I19" s="772"/>
      <c r="J19" s="772"/>
      <c r="K19" s="772"/>
      <c r="L19" s="650">
        <f t="shared" si="3"/>
        <v>0</v>
      </c>
    </row>
    <row r="20" spans="1:12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2"/>
        <v>0</v>
      </c>
      <c r="H20" s="451">
        <f t="shared" si="0"/>
        <v>0</v>
      </c>
      <c r="I20" s="772"/>
      <c r="J20" s="772"/>
      <c r="K20" s="772"/>
      <c r="L20" s="650">
        <f t="shared" si="3"/>
        <v>0</v>
      </c>
    </row>
    <row r="21" spans="1:12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2"/>
        <v>0</v>
      </c>
      <c r="H21" s="451">
        <f t="shared" si="0"/>
        <v>0</v>
      </c>
      <c r="I21" s="772"/>
      <c r="J21" s="772"/>
      <c r="K21" s="772"/>
      <c r="L21" s="650">
        <f t="shared" si="3"/>
        <v>0</v>
      </c>
    </row>
    <row r="22" spans="1:12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2"/>
        <v>0</v>
      </c>
      <c r="H22" s="451">
        <f t="shared" si="0"/>
        <v>0</v>
      </c>
      <c r="I22" s="772"/>
      <c r="J22" s="772"/>
      <c r="K22" s="772"/>
      <c r="L22" s="650">
        <f t="shared" si="3"/>
        <v>0</v>
      </c>
    </row>
    <row r="23" spans="1:12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2"/>
        <v>0</v>
      </c>
      <c r="H23" s="451">
        <f t="shared" si="0"/>
        <v>0</v>
      </c>
      <c r="I23" s="772"/>
      <c r="J23" s="772"/>
      <c r="K23" s="772"/>
      <c r="L23" s="650">
        <f t="shared" si="3"/>
        <v>0</v>
      </c>
    </row>
    <row r="24" spans="1:12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>G23+D24-E24</f>
        <v>0</v>
      </c>
      <c r="H24" s="451">
        <f t="shared" si="0"/>
        <v>0</v>
      </c>
      <c r="I24" s="772"/>
      <c r="J24" s="772"/>
      <c r="K24" s="772"/>
      <c r="L24" s="650">
        <f t="shared" si="3"/>
        <v>0</v>
      </c>
    </row>
    <row r="25" spans="1:12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2"/>
        <v>0</v>
      </c>
      <c r="H25" s="451">
        <f t="shared" si="0"/>
        <v>0</v>
      </c>
      <c r="I25" s="772"/>
      <c r="J25" s="772"/>
      <c r="K25" s="772"/>
      <c r="L25" s="650">
        <f t="shared" si="3"/>
        <v>0</v>
      </c>
    </row>
    <row r="26" spans="1:12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2"/>
        <v>0</v>
      </c>
      <c r="H26" s="451">
        <f t="shared" si="0"/>
        <v>0</v>
      </c>
      <c r="I26" s="772"/>
      <c r="J26" s="772"/>
      <c r="K26" s="772"/>
      <c r="L26" s="650">
        <f t="shared" si="3"/>
        <v>0</v>
      </c>
    </row>
    <row r="27" spans="1:12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2"/>
        <v>0</v>
      </c>
      <c r="H27" s="451">
        <f t="shared" si="0"/>
        <v>0</v>
      </c>
      <c r="I27" s="772"/>
      <c r="J27" s="772"/>
      <c r="K27" s="772"/>
      <c r="L27" s="650">
        <f t="shared" si="3"/>
        <v>0</v>
      </c>
    </row>
    <row r="28" spans="1:12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2"/>
        <v>0</v>
      </c>
      <c r="H28" s="451">
        <f t="shared" si="0"/>
        <v>0</v>
      </c>
      <c r="I28" s="772"/>
      <c r="J28" s="772"/>
      <c r="K28" s="772"/>
      <c r="L28" s="650">
        <f t="shared" si="3"/>
        <v>0</v>
      </c>
    </row>
    <row r="29" spans="1:12" s="367" customFormat="1" ht="12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2"/>
        <v>0</v>
      </c>
      <c r="H29" s="451">
        <f t="shared" si="0"/>
        <v>0</v>
      </c>
      <c r="I29" s="772"/>
      <c r="J29" s="772"/>
      <c r="K29" s="772"/>
      <c r="L29" s="650">
        <f t="shared" si="3"/>
        <v>0</v>
      </c>
    </row>
    <row r="30" spans="1:12" s="367" customFormat="1" ht="12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2"/>
        <v>0</v>
      </c>
      <c r="H30" s="451">
        <f t="shared" si="0"/>
        <v>0</v>
      </c>
      <c r="I30" s="772"/>
      <c r="J30" s="772"/>
      <c r="K30" s="772"/>
      <c r="L30" s="650">
        <f t="shared" si="3"/>
        <v>0</v>
      </c>
    </row>
    <row r="31" spans="1:12" s="367" customFormat="1" ht="12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2"/>
        <v>0</v>
      </c>
      <c r="H31" s="451">
        <f t="shared" si="0"/>
        <v>0</v>
      </c>
      <c r="I31" s="772"/>
      <c r="J31" s="772"/>
      <c r="K31" s="772"/>
      <c r="L31" s="650">
        <f t="shared" si="3"/>
        <v>0</v>
      </c>
    </row>
    <row r="32" spans="1:12" s="367" customFormat="1" ht="12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2"/>
        <v>0</v>
      </c>
      <c r="H32" s="451">
        <f t="shared" si="0"/>
        <v>0</v>
      </c>
      <c r="I32" s="772"/>
      <c r="J32" s="772"/>
      <c r="K32" s="772"/>
      <c r="L32" s="650">
        <f t="shared" si="3"/>
        <v>0</v>
      </c>
    </row>
    <row r="33" spans="1:13" s="367" customFormat="1" ht="12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2"/>
        <v>0</v>
      </c>
      <c r="H33" s="451">
        <f t="shared" si="0"/>
        <v>0</v>
      </c>
      <c r="I33" s="772"/>
      <c r="J33" s="772"/>
      <c r="K33" s="772"/>
      <c r="L33" s="650">
        <f t="shared" si="3"/>
        <v>0</v>
      </c>
    </row>
    <row r="34" spans="1:13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2"/>
        <v>0</v>
      </c>
      <c r="H34" s="451">
        <f t="shared" si="0"/>
        <v>0</v>
      </c>
      <c r="I34" s="772"/>
      <c r="J34" s="772"/>
      <c r="K34" s="772"/>
      <c r="L34" s="650">
        <f t="shared" si="3"/>
        <v>0</v>
      </c>
    </row>
    <row r="35" spans="1:13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2"/>
        <v>0</v>
      </c>
      <c r="H35" s="451">
        <f t="shared" si="0"/>
        <v>0</v>
      </c>
      <c r="I35" s="772"/>
      <c r="J35" s="772"/>
      <c r="K35" s="772"/>
      <c r="L35" s="650">
        <f t="shared" si="3"/>
        <v>0</v>
      </c>
    </row>
    <row r="36" spans="1:13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2"/>
        <v>0</v>
      </c>
      <c r="H36" s="451">
        <f t="shared" si="0"/>
        <v>0</v>
      </c>
      <c r="I36" s="772"/>
      <c r="J36" s="772"/>
      <c r="K36" s="772"/>
      <c r="L36" s="650">
        <f t="shared" si="3"/>
        <v>0</v>
      </c>
    </row>
    <row r="37" spans="1:13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2"/>
        <v>0</v>
      </c>
      <c r="H37" s="451">
        <f t="shared" si="0"/>
        <v>0</v>
      </c>
      <c r="I37" s="772"/>
      <c r="J37" s="772"/>
      <c r="K37" s="772"/>
      <c r="L37" s="650">
        <f t="shared" si="3"/>
        <v>0</v>
      </c>
    </row>
    <row r="38" spans="1:13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 t="shared" si="2"/>
        <v>0</v>
      </c>
      <c r="H38" s="451">
        <f t="shared" si="0"/>
        <v>0</v>
      </c>
      <c r="I38" s="772"/>
      <c r="J38" s="772"/>
      <c r="K38" s="772"/>
      <c r="L38" s="650">
        <f t="shared" si="3"/>
        <v>0</v>
      </c>
    </row>
    <row r="39" spans="1:13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 t="shared" si="4"/>
        <v>10902.777777777777</v>
      </c>
      <c r="G39" s="396">
        <f t="shared" si="2"/>
        <v>0</v>
      </c>
      <c r="H39" s="451">
        <f t="shared" si="0"/>
        <v>0</v>
      </c>
      <c r="I39" s="772"/>
      <c r="J39" s="772"/>
      <c r="K39" s="772"/>
      <c r="L39" s="650">
        <f t="shared" si="3"/>
        <v>0</v>
      </c>
    </row>
    <row r="40" spans="1:13" s="374" customFormat="1" ht="12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2" customHeight="1">
      <c r="A41" s="1647" t="s">
        <v>15</v>
      </c>
      <c r="B41" s="1647"/>
      <c r="C41" s="1647"/>
      <c r="D41" s="448">
        <f>SUM(D10:D40)</f>
        <v>0</v>
      </c>
      <c r="E41" s="389">
        <f>E40</f>
        <v>0</v>
      </c>
      <c r="F41" s="449"/>
      <c r="G41" s="389">
        <f>G39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8:C8"/>
    <mergeCell ref="A40:C40"/>
    <mergeCell ref="A41:C41"/>
    <mergeCell ref="A4:B4"/>
  </mergeCells>
  <conditionalFormatting sqref="H9:H39">
    <cfRule type="cellIs" dxfId="8525" priority="16" operator="between">
      <formula>3.5</formula>
      <formula>6</formula>
    </cfRule>
    <cfRule type="cellIs" dxfId="8524" priority="17" operator="lessThan">
      <formula>3.5</formula>
    </cfRule>
    <cfRule type="cellIs" dxfId="8523" priority="18" operator="greaterThan">
      <formula>6</formula>
    </cfRule>
  </conditionalFormatting>
  <conditionalFormatting sqref="H9:H39">
    <cfRule type="cellIs" dxfId="8522" priority="13" operator="between">
      <formula>3.5</formula>
      <formula>6</formula>
    </cfRule>
    <cfRule type="cellIs" dxfId="8521" priority="14" operator="lessThan">
      <formula>3.5</formula>
    </cfRule>
    <cfRule type="cellIs" dxfId="8520" priority="15" operator="greaterThan">
      <formula>6</formula>
    </cfRule>
  </conditionalFormatting>
  <conditionalFormatting sqref="H9:H39">
    <cfRule type="cellIs" dxfId="8519" priority="10" operator="between">
      <formula>3.5</formula>
      <formula>6</formula>
    </cfRule>
    <cfRule type="cellIs" dxfId="8518" priority="11" operator="lessThan">
      <formula>3.5</formula>
    </cfRule>
    <cfRule type="cellIs" dxfId="8517" priority="12" operator="greaterThan">
      <formula>6</formula>
    </cfRule>
  </conditionalFormatting>
  <conditionalFormatting sqref="H9:H39">
    <cfRule type="cellIs" dxfId="8516" priority="7" operator="between">
      <formula>3.5</formula>
      <formula>6</formula>
    </cfRule>
    <cfRule type="cellIs" dxfId="8515" priority="8" operator="lessThan">
      <formula>3.5</formula>
    </cfRule>
    <cfRule type="cellIs" dxfId="8514" priority="9" operator="greaterThan">
      <formula>6</formula>
    </cfRule>
  </conditionalFormatting>
  <conditionalFormatting sqref="H9:H39">
    <cfRule type="cellIs" dxfId="8513" priority="4" operator="between">
      <formula>3.5</formula>
      <formula>6</formula>
    </cfRule>
    <cfRule type="cellIs" dxfId="8512" priority="5" operator="lessThan">
      <formula>3.5</formula>
    </cfRule>
    <cfRule type="cellIs" dxfId="8511" priority="6" operator="greaterThan">
      <formula>6</formula>
    </cfRule>
  </conditionalFormatting>
  <conditionalFormatting sqref="H9:H39">
    <cfRule type="cellIs" dxfId="8510" priority="1" operator="between">
      <formula>3.5</formula>
      <formula>6</formula>
    </cfRule>
    <cfRule type="cellIs" dxfId="8509" priority="2" operator="lessThan">
      <formula>3.5</formula>
    </cfRule>
    <cfRule type="cellIs" dxfId="850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9" orientation="landscape" verticalDpi="0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46"/>
  <sheetViews>
    <sheetView zoomScale="90" zoomScaleNormal="90" workbookViewId="0">
      <pane ySplit="8" topLeftCell="A9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4" width="7.5703125" style="42" customWidth="1"/>
    <col min="15" max="16384" width="9.28515625" style="42"/>
  </cols>
  <sheetData>
    <row r="1" spans="1:25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</row>
    <row r="4" spans="1:25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398</v>
      </c>
      <c r="L4" s="143"/>
    </row>
    <row r="5" spans="1:25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5" s="766" customFormat="1" ht="12" customHeight="1">
      <c r="B6" s="453"/>
      <c r="C6" s="453"/>
      <c r="D6" s="453"/>
      <c r="E6" s="453"/>
      <c r="F6" s="453"/>
      <c r="G6" s="453">
        <v>80550</v>
      </c>
      <c r="H6" s="508" t="s">
        <v>293</v>
      </c>
      <c r="I6" s="375" t="s">
        <v>149</v>
      </c>
      <c r="J6" s="324"/>
      <c r="K6" s="324"/>
      <c r="L6" s="442"/>
    </row>
    <row r="7" spans="1:25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5" s="305" customFormat="1" ht="12" customHeight="1">
      <c r="A8" s="1650" t="s">
        <v>3</v>
      </c>
      <c r="B8" s="1651"/>
      <c r="C8" s="1652"/>
      <c r="D8" s="771">
        <f>G8</f>
        <v>0</v>
      </c>
      <c r="E8" s="771"/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5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>D8+D9-E9</f>
        <v>0</v>
      </c>
      <c r="H9" s="451">
        <f>G9/10417</f>
        <v>0</v>
      </c>
      <c r="I9" s="772"/>
      <c r="J9" s="772"/>
      <c r="K9" s="772"/>
      <c r="L9" s="650">
        <f>G9/$L$8</f>
        <v>0</v>
      </c>
    </row>
    <row r="10" spans="1:25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0">I10+J10+K10</f>
        <v>0</v>
      </c>
      <c r="F10" s="396">
        <f>$F$9</f>
        <v>10902.777777777777</v>
      </c>
      <c r="G10" s="396">
        <f t="shared" ref="G10:G39" si="1">G9+D10-E10</f>
        <v>0</v>
      </c>
      <c r="H10" s="451">
        <f t="shared" ref="H10:H39" si="2">G10/10417</f>
        <v>0</v>
      </c>
      <c r="I10" s="772"/>
      <c r="J10" s="772"/>
      <c r="K10" s="772"/>
      <c r="L10" s="650">
        <f t="shared" ref="L10:L39" si="3">G10/$L$8</f>
        <v>0</v>
      </c>
    </row>
    <row r="11" spans="1:25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0"/>
        <v>0</v>
      </c>
      <c r="F11" s="396">
        <f>$F$9</f>
        <v>10902.777777777777</v>
      </c>
      <c r="G11" s="396">
        <f t="shared" si="1"/>
        <v>0</v>
      </c>
      <c r="H11" s="451">
        <f t="shared" si="2"/>
        <v>0</v>
      </c>
      <c r="I11" s="772"/>
      <c r="J11" s="772"/>
      <c r="K11" s="772"/>
      <c r="L11" s="650">
        <f t="shared" si="3"/>
        <v>0</v>
      </c>
    </row>
    <row r="12" spans="1:25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0"/>
        <v>0</v>
      </c>
      <c r="F12" s="396">
        <f t="shared" ref="F12:F38" si="4">$F$9</f>
        <v>10902.777777777777</v>
      </c>
      <c r="G12" s="396">
        <f t="shared" si="1"/>
        <v>0</v>
      </c>
      <c r="H12" s="451">
        <f t="shared" si="2"/>
        <v>0</v>
      </c>
      <c r="I12" s="772"/>
      <c r="J12" s="772"/>
      <c r="K12" s="772"/>
      <c r="L12" s="650">
        <f t="shared" si="3"/>
        <v>0</v>
      </c>
    </row>
    <row r="13" spans="1:25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96"/>
      <c r="E13" s="396">
        <f t="shared" si="0"/>
        <v>0</v>
      </c>
      <c r="F13" s="396">
        <f t="shared" si="4"/>
        <v>10902.777777777777</v>
      </c>
      <c r="G13" s="769">
        <f t="shared" si="1"/>
        <v>0</v>
      </c>
      <c r="H13" s="451">
        <f t="shared" si="2"/>
        <v>0</v>
      </c>
      <c r="I13" s="772"/>
      <c r="J13" s="772"/>
      <c r="K13" s="772"/>
      <c r="L13" s="650">
        <f t="shared" si="3"/>
        <v>0</v>
      </c>
    </row>
    <row r="14" spans="1:25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0"/>
        <v>0</v>
      </c>
      <c r="F14" s="396">
        <f t="shared" si="4"/>
        <v>10902.777777777777</v>
      </c>
      <c r="G14" s="396">
        <f t="shared" si="1"/>
        <v>0</v>
      </c>
      <c r="H14" s="451">
        <f t="shared" si="2"/>
        <v>0</v>
      </c>
      <c r="I14" s="772"/>
      <c r="J14" s="772"/>
      <c r="K14" s="772"/>
      <c r="L14" s="650">
        <f t="shared" si="3"/>
        <v>0</v>
      </c>
    </row>
    <row r="15" spans="1:25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0"/>
        <v>0</v>
      </c>
      <c r="F15" s="396">
        <f t="shared" si="4"/>
        <v>10902.777777777777</v>
      </c>
      <c r="G15" s="396">
        <f t="shared" si="1"/>
        <v>0</v>
      </c>
      <c r="H15" s="451">
        <f t="shared" si="2"/>
        <v>0</v>
      </c>
      <c r="I15" s="772"/>
      <c r="J15" s="772"/>
      <c r="K15" s="772"/>
      <c r="L15" s="650">
        <f t="shared" si="3"/>
        <v>0</v>
      </c>
    </row>
    <row r="16" spans="1:25" s="367" customFormat="1" ht="12" customHeight="1">
      <c r="A16" s="330">
        <v>8</v>
      </c>
      <c r="B16" s="365">
        <f>'FRIT HGE91-FHG'!B16</f>
        <v>46242</v>
      </c>
      <c r="C16" s="331" t="s">
        <v>334</v>
      </c>
      <c r="D16" s="396"/>
      <c r="E16" s="396">
        <f t="shared" si="0"/>
        <v>0</v>
      </c>
      <c r="F16" s="396">
        <f t="shared" si="4"/>
        <v>10902.777777777777</v>
      </c>
      <c r="G16" s="396">
        <f t="shared" si="1"/>
        <v>0</v>
      </c>
      <c r="H16" s="451">
        <f t="shared" si="2"/>
        <v>0</v>
      </c>
      <c r="I16" s="772"/>
      <c r="J16" s="772"/>
      <c r="K16" s="772"/>
      <c r="L16" s="650">
        <f t="shared" si="3"/>
        <v>0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396"/>
      <c r="E17" s="396">
        <f t="shared" si="0"/>
        <v>0</v>
      </c>
      <c r="F17" s="396">
        <f t="shared" si="4"/>
        <v>10902.777777777777</v>
      </c>
      <c r="G17" s="396">
        <f t="shared" si="1"/>
        <v>0</v>
      </c>
      <c r="H17" s="451">
        <f t="shared" si="2"/>
        <v>0</v>
      </c>
      <c r="I17" s="772"/>
      <c r="J17" s="772"/>
      <c r="K17" s="772"/>
      <c r="L17" s="650">
        <f t="shared" si="3"/>
        <v>0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0"/>
        <v>0</v>
      </c>
      <c r="F18" s="396">
        <f t="shared" si="4"/>
        <v>10902.777777777777</v>
      </c>
      <c r="G18" s="769">
        <f t="shared" si="1"/>
        <v>0</v>
      </c>
      <c r="H18" s="451">
        <f t="shared" si="2"/>
        <v>0</v>
      </c>
      <c r="I18" s="772"/>
      <c r="J18" s="772"/>
      <c r="K18" s="772"/>
      <c r="L18" s="650">
        <f t="shared" si="3"/>
        <v>0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0"/>
        <v>0</v>
      </c>
      <c r="F19" s="396">
        <f t="shared" si="4"/>
        <v>10902.777777777777</v>
      </c>
      <c r="G19" s="396">
        <f t="shared" si="1"/>
        <v>0</v>
      </c>
      <c r="H19" s="451">
        <f t="shared" si="2"/>
        <v>0</v>
      </c>
      <c r="I19" s="772"/>
      <c r="J19" s="772"/>
      <c r="K19" s="772"/>
      <c r="L19" s="650">
        <f t="shared" si="3"/>
        <v>0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349</v>
      </c>
      <c r="D20" s="396"/>
      <c r="E20" s="396">
        <f t="shared" si="0"/>
        <v>0</v>
      </c>
      <c r="F20" s="396">
        <f t="shared" si="4"/>
        <v>10902.777777777777</v>
      </c>
      <c r="G20" s="396">
        <f t="shared" si="1"/>
        <v>0</v>
      </c>
      <c r="H20" s="451">
        <f t="shared" si="2"/>
        <v>0</v>
      </c>
      <c r="I20" s="772"/>
      <c r="J20" s="772"/>
      <c r="K20" s="772"/>
      <c r="L20" s="650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349</v>
      </c>
      <c r="D21" s="396"/>
      <c r="E21" s="396">
        <f t="shared" si="0"/>
        <v>0</v>
      </c>
      <c r="F21" s="396">
        <f t="shared" si="4"/>
        <v>10902.777777777777</v>
      </c>
      <c r="G21" s="396">
        <f t="shared" si="1"/>
        <v>0</v>
      </c>
      <c r="H21" s="451">
        <f t="shared" si="2"/>
        <v>0</v>
      </c>
      <c r="I21" s="772"/>
      <c r="J21" s="772"/>
      <c r="K21" s="772"/>
      <c r="L21" s="650">
        <f t="shared" si="3"/>
        <v>0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349</v>
      </c>
      <c r="D22" s="396"/>
      <c r="E22" s="396">
        <f t="shared" si="0"/>
        <v>0</v>
      </c>
      <c r="F22" s="396">
        <f t="shared" si="4"/>
        <v>10902.777777777777</v>
      </c>
      <c r="G22" s="396">
        <f t="shared" si="1"/>
        <v>0</v>
      </c>
      <c r="H22" s="451">
        <f t="shared" si="2"/>
        <v>0</v>
      </c>
      <c r="I22" s="772"/>
      <c r="J22" s="772"/>
      <c r="K22" s="772"/>
      <c r="L22" s="650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0"/>
        <v>0</v>
      </c>
      <c r="F23" s="396">
        <f t="shared" si="4"/>
        <v>10902.777777777777</v>
      </c>
      <c r="G23" s="769">
        <f t="shared" si="1"/>
        <v>0</v>
      </c>
      <c r="H23" s="451">
        <f t="shared" si="2"/>
        <v>0</v>
      </c>
      <c r="I23" s="772"/>
      <c r="J23" s="772"/>
      <c r="K23" s="772"/>
      <c r="L23" s="650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0"/>
        <v>0</v>
      </c>
      <c r="F24" s="396">
        <f t="shared" si="4"/>
        <v>10902.777777777777</v>
      </c>
      <c r="G24" s="396">
        <f t="shared" si="1"/>
        <v>0</v>
      </c>
      <c r="H24" s="451">
        <f t="shared" si="2"/>
        <v>0</v>
      </c>
      <c r="I24" s="772"/>
      <c r="J24" s="772"/>
      <c r="K24" s="772"/>
      <c r="L24" s="650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0"/>
        <v>0</v>
      </c>
      <c r="F25" s="396">
        <f t="shared" si="4"/>
        <v>10902.777777777777</v>
      </c>
      <c r="G25" s="396">
        <f t="shared" si="1"/>
        <v>0</v>
      </c>
      <c r="H25" s="451">
        <f t="shared" si="2"/>
        <v>0</v>
      </c>
      <c r="I25" s="772"/>
      <c r="J25" s="772"/>
      <c r="K25" s="772"/>
      <c r="L25" s="650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0"/>
        <v>0</v>
      </c>
      <c r="F26" s="396">
        <f t="shared" si="4"/>
        <v>10902.777777777777</v>
      </c>
      <c r="G26" s="396">
        <f t="shared" si="1"/>
        <v>0</v>
      </c>
      <c r="H26" s="451">
        <f t="shared" si="2"/>
        <v>0</v>
      </c>
      <c r="I26" s="772"/>
      <c r="J26" s="772"/>
      <c r="K26" s="772"/>
      <c r="L26" s="650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0"/>
        <v>0</v>
      </c>
      <c r="F27" s="396">
        <f t="shared" si="4"/>
        <v>10902.777777777777</v>
      </c>
      <c r="G27" s="396">
        <f t="shared" si="1"/>
        <v>0</v>
      </c>
      <c r="H27" s="451">
        <f t="shared" si="2"/>
        <v>0</v>
      </c>
      <c r="I27" s="772"/>
      <c r="J27" s="772"/>
      <c r="K27" s="772"/>
      <c r="L27" s="650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0"/>
        <v>0</v>
      </c>
      <c r="F28" s="396">
        <f t="shared" si="4"/>
        <v>10902.777777777777</v>
      </c>
      <c r="G28" s="769">
        <f t="shared" si="1"/>
        <v>0</v>
      </c>
      <c r="H28" s="451">
        <f t="shared" si="2"/>
        <v>0</v>
      </c>
      <c r="I28" s="772"/>
      <c r="J28" s="772"/>
      <c r="K28" s="772"/>
      <c r="L28" s="650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0"/>
        <v>0</v>
      </c>
      <c r="F29" s="396">
        <f t="shared" si="4"/>
        <v>10902.777777777777</v>
      </c>
      <c r="G29" s="393">
        <f t="shared" si="1"/>
        <v>0</v>
      </c>
      <c r="H29" s="451">
        <f t="shared" si="2"/>
        <v>0</v>
      </c>
      <c r="I29" s="772"/>
      <c r="J29" s="772"/>
      <c r="K29" s="772"/>
      <c r="L29" s="650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0"/>
        <v>0</v>
      </c>
      <c r="F30" s="396">
        <f t="shared" si="4"/>
        <v>10902.777777777777</v>
      </c>
      <c r="G30" s="393">
        <f t="shared" si="1"/>
        <v>0</v>
      </c>
      <c r="H30" s="451">
        <f t="shared" si="2"/>
        <v>0</v>
      </c>
      <c r="I30" s="772"/>
      <c r="J30" s="772"/>
      <c r="K30" s="772"/>
      <c r="L30" s="650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0"/>
        <v>0</v>
      </c>
      <c r="F31" s="396">
        <f t="shared" si="4"/>
        <v>10902.777777777777</v>
      </c>
      <c r="G31" s="393">
        <f t="shared" si="1"/>
        <v>0</v>
      </c>
      <c r="H31" s="451">
        <f t="shared" si="2"/>
        <v>0</v>
      </c>
      <c r="I31" s="772"/>
      <c r="J31" s="772"/>
      <c r="K31" s="772"/>
      <c r="L31" s="650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0"/>
        <v>0</v>
      </c>
      <c r="F32" s="396">
        <f t="shared" si="4"/>
        <v>10902.777777777777</v>
      </c>
      <c r="G32" s="393">
        <f t="shared" si="1"/>
        <v>0</v>
      </c>
      <c r="H32" s="451">
        <f t="shared" si="2"/>
        <v>0</v>
      </c>
      <c r="I32" s="772"/>
      <c r="J32" s="772"/>
      <c r="K32" s="772"/>
      <c r="L32" s="650">
        <f t="shared" si="3"/>
        <v>0</v>
      </c>
    </row>
    <row r="33" spans="1:12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0"/>
        <v>0</v>
      </c>
      <c r="F33" s="396">
        <f t="shared" si="4"/>
        <v>10902.777777777777</v>
      </c>
      <c r="G33" s="770">
        <f t="shared" si="1"/>
        <v>0</v>
      </c>
      <c r="H33" s="451">
        <f t="shared" si="2"/>
        <v>0</v>
      </c>
      <c r="I33" s="772"/>
      <c r="J33" s="772"/>
      <c r="K33" s="772"/>
      <c r="L33" s="650">
        <f t="shared" si="3"/>
        <v>0</v>
      </c>
    </row>
    <row r="34" spans="1:12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0"/>
        <v>0</v>
      </c>
      <c r="F34" s="396">
        <f t="shared" si="4"/>
        <v>10902.777777777777</v>
      </c>
      <c r="G34" s="396">
        <f t="shared" si="1"/>
        <v>0</v>
      </c>
      <c r="H34" s="451">
        <f t="shared" si="2"/>
        <v>0</v>
      </c>
      <c r="I34" s="772"/>
      <c r="J34" s="772"/>
      <c r="K34" s="772"/>
      <c r="L34" s="650">
        <f t="shared" si="3"/>
        <v>0</v>
      </c>
    </row>
    <row r="35" spans="1:12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0"/>
        <v>0</v>
      </c>
      <c r="F35" s="396">
        <f t="shared" si="4"/>
        <v>10902.777777777777</v>
      </c>
      <c r="G35" s="396">
        <f t="shared" si="1"/>
        <v>0</v>
      </c>
      <c r="H35" s="451">
        <f t="shared" si="2"/>
        <v>0</v>
      </c>
      <c r="I35" s="772"/>
      <c r="J35" s="772"/>
      <c r="K35" s="772"/>
      <c r="L35" s="650">
        <f t="shared" si="3"/>
        <v>0</v>
      </c>
    </row>
    <row r="36" spans="1:12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0"/>
        <v>0</v>
      </c>
      <c r="F36" s="396">
        <f t="shared" si="4"/>
        <v>10902.777777777777</v>
      </c>
      <c r="G36" s="396">
        <f t="shared" si="1"/>
        <v>0</v>
      </c>
      <c r="H36" s="451">
        <f t="shared" si="2"/>
        <v>0</v>
      </c>
      <c r="I36" s="772"/>
      <c r="J36" s="772"/>
      <c r="K36" s="772"/>
      <c r="L36" s="650">
        <f t="shared" si="3"/>
        <v>0</v>
      </c>
    </row>
    <row r="37" spans="1:12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0"/>
        <v>0</v>
      </c>
      <c r="F37" s="396">
        <f t="shared" si="4"/>
        <v>10902.777777777777</v>
      </c>
      <c r="G37" s="396">
        <f t="shared" si="1"/>
        <v>0</v>
      </c>
      <c r="H37" s="451">
        <f t="shared" si="2"/>
        <v>0</v>
      </c>
      <c r="I37" s="772"/>
      <c r="J37" s="772"/>
      <c r="K37" s="772"/>
      <c r="L37" s="650">
        <f t="shared" si="3"/>
        <v>0</v>
      </c>
    </row>
    <row r="38" spans="1:12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0"/>
        <v>0</v>
      </c>
      <c r="F38" s="396">
        <f t="shared" si="4"/>
        <v>10902.777777777777</v>
      </c>
      <c r="G38" s="769">
        <f t="shared" si="1"/>
        <v>0</v>
      </c>
      <c r="H38" s="451">
        <f t="shared" si="2"/>
        <v>0</v>
      </c>
      <c r="I38" s="772"/>
      <c r="J38" s="772"/>
      <c r="K38" s="772"/>
      <c r="L38" s="650">
        <f t="shared" si="3"/>
        <v>0</v>
      </c>
    </row>
    <row r="39" spans="1:12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0"/>
        <v>0</v>
      </c>
      <c r="F39" s="396">
        <f>SUM($E$8:E39)/A39</f>
        <v>0</v>
      </c>
      <c r="G39" s="396">
        <f t="shared" si="1"/>
        <v>0</v>
      </c>
      <c r="H39" s="451">
        <f t="shared" si="2"/>
        <v>0</v>
      </c>
      <c r="I39" s="772"/>
      <c r="J39" s="772"/>
      <c r="K39" s="772"/>
      <c r="L39" s="650">
        <f t="shared" si="3"/>
        <v>0</v>
      </c>
    </row>
    <row r="40" spans="1:12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2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2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2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2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2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2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</sheetData>
  <mergeCells count="5">
    <mergeCell ref="A8:C8"/>
    <mergeCell ref="A40:C40"/>
    <mergeCell ref="A41:C41"/>
    <mergeCell ref="A3:I3"/>
    <mergeCell ref="A4:B4"/>
  </mergeCells>
  <conditionalFormatting sqref="H9:H39">
    <cfRule type="cellIs" dxfId="8507" priority="19" operator="between">
      <formula>3.5</formula>
      <formula>6</formula>
    </cfRule>
    <cfRule type="cellIs" dxfId="8506" priority="20" operator="lessThan">
      <formula>3.5</formula>
    </cfRule>
    <cfRule type="cellIs" dxfId="8505" priority="21" operator="greaterThan">
      <formula>6</formula>
    </cfRule>
  </conditionalFormatting>
  <conditionalFormatting sqref="H9:H39">
    <cfRule type="cellIs" dxfId="8504" priority="16" operator="between">
      <formula>3.5</formula>
      <formula>6</formula>
    </cfRule>
    <cfRule type="cellIs" dxfId="8503" priority="17" operator="lessThan">
      <formula>3.5</formula>
    </cfRule>
    <cfRule type="cellIs" dxfId="8502" priority="18" operator="greaterThan">
      <formula>6</formula>
    </cfRule>
  </conditionalFormatting>
  <conditionalFormatting sqref="H9:H39">
    <cfRule type="cellIs" dxfId="8501" priority="13" operator="between">
      <formula>3.5</formula>
      <formula>6</formula>
    </cfRule>
    <cfRule type="cellIs" dxfId="8500" priority="14" operator="lessThan">
      <formula>3.5</formula>
    </cfRule>
    <cfRule type="cellIs" dxfId="8499" priority="15" operator="greaterThan">
      <formula>6</formula>
    </cfRule>
  </conditionalFormatting>
  <conditionalFormatting sqref="H9:H39">
    <cfRule type="cellIs" dxfId="8498" priority="10" operator="between">
      <formula>3.5</formula>
      <formula>6</formula>
    </cfRule>
    <cfRule type="cellIs" dxfId="8497" priority="11" operator="lessThan">
      <formula>3.5</formula>
    </cfRule>
    <cfRule type="cellIs" dxfId="8496" priority="12" operator="greaterThan">
      <formula>6</formula>
    </cfRule>
  </conditionalFormatting>
  <conditionalFormatting sqref="H9:H39">
    <cfRule type="cellIs" dxfId="8495" priority="7" operator="between">
      <formula>3.5</formula>
      <formula>6</formula>
    </cfRule>
    <cfRule type="cellIs" dxfId="8494" priority="8" operator="lessThan">
      <formula>3.5</formula>
    </cfRule>
    <cfRule type="cellIs" dxfId="8493" priority="9" operator="greaterThan">
      <formula>6</formula>
    </cfRule>
  </conditionalFormatting>
  <conditionalFormatting sqref="H9:H39">
    <cfRule type="cellIs" dxfId="8492" priority="4" operator="between">
      <formula>3.5</formula>
      <formula>6</formula>
    </cfRule>
    <cfRule type="cellIs" dxfId="8491" priority="5" operator="lessThan">
      <formula>3.5</formula>
    </cfRule>
    <cfRule type="cellIs" dxfId="8490" priority="6" operator="greaterThan">
      <formula>6</formula>
    </cfRule>
  </conditionalFormatting>
  <conditionalFormatting sqref="H9:H39">
    <cfRule type="cellIs" dxfId="8489" priority="1" operator="between">
      <formula>3.5</formula>
      <formula>6</formula>
    </cfRule>
    <cfRule type="cellIs" dxfId="8488" priority="2" operator="lessThan">
      <formula>3.5</formula>
    </cfRule>
    <cfRule type="cellIs" dxfId="8487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46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86"/>
      <c r="K3" s="1086"/>
      <c r="L3" s="1270"/>
      <c r="N3" s="442"/>
      <c r="O3" s="442"/>
    </row>
    <row r="4" spans="1:26" s="1091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887</v>
      </c>
      <c r="L4" s="1271"/>
      <c r="M4" s="143"/>
    </row>
    <row r="5" spans="1:26" s="1091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143"/>
    </row>
    <row r="6" spans="1:26" s="1091" customFormat="1" ht="12" customHeight="1">
      <c r="B6" s="453"/>
      <c r="C6" s="453"/>
      <c r="D6" s="453"/>
      <c r="E6" s="453"/>
      <c r="F6" s="453"/>
      <c r="G6" s="453">
        <v>80550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6" s="305" customFormat="1" ht="28.5" customHeight="1">
      <c r="A7" s="1088" t="s">
        <v>2</v>
      </c>
      <c r="B7" s="1090" t="s">
        <v>1</v>
      </c>
      <c r="C7" s="1090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87" t="s">
        <v>30</v>
      </c>
      <c r="I7" s="697" t="s">
        <v>341</v>
      </c>
      <c r="J7" s="697" t="s">
        <v>244</v>
      </c>
      <c r="K7" s="697" t="s">
        <v>821</v>
      </c>
      <c r="L7" s="697" t="s">
        <v>344</v>
      </c>
      <c r="M7" s="143"/>
    </row>
    <row r="8" spans="1:26" s="305" customFormat="1" ht="12" customHeight="1">
      <c r="A8" s="1650" t="s">
        <v>3</v>
      </c>
      <c r="B8" s="1651"/>
      <c r="C8" s="1652"/>
      <c r="D8" s="771">
        <f>G8</f>
        <v>9115</v>
      </c>
      <c r="E8" s="771"/>
      <c r="F8" s="771"/>
      <c r="G8" s="774">
        <v>9115</v>
      </c>
      <c r="H8" s="450"/>
      <c r="I8" s="772"/>
      <c r="J8" s="772"/>
      <c r="K8" s="772"/>
      <c r="L8" s="772"/>
      <c r="M8" s="143">
        <v>10902.8</v>
      </c>
    </row>
    <row r="9" spans="1:26" s="305" customFormat="1" ht="12" customHeight="1">
      <c r="A9" s="1089">
        <v>1</v>
      </c>
      <c r="B9" s="365">
        <f>'FRIT HGE91-FHG'!B9</f>
        <v>46235</v>
      </c>
      <c r="C9" s="331" t="s">
        <v>285</v>
      </c>
      <c r="D9" s="1451"/>
      <c r="E9" s="1451">
        <f>I9+J9+K9+L9</f>
        <v>0</v>
      </c>
      <c r="F9" s="1451">
        <f>15700/1.44</f>
        <v>10902.777777777777</v>
      </c>
      <c r="G9" s="1451">
        <f>D8+D9-E9</f>
        <v>9115</v>
      </c>
      <c r="H9" s="1452">
        <f>G9/10417</f>
        <v>0.87501199961601228</v>
      </c>
      <c r="I9" s="772"/>
      <c r="J9" s="772"/>
      <c r="K9" s="772"/>
      <c r="L9" s="772"/>
      <c r="M9" s="650">
        <f>G9/$M$8</f>
        <v>0.83602377370950587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1451"/>
      <c r="E10" s="1451">
        <f t="shared" ref="E10:E39" si="0">I10+J10+K10+L10</f>
        <v>0</v>
      </c>
      <c r="F10" s="1451">
        <f>$F$9</f>
        <v>10902.777777777777</v>
      </c>
      <c r="G10" s="1451">
        <f t="shared" ref="G10:G39" si="1">G9+D10-E10</f>
        <v>9115</v>
      </c>
      <c r="H10" s="1452">
        <f t="shared" ref="H10:H39" si="2">G10/10417</f>
        <v>0.87501199961601228</v>
      </c>
      <c r="I10" s="772"/>
      <c r="J10" s="772"/>
      <c r="K10" s="772"/>
      <c r="L10" s="772"/>
      <c r="M10" s="650">
        <f t="shared" ref="M10:M39" si="3">G10/$M$8</f>
        <v>0.83602377370950587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1451"/>
      <c r="E11" s="1451">
        <f t="shared" si="0"/>
        <v>0</v>
      </c>
      <c r="F11" s="1451">
        <f>$F$9</f>
        <v>10902.777777777777</v>
      </c>
      <c r="G11" s="1451">
        <f t="shared" si="1"/>
        <v>9115</v>
      </c>
      <c r="H11" s="1452">
        <f t="shared" si="2"/>
        <v>0.87501199961601228</v>
      </c>
      <c r="I11" s="772"/>
      <c r="J11" s="772"/>
      <c r="K11" s="772"/>
      <c r="L11" s="772"/>
      <c r="M11" s="650">
        <f t="shared" si="3"/>
        <v>0.83602377370950587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1451"/>
      <c r="E12" s="1451">
        <f t="shared" si="0"/>
        <v>0</v>
      </c>
      <c r="F12" s="1451">
        <f t="shared" ref="F12:F38" si="4">$F$9</f>
        <v>10902.777777777777</v>
      </c>
      <c r="G12" s="1451">
        <f t="shared" si="1"/>
        <v>9115</v>
      </c>
      <c r="H12" s="1452">
        <f t="shared" si="2"/>
        <v>0.87501199961601228</v>
      </c>
      <c r="I12" s="772"/>
      <c r="J12" s="772"/>
      <c r="K12" s="772"/>
      <c r="L12" s="772"/>
      <c r="M12" s="650">
        <f t="shared" si="3"/>
        <v>0.83602377370950587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1451"/>
      <c r="E13" s="1451">
        <f t="shared" si="0"/>
        <v>0</v>
      </c>
      <c r="F13" s="1451">
        <f t="shared" si="4"/>
        <v>10902.777777777777</v>
      </c>
      <c r="G13" s="1453">
        <f t="shared" si="1"/>
        <v>9115</v>
      </c>
      <c r="H13" s="1452">
        <f t="shared" si="2"/>
        <v>0.87501199961601228</v>
      </c>
      <c r="I13" s="772"/>
      <c r="J13" s="772"/>
      <c r="K13" s="772"/>
      <c r="L13" s="772"/>
      <c r="M13" s="650">
        <f t="shared" si="3"/>
        <v>0.83602377370950587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1451"/>
      <c r="E14" s="1451">
        <f t="shared" si="0"/>
        <v>0</v>
      </c>
      <c r="F14" s="1451">
        <f t="shared" si="4"/>
        <v>10902.777777777777</v>
      </c>
      <c r="G14" s="1451">
        <f t="shared" si="1"/>
        <v>9115</v>
      </c>
      <c r="H14" s="1452">
        <f t="shared" si="2"/>
        <v>0.87501199961601228</v>
      </c>
      <c r="I14" s="772"/>
      <c r="J14" s="772"/>
      <c r="K14" s="772"/>
      <c r="L14" s="772"/>
      <c r="M14" s="650">
        <f t="shared" si="3"/>
        <v>0.83602377370950587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1451"/>
      <c r="E15" s="1451">
        <f t="shared" si="0"/>
        <v>0</v>
      </c>
      <c r="F15" s="1451">
        <f t="shared" si="4"/>
        <v>10902.777777777777</v>
      </c>
      <c r="G15" s="1451">
        <f t="shared" si="1"/>
        <v>9115</v>
      </c>
      <c r="H15" s="1452">
        <f t="shared" si="2"/>
        <v>0.87501199961601228</v>
      </c>
      <c r="I15" s="772"/>
      <c r="J15" s="772"/>
      <c r="K15" s="772"/>
      <c r="L15" s="772"/>
      <c r="M15" s="650">
        <f t="shared" si="3"/>
        <v>0.83602377370950587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334</v>
      </c>
      <c r="D16" s="1451"/>
      <c r="E16" s="1451">
        <f t="shared" si="0"/>
        <v>0</v>
      </c>
      <c r="F16" s="1451">
        <f t="shared" si="4"/>
        <v>10902.777777777777</v>
      </c>
      <c r="G16" s="1451">
        <f t="shared" si="1"/>
        <v>9115</v>
      </c>
      <c r="H16" s="1452">
        <f t="shared" si="2"/>
        <v>0.87501199961601228</v>
      </c>
      <c r="I16" s="772"/>
      <c r="J16" s="772"/>
      <c r="K16" s="772"/>
      <c r="L16" s="772"/>
      <c r="M16" s="650">
        <f t="shared" si="3"/>
        <v>0.83602377370950587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1451"/>
      <c r="E17" s="1451">
        <f t="shared" si="0"/>
        <v>0</v>
      </c>
      <c r="F17" s="1451">
        <f t="shared" si="4"/>
        <v>10902.777777777777</v>
      </c>
      <c r="G17" s="1451">
        <f t="shared" si="1"/>
        <v>9115</v>
      </c>
      <c r="H17" s="1452">
        <f t="shared" si="2"/>
        <v>0.87501199961601228</v>
      </c>
      <c r="I17" s="772"/>
      <c r="J17" s="772"/>
      <c r="K17" s="772"/>
      <c r="L17" s="772"/>
      <c r="M17" s="650">
        <f t="shared" si="3"/>
        <v>0.83602377370950587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1451"/>
      <c r="E18" s="1451">
        <f t="shared" si="0"/>
        <v>0</v>
      </c>
      <c r="F18" s="1451">
        <f t="shared" si="4"/>
        <v>10902.777777777777</v>
      </c>
      <c r="G18" s="1453">
        <f t="shared" si="1"/>
        <v>9115</v>
      </c>
      <c r="H18" s="1452">
        <f t="shared" si="2"/>
        <v>0.87501199961601228</v>
      </c>
      <c r="I18" s="772"/>
      <c r="J18" s="772"/>
      <c r="K18" s="772"/>
      <c r="L18" s="772"/>
      <c r="M18" s="650">
        <f t="shared" si="3"/>
        <v>0.83602377370950587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1451"/>
      <c r="E19" s="1451">
        <f t="shared" si="0"/>
        <v>2400</v>
      </c>
      <c r="F19" s="1451">
        <f t="shared" si="4"/>
        <v>10902.777777777777</v>
      </c>
      <c r="G19" s="1451">
        <f t="shared" si="1"/>
        <v>6715</v>
      </c>
      <c r="H19" s="1452">
        <f t="shared" si="2"/>
        <v>0.64461937218009024</v>
      </c>
      <c r="I19" s="772">
        <v>2400</v>
      </c>
      <c r="J19" s="772"/>
      <c r="K19" s="772"/>
      <c r="L19" s="772"/>
      <c r="M19" s="650">
        <f t="shared" si="3"/>
        <v>0.61589683384084826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349</v>
      </c>
      <c r="D20" s="1451"/>
      <c r="E20" s="1451">
        <f t="shared" si="0"/>
        <v>0</v>
      </c>
      <c r="F20" s="1451">
        <f t="shared" si="4"/>
        <v>10902.777777777777</v>
      </c>
      <c r="G20" s="1451">
        <f t="shared" si="1"/>
        <v>6715</v>
      </c>
      <c r="H20" s="1452">
        <f t="shared" si="2"/>
        <v>0.64461937218009024</v>
      </c>
      <c r="I20" s="772"/>
      <c r="J20" s="772"/>
      <c r="K20" s="772"/>
      <c r="L20" s="772"/>
      <c r="M20" s="650">
        <f t="shared" si="3"/>
        <v>0.61589683384084826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349</v>
      </c>
      <c r="D21" s="1451"/>
      <c r="E21" s="1451">
        <f t="shared" si="0"/>
        <v>0</v>
      </c>
      <c r="F21" s="1451">
        <f t="shared" si="4"/>
        <v>10902.777777777777</v>
      </c>
      <c r="G21" s="1451">
        <f t="shared" si="1"/>
        <v>6715</v>
      </c>
      <c r="H21" s="1452">
        <f t="shared" si="2"/>
        <v>0.64461937218009024</v>
      </c>
      <c r="I21" s="772"/>
      <c r="J21" s="772"/>
      <c r="K21" s="772"/>
      <c r="L21" s="772"/>
      <c r="M21" s="650">
        <f t="shared" si="3"/>
        <v>0.61589683384084826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349</v>
      </c>
      <c r="D22" s="1451"/>
      <c r="E22" s="1451">
        <f t="shared" si="0"/>
        <v>0</v>
      </c>
      <c r="F22" s="1451">
        <f t="shared" si="4"/>
        <v>10902.777777777777</v>
      </c>
      <c r="G22" s="1451">
        <f t="shared" si="1"/>
        <v>6715</v>
      </c>
      <c r="H22" s="1452">
        <f t="shared" si="2"/>
        <v>0.64461937218009024</v>
      </c>
      <c r="I22" s="772"/>
      <c r="J22" s="772"/>
      <c r="K22" s="772"/>
      <c r="L22" s="772"/>
      <c r="M22" s="650">
        <f t="shared" si="3"/>
        <v>0.61589683384084826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1451"/>
      <c r="E23" s="1451">
        <f t="shared" si="0"/>
        <v>730</v>
      </c>
      <c r="F23" s="1451">
        <f t="shared" si="4"/>
        <v>10902.777777777777</v>
      </c>
      <c r="G23" s="1453">
        <f t="shared" si="1"/>
        <v>5985</v>
      </c>
      <c r="H23" s="1452">
        <f t="shared" si="2"/>
        <v>0.57454161466833065</v>
      </c>
      <c r="I23" s="772">
        <v>730</v>
      </c>
      <c r="J23" s="772"/>
      <c r="K23" s="772"/>
      <c r="L23" s="772"/>
      <c r="M23" s="650">
        <f t="shared" si="3"/>
        <v>0.54894155629746488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1451"/>
      <c r="E24" s="1451">
        <f t="shared" si="0"/>
        <v>0</v>
      </c>
      <c r="F24" s="1451">
        <f t="shared" si="4"/>
        <v>10902.777777777777</v>
      </c>
      <c r="G24" s="1451">
        <f t="shared" si="1"/>
        <v>5985</v>
      </c>
      <c r="H24" s="1452">
        <f t="shared" si="2"/>
        <v>0.57454161466833065</v>
      </c>
      <c r="I24" s="772"/>
      <c r="J24" s="772"/>
      <c r="K24" s="772"/>
      <c r="L24" s="772"/>
      <c r="M24" s="650">
        <f t="shared" si="3"/>
        <v>0.54894155629746488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1451"/>
      <c r="E25" s="1451">
        <f t="shared" si="0"/>
        <v>0</v>
      </c>
      <c r="F25" s="1451">
        <f t="shared" si="4"/>
        <v>10902.777777777777</v>
      </c>
      <c r="G25" s="1451">
        <f t="shared" si="1"/>
        <v>5985</v>
      </c>
      <c r="H25" s="1452">
        <f t="shared" si="2"/>
        <v>0.57454161466833065</v>
      </c>
      <c r="I25" s="772"/>
      <c r="J25" s="772"/>
      <c r="K25" s="772"/>
      <c r="L25" s="772"/>
      <c r="M25" s="650">
        <f t="shared" si="3"/>
        <v>0.54894155629746488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1451"/>
      <c r="E26" s="1451">
        <f t="shared" si="0"/>
        <v>0</v>
      </c>
      <c r="F26" s="1451">
        <f t="shared" si="4"/>
        <v>10902.777777777777</v>
      </c>
      <c r="G26" s="1451">
        <f t="shared" si="1"/>
        <v>5985</v>
      </c>
      <c r="H26" s="1452">
        <f t="shared" si="2"/>
        <v>0.57454161466833065</v>
      </c>
      <c r="I26" s="772"/>
      <c r="J26" s="772"/>
      <c r="K26" s="772"/>
      <c r="L26" s="772"/>
      <c r="M26" s="650">
        <f t="shared" si="3"/>
        <v>0.54894155629746488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1451"/>
      <c r="E27" s="1451">
        <f t="shared" si="0"/>
        <v>0</v>
      </c>
      <c r="F27" s="1451">
        <f t="shared" si="4"/>
        <v>10902.777777777777</v>
      </c>
      <c r="G27" s="1451">
        <f t="shared" si="1"/>
        <v>5985</v>
      </c>
      <c r="H27" s="1452">
        <f t="shared" si="2"/>
        <v>0.57454161466833065</v>
      </c>
      <c r="I27" s="772"/>
      <c r="J27" s="772"/>
      <c r="K27" s="772"/>
      <c r="L27" s="772"/>
      <c r="M27" s="650">
        <f t="shared" si="3"/>
        <v>0.54894155629746488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1451"/>
      <c r="E28" s="1451">
        <f t="shared" si="0"/>
        <v>0</v>
      </c>
      <c r="F28" s="1451">
        <f t="shared" si="4"/>
        <v>10902.777777777777</v>
      </c>
      <c r="G28" s="1453">
        <f t="shared" si="1"/>
        <v>5985</v>
      </c>
      <c r="H28" s="1452">
        <f t="shared" si="2"/>
        <v>0.57454161466833065</v>
      </c>
      <c r="I28" s="772"/>
      <c r="J28" s="772"/>
      <c r="K28" s="772"/>
      <c r="L28" s="772"/>
      <c r="M28" s="650">
        <f t="shared" si="3"/>
        <v>0.54894155629746488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1451"/>
      <c r="E29" s="1451">
        <f t="shared" si="0"/>
        <v>0</v>
      </c>
      <c r="F29" s="1451">
        <f t="shared" si="4"/>
        <v>10902.777777777777</v>
      </c>
      <c r="G29" s="1454">
        <f t="shared" si="1"/>
        <v>5985</v>
      </c>
      <c r="H29" s="1452">
        <f t="shared" si="2"/>
        <v>0.57454161466833065</v>
      </c>
      <c r="I29" s="772"/>
      <c r="J29" s="772"/>
      <c r="K29" s="772"/>
      <c r="L29" s="772"/>
      <c r="M29" s="650">
        <f t="shared" si="3"/>
        <v>0.54894155629746488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1451"/>
      <c r="E30" s="1451">
        <f t="shared" si="0"/>
        <v>0</v>
      </c>
      <c r="F30" s="1451">
        <f t="shared" si="4"/>
        <v>10902.777777777777</v>
      </c>
      <c r="G30" s="1454">
        <f t="shared" si="1"/>
        <v>5985</v>
      </c>
      <c r="H30" s="1452">
        <f t="shared" si="2"/>
        <v>0.57454161466833065</v>
      </c>
      <c r="I30" s="772"/>
      <c r="J30" s="772"/>
      <c r="K30" s="772"/>
      <c r="L30" s="772"/>
      <c r="M30" s="650">
        <f t="shared" si="3"/>
        <v>0.54894155629746488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1451"/>
      <c r="E31" s="1451">
        <f t="shared" si="0"/>
        <v>0</v>
      </c>
      <c r="F31" s="1451">
        <f t="shared" si="4"/>
        <v>10902.777777777777</v>
      </c>
      <c r="G31" s="1454">
        <f t="shared" si="1"/>
        <v>5985</v>
      </c>
      <c r="H31" s="1452">
        <f t="shared" si="2"/>
        <v>0.57454161466833065</v>
      </c>
      <c r="I31" s="772"/>
      <c r="J31" s="772"/>
      <c r="K31" s="772"/>
      <c r="L31" s="772"/>
      <c r="M31" s="650">
        <f t="shared" si="3"/>
        <v>0.54894155629746488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1451"/>
      <c r="E32" s="1451">
        <f t="shared" si="0"/>
        <v>0</v>
      </c>
      <c r="F32" s="1451">
        <f t="shared" si="4"/>
        <v>10902.777777777777</v>
      </c>
      <c r="G32" s="1454">
        <f t="shared" si="1"/>
        <v>5985</v>
      </c>
      <c r="H32" s="1452">
        <f t="shared" si="2"/>
        <v>0.57454161466833065</v>
      </c>
      <c r="I32" s="772"/>
      <c r="J32" s="772"/>
      <c r="K32" s="772"/>
      <c r="L32" s="772"/>
      <c r="M32" s="650">
        <f t="shared" si="3"/>
        <v>0.54894155629746488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1451"/>
      <c r="E33" s="1451">
        <f t="shared" si="0"/>
        <v>0</v>
      </c>
      <c r="F33" s="1451">
        <f t="shared" si="4"/>
        <v>10902.777777777777</v>
      </c>
      <c r="G33" s="1455">
        <f t="shared" si="1"/>
        <v>5985</v>
      </c>
      <c r="H33" s="1452">
        <f t="shared" si="2"/>
        <v>0.57454161466833065</v>
      </c>
      <c r="I33" s="772"/>
      <c r="J33" s="772"/>
      <c r="K33" s="772"/>
      <c r="L33" s="772"/>
      <c r="M33" s="650">
        <f t="shared" si="3"/>
        <v>0.54894155629746488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1451"/>
      <c r="E34" s="1451">
        <f t="shared" si="0"/>
        <v>0</v>
      </c>
      <c r="F34" s="1451">
        <f t="shared" si="4"/>
        <v>10902.777777777777</v>
      </c>
      <c r="G34" s="1451">
        <f t="shared" si="1"/>
        <v>5985</v>
      </c>
      <c r="H34" s="1452">
        <f t="shared" si="2"/>
        <v>0.57454161466833065</v>
      </c>
      <c r="I34" s="772"/>
      <c r="J34" s="772"/>
      <c r="K34" s="772"/>
      <c r="L34" s="772"/>
      <c r="M34" s="650">
        <f t="shared" si="3"/>
        <v>0.54894155629746488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1451"/>
      <c r="E35" s="1451">
        <f t="shared" si="0"/>
        <v>0</v>
      </c>
      <c r="F35" s="1451">
        <f t="shared" si="4"/>
        <v>10902.777777777777</v>
      </c>
      <c r="G35" s="1451">
        <f t="shared" si="1"/>
        <v>5985</v>
      </c>
      <c r="H35" s="1452">
        <f t="shared" si="2"/>
        <v>0.57454161466833065</v>
      </c>
      <c r="I35" s="772"/>
      <c r="J35" s="772"/>
      <c r="K35" s="772"/>
      <c r="L35" s="772"/>
      <c r="M35" s="650">
        <f t="shared" si="3"/>
        <v>0.54894155629746488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1451"/>
      <c r="E36" s="1451">
        <f t="shared" si="0"/>
        <v>0</v>
      </c>
      <c r="F36" s="1451">
        <f t="shared" si="4"/>
        <v>10902.777777777777</v>
      </c>
      <c r="G36" s="1451">
        <f t="shared" si="1"/>
        <v>5985</v>
      </c>
      <c r="H36" s="1452">
        <f t="shared" si="2"/>
        <v>0.57454161466833065</v>
      </c>
      <c r="I36" s="772"/>
      <c r="J36" s="772"/>
      <c r="K36" s="772"/>
      <c r="L36" s="772"/>
      <c r="M36" s="650">
        <f t="shared" si="3"/>
        <v>0.54894155629746488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51"/>
      <c r="E37" s="1451">
        <f t="shared" si="0"/>
        <v>0</v>
      </c>
      <c r="F37" s="1451">
        <f t="shared" si="4"/>
        <v>10902.777777777777</v>
      </c>
      <c r="G37" s="1451">
        <f t="shared" si="1"/>
        <v>5985</v>
      </c>
      <c r="H37" s="1452">
        <f t="shared" si="2"/>
        <v>0.57454161466833065</v>
      </c>
      <c r="I37" s="772"/>
      <c r="J37" s="772"/>
      <c r="K37" s="772"/>
      <c r="L37" s="772"/>
      <c r="M37" s="650">
        <f t="shared" si="3"/>
        <v>0.54894155629746488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1"/>
      <c r="E38" s="1451">
        <f t="shared" si="0"/>
        <v>0</v>
      </c>
      <c r="F38" s="1451">
        <f t="shared" si="4"/>
        <v>10902.777777777777</v>
      </c>
      <c r="G38" s="1453">
        <f t="shared" si="1"/>
        <v>5985</v>
      </c>
      <c r="H38" s="1452">
        <f t="shared" si="2"/>
        <v>0.57454161466833065</v>
      </c>
      <c r="I38" s="772"/>
      <c r="J38" s="772"/>
      <c r="K38" s="772"/>
      <c r="L38" s="772"/>
      <c r="M38" s="650">
        <f t="shared" si="3"/>
        <v>0.54894155629746488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51"/>
      <c r="E39" s="1451">
        <f t="shared" si="0"/>
        <v>0</v>
      </c>
      <c r="F39" s="1451">
        <f>SUM($E$8:E39)/A39</f>
        <v>100.96774193548387</v>
      </c>
      <c r="G39" s="1451">
        <f t="shared" si="1"/>
        <v>5985</v>
      </c>
      <c r="H39" s="1452">
        <f t="shared" si="2"/>
        <v>0.57454161466833065</v>
      </c>
      <c r="I39" s="772"/>
      <c r="J39" s="772"/>
      <c r="K39" s="772"/>
      <c r="L39" s="772"/>
      <c r="M39" s="650">
        <f t="shared" si="3"/>
        <v>0.54894155629746488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3130</v>
      </c>
      <c r="F40" s="449"/>
      <c r="G40" s="389">
        <f>G39</f>
        <v>5985</v>
      </c>
      <c r="H40" s="309"/>
      <c r="I40" s="689">
        <f>SUM(I9:I39)</f>
        <v>3130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9115</v>
      </c>
      <c r="E41" s="389">
        <f>E40</f>
        <v>3130</v>
      </c>
      <c r="F41" s="449"/>
      <c r="G41" s="389">
        <f>D41-E41</f>
        <v>5985</v>
      </c>
      <c r="H41" s="309"/>
      <c r="I41" s="689"/>
      <c r="J41" s="689"/>
      <c r="K41" s="689"/>
      <c r="L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8486" priority="19" operator="between">
      <formula>3.5</formula>
      <formula>6</formula>
    </cfRule>
    <cfRule type="cellIs" dxfId="8485" priority="20" operator="lessThan">
      <formula>3.5</formula>
    </cfRule>
    <cfRule type="cellIs" dxfId="8484" priority="21" operator="greaterThan">
      <formula>6</formula>
    </cfRule>
  </conditionalFormatting>
  <conditionalFormatting sqref="H9:H39">
    <cfRule type="cellIs" dxfId="8483" priority="16" operator="between">
      <formula>3.5</formula>
      <formula>6</formula>
    </cfRule>
    <cfRule type="cellIs" dxfId="8482" priority="17" operator="lessThan">
      <formula>3.5</formula>
    </cfRule>
    <cfRule type="cellIs" dxfId="8481" priority="18" operator="greaterThan">
      <formula>6</formula>
    </cfRule>
  </conditionalFormatting>
  <conditionalFormatting sqref="H9:H39">
    <cfRule type="cellIs" dxfId="8480" priority="13" operator="between">
      <formula>3.5</formula>
      <formula>6</formula>
    </cfRule>
    <cfRule type="cellIs" dxfId="8479" priority="14" operator="lessThan">
      <formula>3.5</formula>
    </cfRule>
    <cfRule type="cellIs" dxfId="8478" priority="15" operator="greaterThan">
      <formula>6</formula>
    </cfRule>
  </conditionalFormatting>
  <conditionalFormatting sqref="H9:H39">
    <cfRule type="cellIs" dxfId="8477" priority="10" operator="between">
      <formula>3.5</formula>
      <formula>6</formula>
    </cfRule>
    <cfRule type="cellIs" dxfId="8476" priority="11" operator="lessThan">
      <formula>3.5</formula>
    </cfRule>
    <cfRule type="cellIs" dxfId="8475" priority="12" operator="greaterThan">
      <formula>6</formula>
    </cfRule>
  </conditionalFormatting>
  <conditionalFormatting sqref="H9:H39">
    <cfRule type="cellIs" dxfId="8474" priority="7" operator="between">
      <formula>3.5</formula>
      <formula>6</formula>
    </cfRule>
    <cfRule type="cellIs" dxfId="8473" priority="8" operator="lessThan">
      <formula>3.5</formula>
    </cfRule>
    <cfRule type="cellIs" dxfId="8472" priority="9" operator="greaterThan">
      <formula>6</formula>
    </cfRule>
  </conditionalFormatting>
  <conditionalFormatting sqref="H9:H39">
    <cfRule type="cellIs" dxfId="8471" priority="4" operator="between">
      <formula>3.5</formula>
      <formula>6</formula>
    </cfRule>
    <cfRule type="cellIs" dxfId="8470" priority="5" operator="lessThan">
      <formula>3.5</formula>
    </cfRule>
    <cfRule type="cellIs" dxfId="8469" priority="6" operator="greaterThan">
      <formula>6</formula>
    </cfRule>
  </conditionalFormatting>
  <conditionalFormatting sqref="H9:H39">
    <cfRule type="cellIs" dxfId="8468" priority="1" operator="between">
      <formula>3.5</formula>
      <formula>6</formula>
    </cfRule>
    <cfRule type="cellIs" dxfId="8467" priority="2" operator="lessThan">
      <formula>3.5</formula>
    </cfRule>
    <cfRule type="cellIs" dxfId="846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Z49"/>
  <sheetViews>
    <sheetView zoomScale="90" zoomScaleNormal="90" workbookViewId="0">
      <pane ySplit="8" topLeftCell="A21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399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>G8+D9-E9</f>
        <v>0</v>
      </c>
      <c r="H9" s="451">
        <f t="shared" ref="H9:H39" si="0">G9/10417</f>
        <v>0</v>
      </c>
      <c r="I9" s="767"/>
      <c r="J9" s="767"/>
      <c r="K9" s="767"/>
      <c r="L9" s="650">
        <f>G9/$L$8</f>
        <v>0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ref="G10:G39" si="2">G9+D10-E10</f>
        <v>0</v>
      </c>
      <c r="H10" s="451">
        <f t="shared" si="0"/>
        <v>0</v>
      </c>
      <c r="I10" s="767"/>
      <c r="J10" s="767"/>
      <c r="K10" s="767"/>
      <c r="L10" s="650">
        <f t="shared" ref="L10:L39" si="3">G10/$L$8</f>
        <v>0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1"/>
        <v>0</v>
      </c>
      <c r="F11" s="396">
        <f>$F$9</f>
        <v>10902.777777777777</v>
      </c>
      <c r="G11" s="396">
        <f t="shared" si="2"/>
        <v>0</v>
      </c>
      <c r="H11" s="451">
        <f t="shared" si="0"/>
        <v>0</v>
      </c>
      <c r="I11" s="767"/>
      <c r="J11" s="767"/>
      <c r="K11" s="767"/>
      <c r="L11" s="650">
        <f t="shared" si="3"/>
        <v>0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1"/>
        <v>0</v>
      </c>
      <c r="F12" s="396">
        <f t="shared" ref="F12:F39" si="4">$F$9</f>
        <v>10902.777777777777</v>
      </c>
      <c r="G12" s="396">
        <f t="shared" si="2"/>
        <v>0</v>
      </c>
      <c r="H12" s="451">
        <f t="shared" si="0"/>
        <v>0</v>
      </c>
      <c r="I12" s="767"/>
      <c r="J12" s="767"/>
      <c r="K12" s="767"/>
      <c r="L12" s="650">
        <f t="shared" si="3"/>
        <v>0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768"/>
      <c r="E13" s="396">
        <f t="shared" si="1"/>
        <v>0</v>
      </c>
      <c r="F13" s="396">
        <f t="shared" si="4"/>
        <v>10902.777777777777</v>
      </c>
      <c r="G13" s="769">
        <f t="shared" si="2"/>
        <v>0</v>
      </c>
      <c r="H13" s="451">
        <f t="shared" si="0"/>
        <v>0</v>
      </c>
      <c r="I13" s="767"/>
      <c r="J13" s="767"/>
      <c r="K13" s="767"/>
      <c r="L13" s="650">
        <f t="shared" si="3"/>
        <v>0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1"/>
        <v>0</v>
      </c>
      <c r="F14" s="396">
        <f t="shared" si="4"/>
        <v>10902.777777777777</v>
      </c>
      <c r="G14" s="396">
        <f t="shared" si="2"/>
        <v>0</v>
      </c>
      <c r="H14" s="451">
        <f t="shared" si="0"/>
        <v>0</v>
      </c>
      <c r="I14" s="767"/>
      <c r="J14" s="767"/>
      <c r="K14" s="767"/>
      <c r="L14" s="650">
        <f t="shared" si="3"/>
        <v>0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1"/>
        <v>0</v>
      </c>
      <c r="F15" s="396">
        <f t="shared" si="4"/>
        <v>10902.777777777777</v>
      </c>
      <c r="G15" s="396">
        <f t="shared" si="2"/>
        <v>0</v>
      </c>
      <c r="H15" s="451">
        <f t="shared" si="0"/>
        <v>0</v>
      </c>
      <c r="I15" s="767"/>
      <c r="J15" s="767"/>
      <c r="K15" s="767"/>
      <c r="L15" s="650">
        <f t="shared" si="3"/>
        <v>0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1"/>
        <v>0</v>
      </c>
      <c r="F16" s="396">
        <f t="shared" si="4"/>
        <v>10902.777777777777</v>
      </c>
      <c r="G16" s="396">
        <f t="shared" si="2"/>
        <v>0</v>
      </c>
      <c r="H16" s="451">
        <f t="shared" si="0"/>
        <v>0</v>
      </c>
      <c r="I16" s="767"/>
      <c r="J16" s="767"/>
      <c r="K16" s="767"/>
      <c r="L16" s="650">
        <f t="shared" si="3"/>
        <v>0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1"/>
        <v>0</v>
      </c>
      <c r="F17" s="396">
        <f t="shared" si="4"/>
        <v>10902.777777777777</v>
      </c>
      <c r="G17" s="396">
        <f t="shared" si="2"/>
        <v>0</v>
      </c>
      <c r="H17" s="451">
        <f t="shared" si="0"/>
        <v>0</v>
      </c>
      <c r="I17" s="767"/>
      <c r="J17" s="767"/>
      <c r="K17" s="767"/>
      <c r="L17" s="650">
        <f t="shared" si="3"/>
        <v>0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1"/>
        <v>0</v>
      </c>
      <c r="F18" s="396">
        <f t="shared" si="4"/>
        <v>10902.777777777777</v>
      </c>
      <c r="G18" s="769">
        <f t="shared" si="2"/>
        <v>0</v>
      </c>
      <c r="H18" s="451">
        <f t="shared" si="0"/>
        <v>0</v>
      </c>
      <c r="I18" s="767"/>
      <c r="J18" s="767"/>
      <c r="K18" s="767"/>
      <c r="L18" s="650">
        <f t="shared" si="3"/>
        <v>0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1"/>
        <v>0</v>
      </c>
      <c r="F19" s="396">
        <f t="shared" si="4"/>
        <v>10902.777777777777</v>
      </c>
      <c r="G19" s="396">
        <f t="shared" si="2"/>
        <v>0</v>
      </c>
      <c r="H19" s="451">
        <f t="shared" si="0"/>
        <v>0</v>
      </c>
      <c r="I19" s="767"/>
      <c r="J19" s="767"/>
      <c r="K19" s="767"/>
      <c r="L19" s="650">
        <f t="shared" si="3"/>
        <v>0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1"/>
        <v>0</v>
      </c>
      <c r="F20" s="396">
        <f t="shared" si="4"/>
        <v>10902.777777777777</v>
      </c>
      <c r="G20" s="396">
        <f t="shared" si="2"/>
        <v>0</v>
      </c>
      <c r="H20" s="451">
        <f t="shared" si="0"/>
        <v>0</v>
      </c>
      <c r="I20" s="767"/>
      <c r="J20" s="767"/>
      <c r="K20" s="767"/>
      <c r="L20" s="650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1"/>
        <v>0</v>
      </c>
      <c r="F21" s="396">
        <f t="shared" si="4"/>
        <v>10902.777777777777</v>
      </c>
      <c r="G21" s="396">
        <f t="shared" si="2"/>
        <v>0</v>
      </c>
      <c r="H21" s="451">
        <f t="shared" si="0"/>
        <v>0</v>
      </c>
      <c r="I21" s="767"/>
      <c r="J21" s="767"/>
      <c r="K21" s="767"/>
      <c r="L21" s="650">
        <f t="shared" si="3"/>
        <v>0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1"/>
        <v>0</v>
      </c>
      <c r="F22" s="396">
        <f t="shared" si="4"/>
        <v>10902.777777777777</v>
      </c>
      <c r="G22" s="396">
        <f t="shared" si="2"/>
        <v>0</v>
      </c>
      <c r="H22" s="451">
        <f t="shared" si="0"/>
        <v>0</v>
      </c>
      <c r="I22" s="767"/>
      <c r="J22" s="767"/>
      <c r="K22" s="767"/>
      <c r="L22" s="650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1"/>
        <v>0</v>
      </c>
      <c r="F23" s="396">
        <f t="shared" si="4"/>
        <v>10902.777777777777</v>
      </c>
      <c r="G23" s="769">
        <f t="shared" si="2"/>
        <v>0</v>
      </c>
      <c r="H23" s="451">
        <f t="shared" si="0"/>
        <v>0</v>
      </c>
      <c r="I23" s="767"/>
      <c r="J23" s="767"/>
      <c r="K23" s="767"/>
      <c r="L23" s="650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1"/>
        <v>0</v>
      </c>
      <c r="F24" s="396">
        <f t="shared" si="4"/>
        <v>10902.777777777777</v>
      </c>
      <c r="G24" s="396">
        <f t="shared" si="2"/>
        <v>0</v>
      </c>
      <c r="H24" s="451">
        <f t="shared" si="0"/>
        <v>0</v>
      </c>
      <c r="I24" s="767"/>
      <c r="J24" s="767"/>
      <c r="K24" s="767"/>
      <c r="L24" s="650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1"/>
        <v>0</v>
      </c>
      <c r="F25" s="396">
        <f t="shared" si="4"/>
        <v>10902.777777777777</v>
      </c>
      <c r="G25" s="396">
        <f t="shared" si="2"/>
        <v>0</v>
      </c>
      <c r="H25" s="451">
        <f t="shared" si="0"/>
        <v>0</v>
      </c>
      <c r="I25" s="767"/>
      <c r="J25" s="767"/>
      <c r="K25" s="767"/>
      <c r="L25" s="650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1"/>
        <v>0</v>
      </c>
      <c r="F26" s="396">
        <f t="shared" si="4"/>
        <v>10902.777777777777</v>
      </c>
      <c r="G26" s="396">
        <f t="shared" si="2"/>
        <v>0</v>
      </c>
      <c r="H26" s="451">
        <f t="shared" si="0"/>
        <v>0</v>
      </c>
      <c r="I26" s="767"/>
      <c r="J26" s="767"/>
      <c r="K26" s="767"/>
      <c r="L26" s="650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1"/>
        <v>0</v>
      </c>
      <c r="F27" s="396">
        <f t="shared" si="4"/>
        <v>10902.777777777777</v>
      </c>
      <c r="G27" s="396">
        <f t="shared" si="2"/>
        <v>0</v>
      </c>
      <c r="H27" s="451">
        <f t="shared" si="0"/>
        <v>0</v>
      </c>
      <c r="I27" s="767"/>
      <c r="J27" s="767"/>
      <c r="K27" s="767"/>
      <c r="L27" s="650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1"/>
        <v>0</v>
      </c>
      <c r="F28" s="396">
        <f t="shared" si="4"/>
        <v>10902.777777777777</v>
      </c>
      <c r="G28" s="769">
        <f t="shared" si="2"/>
        <v>0</v>
      </c>
      <c r="H28" s="451">
        <f t="shared" si="0"/>
        <v>0</v>
      </c>
      <c r="I28" s="767"/>
      <c r="J28" s="767"/>
      <c r="K28" s="767"/>
      <c r="L28" s="650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1"/>
        <v>0</v>
      </c>
      <c r="F29" s="396">
        <f t="shared" si="4"/>
        <v>10902.777777777777</v>
      </c>
      <c r="G29" s="393">
        <f t="shared" si="2"/>
        <v>0</v>
      </c>
      <c r="H29" s="451">
        <f t="shared" si="0"/>
        <v>0</v>
      </c>
      <c r="I29" s="767"/>
      <c r="J29" s="767"/>
      <c r="K29" s="767"/>
      <c r="L29" s="650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1"/>
        <v>0</v>
      </c>
      <c r="F30" s="396">
        <f t="shared" si="4"/>
        <v>10902.777777777777</v>
      </c>
      <c r="G30" s="393">
        <f t="shared" si="2"/>
        <v>0</v>
      </c>
      <c r="H30" s="451">
        <f t="shared" si="0"/>
        <v>0</v>
      </c>
      <c r="I30" s="767"/>
      <c r="J30" s="767"/>
      <c r="K30" s="767"/>
      <c r="L30" s="650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2"/>
        <v>0</v>
      </c>
      <c r="H31" s="451">
        <f t="shared" si="0"/>
        <v>0</v>
      </c>
      <c r="I31" s="767"/>
      <c r="J31" s="767"/>
      <c r="K31" s="767"/>
      <c r="L31" s="650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2"/>
        <v>0</v>
      </c>
      <c r="H32" s="451">
        <f t="shared" si="0"/>
        <v>0</v>
      </c>
      <c r="I32" s="767"/>
      <c r="J32" s="767"/>
      <c r="K32" s="767"/>
      <c r="L32" s="650">
        <f t="shared" si="3"/>
        <v>0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2"/>
        <v>0</v>
      </c>
      <c r="H33" s="451">
        <f t="shared" si="0"/>
        <v>0</v>
      </c>
      <c r="I33" s="767"/>
      <c r="J33" s="767"/>
      <c r="K33" s="767"/>
      <c r="L33" s="650">
        <f t="shared" si="3"/>
        <v>0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2"/>
        <v>0</v>
      </c>
      <c r="H34" s="451">
        <f t="shared" si="0"/>
        <v>0</v>
      </c>
      <c r="I34" s="767"/>
      <c r="J34" s="767"/>
      <c r="K34" s="767"/>
      <c r="L34" s="650">
        <f t="shared" si="3"/>
        <v>0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2"/>
        <v>0</v>
      </c>
      <c r="H35" s="451">
        <f t="shared" si="0"/>
        <v>0</v>
      </c>
      <c r="I35" s="767"/>
      <c r="J35" s="767"/>
      <c r="K35" s="767"/>
      <c r="L35" s="650">
        <f t="shared" si="3"/>
        <v>0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2"/>
        <v>0</v>
      </c>
      <c r="H36" s="451">
        <f t="shared" si="0"/>
        <v>0</v>
      </c>
      <c r="I36" s="767"/>
      <c r="J36" s="767"/>
      <c r="K36" s="767"/>
      <c r="L36" s="650">
        <f t="shared" si="3"/>
        <v>0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2"/>
        <v>0</v>
      </c>
      <c r="H37" s="451">
        <f t="shared" si="0"/>
        <v>0</v>
      </c>
      <c r="I37" s="767"/>
      <c r="J37" s="767"/>
      <c r="K37" s="767"/>
      <c r="L37" s="650">
        <f t="shared" si="3"/>
        <v>0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 t="shared" si="2"/>
        <v>0</v>
      </c>
      <c r="H38" s="451">
        <f t="shared" si="0"/>
        <v>0</v>
      </c>
      <c r="I38" s="767"/>
      <c r="J38" s="767"/>
      <c r="K38" s="767"/>
      <c r="L38" s="650">
        <f t="shared" si="3"/>
        <v>0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 t="shared" si="4"/>
        <v>10902.777777777777</v>
      </c>
      <c r="G39" s="396">
        <f t="shared" si="2"/>
        <v>0</v>
      </c>
      <c r="H39" s="451">
        <f t="shared" si="0"/>
        <v>0</v>
      </c>
      <c r="I39" s="767"/>
      <c r="J39" s="767"/>
      <c r="K39" s="767"/>
      <c r="L39" s="650">
        <f t="shared" si="3"/>
        <v>0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G39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8:C8"/>
    <mergeCell ref="A40:C40"/>
    <mergeCell ref="A41:C41"/>
    <mergeCell ref="A4:B4"/>
  </mergeCells>
  <conditionalFormatting sqref="H9:H39">
    <cfRule type="cellIs" dxfId="8465" priority="28" operator="between">
      <formula>3.5</formula>
      <formula>6</formula>
    </cfRule>
    <cfRule type="cellIs" dxfId="8464" priority="29" operator="lessThan">
      <formula>3.5</formula>
    </cfRule>
    <cfRule type="cellIs" dxfId="8463" priority="30" operator="greaterThan">
      <formula>6</formula>
    </cfRule>
  </conditionalFormatting>
  <conditionalFormatting sqref="H9:H39">
    <cfRule type="cellIs" dxfId="8462" priority="25" operator="between">
      <formula>3.5</formula>
      <formula>6</formula>
    </cfRule>
    <cfRule type="cellIs" dxfId="8461" priority="26" operator="lessThan">
      <formula>3.5</formula>
    </cfRule>
    <cfRule type="cellIs" dxfId="8460" priority="27" operator="greaterThan">
      <formula>6</formula>
    </cfRule>
  </conditionalFormatting>
  <conditionalFormatting sqref="H9:H39">
    <cfRule type="cellIs" dxfId="8459" priority="22" operator="between">
      <formula>3.5</formula>
      <formula>6</formula>
    </cfRule>
    <cfRule type="cellIs" dxfId="8458" priority="23" operator="lessThan">
      <formula>3.5</formula>
    </cfRule>
    <cfRule type="cellIs" dxfId="8457" priority="24" operator="greaterThan">
      <formula>6</formula>
    </cfRule>
  </conditionalFormatting>
  <conditionalFormatting sqref="H9:H39">
    <cfRule type="cellIs" dxfId="8456" priority="19" operator="between">
      <formula>3.5</formula>
      <formula>6</formula>
    </cfRule>
    <cfRule type="cellIs" dxfId="8455" priority="20" operator="lessThan">
      <formula>3.5</formula>
    </cfRule>
    <cfRule type="cellIs" dxfId="8454" priority="21" operator="greaterThan">
      <formula>6</formula>
    </cfRule>
  </conditionalFormatting>
  <conditionalFormatting sqref="H9:H39">
    <cfRule type="cellIs" dxfId="8453" priority="16" operator="between">
      <formula>3.5</formula>
      <formula>6</formula>
    </cfRule>
    <cfRule type="cellIs" dxfId="8452" priority="17" operator="lessThan">
      <formula>3.5</formula>
    </cfRule>
    <cfRule type="cellIs" dxfId="8451" priority="18" operator="greaterThan">
      <formula>6</formula>
    </cfRule>
  </conditionalFormatting>
  <conditionalFormatting sqref="H9:H39">
    <cfRule type="cellIs" dxfId="8450" priority="13" operator="between">
      <formula>3.5</formula>
      <formula>6</formula>
    </cfRule>
    <cfRule type="cellIs" dxfId="8449" priority="14" operator="lessThan">
      <formula>3.5</formula>
    </cfRule>
    <cfRule type="cellIs" dxfId="8448" priority="15" operator="greaterThan">
      <formula>6</formula>
    </cfRule>
  </conditionalFormatting>
  <conditionalFormatting sqref="H9:H39">
    <cfRule type="cellIs" dxfId="8447" priority="10" operator="between">
      <formula>3.5</formula>
      <formula>6</formula>
    </cfRule>
    <cfRule type="cellIs" dxfId="8446" priority="11" operator="lessThan">
      <formula>3.5</formula>
    </cfRule>
    <cfRule type="cellIs" dxfId="8445" priority="12" operator="greaterThan">
      <formula>6</formula>
    </cfRule>
  </conditionalFormatting>
  <conditionalFormatting sqref="H9:H39">
    <cfRule type="cellIs" dxfId="8444" priority="7" operator="between">
      <formula>3.5</formula>
      <formula>6</formula>
    </cfRule>
    <cfRule type="cellIs" dxfId="8443" priority="8" operator="lessThan">
      <formula>3.5</formula>
    </cfRule>
    <cfRule type="cellIs" dxfId="8442" priority="9" operator="greaterThan">
      <formula>6</formula>
    </cfRule>
  </conditionalFormatting>
  <conditionalFormatting sqref="H9:H39">
    <cfRule type="cellIs" dxfId="8441" priority="4" operator="between">
      <formula>3.5</formula>
      <formula>6</formula>
    </cfRule>
    <cfRule type="cellIs" dxfId="8440" priority="5" operator="lessThan">
      <formula>3.5</formula>
    </cfRule>
    <cfRule type="cellIs" dxfId="8439" priority="6" operator="greaterThan">
      <formula>6</formula>
    </cfRule>
  </conditionalFormatting>
  <conditionalFormatting sqref="H9:H39">
    <cfRule type="cellIs" dxfId="8438" priority="1" operator="between">
      <formula>3.5</formula>
      <formula>6</formula>
    </cfRule>
    <cfRule type="cellIs" dxfId="8437" priority="2" operator="lessThan">
      <formula>3.5</formula>
    </cfRule>
    <cfRule type="cellIs" dxfId="843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scale="46" orientation="landscape" horizontalDpi="4294967292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A49"/>
  <sheetViews>
    <sheetView zoomScale="90" zoomScaleNormal="90" workbookViewId="0">
      <pane ySplit="8" topLeftCell="A18" activePane="bottomLeft" state="frozen"/>
      <selection pane="bottomLeft" activeCell="L20" sqref="L20:L25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L3" s="1121"/>
      <c r="N3" s="442"/>
      <c r="O3" s="442"/>
      <c r="P3" s="442"/>
    </row>
    <row r="4" spans="1:27" s="766" customFormat="1" ht="12" customHeight="1">
      <c r="A4" s="1648" t="s">
        <v>33</v>
      </c>
      <c r="B4" s="1648"/>
      <c r="C4" s="548" t="s">
        <v>384</v>
      </c>
      <c r="E4" s="549" t="s">
        <v>228</v>
      </c>
      <c r="F4" s="549" t="s">
        <v>235</v>
      </c>
      <c r="G4" s="550" t="s">
        <v>114</v>
      </c>
      <c r="H4" s="551" t="s">
        <v>400</v>
      </c>
      <c r="L4" s="1122"/>
      <c r="M4" s="143"/>
    </row>
    <row r="5" spans="1:27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143"/>
    </row>
    <row r="6" spans="1:27" s="766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697" t="s">
        <v>821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2105</v>
      </c>
      <c r="E8" s="771">
        <f>E40</f>
        <v>0</v>
      </c>
      <c r="F8" s="771"/>
      <c r="G8" s="774">
        <v>2105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761">
        <v>1</v>
      </c>
      <c r="B9" s="365">
        <f>'FRIT HGE91-FHG'!B9</f>
        <v>46235</v>
      </c>
      <c r="C9" s="331" t="s">
        <v>334</v>
      </c>
      <c r="D9" s="396"/>
      <c r="E9" s="396">
        <f>I9+J9+K9+L9</f>
        <v>0</v>
      </c>
      <c r="F9" s="396">
        <f>15700/1.44</f>
        <v>10902.777777777777</v>
      </c>
      <c r="G9" s="396">
        <f>G8+D9-E9</f>
        <v>2105</v>
      </c>
      <c r="H9" s="451">
        <f t="shared" ref="H9:H39" si="0">G9/10417</f>
        <v>0.20207353364692329</v>
      </c>
      <c r="I9" s="767"/>
      <c r="J9" s="767"/>
      <c r="K9" s="767"/>
      <c r="L9" s="767"/>
      <c r="M9" s="650">
        <f>G9/$M$8</f>
        <v>0.19306967017646845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334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ref="G10:G39" si="2">G9+D10-E10</f>
        <v>2105</v>
      </c>
      <c r="H10" s="451">
        <f t="shared" si="0"/>
        <v>0.20207353364692329</v>
      </c>
      <c r="I10" s="767"/>
      <c r="J10" s="767"/>
      <c r="K10" s="767"/>
      <c r="L10" s="767"/>
      <c r="M10" s="650">
        <f t="shared" ref="M10:M39" si="3">G10/$M$8</f>
        <v>0.19306967017646845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334</v>
      </c>
      <c r="D11" s="396"/>
      <c r="E11" s="396">
        <f t="shared" si="1"/>
        <v>0</v>
      </c>
      <c r="F11" s="396">
        <f>$F$9</f>
        <v>10902.777777777777</v>
      </c>
      <c r="G11" s="396">
        <f t="shared" si="2"/>
        <v>2105</v>
      </c>
      <c r="H11" s="451">
        <f t="shared" si="0"/>
        <v>0.20207353364692329</v>
      </c>
      <c r="I11" s="767"/>
      <c r="J11" s="767"/>
      <c r="K11" s="767"/>
      <c r="L11" s="767"/>
      <c r="M11" s="650">
        <f t="shared" si="3"/>
        <v>0.19306967017646845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1"/>
        <v>0</v>
      </c>
      <c r="F12" s="396">
        <f t="shared" ref="F12:F39" si="4">$F$9</f>
        <v>10902.777777777777</v>
      </c>
      <c r="G12" s="396">
        <f t="shared" si="2"/>
        <v>2105</v>
      </c>
      <c r="H12" s="451">
        <f t="shared" si="0"/>
        <v>0.20207353364692329</v>
      </c>
      <c r="I12" s="767"/>
      <c r="J12" s="767"/>
      <c r="K12" s="767"/>
      <c r="L12" s="767"/>
      <c r="M12" s="650">
        <f t="shared" si="3"/>
        <v>0.19306967017646845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2"/>
        <v>2105</v>
      </c>
      <c r="H13" s="451">
        <f t="shared" si="0"/>
        <v>0.20207353364692329</v>
      </c>
      <c r="I13" s="767"/>
      <c r="J13" s="767"/>
      <c r="K13" s="767"/>
      <c r="L13" s="767"/>
      <c r="M13" s="650">
        <f t="shared" si="3"/>
        <v>0.19306967017646845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2"/>
        <v>2105</v>
      </c>
      <c r="H14" s="451">
        <f t="shared" si="0"/>
        <v>0.20207353364692329</v>
      </c>
      <c r="I14" s="767"/>
      <c r="J14" s="767"/>
      <c r="K14" s="767"/>
      <c r="L14" s="767"/>
      <c r="M14" s="650">
        <f t="shared" si="3"/>
        <v>0.19306967017646845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2"/>
        <v>2105</v>
      </c>
      <c r="H15" s="451">
        <f t="shared" si="0"/>
        <v>0.20207353364692329</v>
      </c>
      <c r="I15" s="767"/>
      <c r="J15" s="767"/>
      <c r="K15" s="767"/>
      <c r="L15" s="767"/>
      <c r="M15" s="650">
        <f t="shared" si="3"/>
        <v>0.19306967017646845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2"/>
        <v>2105</v>
      </c>
      <c r="H16" s="451">
        <f t="shared" si="0"/>
        <v>0.20207353364692329</v>
      </c>
      <c r="I16" s="767"/>
      <c r="J16" s="767"/>
      <c r="K16" s="767"/>
      <c r="L16" s="767"/>
      <c r="M16" s="650">
        <f t="shared" si="3"/>
        <v>0.19306967017646845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2"/>
        <v>2105</v>
      </c>
      <c r="H17" s="451">
        <f t="shared" si="0"/>
        <v>0.20207353364692329</v>
      </c>
      <c r="I17" s="767"/>
      <c r="J17" s="767"/>
      <c r="K17" s="767"/>
      <c r="L17" s="767"/>
      <c r="M17" s="650">
        <f t="shared" si="3"/>
        <v>0.19306967017646845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2"/>
        <v>2105</v>
      </c>
      <c r="H18" s="451">
        <f t="shared" si="0"/>
        <v>0.20207353364692329</v>
      </c>
      <c r="I18" s="767"/>
      <c r="J18" s="767"/>
      <c r="K18" s="767"/>
      <c r="L18" s="767"/>
      <c r="M18" s="650">
        <f t="shared" si="3"/>
        <v>0.19306967017646845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2"/>
        <v>2105</v>
      </c>
      <c r="H19" s="451">
        <f t="shared" si="0"/>
        <v>0.20207353364692329</v>
      </c>
      <c r="I19" s="767"/>
      <c r="J19" s="767"/>
      <c r="K19" s="767"/>
      <c r="L19" s="767"/>
      <c r="M19" s="650">
        <f t="shared" si="3"/>
        <v>0.19306967017646845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2"/>
        <v>2105</v>
      </c>
      <c r="H20" s="451">
        <f t="shared" si="0"/>
        <v>0.20207353364692329</v>
      </c>
      <c r="I20" s="767"/>
      <c r="J20" s="767"/>
      <c r="K20" s="767"/>
      <c r="L20" s="767"/>
      <c r="M20" s="650">
        <f t="shared" si="3"/>
        <v>0.19306967017646845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2"/>
        <v>2105</v>
      </c>
      <c r="H21" s="451">
        <f t="shared" si="0"/>
        <v>0.20207353364692329</v>
      </c>
      <c r="I21" s="767"/>
      <c r="J21" s="767"/>
      <c r="K21" s="767"/>
      <c r="L21" s="767"/>
      <c r="M21" s="650">
        <f t="shared" si="3"/>
        <v>0.19306967017646845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2"/>
        <v>2105</v>
      </c>
      <c r="H22" s="451">
        <f t="shared" si="0"/>
        <v>0.20207353364692329</v>
      </c>
      <c r="I22" s="767"/>
      <c r="J22" s="767"/>
      <c r="K22" s="767"/>
      <c r="L22" s="767"/>
      <c r="M22" s="650">
        <f t="shared" si="3"/>
        <v>0.19306967017646845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2"/>
        <v>2105</v>
      </c>
      <c r="H23" s="451">
        <f t="shared" si="0"/>
        <v>0.20207353364692329</v>
      </c>
      <c r="I23" s="767"/>
      <c r="J23" s="767"/>
      <c r="K23" s="767"/>
      <c r="L23" s="767"/>
      <c r="M23" s="650">
        <f t="shared" si="3"/>
        <v>0.19306967017646845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2"/>
        <v>2105</v>
      </c>
      <c r="H24" s="451">
        <f t="shared" si="0"/>
        <v>0.20207353364692329</v>
      </c>
      <c r="I24" s="767"/>
      <c r="J24" s="767"/>
      <c r="K24" s="767"/>
      <c r="L24" s="767"/>
      <c r="M24" s="650">
        <f t="shared" si="3"/>
        <v>0.19306967017646845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2"/>
        <v>2105</v>
      </c>
      <c r="H25" s="451">
        <f t="shared" si="0"/>
        <v>0.20207353364692329</v>
      </c>
      <c r="I25" s="767"/>
      <c r="J25" s="767"/>
      <c r="K25" s="767"/>
      <c r="L25" s="767"/>
      <c r="M25" s="650">
        <f t="shared" si="3"/>
        <v>0.19306967017646845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2"/>
        <v>2105</v>
      </c>
      <c r="H26" s="451">
        <f t="shared" si="0"/>
        <v>0.20207353364692329</v>
      </c>
      <c r="I26" s="767"/>
      <c r="J26" s="767"/>
      <c r="K26" s="767"/>
      <c r="L26" s="767"/>
      <c r="M26" s="650">
        <f t="shared" si="3"/>
        <v>0.19306967017646845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2"/>
        <v>2105</v>
      </c>
      <c r="H27" s="451">
        <f t="shared" si="0"/>
        <v>0.20207353364692329</v>
      </c>
      <c r="I27" s="767"/>
      <c r="J27" s="767"/>
      <c r="K27" s="767"/>
      <c r="L27" s="767"/>
      <c r="M27" s="650">
        <f t="shared" si="3"/>
        <v>0.19306967017646845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2"/>
        <v>2105</v>
      </c>
      <c r="H28" s="451">
        <f t="shared" si="0"/>
        <v>0.20207353364692329</v>
      </c>
      <c r="I28" s="767"/>
      <c r="J28" s="767"/>
      <c r="K28" s="767"/>
      <c r="L28" s="767"/>
      <c r="M28" s="650">
        <f t="shared" si="3"/>
        <v>0.19306967017646845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2"/>
        <v>2105</v>
      </c>
      <c r="H29" s="451">
        <f t="shared" si="0"/>
        <v>0.20207353364692329</v>
      </c>
      <c r="I29" s="767"/>
      <c r="J29" s="767"/>
      <c r="K29" s="767"/>
      <c r="L29" s="767"/>
      <c r="M29" s="650">
        <f t="shared" si="3"/>
        <v>0.19306967017646845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2"/>
        <v>2105</v>
      </c>
      <c r="H30" s="451">
        <f t="shared" si="0"/>
        <v>0.20207353364692329</v>
      </c>
      <c r="I30" s="767"/>
      <c r="J30" s="767"/>
      <c r="K30" s="767"/>
      <c r="L30" s="767"/>
      <c r="M30" s="650">
        <f t="shared" si="3"/>
        <v>0.19306967017646845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2"/>
        <v>2105</v>
      </c>
      <c r="H31" s="451">
        <f t="shared" si="0"/>
        <v>0.20207353364692329</v>
      </c>
      <c r="I31" s="767"/>
      <c r="J31" s="767"/>
      <c r="K31" s="767"/>
      <c r="L31" s="767"/>
      <c r="M31" s="650">
        <f t="shared" si="3"/>
        <v>0.19306967017646845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2"/>
        <v>2105</v>
      </c>
      <c r="H32" s="451">
        <f t="shared" si="0"/>
        <v>0.20207353364692329</v>
      </c>
      <c r="I32" s="767"/>
      <c r="J32" s="767"/>
      <c r="K32" s="767"/>
      <c r="L32" s="767"/>
      <c r="M32" s="650">
        <f t="shared" si="3"/>
        <v>0.19306967017646845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2"/>
        <v>2105</v>
      </c>
      <c r="H33" s="451">
        <f t="shared" si="0"/>
        <v>0.20207353364692329</v>
      </c>
      <c r="I33" s="767"/>
      <c r="J33" s="767"/>
      <c r="K33" s="767"/>
      <c r="L33" s="767"/>
      <c r="M33" s="650">
        <f t="shared" si="3"/>
        <v>0.19306967017646845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2"/>
        <v>2105</v>
      </c>
      <c r="H34" s="451">
        <f t="shared" si="0"/>
        <v>0.20207353364692329</v>
      </c>
      <c r="I34" s="767"/>
      <c r="J34" s="767"/>
      <c r="K34" s="767"/>
      <c r="L34" s="767"/>
      <c r="M34" s="650">
        <f t="shared" si="3"/>
        <v>0.19306967017646845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2"/>
        <v>2105</v>
      </c>
      <c r="H35" s="451">
        <f t="shared" si="0"/>
        <v>0.20207353364692329</v>
      </c>
      <c r="I35" s="767"/>
      <c r="J35" s="767"/>
      <c r="K35" s="767"/>
      <c r="L35" s="767"/>
      <c r="M35" s="650">
        <f t="shared" si="3"/>
        <v>0.19306967017646845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2"/>
        <v>2105</v>
      </c>
      <c r="H36" s="451">
        <f t="shared" si="0"/>
        <v>0.20207353364692329</v>
      </c>
      <c r="I36" s="767"/>
      <c r="J36" s="767"/>
      <c r="K36" s="767"/>
      <c r="L36" s="767"/>
      <c r="M36" s="650">
        <f t="shared" si="3"/>
        <v>0.19306967017646845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2"/>
        <v>2105</v>
      </c>
      <c r="H37" s="451">
        <f t="shared" si="0"/>
        <v>0.20207353364692329</v>
      </c>
      <c r="I37" s="767"/>
      <c r="J37" s="767"/>
      <c r="K37" s="767"/>
      <c r="L37" s="767"/>
      <c r="M37" s="650">
        <f t="shared" si="3"/>
        <v>0.19306967017646845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 t="shared" si="2"/>
        <v>2105</v>
      </c>
      <c r="H38" s="451">
        <f t="shared" si="0"/>
        <v>0.20207353364692329</v>
      </c>
      <c r="I38" s="767"/>
      <c r="J38" s="767"/>
      <c r="K38" s="767"/>
      <c r="L38" s="767"/>
      <c r="M38" s="650">
        <f t="shared" si="3"/>
        <v>0.19306967017646845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 t="shared" si="4"/>
        <v>10902.777777777777</v>
      </c>
      <c r="G39" s="396">
        <f t="shared" si="2"/>
        <v>2105</v>
      </c>
      <c r="H39" s="451">
        <f t="shared" si="0"/>
        <v>0.20207353364692329</v>
      </c>
      <c r="I39" s="767"/>
      <c r="J39" s="767"/>
      <c r="K39" s="767"/>
      <c r="L39" s="767"/>
      <c r="M39" s="650">
        <f t="shared" si="3"/>
        <v>0.19306967017646845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2105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2105</v>
      </c>
      <c r="E41" s="389">
        <f>E40</f>
        <v>0</v>
      </c>
      <c r="F41" s="449"/>
      <c r="G41" s="389">
        <f>G39</f>
        <v>2105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8435" priority="28" operator="between">
      <formula>3.5</formula>
      <formula>6</formula>
    </cfRule>
    <cfRule type="cellIs" dxfId="8434" priority="29" operator="lessThan">
      <formula>3.5</formula>
    </cfRule>
    <cfRule type="cellIs" dxfId="8433" priority="30" operator="greaterThan">
      <formula>6</formula>
    </cfRule>
  </conditionalFormatting>
  <conditionalFormatting sqref="H9:H39">
    <cfRule type="cellIs" dxfId="8432" priority="25" operator="between">
      <formula>3.5</formula>
      <formula>6</formula>
    </cfRule>
    <cfRule type="cellIs" dxfId="8431" priority="26" operator="lessThan">
      <formula>3.5</formula>
    </cfRule>
    <cfRule type="cellIs" dxfId="8430" priority="27" operator="greaterThan">
      <formula>6</formula>
    </cfRule>
  </conditionalFormatting>
  <conditionalFormatting sqref="H9:H39">
    <cfRule type="cellIs" dxfId="8429" priority="22" operator="between">
      <formula>3.5</formula>
      <formula>6</formula>
    </cfRule>
    <cfRule type="cellIs" dxfId="8428" priority="23" operator="lessThan">
      <formula>3.5</formula>
    </cfRule>
    <cfRule type="cellIs" dxfId="8427" priority="24" operator="greaterThan">
      <formula>6</formula>
    </cfRule>
  </conditionalFormatting>
  <conditionalFormatting sqref="H9:H39">
    <cfRule type="cellIs" dxfId="8426" priority="19" operator="between">
      <formula>3.5</formula>
      <formula>6</formula>
    </cfRule>
    <cfRule type="cellIs" dxfId="8425" priority="20" operator="lessThan">
      <formula>3.5</formula>
    </cfRule>
    <cfRule type="cellIs" dxfId="8424" priority="21" operator="greaterThan">
      <formula>6</formula>
    </cfRule>
  </conditionalFormatting>
  <conditionalFormatting sqref="H9:H39">
    <cfRule type="cellIs" dxfId="8423" priority="16" operator="between">
      <formula>3.5</formula>
      <formula>6</formula>
    </cfRule>
    <cfRule type="cellIs" dxfId="8422" priority="17" operator="lessThan">
      <formula>3.5</formula>
    </cfRule>
    <cfRule type="cellIs" dxfId="8421" priority="18" operator="greaterThan">
      <formula>6</formula>
    </cfRule>
  </conditionalFormatting>
  <conditionalFormatting sqref="H9:H39">
    <cfRule type="cellIs" dxfId="8420" priority="13" operator="between">
      <formula>3.5</formula>
      <formula>6</formula>
    </cfRule>
    <cfRule type="cellIs" dxfId="8419" priority="14" operator="lessThan">
      <formula>3.5</formula>
    </cfRule>
    <cfRule type="cellIs" dxfId="8418" priority="15" operator="greaterThan">
      <formula>6</formula>
    </cfRule>
  </conditionalFormatting>
  <conditionalFormatting sqref="H9:H39">
    <cfRule type="cellIs" dxfId="8417" priority="10" operator="between">
      <formula>3.5</formula>
      <formula>6</formula>
    </cfRule>
    <cfRule type="cellIs" dxfId="8416" priority="11" operator="lessThan">
      <formula>3.5</formula>
    </cfRule>
    <cfRule type="cellIs" dxfId="8415" priority="12" operator="greaterThan">
      <formula>6</formula>
    </cfRule>
  </conditionalFormatting>
  <conditionalFormatting sqref="H9:H39">
    <cfRule type="cellIs" dxfId="8414" priority="7" operator="between">
      <formula>3.5</formula>
      <formula>6</formula>
    </cfRule>
    <cfRule type="cellIs" dxfId="8413" priority="8" operator="lessThan">
      <formula>3.5</formula>
    </cfRule>
    <cfRule type="cellIs" dxfId="8412" priority="9" operator="greaterThan">
      <formula>6</formula>
    </cfRule>
  </conditionalFormatting>
  <conditionalFormatting sqref="H9:H39">
    <cfRule type="cellIs" dxfId="8411" priority="4" operator="between">
      <formula>3.5</formula>
      <formula>6</formula>
    </cfRule>
    <cfRule type="cellIs" dxfId="8410" priority="5" operator="lessThan">
      <formula>3.5</formula>
    </cfRule>
    <cfRule type="cellIs" dxfId="8409" priority="6" operator="greaterThan">
      <formula>6</formula>
    </cfRule>
  </conditionalFormatting>
  <conditionalFormatting sqref="H9:H39">
    <cfRule type="cellIs" dxfId="8408" priority="1" operator="between">
      <formula>3.5</formula>
      <formula>6</formula>
    </cfRule>
    <cfRule type="cellIs" dxfId="8407" priority="2" operator="lessThan">
      <formula>3.5</formula>
    </cfRule>
    <cfRule type="cellIs" dxfId="840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scale="46" orientation="landscape" horizontalDpi="4294967292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9"/>
  <sheetViews>
    <sheetView zoomScale="90" zoomScaleNormal="90" workbookViewId="0">
      <pane ySplit="8" topLeftCell="A24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477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2" customHeight="1">
      <c r="A8" s="1650" t="s">
        <v>3</v>
      </c>
      <c r="B8" s="1651"/>
      <c r="C8" s="1652"/>
      <c r="D8" s="771">
        <f>G8</f>
        <v>0</v>
      </c>
      <c r="E8" s="771"/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650">
        <f>G9/$L$8</f>
        <v>0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650">
        <f t="shared" ref="L10:L39" si="3">G10/$L$8</f>
        <v>0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650">
        <f t="shared" si="3"/>
        <v>0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650">
        <f t="shared" si="3"/>
        <v>0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768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650">
        <f t="shared" si="3"/>
        <v>0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650">
        <f t="shared" si="3"/>
        <v>0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650">
        <f t="shared" si="3"/>
        <v>0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67"/>
      <c r="J16" s="767"/>
      <c r="K16" s="767"/>
      <c r="L16" s="650">
        <f t="shared" si="3"/>
        <v>0</v>
      </c>
    </row>
    <row r="17" spans="1:12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67"/>
      <c r="J17" s="767"/>
      <c r="K17" s="767"/>
      <c r="L17" s="650">
        <f t="shared" si="3"/>
        <v>0</v>
      </c>
    </row>
    <row r="18" spans="1:12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67"/>
      <c r="J18" s="767"/>
      <c r="K18" s="767"/>
      <c r="L18" s="650">
        <f t="shared" si="3"/>
        <v>0</v>
      </c>
    </row>
    <row r="19" spans="1:12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67"/>
      <c r="J19" s="767"/>
      <c r="K19" s="767"/>
      <c r="L19" s="650">
        <f t="shared" si="3"/>
        <v>0</v>
      </c>
    </row>
    <row r="20" spans="1:12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67"/>
      <c r="J20" s="767"/>
      <c r="K20" s="767"/>
      <c r="L20" s="650">
        <f t="shared" si="3"/>
        <v>0</v>
      </c>
    </row>
    <row r="21" spans="1:12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67"/>
      <c r="J21" s="767"/>
      <c r="K21" s="767"/>
      <c r="L21" s="650">
        <f t="shared" si="3"/>
        <v>0</v>
      </c>
    </row>
    <row r="22" spans="1:12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67"/>
      <c r="J22" s="767"/>
      <c r="K22" s="767"/>
      <c r="L22" s="650">
        <f t="shared" si="3"/>
        <v>0</v>
      </c>
    </row>
    <row r="23" spans="1:12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67"/>
      <c r="J23" s="767"/>
      <c r="K23" s="767"/>
      <c r="L23" s="650">
        <f t="shared" si="3"/>
        <v>0</v>
      </c>
    </row>
    <row r="24" spans="1:12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67"/>
      <c r="J24" s="767"/>
      <c r="K24" s="767"/>
      <c r="L24" s="650">
        <f t="shared" si="3"/>
        <v>0</v>
      </c>
    </row>
    <row r="25" spans="1:12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67"/>
      <c r="J25" s="767"/>
      <c r="K25" s="767"/>
      <c r="L25" s="650">
        <f t="shared" si="3"/>
        <v>0</v>
      </c>
    </row>
    <row r="26" spans="1:12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67"/>
      <c r="J26" s="767"/>
      <c r="K26" s="767"/>
      <c r="L26" s="650">
        <f t="shared" si="3"/>
        <v>0</v>
      </c>
    </row>
    <row r="27" spans="1:12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67"/>
      <c r="J27" s="767"/>
      <c r="K27" s="767"/>
      <c r="L27" s="650">
        <f t="shared" si="3"/>
        <v>0</v>
      </c>
    </row>
    <row r="28" spans="1:12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67"/>
      <c r="J28" s="767"/>
      <c r="K28" s="767"/>
      <c r="L28" s="650">
        <f t="shared" si="3"/>
        <v>0</v>
      </c>
    </row>
    <row r="29" spans="1:12" s="367" customFormat="1" ht="12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67"/>
      <c r="J29" s="767"/>
      <c r="K29" s="767"/>
      <c r="L29" s="650">
        <f t="shared" si="3"/>
        <v>0</v>
      </c>
    </row>
    <row r="30" spans="1:12" s="367" customFormat="1" ht="12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67"/>
      <c r="J30" s="767"/>
      <c r="K30" s="767"/>
      <c r="L30" s="650">
        <f t="shared" si="3"/>
        <v>0</v>
      </c>
    </row>
    <row r="31" spans="1:12" s="367" customFormat="1" ht="12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67"/>
      <c r="J31" s="767"/>
      <c r="K31" s="767"/>
      <c r="L31" s="650">
        <f t="shared" si="3"/>
        <v>0</v>
      </c>
    </row>
    <row r="32" spans="1:12" s="367" customFormat="1" ht="12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67"/>
      <c r="J32" s="767"/>
      <c r="K32" s="767"/>
      <c r="L32" s="650">
        <f t="shared" si="3"/>
        <v>0</v>
      </c>
    </row>
    <row r="33" spans="1:16" s="367" customFormat="1" ht="12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>G32+D33-E33</f>
        <v>0</v>
      </c>
      <c r="H33" s="451">
        <f t="shared" si="2"/>
        <v>0</v>
      </c>
      <c r="I33" s="767"/>
      <c r="J33" s="767"/>
      <c r="K33" s="767"/>
      <c r="L33" s="650">
        <f t="shared" si="3"/>
        <v>0</v>
      </c>
    </row>
    <row r="34" spans="1:16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67"/>
      <c r="J34" s="767"/>
      <c r="K34" s="767"/>
      <c r="L34" s="650">
        <f t="shared" si="3"/>
        <v>0</v>
      </c>
    </row>
    <row r="35" spans="1:16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67"/>
      <c r="J35" s="767"/>
      <c r="K35" s="767"/>
      <c r="L35" s="650">
        <f t="shared" si="3"/>
        <v>0</v>
      </c>
    </row>
    <row r="36" spans="1:16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67"/>
      <c r="J36" s="767"/>
      <c r="K36" s="767"/>
      <c r="L36" s="650">
        <f t="shared" si="3"/>
        <v>0</v>
      </c>
    </row>
    <row r="37" spans="1:16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67"/>
      <c r="J37" s="767"/>
      <c r="K37" s="767"/>
      <c r="L37" s="650">
        <f t="shared" si="3"/>
        <v>0</v>
      </c>
      <c r="P37" s="367" t="s">
        <v>5</v>
      </c>
    </row>
    <row r="38" spans="1:16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67"/>
      <c r="J38" s="767"/>
      <c r="K38" s="767"/>
      <c r="L38" s="650">
        <f t="shared" si="3"/>
        <v>0</v>
      </c>
    </row>
    <row r="39" spans="1:16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67"/>
      <c r="J39" s="767"/>
      <c r="K39" s="767"/>
      <c r="L39" s="650">
        <f t="shared" si="3"/>
        <v>0</v>
      </c>
    </row>
    <row r="40" spans="1:16" s="374" customFormat="1" ht="12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6" s="374" customFormat="1" ht="12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6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6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6">
      <c r="M47" s="151"/>
    </row>
    <row r="48" spans="1:16">
      <c r="M48" s="151"/>
    </row>
    <row r="49" spans="13:13">
      <c r="M49" s="151"/>
    </row>
  </sheetData>
  <mergeCells count="5">
    <mergeCell ref="A3:I3"/>
    <mergeCell ref="A8:C8"/>
    <mergeCell ref="A40:C40"/>
    <mergeCell ref="A41:C41"/>
    <mergeCell ref="A4:B4"/>
  </mergeCells>
  <conditionalFormatting sqref="H9:H39">
    <cfRule type="cellIs" dxfId="8405" priority="22" operator="between">
      <formula>3.5</formula>
      <formula>6</formula>
    </cfRule>
    <cfRule type="cellIs" dxfId="8404" priority="23" operator="lessThan">
      <formula>3.5</formula>
    </cfRule>
    <cfRule type="cellIs" dxfId="8403" priority="24" operator="greaterThan">
      <formula>6</formula>
    </cfRule>
  </conditionalFormatting>
  <conditionalFormatting sqref="H9:H39">
    <cfRule type="cellIs" dxfId="8402" priority="19" operator="between">
      <formula>3.5</formula>
      <formula>6</formula>
    </cfRule>
    <cfRule type="cellIs" dxfId="8401" priority="20" operator="lessThan">
      <formula>3.5</formula>
    </cfRule>
    <cfRule type="cellIs" dxfId="8400" priority="21" operator="greaterThan">
      <formula>6</formula>
    </cfRule>
  </conditionalFormatting>
  <conditionalFormatting sqref="H9:H39">
    <cfRule type="cellIs" dxfId="8399" priority="16" operator="between">
      <formula>3.5</formula>
      <formula>6</formula>
    </cfRule>
    <cfRule type="cellIs" dxfId="8398" priority="17" operator="lessThan">
      <formula>3.5</formula>
    </cfRule>
    <cfRule type="cellIs" dxfId="8397" priority="18" operator="greaterThan">
      <formula>6</formula>
    </cfRule>
  </conditionalFormatting>
  <conditionalFormatting sqref="H9:H39">
    <cfRule type="cellIs" dxfId="8396" priority="13" operator="between">
      <formula>3.5</formula>
      <formula>6</formula>
    </cfRule>
    <cfRule type="cellIs" dxfId="8395" priority="14" operator="lessThan">
      <formula>3.5</formula>
    </cfRule>
    <cfRule type="cellIs" dxfId="8394" priority="15" operator="greaterThan">
      <formula>6</formula>
    </cfRule>
  </conditionalFormatting>
  <conditionalFormatting sqref="H9:H39">
    <cfRule type="cellIs" dxfId="8393" priority="10" operator="between">
      <formula>3.5</formula>
      <formula>6</formula>
    </cfRule>
    <cfRule type="cellIs" dxfId="8392" priority="11" operator="lessThan">
      <formula>3.5</formula>
    </cfRule>
    <cfRule type="cellIs" dxfId="8391" priority="12" operator="greaterThan">
      <formula>6</formula>
    </cfRule>
  </conditionalFormatting>
  <conditionalFormatting sqref="H9:H39">
    <cfRule type="cellIs" dxfId="8390" priority="7" operator="between">
      <formula>3.5</formula>
      <formula>6</formula>
    </cfRule>
    <cfRule type="cellIs" dxfId="8389" priority="8" operator="lessThan">
      <formula>3.5</formula>
    </cfRule>
    <cfRule type="cellIs" dxfId="8388" priority="9" operator="greaterThan">
      <formula>6</formula>
    </cfRule>
  </conditionalFormatting>
  <conditionalFormatting sqref="H9:H39">
    <cfRule type="cellIs" dxfId="8387" priority="4" operator="between">
      <formula>3.5</formula>
      <formula>6</formula>
    </cfRule>
    <cfRule type="cellIs" dxfId="8386" priority="5" operator="lessThan">
      <formula>3.5</formula>
    </cfRule>
    <cfRule type="cellIs" dxfId="8385" priority="6" operator="greaterThan">
      <formula>6</formula>
    </cfRule>
  </conditionalFormatting>
  <conditionalFormatting sqref="H9:H39">
    <cfRule type="cellIs" dxfId="8384" priority="1" operator="between">
      <formula>3.5</formula>
      <formula>6</formula>
    </cfRule>
    <cfRule type="cellIs" dxfId="8383" priority="2" operator="lessThan">
      <formula>3.5</formula>
    </cfRule>
    <cfRule type="cellIs" dxfId="838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31496062992125984"/>
  <pageSetup paperSize="8" orientation="landscape" horizontalDpi="4294967292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49"/>
  <sheetViews>
    <sheetView zoomScale="90" zoomScaleNormal="90" workbookViewId="0">
      <pane ySplit="8" topLeftCell="A21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8.7109375" style="42" customWidth="1"/>
    <col min="10" max="10" width="11.42578125" style="42" customWidth="1"/>
    <col min="11" max="11" width="8.7109375" style="42" customWidth="1"/>
    <col min="12" max="13" width="14.42578125" style="42" customWidth="1"/>
    <col min="14" max="14" width="11.5703125" style="143" bestFit="1" customWidth="1"/>
    <col min="15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L3" s="971"/>
      <c r="M3" s="971"/>
      <c r="O3" s="442"/>
      <c r="P3" s="442"/>
      <c r="Q3" s="442"/>
    </row>
    <row r="4" spans="1:28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401</v>
      </c>
      <c r="L4" s="972"/>
      <c r="M4" s="972"/>
      <c r="N4" s="143"/>
    </row>
    <row r="5" spans="1:28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143"/>
    </row>
    <row r="6" spans="1:28" s="766" customFormat="1" ht="12" customHeight="1">
      <c r="B6" s="453"/>
      <c r="C6" s="453"/>
      <c r="D6" s="453"/>
      <c r="E6" s="453"/>
      <c r="F6" s="453"/>
      <c r="G6" s="453">
        <v>58500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821</v>
      </c>
      <c r="L7" s="1649" t="s">
        <v>771</v>
      </c>
      <c r="M7" s="1649" t="s">
        <v>772</v>
      </c>
      <c r="N7" s="143"/>
    </row>
    <row r="8" spans="1:28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649"/>
      <c r="M8" s="1649"/>
      <c r="N8" s="143">
        <v>10902.8</v>
      </c>
    </row>
    <row r="9" spans="1:28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970"/>
      <c r="M9" s="970"/>
      <c r="N9" s="650">
        <f>G9/$N$8</f>
        <v>0</v>
      </c>
    </row>
    <row r="10" spans="1:28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>
        <f t="shared" ref="D10:D39" si="1">L10+M10</f>
        <v>0</v>
      </c>
      <c r="E10" s="396">
        <f t="shared" ref="E10:E39" si="2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3">G10/10417</f>
        <v>0</v>
      </c>
      <c r="I10" s="772"/>
      <c r="J10" s="772"/>
      <c r="K10" s="772"/>
      <c r="L10" s="970"/>
      <c r="M10" s="970"/>
      <c r="N10" s="650">
        <f t="shared" ref="N10:N39" si="4">G10/$N$8</f>
        <v>0</v>
      </c>
    </row>
    <row r="11" spans="1:28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0</v>
      </c>
      <c r="H11" s="451">
        <f t="shared" si="3"/>
        <v>0</v>
      </c>
      <c r="I11" s="772"/>
      <c r="J11" s="772"/>
      <c r="K11" s="772"/>
      <c r="L11" s="970"/>
      <c r="M11" s="970"/>
      <c r="N11" s="650">
        <f t="shared" si="4"/>
        <v>0</v>
      </c>
    </row>
    <row r="12" spans="1:28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>
        <f t="shared" si="1"/>
        <v>0</v>
      </c>
      <c r="E12" s="396">
        <f t="shared" si="2"/>
        <v>0</v>
      </c>
      <c r="F12" s="396">
        <f t="shared" ref="F12:F39" si="5">$F$9</f>
        <v>10902.777777777777</v>
      </c>
      <c r="G12" s="396">
        <f t="shared" si="0"/>
        <v>0</v>
      </c>
      <c r="H12" s="451">
        <f t="shared" si="3"/>
        <v>0</v>
      </c>
      <c r="I12" s="772"/>
      <c r="J12" s="772"/>
      <c r="K12" s="772"/>
      <c r="L12" s="970"/>
      <c r="M12" s="970"/>
      <c r="N12" s="650">
        <f t="shared" si="4"/>
        <v>0</v>
      </c>
    </row>
    <row r="13" spans="1:28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0</v>
      </c>
      <c r="H13" s="451">
        <f t="shared" si="3"/>
        <v>0</v>
      </c>
      <c r="I13" s="772"/>
      <c r="J13" s="772"/>
      <c r="K13" s="772"/>
      <c r="L13" s="970"/>
      <c r="M13" s="970"/>
      <c r="N13" s="650">
        <f t="shared" si="4"/>
        <v>0</v>
      </c>
    </row>
    <row r="14" spans="1:28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0</v>
      </c>
      <c r="H14" s="451">
        <f t="shared" si="3"/>
        <v>0</v>
      </c>
      <c r="I14" s="772"/>
      <c r="J14" s="772"/>
      <c r="K14" s="772"/>
      <c r="L14" s="970"/>
      <c r="M14" s="970"/>
      <c r="N14" s="650">
        <f t="shared" si="4"/>
        <v>0</v>
      </c>
    </row>
    <row r="15" spans="1:28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0</v>
      </c>
      <c r="H15" s="451">
        <f t="shared" si="3"/>
        <v>0</v>
      </c>
      <c r="I15" s="772"/>
      <c r="J15" s="772"/>
      <c r="K15" s="772"/>
      <c r="L15" s="970"/>
      <c r="M15" s="970"/>
      <c r="N15" s="650">
        <f t="shared" si="4"/>
        <v>0</v>
      </c>
    </row>
    <row r="16" spans="1:28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0</v>
      </c>
      <c r="H16" s="451">
        <f t="shared" si="3"/>
        <v>0</v>
      </c>
      <c r="I16" s="772"/>
      <c r="J16" s="772"/>
      <c r="K16" s="772"/>
      <c r="L16" s="970"/>
      <c r="M16" s="970"/>
      <c r="N16" s="650">
        <f t="shared" si="4"/>
        <v>0</v>
      </c>
    </row>
    <row r="17" spans="1:14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0</v>
      </c>
      <c r="H17" s="451">
        <f t="shared" si="3"/>
        <v>0</v>
      </c>
      <c r="I17" s="772"/>
      <c r="J17" s="772"/>
      <c r="K17" s="772"/>
      <c r="L17" s="970"/>
      <c r="M17" s="970"/>
      <c r="N17" s="650">
        <f t="shared" si="4"/>
        <v>0</v>
      </c>
    </row>
    <row r="18" spans="1:14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0</v>
      </c>
      <c r="H18" s="451">
        <f t="shared" si="3"/>
        <v>0</v>
      </c>
      <c r="I18" s="772"/>
      <c r="J18" s="772"/>
      <c r="K18" s="772"/>
      <c r="L18" s="970"/>
      <c r="M18" s="970"/>
      <c r="N18" s="650">
        <f t="shared" si="4"/>
        <v>0</v>
      </c>
    </row>
    <row r="19" spans="1:14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0</v>
      </c>
      <c r="H19" s="451">
        <f t="shared" si="3"/>
        <v>0</v>
      </c>
      <c r="I19" s="772"/>
      <c r="J19" s="772"/>
      <c r="K19" s="772"/>
      <c r="L19" s="970"/>
      <c r="M19" s="970"/>
      <c r="N19" s="650">
        <f t="shared" si="4"/>
        <v>0</v>
      </c>
    </row>
    <row r="20" spans="1:14" s="367" customFormat="1" ht="11.25" customHeight="1">
      <c r="A20" s="330">
        <v>12</v>
      </c>
      <c r="B20" s="365">
        <f>'FRIT HGE91-FHG'!B20</f>
        <v>46246</v>
      </c>
      <c r="C20" s="331" t="s">
        <v>104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0</v>
      </c>
      <c r="H20" s="451">
        <f t="shared" si="3"/>
        <v>0</v>
      </c>
      <c r="I20" s="772"/>
      <c r="J20" s="772"/>
      <c r="K20" s="772"/>
      <c r="L20" s="970"/>
      <c r="M20" s="970"/>
      <c r="N20" s="650">
        <f t="shared" si="4"/>
        <v>0</v>
      </c>
    </row>
    <row r="21" spans="1:14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0</v>
      </c>
      <c r="H21" s="451">
        <f t="shared" si="3"/>
        <v>0</v>
      </c>
      <c r="I21" s="772"/>
      <c r="J21" s="772"/>
      <c r="K21" s="772"/>
      <c r="L21" s="970"/>
      <c r="M21" s="970"/>
      <c r="N21" s="650">
        <f t="shared" si="4"/>
        <v>0</v>
      </c>
    </row>
    <row r="22" spans="1:14" s="367" customFormat="1" ht="11.25" customHeight="1">
      <c r="A22" s="330">
        <v>14</v>
      </c>
      <c r="B22" s="365">
        <f>'FRIT HGE91-FHG'!B22</f>
        <v>46248</v>
      </c>
      <c r="C22" s="331" t="s">
        <v>346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0</v>
      </c>
      <c r="H22" s="451">
        <f t="shared" si="3"/>
        <v>0</v>
      </c>
      <c r="I22" s="772"/>
      <c r="J22" s="772"/>
      <c r="K22" s="772"/>
      <c r="L22" s="970"/>
      <c r="M22" s="970"/>
      <c r="N22" s="650">
        <f t="shared" si="4"/>
        <v>0</v>
      </c>
    </row>
    <row r="23" spans="1:14" s="367" customFormat="1" ht="11.25" customHeight="1">
      <c r="A23" s="425">
        <v>15</v>
      </c>
      <c r="B23" s="365">
        <f>'FRIT HGE91-FHG'!B23</f>
        <v>46249</v>
      </c>
      <c r="C23" s="331" t="s">
        <v>346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0</v>
      </c>
      <c r="H23" s="451">
        <f t="shared" si="3"/>
        <v>0</v>
      </c>
      <c r="I23" s="772"/>
      <c r="J23" s="772"/>
      <c r="K23" s="772"/>
      <c r="L23" s="970"/>
      <c r="M23" s="970"/>
      <c r="N23" s="650">
        <f t="shared" si="4"/>
        <v>0</v>
      </c>
    </row>
    <row r="24" spans="1:14" s="367" customFormat="1" ht="11.25" customHeight="1">
      <c r="A24" s="330">
        <v>16</v>
      </c>
      <c r="B24" s="365">
        <f>'FRIT HGE91-FHG'!B24</f>
        <v>46250</v>
      </c>
      <c r="C24" s="331" t="s">
        <v>104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0</v>
      </c>
      <c r="H24" s="451">
        <f t="shared" si="3"/>
        <v>0</v>
      </c>
      <c r="I24" s="772"/>
      <c r="J24" s="772"/>
      <c r="K24" s="772"/>
      <c r="L24" s="970"/>
      <c r="M24" s="970"/>
      <c r="N24" s="650">
        <f t="shared" si="4"/>
        <v>0</v>
      </c>
    </row>
    <row r="25" spans="1:14" s="367" customFormat="1" ht="11.25" customHeight="1">
      <c r="A25" s="330">
        <v>17</v>
      </c>
      <c r="B25" s="365">
        <f>'FRIT HGE91-FHG'!B25</f>
        <v>46251</v>
      </c>
      <c r="C25" s="331" t="s">
        <v>104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0</v>
      </c>
      <c r="H25" s="451">
        <f t="shared" si="3"/>
        <v>0</v>
      </c>
      <c r="I25" s="772"/>
      <c r="J25" s="772"/>
      <c r="K25" s="772"/>
      <c r="L25" s="970"/>
      <c r="M25" s="970"/>
      <c r="N25" s="650">
        <f t="shared" si="4"/>
        <v>0</v>
      </c>
    </row>
    <row r="26" spans="1:14" s="367" customFormat="1" ht="11.25" customHeight="1">
      <c r="A26" s="330">
        <v>18</v>
      </c>
      <c r="B26" s="365">
        <f>'FRIT HGE91-FHG'!B26</f>
        <v>46252</v>
      </c>
      <c r="C26" s="331" t="s">
        <v>346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0</v>
      </c>
      <c r="H26" s="451">
        <f t="shared" si="3"/>
        <v>0</v>
      </c>
      <c r="I26" s="772"/>
      <c r="J26" s="772"/>
      <c r="K26" s="772"/>
      <c r="L26" s="970"/>
      <c r="M26" s="970"/>
      <c r="N26" s="650">
        <f t="shared" si="4"/>
        <v>0</v>
      </c>
    </row>
    <row r="27" spans="1:14" s="367" customFormat="1" ht="11.25" customHeight="1">
      <c r="A27" s="330">
        <v>19</v>
      </c>
      <c r="B27" s="365">
        <f>'FRIT HGE91-FHG'!B27</f>
        <v>46253</v>
      </c>
      <c r="C27" s="331" t="s">
        <v>346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0</v>
      </c>
      <c r="H27" s="451">
        <f t="shared" si="3"/>
        <v>0</v>
      </c>
      <c r="I27" s="772"/>
      <c r="J27" s="772"/>
      <c r="K27" s="772"/>
      <c r="L27" s="970"/>
      <c r="M27" s="970"/>
      <c r="N27" s="650">
        <f t="shared" si="4"/>
        <v>0</v>
      </c>
    </row>
    <row r="28" spans="1:14" s="367" customFormat="1" ht="11.25" customHeight="1">
      <c r="A28" s="425">
        <v>20</v>
      </c>
      <c r="B28" s="365">
        <f>'FRIT HGE91-FHG'!B28</f>
        <v>46254</v>
      </c>
      <c r="C28" s="331" t="s">
        <v>346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0</v>
      </c>
      <c r="H28" s="451">
        <f t="shared" si="3"/>
        <v>0</v>
      </c>
      <c r="I28" s="772"/>
      <c r="J28" s="772"/>
      <c r="K28" s="772"/>
      <c r="L28" s="970"/>
      <c r="M28" s="970"/>
      <c r="N28" s="650">
        <f t="shared" si="4"/>
        <v>0</v>
      </c>
    </row>
    <row r="29" spans="1:14" s="367" customFormat="1" ht="11.25" customHeight="1">
      <c r="A29" s="330">
        <v>21</v>
      </c>
      <c r="B29" s="365">
        <f>'FRIT HGE91-FHG'!B29</f>
        <v>46255</v>
      </c>
      <c r="C29" s="331" t="s">
        <v>346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0</v>
      </c>
      <c r="H29" s="451">
        <f t="shared" si="3"/>
        <v>0</v>
      </c>
      <c r="I29" s="772"/>
      <c r="J29" s="772"/>
      <c r="K29" s="772"/>
      <c r="L29" s="970"/>
      <c r="M29" s="970"/>
      <c r="N29" s="650">
        <f t="shared" si="4"/>
        <v>0</v>
      </c>
    </row>
    <row r="30" spans="1:14" s="367" customFormat="1" ht="11.25" customHeight="1">
      <c r="A30" s="330">
        <v>22</v>
      </c>
      <c r="B30" s="365">
        <f>'FRIT HGE91-FHG'!B30</f>
        <v>46256</v>
      </c>
      <c r="C30" s="331" t="s">
        <v>346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0</v>
      </c>
      <c r="H30" s="451">
        <f t="shared" si="3"/>
        <v>0</v>
      </c>
      <c r="I30" s="772"/>
      <c r="J30" s="772"/>
      <c r="K30" s="772"/>
      <c r="L30" s="970"/>
      <c r="M30" s="970"/>
      <c r="N30" s="650">
        <f t="shared" si="4"/>
        <v>0</v>
      </c>
    </row>
    <row r="31" spans="1:14" s="367" customFormat="1" ht="11.25" customHeight="1">
      <c r="A31" s="330">
        <v>23</v>
      </c>
      <c r="B31" s="365">
        <f>'FRIT HGE91-FHG'!B31</f>
        <v>46257</v>
      </c>
      <c r="C31" s="331" t="s">
        <v>104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0</v>
      </c>
      <c r="H31" s="451">
        <f t="shared" si="3"/>
        <v>0</v>
      </c>
      <c r="I31" s="772"/>
      <c r="J31" s="772"/>
      <c r="K31" s="772"/>
      <c r="L31" s="970"/>
      <c r="M31" s="970"/>
      <c r="N31" s="650">
        <f t="shared" si="4"/>
        <v>0</v>
      </c>
    </row>
    <row r="32" spans="1:14" s="367" customFormat="1" ht="11.25" customHeight="1">
      <c r="A32" s="330">
        <v>24</v>
      </c>
      <c r="B32" s="365">
        <f>'FRIT HGE91-FHG'!B32</f>
        <v>46258</v>
      </c>
      <c r="C32" s="331" t="s">
        <v>346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0</v>
      </c>
      <c r="H32" s="451">
        <f t="shared" si="3"/>
        <v>0</v>
      </c>
      <c r="I32" s="772"/>
      <c r="J32" s="772"/>
      <c r="K32" s="772"/>
      <c r="L32" s="970"/>
      <c r="M32" s="970"/>
      <c r="N32" s="650">
        <f t="shared" si="4"/>
        <v>0</v>
      </c>
    </row>
    <row r="33" spans="1:15" s="367" customFormat="1" ht="11.25" customHeight="1">
      <c r="A33" s="426">
        <v>25</v>
      </c>
      <c r="B33" s="365">
        <f>'FRIT HGE91-FHG'!B33</f>
        <v>46259</v>
      </c>
      <c r="C33" s="331" t="s">
        <v>346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0</v>
      </c>
      <c r="H33" s="451">
        <f t="shared" si="3"/>
        <v>0</v>
      </c>
      <c r="I33" s="772"/>
      <c r="J33" s="772"/>
      <c r="K33" s="772"/>
      <c r="L33" s="970"/>
      <c r="M33" s="970"/>
      <c r="N33" s="650">
        <f t="shared" si="4"/>
        <v>0</v>
      </c>
    </row>
    <row r="34" spans="1:15" s="367" customFormat="1" ht="11.25" customHeight="1">
      <c r="A34" s="330">
        <v>26</v>
      </c>
      <c r="B34" s="365">
        <f>'FRIT HGE91-FHG'!B34</f>
        <v>46260</v>
      </c>
      <c r="C34" s="331" t="s">
        <v>346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0</v>
      </c>
      <c r="H34" s="451">
        <f t="shared" si="3"/>
        <v>0</v>
      </c>
      <c r="I34" s="772"/>
      <c r="J34" s="772"/>
      <c r="K34" s="772"/>
      <c r="L34" s="970"/>
      <c r="M34" s="970"/>
      <c r="N34" s="650">
        <f t="shared" si="4"/>
        <v>0</v>
      </c>
    </row>
    <row r="35" spans="1:15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0</v>
      </c>
      <c r="H35" s="451">
        <f t="shared" si="3"/>
        <v>0</v>
      </c>
      <c r="I35" s="772"/>
      <c r="J35" s="772"/>
      <c r="K35" s="772"/>
      <c r="L35" s="970"/>
      <c r="M35" s="970"/>
      <c r="N35" s="650">
        <f t="shared" si="4"/>
        <v>0</v>
      </c>
    </row>
    <row r="36" spans="1:15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0</v>
      </c>
      <c r="H36" s="451">
        <f t="shared" si="3"/>
        <v>0</v>
      </c>
      <c r="I36" s="772"/>
      <c r="J36" s="772"/>
      <c r="K36" s="772"/>
      <c r="L36" s="970"/>
      <c r="M36" s="970"/>
      <c r="N36" s="650">
        <f t="shared" si="4"/>
        <v>0</v>
      </c>
    </row>
    <row r="37" spans="1:15" s="367" customFormat="1" ht="11.25" customHeight="1">
      <c r="A37" s="330">
        <v>29</v>
      </c>
      <c r="B37" s="365">
        <f>'FRIT HGE91-FHG'!B37</f>
        <v>46263</v>
      </c>
      <c r="C37" s="331" t="s">
        <v>346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0</v>
      </c>
      <c r="H37" s="451">
        <f t="shared" si="3"/>
        <v>0</v>
      </c>
      <c r="I37" s="772"/>
      <c r="J37" s="772"/>
      <c r="K37" s="772"/>
      <c r="L37" s="970"/>
      <c r="M37" s="970"/>
      <c r="N37" s="650">
        <f t="shared" si="4"/>
        <v>0</v>
      </c>
    </row>
    <row r="38" spans="1:15" s="367" customFormat="1" ht="11.25" customHeight="1">
      <c r="A38" s="425">
        <v>30</v>
      </c>
      <c r="B38" s="365">
        <f>'FRIT HGE91-FHG'!B38</f>
        <v>46264</v>
      </c>
      <c r="C38" s="331" t="s">
        <v>346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0</v>
      </c>
      <c r="H38" s="451">
        <f t="shared" si="3"/>
        <v>0</v>
      </c>
      <c r="I38" s="772"/>
      <c r="J38" s="772"/>
      <c r="K38" s="772"/>
      <c r="L38" s="970"/>
      <c r="M38" s="970"/>
      <c r="N38" s="650">
        <f t="shared" si="4"/>
        <v>0</v>
      </c>
    </row>
    <row r="39" spans="1:15" s="367" customFormat="1" ht="11.25" customHeight="1">
      <c r="A39" s="330">
        <v>31</v>
      </c>
      <c r="B39" s="365">
        <f>'FRIT HGE91-FHG'!B39</f>
        <v>46265</v>
      </c>
      <c r="C39" s="331" t="s">
        <v>346</v>
      </c>
      <c r="D39" s="396">
        <f t="shared" si="1"/>
        <v>0</v>
      </c>
      <c r="E39" s="396">
        <f t="shared" si="2"/>
        <v>0</v>
      </c>
      <c r="F39" s="396">
        <f t="shared" si="5"/>
        <v>10902.777777777777</v>
      </c>
      <c r="G39" s="396">
        <f t="shared" si="0"/>
        <v>0</v>
      </c>
      <c r="H39" s="451">
        <f t="shared" si="3"/>
        <v>0</v>
      </c>
      <c r="I39" s="772"/>
      <c r="J39" s="772"/>
      <c r="K39" s="772"/>
      <c r="L39" s="970"/>
      <c r="M39" s="970"/>
      <c r="N39" s="650">
        <f t="shared" si="4"/>
        <v>0</v>
      </c>
    </row>
    <row r="40" spans="1:15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M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</row>
    <row r="41" spans="1:15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794"/>
      <c r="M41" s="794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M7:M8"/>
    <mergeCell ref="A8:C8"/>
    <mergeCell ref="A40:C40"/>
    <mergeCell ref="A41:C41"/>
    <mergeCell ref="A3:I3"/>
    <mergeCell ref="A4:B4"/>
    <mergeCell ref="L7:L8"/>
  </mergeCells>
  <conditionalFormatting sqref="H9:H39">
    <cfRule type="cellIs" dxfId="8381" priority="34" operator="between">
      <formula>3.5</formula>
      <formula>6</formula>
    </cfRule>
    <cfRule type="cellIs" dxfId="8380" priority="35" operator="lessThan">
      <formula>3.5</formula>
    </cfRule>
    <cfRule type="cellIs" dxfId="8379" priority="36" operator="greaterThan">
      <formula>6</formula>
    </cfRule>
  </conditionalFormatting>
  <conditionalFormatting sqref="H9:H39">
    <cfRule type="cellIs" dxfId="8378" priority="19" operator="between">
      <formula>3.5</formula>
      <formula>6</formula>
    </cfRule>
    <cfRule type="cellIs" dxfId="8377" priority="20" operator="lessThan">
      <formula>3.5</formula>
    </cfRule>
    <cfRule type="cellIs" dxfId="8376" priority="21" operator="greaterThan">
      <formula>6</formula>
    </cfRule>
  </conditionalFormatting>
  <conditionalFormatting sqref="H9:H39">
    <cfRule type="cellIs" dxfId="8375" priority="16" operator="between">
      <formula>3.5</formula>
      <formula>6</formula>
    </cfRule>
    <cfRule type="cellIs" dxfId="8374" priority="17" operator="lessThan">
      <formula>3.5</formula>
    </cfRule>
    <cfRule type="cellIs" dxfId="8373" priority="18" operator="greaterThan">
      <formula>6</formula>
    </cfRule>
  </conditionalFormatting>
  <conditionalFormatting sqref="H9:H39">
    <cfRule type="cellIs" dxfId="8372" priority="13" operator="between">
      <formula>3.5</formula>
      <formula>6</formula>
    </cfRule>
    <cfRule type="cellIs" dxfId="8371" priority="14" operator="lessThan">
      <formula>3.5</formula>
    </cfRule>
    <cfRule type="cellIs" dxfId="8370" priority="15" operator="greaterThan">
      <formula>6</formula>
    </cfRule>
  </conditionalFormatting>
  <conditionalFormatting sqref="H9:H39">
    <cfRule type="cellIs" dxfId="8369" priority="10" operator="between">
      <formula>3.5</formula>
      <formula>6</formula>
    </cfRule>
    <cfRule type="cellIs" dxfId="8368" priority="11" operator="lessThan">
      <formula>3.5</formula>
    </cfRule>
    <cfRule type="cellIs" dxfId="8367" priority="12" operator="greaterThan">
      <formula>6</formula>
    </cfRule>
  </conditionalFormatting>
  <conditionalFormatting sqref="H9:H39">
    <cfRule type="cellIs" dxfId="8366" priority="7" operator="between">
      <formula>3.5</formula>
      <formula>6</formula>
    </cfRule>
    <cfRule type="cellIs" dxfId="8365" priority="8" operator="lessThan">
      <formula>3.5</formula>
    </cfRule>
    <cfRule type="cellIs" dxfId="8364" priority="9" operator="greaterThan">
      <formula>6</formula>
    </cfRule>
  </conditionalFormatting>
  <conditionalFormatting sqref="H9:H39">
    <cfRule type="cellIs" dxfId="8363" priority="4" operator="between">
      <formula>3.5</formula>
      <formula>6</formula>
    </cfRule>
    <cfRule type="cellIs" dxfId="8362" priority="5" operator="lessThan">
      <formula>3.5</formula>
    </cfRule>
    <cfRule type="cellIs" dxfId="8361" priority="6" operator="greaterThan">
      <formula>6</formula>
    </cfRule>
  </conditionalFormatting>
  <conditionalFormatting sqref="H9:H39">
    <cfRule type="cellIs" dxfId="8360" priority="1" operator="between">
      <formula>3.5</formula>
      <formula>6</formula>
    </cfRule>
    <cfRule type="cellIs" dxfId="8359" priority="2" operator="lessThan">
      <formula>3.5</formula>
    </cfRule>
    <cfRule type="cellIs" dxfId="835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zoomScale="90" zoomScaleNormal="90" workbookViewId="0">
      <pane ySplit="8" topLeftCell="A18" activePane="bottomLeft" state="frozen"/>
      <selection pane="bottomLeft" activeCell="N9" sqref="N9:N19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8.7109375" style="42" customWidth="1"/>
    <col min="10" max="10" width="11.42578125" style="42" customWidth="1"/>
    <col min="11" max="12" width="8.7109375" style="42" customWidth="1"/>
    <col min="13" max="14" width="14.42578125" style="42" customWidth="1"/>
    <col min="15" max="15" width="11.5703125" style="143" bestFit="1" customWidth="1"/>
    <col min="16" max="18" width="7.5703125" style="42" customWidth="1"/>
    <col min="19" max="16384" width="9.28515625" style="42"/>
  </cols>
  <sheetData>
    <row r="1" spans="1:29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3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O2" s="323"/>
      <c r="P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74"/>
      <c r="K3" s="1074"/>
      <c r="L3" s="1141"/>
      <c r="M3" s="1074"/>
      <c r="N3" s="1074"/>
      <c r="P3" s="442"/>
      <c r="Q3" s="442"/>
      <c r="R3" s="442"/>
    </row>
    <row r="4" spans="1:29" s="1079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866</v>
      </c>
      <c r="L4" s="1146"/>
      <c r="O4" s="143"/>
    </row>
    <row r="5" spans="1:29" s="107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324"/>
      <c r="O5" s="143"/>
    </row>
    <row r="6" spans="1:29" s="1079" customFormat="1" ht="12" customHeight="1">
      <c r="B6" s="453"/>
      <c r="C6" s="453"/>
      <c r="D6" s="453"/>
      <c r="E6" s="453"/>
      <c r="F6" s="453"/>
      <c r="G6" s="453">
        <v>58500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442"/>
    </row>
    <row r="7" spans="1:29" s="305" customFormat="1" ht="28.5" customHeight="1">
      <c r="A7" s="1076" t="s">
        <v>2</v>
      </c>
      <c r="B7" s="1078" t="s">
        <v>1</v>
      </c>
      <c r="C7" s="107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75" t="s">
        <v>30</v>
      </c>
      <c r="I7" s="697" t="s">
        <v>341</v>
      </c>
      <c r="J7" s="697" t="s">
        <v>244</v>
      </c>
      <c r="K7" s="697" t="s">
        <v>344</v>
      </c>
      <c r="L7" s="697" t="s">
        <v>821</v>
      </c>
      <c r="M7" s="1649" t="s">
        <v>771</v>
      </c>
      <c r="N7" s="1649" t="s">
        <v>772</v>
      </c>
      <c r="O7" s="143"/>
    </row>
    <row r="8" spans="1:29" s="305" customFormat="1" ht="12" customHeight="1">
      <c r="A8" s="1650" t="s">
        <v>3</v>
      </c>
      <c r="B8" s="1651"/>
      <c r="C8" s="1652"/>
      <c r="D8" s="771">
        <f>G8</f>
        <v>2160</v>
      </c>
      <c r="E8" s="771">
        <f>E40</f>
        <v>0</v>
      </c>
      <c r="F8" s="771"/>
      <c r="G8" s="774">
        <v>2160</v>
      </c>
      <c r="H8" s="450"/>
      <c r="I8" s="772"/>
      <c r="J8" s="772"/>
      <c r="K8" s="772"/>
      <c r="L8" s="772"/>
      <c r="M8" s="1649"/>
      <c r="N8" s="1649"/>
      <c r="O8" s="143">
        <v>10902.8</v>
      </c>
    </row>
    <row r="9" spans="1:29" s="305" customFormat="1" ht="12" customHeight="1">
      <c r="A9" s="1077">
        <v>1</v>
      </c>
      <c r="B9" s="365">
        <f>'FRIT HGE91-FHG'!B9</f>
        <v>46235</v>
      </c>
      <c r="C9" s="331" t="s">
        <v>285</v>
      </c>
      <c r="D9" s="396">
        <f>M9+N9</f>
        <v>0</v>
      </c>
      <c r="E9" s="396">
        <f>I9+J9+K9+L9</f>
        <v>0</v>
      </c>
      <c r="F9" s="396">
        <f>15700/1.44</f>
        <v>10902.777777777777</v>
      </c>
      <c r="G9" s="396">
        <f t="shared" ref="G9:G39" si="0">G8+D9-E9</f>
        <v>2160</v>
      </c>
      <c r="H9" s="451">
        <f>G9/10417</f>
        <v>0.20735336469232984</v>
      </c>
      <c r="I9" s="772"/>
      <c r="J9" s="772"/>
      <c r="K9" s="772"/>
      <c r="L9" s="772"/>
      <c r="M9" s="970"/>
      <c r="N9" s="970"/>
      <c r="O9" s="650">
        <f>G9/$O$8</f>
        <v>0.19811424588179186</v>
      </c>
    </row>
    <row r="10" spans="1:29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>
        <f t="shared" ref="D10:D39" si="1">M10+N10</f>
        <v>0</v>
      </c>
      <c r="E10" s="396">
        <f t="shared" ref="E10:E39" si="2">I10+J10+K10+L10</f>
        <v>0</v>
      </c>
      <c r="F10" s="396">
        <f>$F$9</f>
        <v>10902.777777777777</v>
      </c>
      <c r="G10" s="396">
        <f t="shared" si="0"/>
        <v>2160</v>
      </c>
      <c r="H10" s="451">
        <f t="shared" ref="H10:H39" si="3">G10/10417</f>
        <v>0.20735336469232984</v>
      </c>
      <c r="I10" s="772"/>
      <c r="J10" s="772"/>
      <c r="K10" s="772"/>
      <c r="L10" s="772"/>
      <c r="M10" s="970"/>
      <c r="N10" s="970"/>
      <c r="O10" s="650">
        <f t="shared" ref="O10:O39" si="4">G10/$O$8</f>
        <v>0.19811424588179186</v>
      </c>
    </row>
    <row r="11" spans="1:29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2160</v>
      </c>
      <c r="H11" s="451">
        <f t="shared" si="3"/>
        <v>0.20735336469232984</v>
      </c>
      <c r="I11" s="772"/>
      <c r="J11" s="772"/>
      <c r="K11" s="772"/>
      <c r="L11" s="772"/>
      <c r="M11" s="970"/>
      <c r="N11" s="970"/>
      <c r="O11" s="650">
        <f t="shared" si="4"/>
        <v>0.19811424588179186</v>
      </c>
    </row>
    <row r="12" spans="1:29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>
        <f t="shared" si="1"/>
        <v>0</v>
      </c>
      <c r="E12" s="396">
        <f t="shared" si="2"/>
        <v>0</v>
      </c>
      <c r="F12" s="396">
        <f t="shared" ref="F12:F39" si="5">$F$9</f>
        <v>10902.777777777777</v>
      </c>
      <c r="G12" s="396">
        <f t="shared" si="0"/>
        <v>2160</v>
      </c>
      <c r="H12" s="451">
        <f t="shared" si="3"/>
        <v>0.20735336469232984</v>
      </c>
      <c r="I12" s="772"/>
      <c r="J12" s="772"/>
      <c r="K12" s="772"/>
      <c r="L12" s="772"/>
      <c r="M12" s="970"/>
      <c r="N12" s="970"/>
      <c r="O12" s="650">
        <f t="shared" si="4"/>
        <v>0.19811424588179186</v>
      </c>
    </row>
    <row r="13" spans="1:29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2160</v>
      </c>
      <c r="H13" s="451">
        <f t="shared" si="3"/>
        <v>0.20735336469232984</v>
      </c>
      <c r="I13" s="772"/>
      <c r="J13" s="772"/>
      <c r="K13" s="772"/>
      <c r="L13" s="772"/>
      <c r="M13" s="970"/>
      <c r="N13" s="970"/>
      <c r="O13" s="650">
        <f t="shared" si="4"/>
        <v>0.19811424588179186</v>
      </c>
    </row>
    <row r="14" spans="1:29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2160</v>
      </c>
      <c r="H14" s="451">
        <f t="shared" si="3"/>
        <v>0.20735336469232984</v>
      </c>
      <c r="I14" s="772"/>
      <c r="J14" s="772"/>
      <c r="K14" s="772"/>
      <c r="L14" s="772"/>
      <c r="M14" s="970"/>
      <c r="N14" s="970"/>
      <c r="O14" s="650">
        <f t="shared" si="4"/>
        <v>0.19811424588179186</v>
      </c>
    </row>
    <row r="15" spans="1:29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2160</v>
      </c>
      <c r="H15" s="451">
        <f t="shared" si="3"/>
        <v>0.20735336469232984</v>
      </c>
      <c r="I15" s="772"/>
      <c r="J15" s="772"/>
      <c r="K15" s="772"/>
      <c r="L15" s="772"/>
      <c r="M15" s="970"/>
      <c r="N15" s="970"/>
      <c r="O15" s="650">
        <f t="shared" si="4"/>
        <v>0.19811424588179186</v>
      </c>
    </row>
    <row r="16" spans="1:29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2160</v>
      </c>
      <c r="H16" s="451">
        <f t="shared" si="3"/>
        <v>0.20735336469232984</v>
      </c>
      <c r="I16" s="772"/>
      <c r="J16" s="772"/>
      <c r="K16" s="772"/>
      <c r="L16" s="772"/>
      <c r="M16" s="970"/>
      <c r="N16" s="970"/>
      <c r="O16" s="650">
        <f t="shared" si="4"/>
        <v>0.19811424588179186</v>
      </c>
    </row>
    <row r="17" spans="1:15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2160</v>
      </c>
      <c r="H17" s="451">
        <f t="shared" si="3"/>
        <v>0.20735336469232984</v>
      </c>
      <c r="I17" s="772"/>
      <c r="J17" s="772"/>
      <c r="K17" s="772"/>
      <c r="L17" s="772"/>
      <c r="M17" s="970"/>
      <c r="N17" s="970"/>
      <c r="O17" s="650">
        <f t="shared" si="4"/>
        <v>0.19811424588179186</v>
      </c>
    </row>
    <row r="18" spans="1:15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2160</v>
      </c>
      <c r="H18" s="451">
        <f t="shared" si="3"/>
        <v>0.20735336469232984</v>
      </c>
      <c r="I18" s="772"/>
      <c r="J18" s="772"/>
      <c r="K18" s="772"/>
      <c r="L18" s="772"/>
      <c r="M18" s="970"/>
      <c r="N18" s="970"/>
      <c r="O18" s="650">
        <f t="shared" si="4"/>
        <v>0.19811424588179186</v>
      </c>
    </row>
    <row r="19" spans="1:15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2160</v>
      </c>
      <c r="H19" s="451">
        <f t="shared" si="3"/>
        <v>0.20735336469232984</v>
      </c>
      <c r="I19" s="772"/>
      <c r="J19" s="772"/>
      <c r="K19" s="772"/>
      <c r="L19" s="772"/>
      <c r="M19" s="970"/>
      <c r="N19" s="970"/>
      <c r="O19" s="650">
        <f t="shared" si="4"/>
        <v>0.19811424588179186</v>
      </c>
    </row>
    <row r="20" spans="1:15" s="367" customFormat="1" ht="11.25" customHeight="1">
      <c r="A20" s="330">
        <v>12</v>
      </c>
      <c r="B20" s="365">
        <f>'FRIT HGE91-FHG'!B20</f>
        <v>46246</v>
      </c>
      <c r="C20" s="331" t="s">
        <v>104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2160</v>
      </c>
      <c r="H20" s="451">
        <f t="shared" si="3"/>
        <v>0.20735336469232984</v>
      </c>
      <c r="I20" s="772"/>
      <c r="J20" s="772"/>
      <c r="K20" s="772"/>
      <c r="L20" s="772"/>
      <c r="M20" s="970"/>
      <c r="N20" s="970"/>
      <c r="O20" s="650">
        <f t="shared" si="4"/>
        <v>0.19811424588179186</v>
      </c>
    </row>
    <row r="21" spans="1:15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2160</v>
      </c>
      <c r="H21" s="451">
        <f t="shared" si="3"/>
        <v>0.20735336469232984</v>
      </c>
      <c r="I21" s="772"/>
      <c r="J21" s="772"/>
      <c r="K21" s="772"/>
      <c r="L21" s="772"/>
      <c r="M21" s="970"/>
      <c r="N21" s="970"/>
      <c r="O21" s="650">
        <f t="shared" si="4"/>
        <v>0.19811424588179186</v>
      </c>
    </row>
    <row r="22" spans="1:15" s="367" customFormat="1" ht="11.25" customHeight="1">
      <c r="A22" s="330">
        <v>14</v>
      </c>
      <c r="B22" s="365">
        <f>'FRIT HGE91-FHG'!B22</f>
        <v>46248</v>
      </c>
      <c r="C22" s="331" t="s">
        <v>346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2160</v>
      </c>
      <c r="H22" s="451">
        <f t="shared" si="3"/>
        <v>0.20735336469232984</v>
      </c>
      <c r="I22" s="772"/>
      <c r="J22" s="772"/>
      <c r="K22" s="772"/>
      <c r="L22" s="772"/>
      <c r="M22" s="970"/>
      <c r="N22" s="970"/>
      <c r="O22" s="650">
        <f t="shared" si="4"/>
        <v>0.19811424588179186</v>
      </c>
    </row>
    <row r="23" spans="1:15" s="367" customFormat="1" ht="11.25" customHeight="1">
      <c r="A23" s="425">
        <v>15</v>
      </c>
      <c r="B23" s="365">
        <f>'FRIT HGE91-FHG'!B23</f>
        <v>46249</v>
      </c>
      <c r="C23" s="331" t="s">
        <v>346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2160</v>
      </c>
      <c r="H23" s="451">
        <f t="shared" si="3"/>
        <v>0.20735336469232984</v>
      </c>
      <c r="I23" s="772"/>
      <c r="J23" s="772"/>
      <c r="K23" s="772"/>
      <c r="L23" s="772"/>
      <c r="M23" s="970"/>
      <c r="N23" s="970"/>
      <c r="O23" s="650">
        <f t="shared" si="4"/>
        <v>0.19811424588179186</v>
      </c>
    </row>
    <row r="24" spans="1:15" s="367" customFormat="1" ht="11.25" customHeight="1">
      <c r="A24" s="330">
        <v>16</v>
      </c>
      <c r="B24" s="365">
        <f>'FRIT HGE91-FHG'!B24</f>
        <v>46250</v>
      </c>
      <c r="C24" s="331" t="s">
        <v>104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2160</v>
      </c>
      <c r="H24" s="451">
        <f t="shared" si="3"/>
        <v>0.20735336469232984</v>
      </c>
      <c r="I24" s="772"/>
      <c r="J24" s="772"/>
      <c r="K24" s="772"/>
      <c r="L24" s="772"/>
      <c r="M24" s="970"/>
      <c r="N24" s="970"/>
      <c r="O24" s="650">
        <f t="shared" si="4"/>
        <v>0.19811424588179186</v>
      </c>
    </row>
    <row r="25" spans="1:15" s="367" customFormat="1" ht="11.25" customHeight="1">
      <c r="A25" s="330">
        <v>17</v>
      </c>
      <c r="B25" s="365">
        <f>'FRIT HGE91-FHG'!B25</f>
        <v>46251</v>
      </c>
      <c r="C25" s="331" t="s">
        <v>104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2160</v>
      </c>
      <c r="H25" s="451">
        <f t="shared" si="3"/>
        <v>0.20735336469232984</v>
      </c>
      <c r="I25" s="772"/>
      <c r="J25" s="772"/>
      <c r="K25" s="772"/>
      <c r="L25" s="772"/>
      <c r="M25" s="970"/>
      <c r="N25" s="970"/>
      <c r="O25" s="650">
        <f t="shared" si="4"/>
        <v>0.19811424588179186</v>
      </c>
    </row>
    <row r="26" spans="1:15" s="367" customFormat="1" ht="10.5" customHeight="1">
      <c r="A26" s="330">
        <v>18</v>
      </c>
      <c r="B26" s="365">
        <f>'FRIT HGE91-FHG'!B26</f>
        <v>46252</v>
      </c>
      <c r="C26" s="331" t="s">
        <v>346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2160</v>
      </c>
      <c r="H26" s="451">
        <f t="shared" si="3"/>
        <v>0.20735336469232984</v>
      </c>
      <c r="I26" s="772"/>
      <c r="J26" s="772"/>
      <c r="K26" s="772"/>
      <c r="L26" s="772"/>
      <c r="M26" s="970"/>
      <c r="N26" s="970"/>
      <c r="O26" s="650">
        <f t="shared" si="4"/>
        <v>0.19811424588179186</v>
      </c>
    </row>
    <row r="27" spans="1:15" s="367" customFormat="1" ht="11.25" customHeight="1">
      <c r="A27" s="330">
        <v>19</v>
      </c>
      <c r="B27" s="365">
        <f>'FRIT HGE91-FHG'!B27</f>
        <v>46253</v>
      </c>
      <c r="C27" s="331" t="s">
        <v>346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2160</v>
      </c>
      <c r="H27" s="451">
        <f t="shared" si="3"/>
        <v>0.20735336469232984</v>
      </c>
      <c r="I27" s="772"/>
      <c r="J27" s="772"/>
      <c r="K27" s="772"/>
      <c r="L27" s="772"/>
      <c r="M27" s="970"/>
      <c r="N27" s="970"/>
      <c r="O27" s="650">
        <f t="shared" si="4"/>
        <v>0.19811424588179186</v>
      </c>
    </row>
    <row r="28" spans="1:15" s="367" customFormat="1" ht="11.25" customHeight="1">
      <c r="A28" s="425">
        <v>20</v>
      </c>
      <c r="B28" s="365">
        <f>'FRIT HGE91-FHG'!B28</f>
        <v>46254</v>
      </c>
      <c r="C28" s="331" t="s">
        <v>346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2160</v>
      </c>
      <c r="H28" s="451">
        <f t="shared" si="3"/>
        <v>0.20735336469232984</v>
      </c>
      <c r="I28" s="772"/>
      <c r="J28" s="772"/>
      <c r="K28" s="772"/>
      <c r="L28" s="772"/>
      <c r="M28" s="970"/>
      <c r="N28" s="970"/>
      <c r="O28" s="650">
        <f t="shared" si="4"/>
        <v>0.19811424588179186</v>
      </c>
    </row>
    <row r="29" spans="1:15" s="367" customFormat="1" ht="11.25" customHeight="1">
      <c r="A29" s="330">
        <v>21</v>
      </c>
      <c r="B29" s="365">
        <f>'FRIT HGE91-FHG'!B29</f>
        <v>46255</v>
      </c>
      <c r="C29" s="331" t="s">
        <v>346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2160</v>
      </c>
      <c r="H29" s="451">
        <f t="shared" si="3"/>
        <v>0.20735336469232984</v>
      </c>
      <c r="I29" s="772"/>
      <c r="J29" s="772"/>
      <c r="K29" s="772"/>
      <c r="L29" s="772"/>
      <c r="M29" s="970"/>
      <c r="N29" s="970"/>
      <c r="O29" s="650">
        <f t="shared" si="4"/>
        <v>0.19811424588179186</v>
      </c>
    </row>
    <row r="30" spans="1:15" s="367" customFormat="1" ht="11.25" customHeight="1">
      <c r="A30" s="330">
        <v>22</v>
      </c>
      <c r="B30" s="365">
        <f>'FRIT HGE91-FHG'!B30</f>
        <v>46256</v>
      </c>
      <c r="C30" s="331" t="s">
        <v>346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2160</v>
      </c>
      <c r="H30" s="451">
        <f t="shared" si="3"/>
        <v>0.20735336469232984</v>
      </c>
      <c r="I30" s="772"/>
      <c r="J30" s="772"/>
      <c r="K30" s="772"/>
      <c r="L30" s="772"/>
      <c r="M30" s="970"/>
      <c r="N30" s="970"/>
      <c r="O30" s="650">
        <f t="shared" si="4"/>
        <v>0.19811424588179186</v>
      </c>
    </row>
    <row r="31" spans="1:15" s="367" customFormat="1" ht="11.25" customHeight="1">
      <c r="A31" s="330">
        <v>23</v>
      </c>
      <c r="B31" s="365">
        <f>'FRIT HGE91-FHG'!B31</f>
        <v>46257</v>
      </c>
      <c r="C31" s="331" t="s">
        <v>104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2160</v>
      </c>
      <c r="H31" s="451">
        <f t="shared" si="3"/>
        <v>0.20735336469232984</v>
      </c>
      <c r="I31" s="772"/>
      <c r="J31" s="772"/>
      <c r="K31" s="772"/>
      <c r="L31" s="772"/>
      <c r="M31" s="970"/>
      <c r="N31" s="970"/>
      <c r="O31" s="650">
        <f t="shared" si="4"/>
        <v>0.19811424588179186</v>
      </c>
    </row>
    <row r="32" spans="1:15" s="367" customFormat="1" ht="11.25" customHeight="1">
      <c r="A32" s="330">
        <v>24</v>
      </c>
      <c r="B32" s="365">
        <f>'FRIT HGE91-FHG'!B32</f>
        <v>46258</v>
      </c>
      <c r="C32" s="331" t="s">
        <v>346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2160</v>
      </c>
      <c r="H32" s="451">
        <f t="shared" si="3"/>
        <v>0.20735336469232984</v>
      </c>
      <c r="I32" s="772"/>
      <c r="J32" s="772"/>
      <c r="K32" s="772"/>
      <c r="L32" s="772"/>
      <c r="M32" s="970"/>
      <c r="N32" s="970"/>
      <c r="O32" s="650">
        <f t="shared" si="4"/>
        <v>0.19811424588179186</v>
      </c>
    </row>
    <row r="33" spans="1:16" s="367" customFormat="1" ht="11.25" customHeight="1">
      <c r="A33" s="426">
        <v>25</v>
      </c>
      <c r="B33" s="365">
        <f>'FRIT HGE91-FHG'!B33</f>
        <v>46259</v>
      </c>
      <c r="C33" s="331" t="s">
        <v>346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2160</v>
      </c>
      <c r="H33" s="451">
        <f t="shared" si="3"/>
        <v>0.20735336469232984</v>
      </c>
      <c r="I33" s="772"/>
      <c r="J33" s="772"/>
      <c r="K33" s="772"/>
      <c r="L33" s="772"/>
      <c r="M33" s="970"/>
      <c r="N33" s="970"/>
      <c r="O33" s="650">
        <f t="shared" si="4"/>
        <v>0.19811424588179186</v>
      </c>
    </row>
    <row r="34" spans="1:16" s="367" customFormat="1" ht="11.25" customHeight="1">
      <c r="A34" s="330">
        <v>26</v>
      </c>
      <c r="B34" s="365">
        <f>'FRIT HGE91-FHG'!B34</f>
        <v>46260</v>
      </c>
      <c r="C34" s="331" t="s">
        <v>346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2160</v>
      </c>
      <c r="H34" s="451">
        <f t="shared" si="3"/>
        <v>0.20735336469232984</v>
      </c>
      <c r="I34" s="772"/>
      <c r="J34" s="772"/>
      <c r="K34" s="772"/>
      <c r="L34" s="772"/>
      <c r="M34" s="970"/>
      <c r="N34" s="970"/>
      <c r="O34" s="650">
        <f t="shared" si="4"/>
        <v>0.19811424588179186</v>
      </c>
    </row>
    <row r="35" spans="1:16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2160</v>
      </c>
      <c r="H35" s="451">
        <f t="shared" si="3"/>
        <v>0.20735336469232984</v>
      </c>
      <c r="I35" s="772"/>
      <c r="J35" s="772"/>
      <c r="K35" s="772"/>
      <c r="L35" s="772"/>
      <c r="M35" s="970"/>
      <c r="N35" s="970"/>
      <c r="O35" s="650">
        <f t="shared" si="4"/>
        <v>0.19811424588179186</v>
      </c>
    </row>
    <row r="36" spans="1:16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2160</v>
      </c>
      <c r="H36" s="451">
        <f t="shared" si="3"/>
        <v>0.20735336469232984</v>
      </c>
      <c r="I36" s="772"/>
      <c r="J36" s="772"/>
      <c r="K36" s="772"/>
      <c r="L36" s="772"/>
      <c r="M36" s="970"/>
      <c r="N36" s="970"/>
      <c r="O36" s="650">
        <f t="shared" si="4"/>
        <v>0.19811424588179186</v>
      </c>
    </row>
    <row r="37" spans="1:16" s="367" customFormat="1" ht="11.25" customHeight="1">
      <c r="A37" s="330">
        <v>29</v>
      </c>
      <c r="B37" s="365">
        <f>'FRIT HGE91-FHG'!B37</f>
        <v>46263</v>
      </c>
      <c r="C37" s="331" t="s">
        <v>346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2160</v>
      </c>
      <c r="H37" s="451">
        <f t="shared" si="3"/>
        <v>0.20735336469232984</v>
      </c>
      <c r="I37" s="772"/>
      <c r="J37" s="772"/>
      <c r="K37" s="772"/>
      <c r="L37" s="772"/>
      <c r="M37" s="970"/>
      <c r="N37" s="970"/>
      <c r="O37" s="650">
        <f t="shared" si="4"/>
        <v>0.19811424588179186</v>
      </c>
    </row>
    <row r="38" spans="1:16" s="367" customFormat="1" ht="11.25" customHeight="1">
      <c r="A38" s="425">
        <v>30</v>
      </c>
      <c r="B38" s="365">
        <f>'FRIT HGE91-FHG'!B38</f>
        <v>46264</v>
      </c>
      <c r="C38" s="331" t="s">
        <v>346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2160</v>
      </c>
      <c r="H38" s="451">
        <f t="shared" si="3"/>
        <v>0.20735336469232984</v>
      </c>
      <c r="I38" s="772"/>
      <c r="J38" s="772"/>
      <c r="K38" s="772"/>
      <c r="L38" s="772"/>
      <c r="M38" s="970"/>
      <c r="N38" s="970"/>
      <c r="O38" s="650">
        <f t="shared" si="4"/>
        <v>0.19811424588179186</v>
      </c>
    </row>
    <row r="39" spans="1:16" s="367" customFormat="1" ht="11.25" customHeight="1">
      <c r="A39" s="330">
        <v>31</v>
      </c>
      <c r="B39" s="365">
        <f>'FRIT HGE91-FHG'!B39</f>
        <v>46265</v>
      </c>
      <c r="C39" s="331" t="s">
        <v>346</v>
      </c>
      <c r="D39" s="396">
        <f t="shared" si="1"/>
        <v>0</v>
      </c>
      <c r="E39" s="396">
        <f t="shared" si="2"/>
        <v>0</v>
      </c>
      <c r="F39" s="396">
        <f t="shared" si="5"/>
        <v>10902.777777777777</v>
      </c>
      <c r="G39" s="396">
        <f t="shared" si="0"/>
        <v>2160</v>
      </c>
      <c r="H39" s="451">
        <f t="shared" si="3"/>
        <v>0.20735336469232984</v>
      </c>
      <c r="I39" s="772"/>
      <c r="J39" s="772"/>
      <c r="K39" s="772"/>
      <c r="L39" s="772"/>
      <c r="M39" s="970"/>
      <c r="N39" s="970"/>
      <c r="O39" s="650">
        <f t="shared" si="4"/>
        <v>0.19811424588179186</v>
      </c>
    </row>
    <row r="40" spans="1:16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2160</v>
      </c>
      <c r="H40" s="309"/>
      <c r="I40" s="689">
        <f>SUM(I9:I39)</f>
        <v>0</v>
      </c>
      <c r="J40" s="689">
        <f t="shared" ref="J40:N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  <c r="N40" s="689">
        <f t="shared" si="6"/>
        <v>0</v>
      </c>
    </row>
    <row r="41" spans="1:16" s="374" customFormat="1" ht="11.25" customHeight="1">
      <c r="A41" s="1647" t="s">
        <v>15</v>
      </c>
      <c r="B41" s="1647"/>
      <c r="C41" s="1647"/>
      <c r="D41" s="448">
        <f>D8+D40</f>
        <v>2160</v>
      </c>
      <c r="E41" s="389">
        <f>E40</f>
        <v>0</v>
      </c>
      <c r="F41" s="449"/>
      <c r="G41" s="389">
        <f>D41-E41</f>
        <v>2160</v>
      </c>
      <c r="H41" s="309"/>
      <c r="I41" s="689"/>
      <c r="J41" s="689"/>
      <c r="K41" s="689"/>
      <c r="L41" s="794"/>
      <c r="M41" s="794"/>
      <c r="N41" s="794"/>
    </row>
    <row r="42" spans="1:16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6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</row>
    <row r="47" spans="1:16">
      <c r="P47" s="151"/>
    </row>
    <row r="48" spans="1:16">
      <c r="P48" s="151"/>
    </row>
    <row r="49" spans="16:16">
      <c r="P49" s="151"/>
    </row>
  </sheetData>
  <mergeCells count="7">
    <mergeCell ref="A41:C41"/>
    <mergeCell ref="A3:I3"/>
    <mergeCell ref="A4:B4"/>
    <mergeCell ref="M7:M8"/>
    <mergeCell ref="N7:N8"/>
    <mergeCell ref="A8:C8"/>
    <mergeCell ref="A40:C40"/>
  </mergeCells>
  <conditionalFormatting sqref="H9:H39">
    <cfRule type="cellIs" dxfId="8357" priority="22" operator="between">
      <formula>3.5</formula>
      <formula>6</formula>
    </cfRule>
    <cfRule type="cellIs" dxfId="8356" priority="23" operator="lessThan">
      <formula>3.5</formula>
    </cfRule>
    <cfRule type="cellIs" dxfId="8355" priority="24" operator="greaterThan">
      <formula>6</formula>
    </cfRule>
  </conditionalFormatting>
  <conditionalFormatting sqref="H9:H39">
    <cfRule type="cellIs" dxfId="8354" priority="19" operator="between">
      <formula>3.5</formula>
      <formula>6</formula>
    </cfRule>
    <cfRule type="cellIs" dxfId="8353" priority="20" operator="lessThan">
      <formula>3.5</formula>
    </cfRule>
    <cfRule type="cellIs" dxfId="8352" priority="21" operator="greaterThan">
      <formula>6</formula>
    </cfRule>
  </conditionalFormatting>
  <conditionalFormatting sqref="H9:H39">
    <cfRule type="cellIs" dxfId="8351" priority="16" operator="between">
      <formula>3.5</formula>
      <formula>6</formula>
    </cfRule>
    <cfRule type="cellIs" dxfId="8350" priority="17" operator="lessThan">
      <formula>3.5</formula>
    </cfRule>
    <cfRule type="cellIs" dxfId="8349" priority="18" operator="greaterThan">
      <formula>6</formula>
    </cfRule>
  </conditionalFormatting>
  <conditionalFormatting sqref="H9:H39">
    <cfRule type="cellIs" dxfId="8348" priority="13" operator="between">
      <formula>3.5</formula>
      <formula>6</formula>
    </cfRule>
    <cfRule type="cellIs" dxfId="8347" priority="14" operator="lessThan">
      <formula>3.5</formula>
    </cfRule>
    <cfRule type="cellIs" dxfId="8346" priority="15" operator="greaterThan">
      <formula>6</formula>
    </cfRule>
  </conditionalFormatting>
  <conditionalFormatting sqref="H9:H39">
    <cfRule type="cellIs" dxfId="8345" priority="10" operator="between">
      <formula>3.5</formula>
      <formula>6</formula>
    </cfRule>
    <cfRule type="cellIs" dxfId="8344" priority="11" operator="lessThan">
      <formula>3.5</formula>
    </cfRule>
    <cfRule type="cellIs" dxfId="8343" priority="12" operator="greaterThan">
      <formula>6</formula>
    </cfRule>
  </conditionalFormatting>
  <conditionalFormatting sqref="H9:H39">
    <cfRule type="cellIs" dxfId="8342" priority="7" operator="between">
      <formula>3.5</formula>
      <formula>6</formula>
    </cfRule>
    <cfRule type="cellIs" dxfId="8341" priority="8" operator="lessThan">
      <formula>3.5</formula>
    </cfRule>
    <cfRule type="cellIs" dxfId="8340" priority="9" operator="greaterThan">
      <formula>6</formula>
    </cfRule>
  </conditionalFormatting>
  <conditionalFormatting sqref="H9:H39">
    <cfRule type="cellIs" dxfId="8339" priority="4" operator="between">
      <formula>3.5</formula>
      <formula>6</formula>
    </cfRule>
    <cfRule type="cellIs" dxfId="8338" priority="5" operator="lessThan">
      <formula>3.5</formula>
    </cfRule>
    <cfRule type="cellIs" dxfId="8337" priority="6" operator="greaterThan">
      <formula>6</formula>
    </cfRule>
  </conditionalFormatting>
  <conditionalFormatting sqref="H9:H39">
    <cfRule type="cellIs" dxfId="8336" priority="1" operator="between">
      <formula>3.5</formula>
      <formula>6</formula>
    </cfRule>
    <cfRule type="cellIs" dxfId="8335" priority="2" operator="lessThan">
      <formula>3.5</formula>
    </cfRule>
    <cfRule type="cellIs" dxfId="833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8.7109375" style="42" customWidth="1"/>
    <col min="10" max="10" width="10" style="42" customWidth="1"/>
    <col min="11" max="12" width="8.7109375" style="42" customWidth="1"/>
    <col min="13" max="14" width="15.28515625" style="42" customWidth="1"/>
    <col min="15" max="15" width="11.5703125" style="143" bestFit="1" customWidth="1"/>
    <col min="16" max="18" width="7.5703125" style="42" customWidth="1"/>
    <col min="19" max="16384" width="9.28515625" style="42"/>
  </cols>
  <sheetData>
    <row r="1" spans="1:29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3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O2" s="323"/>
      <c r="P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L3" s="1121"/>
      <c r="M3" s="971"/>
      <c r="N3" s="971"/>
      <c r="P3" s="442"/>
      <c r="Q3" s="442"/>
      <c r="R3" s="442"/>
    </row>
    <row r="4" spans="1:29" s="766" customFormat="1" ht="12" customHeight="1">
      <c r="A4" s="1648" t="s">
        <v>33</v>
      </c>
      <c r="B4" s="1648"/>
      <c r="C4" s="548" t="s">
        <v>384</v>
      </c>
      <c r="E4" s="549" t="s">
        <v>228</v>
      </c>
      <c r="F4" s="549" t="s">
        <v>235</v>
      </c>
      <c r="G4" s="550" t="s">
        <v>114</v>
      </c>
      <c r="H4" s="551" t="s">
        <v>402</v>
      </c>
      <c r="L4" s="1122"/>
      <c r="M4" s="972"/>
      <c r="N4" s="972"/>
      <c r="O4" s="143"/>
    </row>
    <row r="5" spans="1:29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324"/>
      <c r="O5" s="143"/>
    </row>
    <row r="6" spans="1:29" s="766" customFormat="1" ht="12" customHeight="1">
      <c r="B6" s="453"/>
      <c r="C6" s="453"/>
      <c r="D6" s="453"/>
      <c r="E6" s="453"/>
      <c r="F6" s="453"/>
      <c r="G6" s="453">
        <v>58500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442"/>
    </row>
    <row r="7" spans="1:29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793" t="s">
        <v>821</v>
      </c>
      <c r="M7" s="1653" t="s">
        <v>771</v>
      </c>
      <c r="N7" s="1649" t="s">
        <v>772</v>
      </c>
      <c r="O7" s="143"/>
    </row>
    <row r="8" spans="1:29" s="305" customFormat="1" ht="12.75" customHeight="1">
      <c r="A8" s="1650" t="s">
        <v>3</v>
      </c>
      <c r="B8" s="1651"/>
      <c r="C8" s="1652"/>
      <c r="D8" s="771">
        <f>G8</f>
        <v>9070</v>
      </c>
      <c r="E8" s="771">
        <f>E40</f>
        <v>30</v>
      </c>
      <c r="F8" s="771"/>
      <c r="G8" s="774">
        <v>9070</v>
      </c>
      <c r="H8" s="450"/>
      <c r="I8" s="772"/>
      <c r="J8" s="772"/>
      <c r="K8" s="772"/>
      <c r="L8" s="1123"/>
      <c r="M8" s="1654"/>
      <c r="N8" s="1649"/>
      <c r="O8" s="143">
        <v>12000</v>
      </c>
    </row>
    <row r="9" spans="1:29" s="305" customFormat="1" ht="11.25" customHeight="1">
      <c r="A9" s="761">
        <v>1</v>
      </c>
      <c r="B9" s="365">
        <f>'FRIT HGE91-FHG'!B9</f>
        <v>46235</v>
      </c>
      <c r="C9" s="331" t="s">
        <v>334</v>
      </c>
      <c r="D9" s="396">
        <f t="shared" ref="D9:D39" si="0">M9+N9</f>
        <v>0</v>
      </c>
      <c r="E9" s="396">
        <f>I9+J9+K9+L9</f>
        <v>0</v>
      </c>
      <c r="F9" s="396">
        <f>15700/1.44</f>
        <v>10902.777777777777</v>
      </c>
      <c r="G9" s="396">
        <f t="shared" ref="G9:G39" si="1">G8+D9-E9</f>
        <v>9070</v>
      </c>
      <c r="H9" s="451">
        <f>G9/10417</f>
        <v>0.87069213785158872</v>
      </c>
      <c r="I9" s="772"/>
      <c r="J9" s="772"/>
      <c r="K9" s="772"/>
      <c r="L9" s="772"/>
      <c r="M9" s="970"/>
      <c r="N9" s="970"/>
      <c r="O9" s="650">
        <f t="shared" ref="O9:O39" si="2">G9/$O$8</f>
        <v>0.75583333333333336</v>
      </c>
    </row>
    <row r="10" spans="1:29" s="333" customFormat="1" ht="11.25" customHeight="1">
      <c r="A10" s="330">
        <v>2</v>
      </c>
      <c r="B10" s="365">
        <f>'FRIT HGE91-FHG'!B10</f>
        <v>46236</v>
      </c>
      <c r="C10" s="331" t="s">
        <v>346</v>
      </c>
      <c r="D10" s="396">
        <f t="shared" si="0"/>
        <v>0</v>
      </c>
      <c r="E10" s="396">
        <f t="shared" ref="E10:E39" si="3">I10+J10+K10+L10</f>
        <v>0</v>
      </c>
      <c r="F10" s="396">
        <f>$F$9</f>
        <v>10902.777777777777</v>
      </c>
      <c r="G10" s="396">
        <f t="shared" si="1"/>
        <v>9070</v>
      </c>
      <c r="H10" s="451">
        <f t="shared" ref="H10:H39" si="4">G10/10417</f>
        <v>0.87069213785158872</v>
      </c>
      <c r="I10" s="772"/>
      <c r="J10" s="772"/>
      <c r="K10" s="772"/>
      <c r="L10" s="772"/>
      <c r="M10" s="970"/>
      <c r="N10" s="970"/>
      <c r="O10" s="650">
        <f t="shared" si="2"/>
        <v>0.75583333333333336</v>
      </c>
    </row>
    <row r="11" spans="1:29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0"/>
        <v>0</v>
      </c>
      <c r="E11" s="396">
        <f t="shared" si="3"/>
        <v>0</v>
      </c>
      <c r="F11" s="396">
        <f>$F$9</f>
        <v>10902.777777777777</v>
      </c>
      <c r="G11" s="396">
        <f t="shared" si="1"/>
        <v>9070</v>
      </c>
      <c r="H11" s="451">
        <f t="shared" si="4"/>
        <v>0.87069213785158872</v>
      </c>
      <c r="I11" s="772"/>
      <c r="J11" s="772"/>
      <c r="K11" s="772"/>
      <c r="L11" s="772"/>
      <c r="M11" s="970"/>
      <c r="N11" s="970"/>
      <c r="O11" s="650">
        <f t="shared" si="2"/>
        <v>0.75583333333333336</v>
      </c>
    </row>
    <row r="12" spans="1:29" s="367" customFormat="1" ht="11.25" customHeight="1">
      <c r="A12" s="330">
        <v>4</v>
      </c>
      <c r="B12" s="365">
        <f>'FRIT HGE91-FHG'!B12</f>
        <v>46238</v>
      </c>
      <c r="C12" s="331" t="s">
        <v>348</v>
      </c>
      <c r="D12" s="396">
        <f t="shared" si="0"/>
        <v>0</v>
      </c>
      <c r="E12" s="396">
        <f t="shared" si="3"/>
        <v>0</v>
      </c>
      <c r="F12" s="396">
        <f t="shared" ref="F12:F39" si="5">$F$9</f>
        <v>10902.777777777777</v>
      </c>
      <c r="G12" s="396">
        <f t="shared" si="1"/>
        <v>9070</v>
      </c>
      <c r="H12" s="451">
        <f t="shared" si="4"/>
        <v>0.87069213785158872</v>
      </c>
      <c r="I12" s="772"/>
      <c r="J12" s="772"/>
      <c r="K12" s="772"/>
      <c r="L12" s="772"/>
      <c r="M12" s="970"/>
      <c r="N12" s="970"/>
      <c r="O12" s="650">
        <f t="shared" si="2"/>
        <v>0.75583333333333336</v>
      </c>
    </row>
    <row r="13" spans="1:29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0"/>
        <v>0</v>
      </c>
      <c r="E13" s="396">
        <f t="shared" si="3"/>
        <v>0</v>
      </c>
      <c r="F13" s="396">
        <f t="shared" si="5"/>
        <v>10902.777777777777</v>
      </c>
      <c r="G13" s="769">
        <f t="shared" si="1"/>
        <v>9070</v>
      </c>
      <c r="H13" s="451">
        <f t="shared" si="4"/>
        <v>0.87069213785158872</v>
      </c>
      <c r="I13" s="772"/>
      <c r="J13" s="772"/>
      <c r="K13" s="772"/>
      <c r="L13" s="772"/>
      <c r="M13" s="970"/>
      <c r="N13" s="970"/>
      <c r="O13" s="650">
        <f t="shared" si="2"/>
        <v>0.75583333333333336</v>
      </c>
    </row>
    <row r="14" spans="1:29" s="367" customFormat="1" ht="11.25" customHeight="1">
      <c r="A14" s="330">
        <v>6</v>
      </c>
      <c r="B14" s="365">
        <f>'FRIT HGE91-FHG'!B14</f>
        <v>46240</v>
      </c>
      <c r="C14" s="331" t="s">
        <v>348</v>
      </c>
      <c r="D14" s="396">
        <f t="shared" si="0"/>
        <v>0</v>
      </c>
      <c r="E14" s="396">
        <f t="shared" si="3"/>
        <v>0</v>
      </c>
      <c r="F14" s="396">
        <f t="shared" si="5"/>
        <v>10902.777777777777</v>
      </c>
      <c r="G14" s="396">
        <f t="shared" si="1"/>
        <v>9070</v>
      </c>
      <c r="H14" s="451">
        <f t="shared" si="4"/>
        <v>0.87069213785158872</v>
      </c>
      <c r="I14" s="772"/>
      <c r="J14" s="772"/>
      <c r="K14" s="772"/>
      <c r="L14" s="772"/>
      <c r="M14" s="970"/>
      <c r="N14" s="970"/>
      <c r="O14" s="650">
        <f t="shared" si="2"/>
        <v>0.75583333333333336</v>
      </c>
    </row>
    <row r="15" spans="1:29" s="367" customFormat="1" ht="11.25" customHeight="1">
      <c r="A15" s="330">
        <v>7</v>
      </c>
      <c r="B15" s="365">
        <f>'FRIT HGE91-FHG'!B15</f>
        <v>46241</v>
      </c>
      <c r="C15" s="331" t="s">
        <v>348</v>
      </c>
      <c r="D15" s="396">
        <f t="shared" si="0"/>
        <v>0</v>
      </c>
      <c r="E15" s="396">
        <f t="shared" si="3"/>
        <v>30</v>
      </c>
      <c r="F15" s="396">
        <f t="shared" si="5"/>
        <v>10902.777777777777</v>
      </c>
      <c r="G15" s="396">
        <f t="shared" si="1"/>
        <v>9040</v>
      </c>
      <c r="H15" s="451">
        <f t="shared" si="4"/>
        <v>0.86781223000863972</v>
      </c>
      <c r="I15" s="772"/>
      <c r="J15" s="772"/>
      <c r="K15" s="772">
        <v>30</v>
      </c>
      <c r="L15" s="772"/>
      <c r="M15" s="970"/>
      <c r="N15" s="970"/>
      <c r="O15" s="650">
        <f t="shared" si="2"/>
        <v>0.7533333333333333</v>
      </c>
    </row>
    <row r="16" spans="1:29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>
        <f t="shared" si="0"/>
        <v>0</v>
      </c>
      <c r="E16" s="396">
        <f t="shared" si="3"/>
        <v>0</v>
      </c>
      <c r="F16" s="396">
        <f t="shared" si="5"/>
        <v>10902.777777777777</v>
      </c>
      <c r="G16" s="396">
        <f t="shared" si="1"/>
        <v>9040</v>
      </c>
      <c r="H16" s="451">
        <f t="shared" si="4"/>
        <v>0.86781223000863972</v>
      </c>
      <c r="I16" s="772"/>
      <c r="J16" s="772"/>
      <c r="K16" s="772"/>
      <c r="L16" s="772"/>
      <c r="M16" s="970"/>
      <c r="N16" s="970"/>
      <c r="O16" s="650">
        <f t="shared" si="2"/>
        <v>0.7533333333333333</v>
      </c>
    </row>
    <row r="17" spans="1:15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396">
        <f t="shared" si="0"/>
        <v>0</v>
      </c>
      <c r="E17" s="396">
        <f t="shared" si="3"/>
        <v>0</v>
      </c>
      <c r="F17" s="396">
        <f t="shared" si="5"/>
        <v>10902.777777777777</v>
      </c>
      <c r="G17" s="396">
        <f t="shared" si="1"/>
        <v>9040</v>
      </c>
      <c r="H17" s="451">
        <f t="shared" si="4"/>
        <v>0.86781223000863972</v>
      </c>
      <c r="I17" s="772"/>
      <c r="J17" s="772"/>
      <c r="K17" s="772"/>
      <c r="L17" s="772"/>
      <c r="M17" s="970"/>
      <c r="N17" s="970"/>
      <c r="O17" s="650">
        <f t="shared" si="2"/>
        <v>0.7533333333333333</v>
      </c>
    </row>
    <row r="18" spans="1:15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>
        <f t="shared" si="0"/>
        <v>0</v>
      </c>
      <c r="E18" s="396">
        <f t="shared" si="3"/>
        <v>0</v>
      </c>
      <c r="F18" s="396">
        <f t="shared" si="5"/>
        <v>10902.777777777777</v>
      </c>
      <c r="G18" s="769">
        <f t="shared" si="1"/>
        <v>9040</v>
      </c>
      <c r="H18" s="451">
        <f t="shared" si="4"/>
        <v>0.86781223000863972</v>
      </c>
      <c r="I18" s="772"/>
      <c r="J18" s="772"/>
      <c r="K18" s="772"/>
      <c r="L18" s="772"/>
      <c r="M18" s="970"/>
      <c r="N18" s="970"/>
      <c r="O18" s="650">
        <f t="shared" si="2"/>
        <v>0.7533333333333333</v>
      </c>
    </row>
    <row r="19" spans="1:15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0"/>
        <v>0</v>
      </c>
      <c r="E19" s="396">
        <f t="shared" si="3"/>
        <v>0</v>
      </c>
      <c r="F19" s="396">
        <f t="shared" si="5"/>
        <v>10902.777777777777</v>
      </c>
      <c r="G19" s="396">
        <f t="shared" si="1"/>
        <v>9040</v>
      </c>
      <c r="H19" s="451">
        <f t="shared" si="4"/>
        <v>0.86781223000863972</v>
      </c>
      <c r="I19" s="772"/>
      <c r="J19" s="772"/>
      <c r="K19" s="772"/>
      <c r="L19" s="772"/>
      <c r="M19" s="970"/>
      <c r="N19" s="970"/>
      <c r="O19" s="650">
        <f t="shared" si="2"/>
        <v>0.7533333333333333</v>
      </c>
    </row>
    <row r="20" spans="1:15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0"/>
        <v>0</v>
      </c>
      <c r="E20" s="396">
        <f t="shared" si="3"/>
        <v>0</v>
      </c>
      <c r="F20" s="396">
        <f t="shared" si="5"/>
        <v>10902.777777777777</v>
      </c>
      <c r="G20" s="396">
        <f t="shared" si="1"/>
        <v>9040</v>
      </c>
      <c r="H20" s="451">
        <f t="shared" si="4"/>
        <v>0.86781223000863972</v>
      </c>
      <c r="I20" s="772"/>
      <c r="J20" s="772"/>
      <c r="K20" s="772"/>
      <c r="L20" s="772"/>
      <c r="M20" s="970"/>
      <c r="N20" s="970"/>
      <c r="O20" s="650">
        <f t="shared" si="2"/>
        <v>0.7533333333333333</v>
      </c>
    </row>
    <row r="21" spans="1:15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0"/>
        <v>0</v>
      </c>
      <c r="E21" s="396">
        <f t="shared" si="3"/>
        <v>0</v>
      </c>
      <c r="F21" s="396">
        <f t="shared" si="5"/>
        <v>10902.777777777777</v>
      </c>
      <c r="G21" s="396">
        <f t="shared" si="1"/>
        <v>9040</v>
      </c>
      <c r="H21" s="451">
        <f t="shared" si="4"/>
        <v>0.86781223000863972</v>
      </c>
      <c r="I21" s="772"/>
      <c r="J21" s="772"/>
      <c r="K21" s="772"/>
      <c r="L21" s="772"/>
      <c r="M21" s="970"/>
      <c r="N21" s="970"/>
      <c r="O21" s="650">
        <f t="shared" si="2"/>
        <v>0.7533333333333333</v>
      </c>
    </row>
    <row r="22" spans="1:15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0"/>
        <v>0</v>
      </c>
      <c r="E22" s="396">
        <f t="shared" si="3"/>
        <v>0</v>
      </c>
      <c r="F22" s="396">
        <f t="shared" si="5"/>
        <v>10902.777777777777</v>
      </c>
      <c r="G22" s="396">
        <f t="shared" si="1"/>
        <v>9040</v>
      </c>
      <c r="H22" s="451">
        <f t="shared" si="4"/>
        <v>0.86781223000863972</v>
      </c>
      <c r="I22" s="772"/>
      <c r="J22" s="772"/>
      <c r="K22" s="772"/>
      <c r="L22" s="772"/>
      <c r="M22" s="970"/>
      <c r="N22" s="970"/>
      <c r="O22" s="650">
        <f t="shared" si="2"/>
        <v>0.7533333333333333</v>
      </c>
    </row>
    <row r="23" spans="1:15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0"/>
        <v>0</v>
      </c>
      <c r="E23" s="396">
        <f t="shared" si="3"/>
        <v>0</v>
      </c>
      <c r="F23" s="396">
        <f t="shared" si="5"/>
        <v>10902.777777777777</v>
      </c>
      <c r="G23" s="769">
        <f t="shared" si="1"/>
        <v>9040</v>
      </c>
      <c r="H23" s="451">
        <f t="shared" si="4"/>
        <v>0.86781223000863972</v>
      </c>
      <c r="I23" s="772"/>
      <c r="J23" s="772"/>
      <c r="K23" s="772"/>
      <c r="L23" s="772"/>
      <c r="M23" s="970"/>
      <c r="N23" s="970"/>
      <c r="O23" s="650">
        <f t="shared" si="2"/>
        <v>0.7533333333333333</v>
      </c>
    </row>
    <row r="24" spans="1:15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0"/>
        <v>0</v>
      </c>
      <c r="E24" s="396">
        <f t="shared" si="3"/>
        <v>0</v>
      </c>
      <c r="F24" s="396">
        <f t="shared" si="5"/>
        <v>10902.777777777777</v>
      </c>
      <c r="G24" s="396">
        <f t="shared" si="1"/>
        <v>9040</v>
      </c>
      <c r="H24" s="451">
        <f t="shared" si="4"/>
        <v>0.86781223000863972</v>
      </c>
      <c r="I24" s="772"/>
      <c r="J24" s="772"/>
      <c r="K24" s="772"/>
      <c r="L24" s="772"/>
      <c r="M24" s="970"/>
      <c r="N24" s="970"/>
      <c r="O24" s="650">
        <f t="shared" si="2"/>
        <v>0.7533333333333333</v>
      </c>
    </row>
    <row r="25" spans="1:15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0"/>
        <v>0</v>
      </c>
      <c r="E25" s="396">
        <f t="shared" si="3"/>
        <v>0</v>
      </c>
      <c r="F25" s="396">
        <f t="shared" si="5"/>
        <v>10902.777777777777</v>
      </c>
      <c r="G25" s="396">
        <f t="shared" si="1"/>
        <v>9040</v>
      </c>
      <c r="H25" s="451">
        <f t="shared" si="4"/>
        <v>0.86781223000863972</v>
      </c>
      <c r="I25" s="772"/>
      <c r="J25" s="772"/>
      <c r="K25" s="772"/>
      <c r="L25" s="772"/>
      <c r="M25" s="970"/>
      <c r="N25" s="970"/>
      <c r="O25" s="650">
        <f t="shared" si="2"/>
        <v>0.7533333333333333</v>
      </c>
    </row>
    <row r="26" spans="1:15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0"/>
        <v>0</v>
      </c>
      <c r="E26" s="396">
        <f t="shared" si="3"/>
        <v>0</v>
      </c>
      <c r="F26" s="396">
        <f t="shared" si="5"/>
        <v>10902.777777777777</v>
      </c>
      <c r="G26" s="396">
        <f t="shared" si="1"/>
        <v>9040</v>
      </c>
      <c r="H26" s="451">
        <f t="shared" si="4"/>
        <v>0.86781223000863972</v>
      </c>
      <c r="I26" s="772"/>
      <c r="J26" s="772"/>
      <c r="K26" s="772"/>
      <c r="L26" s="772"/>
      <c r="M26" s="970"/>
      <c r="N26" s="970"/>
      <c r="O26" s="650">
        <f t="shared" si="2"/>
        <v>0.7533333333333333</v>
      </c>
    </row>
    <row r="27" spans="1:15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0"/>
        <v>0</v>
      </c>
      <c r="E27" s="396">
        <f t="shared" si="3"/>
        <v>0</v>
      </c>
      <c r="F27" s="396">
        <f t="shared" si="5"/>
        <v>10902.777777777777</v>
      </c>
      <c r="G27" s="396">
        <f t="shared" si="1"/>
        <v>9040</v>
      </c>
      <c r="H27" s="451">
        <f t="shared" si="4"/>
        <v>0.86781223000863972</v>
      </c>
      <c r="I27" s="772"/>
      <c r="J27" s="772"/>
      <c r="K27" s="772"/>
      <c r="L27" s="772"/>
      <c r="M27" s="970"/>
      <c r="N27" s="970"/>
      <c r="O27" s="650">
        <f t="shared" si="2"/>
        <v>0.7533333333333333</v>
      </c>
    </row>
    <row r="28" spans="1:15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0"/>
        <v>0</v>
      </c>
      <c r="E28" s="396">
        <f t="shared" si="3"/>
        <v>0</v>
      </c>
      <c r="F28" s="396">
        <f t="shared" si="5"/>
        <v>10902.777777777777</v>
      </c>
      <c r="G28" s="769">
        <f t="shared" si="1"/>
        <v>9040</v>
      </c>
      <c r="H28" s="451">
        <f t="shared" si="4"/>
        <v>0.86781223000863972</v>
      </c>
      <c r="I28" s="772"/>
      <c r="J28" s="772"/>
      <c r="K28" s="772"/>
      <c r="L28" s="772"/>
      <c r="M28" s="970"/>
      <c r="N28" s="970"/>
      <c r="O28" s="650">
        <f t="shared" si="2"/>
        <v>0.7533333333333333</v>
      </c>
    </row>
    <row r="29" spans="1:15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0"/>
        <v>0</v>
      </c>
      <c r="E29" s="396">
        <f t="shared" si="3"/>
        <v>0</v>
      </c>
      <c r="F29" s="396">
        <f t="shared" si="5"/>
        <v>10902.777777777777</v>
      </c>
      <c r="G29" s="393">
        <f t="shared" si="1"/>
        <v>9040</v>
      </c>
      <c r="H29" s="451">
        <f t="shared" si="4"/>
        <v>0.86781223000863972</v>
      </c>
      <c r="I29" s="772"/>
      <c r="J29" s="772"/>
      <c r="K29" s="772"/>
      <c r="L29" s="772"/>
      <c r="M29" s="970"/>
      <c r="N29" s="970"/>
      <c r="O29" s="650">
        <f t="shared" si="2"/>
        <v>0.7533333333333333</v>
      </c>
    </row>
    <row r="30" spans="1:15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0"/>
        <v>0</v>
      </c>
      <c r="E30" s="396">
        <f t="shared" si="3"/>
        <v>0</v>
      </c>
      <c r="F30" s="396">
        <f t="shared" si="5"/>
        <v>10902.777777777777</v>
      </c>
      <c r="G30" s="393">
        <f t="shared" si="1"/>
        <v>9040</v>
      </c>
      <c r="H30" s="451">
        <f t="shared" si="4"/>
        <v>0.86781223000863972</v>
      </c>
      <c r="I30" s="772"/>
      <c r="J30" s="772"/>
      <c r="K30" s="772"/>
      <c r="L30" s="772"/>
      <c r="M30" s="970"/>
      <c r="N30" s="970"/>
      <c r="O30" s="650">
        <f t="shared" si="2"/>
        <v>0.7533333333333333</v>
      </c>
    </row>
    <row r="31" spans="1:15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0"/>
        <v>0</v>
      </c>
      <c r="E31" s="396">
        <f t="shared" si="3"/>
        <v>0</v>
      </c>
      <c r="F31" s="396">
        <f t="shared" si="5"/>
        <v>10902.777777777777</v>
      </c>
      <c r="G31" s="393">
        <f t="shared" si="1"/>
        <v>9040</v>
      </c>
      <c r="H31" s="451">
        <f t="shared" si="4"/>
        <v>0.86781223000863972</v>
      </c>
      <c r="I31" s="772"/>
      <c r="J31" s="772"/>
      <c r="K31" s="772"/>
      <c r="L31" s="772"/>
      <c r="M31" s="970"/>
      <c r="N31" s="970"/>
      <c r="O31" s="650">
        <f t="shared" si="2"/>
        <v>0.7533333333333333</v>
      </c>
    </row>
    <row r="32" spans="1:15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0"/>
        <v>0</v>
      </c>
      <c r="E32" s="396">
        <f t="shared" si="3"/>
        <v>0</v>
      </c>
      <c r="F32" s="396">
        <f t="shared" si="5"/>
        <v>10902.777777777777</v>
      </c>
      <c r="G32" s="393">
        <f t="shared" si="1"/>
        <v>9040</v>
      </c>
      <c r="H32" s="451">
        <f t="shared" si="4"/>
        <v>0.86781223000863972</v>
      </c>
      <c r="I32" s="772"/>
      <c r="J32" s="772"/>
      <c r="K32" s="772"/>
      <c r="L32" s="772"/>
      <c r="M32" s="970"/>
      <c r="N32" s="970"/>
      <c r="O32" s="650">
        <f t="shared" si="2"/>
        <v>0.7533333333333333</v>
      </c>
    </row>
    <row r="33" spans="1:16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0"/>
        <v>0</v>
      </c>
      <c r="E33" s="396">
        <f t="shared" si="3"/>
        <v>0</v>
      </c>
      <c r="F33" s="396">
        <f t="shared" si="5"/>
        <v>10902.777777777777</v>
      </c>
      <c r="G33" s="770">
        <f t="shared" si="1"/>
        <v>9040</v>
      </c>
      <c r="H33" s="451">
        <f t="shared" si="4"/>
        <v>0.86781223000863972</v>
      </c>
      <c r="I33" s="772"/>
      <c r="J33" s="772"/>
      <c r="K33" s="772"/>
      <c r="L33" s="772"/>
      <c r="M33" s="970"/>
      <c r="N33" s="970"/>
      <c r="O33" s="650">
        <f t="shared" si="2"/>
        <v>0.7533333333333333</v>
      </c>
    </row>
    <row r="34" spans="1:16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0"/>
        <v>0</v>
      </c>
      <c r="E34" s="396">
        <f t="shared" si="3"/>
        <v>0</v>
      </c>
      <c r="F34" s="396">
        <f t="shared" si="5"/>
        <v>10902.777777777777</v>
      </c>
      <c r="G34" s="396">
        <f t="shared" si="1"/>
        <v>9040</v>
      </c>
      <c r="H34" s="451">
        <f t="shared" si="4"/>
        <v>0.86781223000863972</v>
      </c>
      <c r="I34" s="772"/>
      <c r="J34" s="772"/>
      <c r="K34" s="772"/>
      <c r="L34" s="772"/>
      <c r="M34" s="970"/>
      <c r="N34" s="970"/>
      <c r="O34" s="650">
        <f t="shared" si="2"/>
        <v>0.7533333333333333</v>
      </c>
    </row>
    <row r="35" spans="1:16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0"/>
        <v>0</v>
      </c>
      <c r="E35" s="396">
        <f t="shared" si="3"/>
        <v>0</v>
      </c>
      <c r="F35" s="396">
        <f t="shared" si="5"/>
        <v>10902.777777777777</v>
      </c>
      <c r="G35" s="396">
        <f t="shared" si="1"/>
        <v>9040</v>
      </c>
      <c r="H35" s="451">
        <f t="shared" si="4"/>
        <v>0.86781223000863972</v>
      </c>
      <c r="I35" s="772"/>
      <c r="J35" s="772"/>
      <c r="K35" s="772"/>
      <c r="L35" s="772"/>
      <c r="M35" s="970"/>
      <c r="N35" s="970"/>
      <c r="O35" s="650">
        <f t="shared" si="2"/>
        <v>0.7533333333333333</v>
      </c>
    </row>
    <row r="36" spans="1:16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0"/>
        <v>0</v>
      </c>
      <c r="E36" s="396">
        <f t="shared" si="3"/>
        <v>0</v>
      </c>
      <c r="F36" s="396">
        <f t="shared" si="5"/>
        <v>10902.777777777777</v>
      </c>
      <c r="G36" s="396">
        <f t="shared" si="1"/>
        <v>9040</v>
      </c>
      <c r="H36" s="451">
        <f t="shared" si="4"/>
        <v>0.86781223000863972</v>
      </c>
      <c r="I36" s="772"/>
      <c r="J36" s="772"/>
      <c r="K36" s="772"/>
      <c r="L36" s="772"/>
      <c r="M36" s="970"/>
      <c r="N36" s="970"/>
      <c r="O36" s="650">
        <f t="shared" si="2"/>
        <v>0.7533333333333333</v>
      </c>
    </row>
    <row r="37" spans="1:16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0"/>
        <v>0</v>
      </c>
      <c r="E37" s="396">
        <f t="shared" si="3"/>
        <v>0</v>
      </c>
      <c r="F37" s="396">
        <f t="shared" si="5"/>
        <v>10902.777777777777</v>
      </c>
      <c r="G37" s="396">
        <f t="shared" si="1"/>
        <v>9040</v>
      </c>
      <c r="H37" s="451">
        <f t="shared" si="4"/>
        <v>0.86781223000863972</v>
      </c>
      <c r="I37" s="772"/>
      <c r="J37" s="772"/>
      <c r="K37" s="772"/>
      <c r="L37" s="772"/>
      <c r="M37" s="970"/>
      <c r="N37" s="970"/>
      <c r="O37" s="650">
        <f t="shared" si="2"/>
        <v>0.7533333333333333</v>
      </c>
    </row>
    <row r="38" spans="1:16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0"/>
        <v>0</v>
      </c>
      <c r="E38" s="396">
        <f t="shared" si="3"/>
        <v>0</v>
      </c>
      <c r="F38" s="396">
        <f t="shared" si="5"/>
        <v>10902.777777777777</v>
      </c>
      <c r="G38" s="769">
        <f>G37+D38-E38</f>
        <v>9040</v>
      </c>
      <c r="H38" s="451">
        <f t="shared" si="4"/>
        <v>0.86781223000863972</v>
      </c>
      <c r="I38" s="772"/>
      <c r="J38" s="772"/>
      <c r="K38" s="772"/>
      <c r="L38" s="772"/>
      <c r="M38" s="970"/>
      <c r="N38" s="970"/>
      <c r="O38" s="650">
        <f t="shared" si="2"/>
        <v>0.7533333333333333</v>
      </c>
    </row>
    <row r="39" spans="1:16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0"/>
        <v>0</v>
      </c>
      <c r="E39" s="396">
        <f t="shared" si="3"/>
        <v>0</v>
      </c>
      <c r="F39" s="396">
        <f t="shared" si="5"/>
        <v>10902.777777777777</v>
      </c>
      <c r="G39" s="396">
        <f t="shared" si="1"/>
        <v>9040</v>
      </c>
      <c r="H39" s="451">
        <f t="shared" si="4"/>
        <v>0.86781223000863972</v>
      </c>
      <c r="I39" s="772"/>
      <c r="J39" s="772"/>
      <c r="K39" s="772"/>
      <c r="L39" s="772"/>
      <c r="M39" s="970"/>
      <c r="N39" s="970"/>
      <c r="O39" s="650">
        <f t="shared" si="2"/>
        <v>0.7533333333333333</v>
      </c>
    </row>
    <row r="40" spans="1:16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30</v>
      </c>
      <c r="F40" s="449"/>
      <c r="G40" s="389">
        <f>G39</f>
        <v>9040</v>
      </c>
      <c r="H40" s="309"/>
      <c r="I40" s="689">
        <f>SUM(I9:I39)</f>
        <v>0</v>
      </c>
      <c r="J40" s="689">
        <f t="shared" ref="J40:N40" si="6">SUM(J9:J39)</f>
        <v>0</v>
      </c>
      <c r="K40" s="689">
        <f t="shared" si="6"/>
        <v>30</v>
      </c>
      <c r="L40" s="689">
        <f t="shared" si="6"/>
        <v>0</v>
      </c>
      <c r="M40" s="689">
        <f t="shared" si="6"/>
        <v>0</v>
      </c>
      <c r="N40" s="689">
        <f t="shared" si="6"/>
        <v>0</v>
      </c>
    </row>
    <row r="41" spans="1:16" s="374" customFormat="1" ht="11.25" customHeight="1">
      <c r="A41" s="1647" t="s">
        <v>15</v>
      </c>
      <c r="B41" s="1647"/>
      <c r="C41" s="1647"/>
      <c r="D41" s="448">
        <f>D8+D40</f>
        <v>9070</v>
      </c>
      <c r="E41" s="389">
        <f>E40</f>
        <v>30</v>
      </c>
      <c r="F41" s="449"/>
      <c r="G41" s="389">
        <f>D41-E41</f>
        <v>9040</v>
      </c>
      <c r="H41" s="309"/>
      <c r="I41" s="689"/>
      <c r="J41" s="689"/>
      <c r="K41" s="689"/>
      <c r="L41" s="794"/>
      <c r="M41" s="794"/>
      <c r="N41" s="794"/>
    </row>
    <row r="42" spans="1:16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6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</row>
    <row r="47" spans="1:16">
      <c r="P47" s="151"/>
    </row>
    <row r="48" spans="1:16">
      <c r="P48" s="151"/>
    </row>
    <row r="49" spans="16:16">
      <c r="P49" s="151"/>
    </row>
  </sheetData>
  <mergeCells count="7">
    <mergeCell ref="A40:C40"/>
    <mergeCell ref="A41:C41"/>
    <mergeCell ref="M7:M8"/>
    <mergeCell ref="N7:N8"/>
    <mergeCell ref="A3:I3"/>
    <mergeCell ref="A4:B4"/>
    <mergeCell ref="A8:C8"/>
  </mergeCells>
  <conditionalFormatting sqref="H9:H39">
    <cfRule type="cellIs" dxfId="8333" priority="22" operator="between">
      <formula>3.5</formula>
      <formula>6</formula>
    </cfRule>
    <cfRule type="cellIs" dxfId="8332" priority="23" operator="lessThan">
      <formula>3.5</formula>
    </cfRule>
    <cfRule type="cellIs" dxfId="8331" priority="24" operator="greaterThan">
      <formula>6</formula>
    </cfRule>
  </conditionalFormatting>
  <conditionalFormatting sqref="H9:H39">
    <cfRule type="cellIs" dxfId="8330" priority="19" operator="between">
      <formula>3.5</formula>
      <formula>6</formula>
    </cfRule>
    <cfRule type="cellIs" dxfId="8329" priority="20" operator="lessThan">
      <formula>3.5</formula>
    </cfRule>
    <cfRule type="cellIs" dxfId="8328" priority="21" operator="greaterThan">
      <formula>6</formula>
    </cfRule>
  </conditionalFormatting>
  <conditionalFormatting sqref="H9:H39">
    <cfRule type="cellIs" dxfId="8327" priority="16" operator="between">
      <formula>3.5</formula>
      <formula>6</formula>
    </cfRule>
    <cfRule type="cellIs" dxfId="8326" priority="17" operator="lessThan">
      <formula>3.5</formula>
    </cfRule>
    <cfRule type="cellIs" dxfId="8325" priority="18" operator="greaterThan">
      <formula>6</formula>
    </cfRule>
  </conditionalFormatting>
  <conditionalFormatting sqref="H9:H39">
    <cfRule type="cellIs" dxfId="8324" priority="13" operator="between">
      <formula>3.5</formula>
      <formula>6</formula>
    </cfRule>
    <cfRule type="cellIs" dxfId="8323" priority="14" operator="lessThan">
      <formula>3.5</formula>
    </cfRule>
    <cfRule type="cellIs" dxfId="8322" priority="15" operator="greaterThan">
      <formula>6</formula>
    </cfRule>
  </conditionalFormatting>
  <conditionalFormatting sqref="H9:H39">
    <cfRule type="cellIs" dxfId="8321" priority="10" operator="between">
      <formula>3.5</formula>
      <formula>6</formula>
    </cfRule>
    <cfRule type="cellIs" dxfId="8320" priority="11" operator="lessThan">
      <formula>3.5</formula>
    </cfRule>
    <cfRule type="cellIs" dxfId="8319" priority="12" operator="greaterThan">
      <formula>6</formula>
    </cfRule>
  </conditionalFormatting>
  <conditionalFormatting sqref="H9:H39">
    <cfRule type="cellIs" dxfId="8318" priority="7" operator="between">
      <formula>3.5</formula>
      <formula>6</formula>
    </cfRule>
    <cfRule type="cellIs" dxfId="8317" priority="8" operator="lessThan">
      <formula>3.5</formula>
    </cfRule>
    <cfRule type="cellIs" dxfId="8316" priority="9" operator="greaterThan">
      <formula>6</formula>
    </cfRule>
  </conditionalFormatting>
  <conditionalFormatting sqref="H9:H39">
    <cfRule type="cellIs" dxfId="8315" priority="4" operator="between">
      <formula>3.5</formula>
      <formula>6</formula>
    </cfRule>
    <cfRule type="cellIs" dxfId="8314" priority="5" operator="lessThan">
      <formula>3.5</formula>
    </cfRule>
    <cfRule type="cellIs" dxfId="8313" priority="6" operator="greaterThan">
      <formula>6</formula>
    </cfRule>
  </conditionalFormatting>
  <conditionalFormatting sqref="H9:H39">
    <cfRule type="cellIs" dxfId="8312" priority="1" operator="between">
      <formula>3.5</formula>
      <formula>6</formula>
    </cfRule>
    <cfRule type="cellIs" dxfId="8311" priority="2" operator="lessThan">
      <formula>3.5</formula>
    </cfRule>
    <cfRule type="cellIs" dxfId="831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zoomScale="90" zoomScaleNormal="90" workbookViewId="0">
      <pane ySplit="8" topLeftCell="A15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8.7109375" style="42" customWidth="1"/>
    <col min="10" max="10" width="10" style="42" customWidth="1"/>
    <col min="11" max="12" width="8.7109375" style="42" customWidth="1"/>
    <col min="13" max="14" width="15.28515625" style="42" customWidth="1"/>
    <col min="15" max="15" width="11.5703125" style="143" bestFit="1" customWidth="1"/>
    <col min="16" max="16" width="13.5703125" style="42" customWidth="1"/>
    <col min="17" max="17" width="12.7109375" style="42" customWidth="1"/>
    <col min="18" max="18" width="7.5703125" style="42" customWidth="1"/>
    <col min="19" max="16384" width="9.28515625" style="42"/>
  </cols>
  <sheetData>
    <row r="1" spans="1:29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3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O2" s="323"/>
      <c r="P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75"/>
      <c r="K3" s="1175"/>
      <c r="L3" s="1175"/>
      <c r="M3" s="1175"/>
      <c r="N3" s="1175"/>
      <c r="P3" s="442"/>
      <c r="Q3" s="442"/>
      <c r="R3" s="442"/>
    </row>
    <row r="4" spans="1:29" s="1180" customFormat="1" ht="12" customHeight="1">
      <c r="A4" s="1648" t="s">
        <v>33</v>
      </c>
      <c r="B4" s="1648"/>
      <c r="C4" s="551" t="str">
        <f>H4</f>
        <v>LUXURY nâu 40x8-HA</v>
      </c>
      <c r="E4" s="549" t="s">
        <v>228</v>
      </c>
      <c r="F4" s="549" t="s">
        <v>235</v>
      </c>
      <c r="G4" s="550" t="s">
        <v>114</v>
      </c>
      <c r="H4" s="551" t="s">
        <v>969</v>
      </c>
      <c r="O4" s="143"/>
    </row>
    <row r="5" spans="1:29" s="1180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324"/>
      <c r="O5" s="143"/>
    </row>
    <row r="6" spans="1:29" s="1180" customFormat="1" ht="12" customHeight="1">
      <c r="B6" s="453"/>
      <c r="C6" s="453"/>
      <c r="D6" s="453"/>
      <c r="E6" s="453"/>
      <c r="F6" s="453"/>
      <c r="G6" s="453">
        <v>58500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442"/>
    </row>
    <row r="7" spans="1:29" s="305" customFormat="1" ht="28.5" customHeight="1">
      <c r="A7" s="1177" t="s">
        <v>2</v>
      </c>
      <c r="B7" s="1179" t="s">
        <v>1</v>
      </c>
      <c r="C7" s="1179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76" t="s">
        <v>30</v>
      </c>
      <c r="I7" s="697" t="s">
        <v>341</v>
      </c>
      <c r="J7" s="697" t="s">
        <v>244</v>
      </c>
      <c r="K7" s="697" t="s">
        <v>344</v>
      </c>
      <c r="L7" s="793" t="s">
        <v>821</v>
      </c>
      <c r="M7" s="1653" t="s">
        <v>771</v>
      </c>
      <c r="N7" s="1649" t="s">
        <v>772</v>
      </c>
      <c r="O7" s="143"/>
    </row>
    <row r="8" spans="1:29" s="305" customFormat="1" ht="12.7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123"/>
      <c r="M8" s="1654"/>
      <c r="N8" s="1649"/>
      <c r="O8" s="143">
        <v>12000</v>
      </c>
    </row>
    <row r="9" spans="1:29" s="305" customFormat="1" ht="11.25" customHeight="1">
      <c r="A9" s="1178">
        <v>1</v>
      </c>
      <c r="B9" s="365">
        <f>'FRIT HGE91-FHG'!B9</f>
        <v>46235</v>
      </c>
      <c r="C9" s="331" t="s">
        <v>334</v>
      </c>
      <c r="D9" s="396">
        <f t="shared" ref="D9:D39" si="0">M9+N9</f>
        <v>0</v>
      </c>
      <c r="E9" s="396">
        <f>I9+J9+K9+L9</f>
        <v>0</v>
      </c>
      <c r="F9" s="396">
        <f>15700/1.44</f>
        <v>10902.777777777777</v>
      </c>
      <c r="G9" s="396">
        <f t="shared" ref="G9:G39" si="1">G8+D9-E9</f>
        <v>0</v>
      </c>
      <c r="H9" s="451">
        <f>G9/10417</f>
        <v>0</v>
      </c>
      <c r="I9" s="772"/>
      <c r="J9" s="772"/>
      <c r="K9" s="772"/>
      <c r="L9" s="1123"/>
      <c r="M9" s="970"/>
      <c r="N9" s="970"/>
      <c r="O9" s="650">
        <f t="shared" ref="O9:O39" si="2">G9/$O$8</f>
        <v>0</v>
      </c>
    </row>
    <row r="10" spans="1:29" s="333" customFormat="1" ht="11.25" customHeight="1">
      <c r="A10" s="330">
        <v>2</v>
      </c>
      <c r="B10" s="365">
        <f>'FRIT HGE91-FHG'!B10</f>
        <v>46236</v>
      </c>
      <c r="C10" s="331" t="s">
        <v>346</v>
      </c>
      <c r="D10" s="396">
        <f t="shared" si="0"/>
        <v>0</v>
      </c>
      <c r="E10" s="396">
        <f t="shared" ref="E10:E39" si="3">I10+J10+K10+L10</f>
        <v>0</v>
      </c>
      <c r="F10" s="396">
        <f>$F$9</f>
        <v>10902.777777777777</v>
      </c>
      <c r="G10" s="396">
        <f t="shared" si="1"/>
        <v>0</v>
      </c>
      <c r="H10" s="451">
        <f t="shared" ref="H10:H39" si="4">G10/10417</f>
        <v>0</v>
      </c>
      <c r="I10" s="772"/>
      <c r="J10" s="772"/>
      <c r="K10" s="772"/>
      <c r="L10" s="1123"/>
      <c r="M10" s="970"/>
      <c r="N10" s="970"/>
      <c r="O10" s="650">
        <f t="shared" si="2"/>
        <v>0</v>
      </c>
      <c r="P10" s="305"/>
      <c r="Q10" s="305"/>
      <c r="R10" s="305"/>
    </row>
    <row r="11" spans="1:29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0"/>
        <v>0</v>
      </c>
      <c r="E11" s="396">
        <f t="shared" si="3"/>
        <v>0</v>
      </c>
      <c r="F11" s="396">
        <f>$F$9</f>
        <v>10902.777777777777</v>
      </c>
      <c r="G11" s="396">
        <f t="shared" si="1"/>
        <v>0</v>
      </c>
      <c r="H11" s="451">
        <f t="shared" si="4"/>
        <v>0</v>
      </c>
      <c r="I11" s="772"/>
      <c r="J11" s="772"/>
      <c r="K11" s="772"/>
      <c r="L11" s="1123"/>
      <c r="M11" s="970"/>
      <c r="N11" s="970"/>
      <c r="O11" s="650">
        <f t="shared" si="2"/>
        <v>0</v>
      </c>
      <c r="P11" s="305"/>
      <c r="Q11" s="305"/>
      <c r="R11" s="305"/>
    </row>
    <row r="12" spans="1:29" s="367" customFormat="1" ht="11.25" customHeight="1">
      <c r="A12" s="330">
        <v>4</v>
      </c>
      <c r="B12" s="365">
        <f>'FRIT HGE91-FHG'!B12</f>
        <v>46238</v>
      </c>
      <c r="C12" s="331" t="s">
        <v>348</v>
      </c>
      <c r="D12" s="396">
        <f t="shared" si="0"/>
        <v>0</v>
      </c>
      <c r="E12" s="396">
        <f t="shared" si="3"/>
        <v>0</v>
      </c>
      <c r="F12" s="396">
        <f t="shared" ref="F12:F39" si="5">$F$9</f>
        <v>10902.777777777777</v>
      </c>
      <c r="G12" s="396">
        <f t="shared" si="1"/>
        <v>0</v>
      </c>
      <c r="H12" s="451">
        <f t="shared" si="4"/>
        <v>0</v>
      </c>
      <c r="I12" s="772"/>
      <c r="J12" s="772"/>
      <c r="K12" s="772"/>
      <c r="L12" s="1123"/>
      <c r="M12" s="970"/>
      <c r="N12" s="970"/>
      <c r="O12" s="650">
        <f t="shared" si="2"/>
        <v>0</v>
      </c>
      <c r="P12" s="305"/>
      <c r="Q12" s="305"/>
      <c r="R12" s="305"/>
    </row>
    <row r="13" spans="1:29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0"/>
        <v>0</v>
      </c>
      <c r="E13" s="396">
        <f t="shared" si="3"/>
        <v>0</v>
      </c>
      <c r="F13" s="396">
        <f t="shared" si="5"/>
        <v>10902.777777777777</v>
      </c>
      <c r="G13" s="769">
        <f t="shared" si="1"/>
        <v>0</v>
      </c>
      <c r="H13" s="451">
        <f t="shared" si="4"/>
        <v>0</v>
      </c>
      <c r="I13" s="772"/>
      <c r="J13" s="772"/>
      <c r="K13" s="772"/>
      <c r="L13" s="1123"/>
      <c r="M13" s="970"/>
      <c r="N13" s="970"/>
      <c r="O13" s="650">
        <f t="shared" si="2"/>
        <v>0</v>
      </c>
      <c r="P13" s="305"/>
      <c r="Q13" s="305"/>
      <c r="R13" s="305"/>
    </row>
    <row r="14" spans="1:29" s="367" customFormat="1" ht="11.25" customHeight="1">
      <c r="A14" s="330">
        <v>6</v>
      </c>
      <c r="B14" s="365">
        <f>'FRIT HGE91-FHG'!B14</f>
        <v>46240</v>
      </c>
      <c r="C14" s="331" t="s">
        <v>348</v>
      </c>
      <c r="D14" s="396">
        <f t="shared" si="0"/>
        <v>0</v>
      </c>
      <c r="E14" s="396">
        <f t="shared" si="3"/>
        <v>0</v>
      </c>
      <c r="F14" s="396">
        <f t="shared" si="5"/>
        <v>10902.777777777777</v>
      </c>
      <c r="G14" s="396">
        <f t="shared" si="1"/>
        <v>0</v>
      </c>
      <c r="H14" s="451">
        <f t="shared" si="4"/>
        <v>0</v>
      </c>
      <c r="I14" s="772"/>
      <c r="J14" s="772"/>
      <c r="K14" s="772"/>
      <c r="L14" s="1123"/>
      <c r="M14" s="970"/>
      <c r="N14" s="970"/>
      <c r="O14" s="650">
        <f t="shared" si="2"/>
        <v>0</v>
      </c>
      <c r="P14" s="305"/>
      <c r="Q14" s="305"/>
      <c r="R14" s="305"/>
    </row>
    <row r="15" spans="1:29" s="367" customFormat="1" ht="11.25" customHeight="1">
      <c r="A15" s="330">
        <v>7</v>
      </c>
      <c r="B15" s="365">
        <f>'FRIT HGE91-FHG'!B15</f>
        <v>46241</v>
      </c>
      <c r="C15" s="331" t="s">
        <v>348</v>
      </c>
      <c r="D15" s="396">
        <f t="shared" si="0"/>
        <v>0</v>
      </c>
      <c r="E15" s="396">
        <f t="shared" si="3"/>
        <v>0</v>
      </c>
      <c r="F15" s="396">
        <f t="shared" si="5"/>
        <v>10902.777777777777</v>
      </c>
      <c r="G15" s="396">
        <f t="shared" si="1"/>
        <v>0</v>
      </c>
      <c r="H15" s="451">
        <f t="shared" si="4"/>
        <v>0</v>
      </c>
      <c r="I15" s="772"/>
      <c r="J15" s="772"/>
      <c r="K15" s="772"/>
      <c r="L15" s="1123"/>
      <c r="M15" s="970"/>
      <c r="N15" s="970"/>
      <c r="O15" s="650">
        <f t="shared" si="2"/>
        <v>0</v>
      </c>
      <c r="P15" s="305"/>
      <c r="Q15" s="305"/>
      <c r="R15" s="305"/>
    </row>
    <row r="16" spans="1:29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>
        <f t="shared" si="0"/>
        <v>0</v>
      </c>
      <c r="E16" s="396">
        <f t="shared" si="3"/>
        <v>0</v>
      </c>
      <c r="F16" s="396">
        <f t="shared" si="5"/>
        <v>10902.777777777777</v>
      </c>
      <c r="G16" s="396">
        <f t="shared" si="1"/>
        <v>0</v>
      </c>
      <c r="H16" s="451">
        <f t="shared" si="4"/>
        <v>0</v>
      </c>
      <c r="I16" s="772"/>
      <c r="J16" s="772"/>
      <c r="K16" s="772"/>
      <c r="L16" s="1123"/>
      <c r="M16" s="970"/>
      <c r="N16" s="970"/>
      <c r="O16" s="650">
        <f t="shared" si="2"/>
        <v>0</v>
      </c>
      <c r="P16" s="305"/>
      <c r="Q16" s="305"/>
      <c r="R16" s="305"/>
    </row>
    <row r="17" spans="1:18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396">
        <f t="shared" si="0"/>
        <v>0</v>
      </c>
      <c r="E17" s="396">
        <f t="shared" si="3"/>
        <v>0</v>
      </c>
      <c r="F17" s="396">
        <f t="shared" si="5"/>
        <v>10902.777777777777</v>
      </c>
      <c r="G17" s="396">
        <f t="shared" si="1"/>
        <v>0</v>
      </c>
      <c r="H17" s="451">
        <f t="shared" si="4"/>
        <v>0</v>
      </c>
      <c r="I17" s="772"/>
      <c r="J17" s="772"/>
      <c r="K17" s="772"/>
      <c r="L17" s="1123"/>
      <c r="M17" s="970"/>
      <c r="N17" s="970"/>
      <c r="O17" s="650">
        <f t="shared" si="2"/>
        <v>0</v>
      </c>
      <c r="P17" s="305"/>
      <c r="Q17" s="305"/>
      <c r="R17" s="305"/>
    </row>
    <row r="18" spans="1:18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>
        <f t="shared" si="0"/>
        <v>0</v>
      </c>
      <c r="E18" s="396">
        <f t="shared" si="3"/>
        <v>0</v>
      </c>
      <c r="F18" s="396">
        <f t="shared" si="5"/>
        <v>10902.777777777777</v>
      </c>
      <c r="G18" s="769">
        <f t="shared" si="1"/>
        <v>0</v>
      </c>
      <c r="H18" s="451">
        <f t="shared" si="4"/>
        <v>0</v>
      </c>
      <c r="I18" s="772"/>
      <c r="J18" s="772"/>
      <c r="K18" s="772"/>
      <c r="L18" s="1123"/>
      <c r="M18" s="970"/>
      <c r="N18" s="970"/>
      <c r="O18" s="650">
        <f t="shared" si="2"/>
        <v>0</v>
      </c>
      <c r="P18" s="305"/>
      <c r="Q18" s="305"/>
      <c r="R18" s="305"/>
    </row>
    <row r="19" spans="1:18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0"/>
        <v>0</v>
      </c>
      <c r="E19" s="396">
        <f t="shared" si="3"/>
        <v>0</v>
      </c>
      <c r="F19" s="396">
        <f t="shared" si="5"/>
        <v>10902.777777777777</v>
      </c>
      <c r="G19" s="396">
        <f t="shared" si="1"/>
        <v>0</v>
      </c>
      <c r="H19" s="451">
        <f t="shared" si="4"/>
        <v>0</v>
      </c>
      <c r="I19" s="772"/>
      <c r="J19" s="772"/>
      <c r="K19" s="772"/>
      <c r="L19" s="1123"/>
      <c r="M19" s="970"/>
      <c r="N19" s="970"/>
      <c r="O19" s="650">
        <f t="shared" si="2"/>
        <v>0</v>
      </c>
      <c r="P19" s="305"/>
      <c r="Q19" s="305"/>
      <c r="R19" s="305"/>
    </row>
    <row r="20" spans="1:18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0"/>
        <v>0</v>
      </c>
      <c r="E20" s="396">
        <f t="shared" si="3"/>
        <v>0</v>
      </c>
      <c r="F20" s="396">
        <f t="shared" si="5"/>
        <v>10902.777777777777</v>
      </c>
      <c r="G20" s="396">
        <f t="shared" si="1"/>
        <v>0</v>
      </c>
      <c r="H20" s="451">
        <f t="shared" si="4"/>
        <v>0</v>
      </c>
      <c r="I20" s="772"/>
      <c r="J20" s="772"/>
      <c r="K20" s="772"/>
      <c r="L20" s="1123"/>
      <c r="M20" s="970"/>
      <c r="N20" s="970"/>
      <c r="O20" s="650">
        <f t="shared" si="2"/>
        <v>0</v>
      </c>
      <c r="P20" s="305"/>
      <c r="Q20" s="305"/>
      <c r="R20" s="305"/>
    </row>
    <row r="21" spans="1:18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0"/>
        <v>0</v>
      </c>
      <c r="E21" s="396">
        <f t="shared" si="3"/>
        <v>0</v>
      </c>
      <c r="F21" s="396">
        <f t="shared" si="5"/>
        <v>10902.777777777777</v>
      </c>
      <c r="G21" s="396">
        <f t="shared" si="1"/>
        <v>0</v>
      </c>
      <c r="H21" s="451">
        <f t="shared" si="4"/>
        <v>0</v>
      </c>
      <c r="I21" s="772"/>
      <c r="J21" s="772"/>
      <c r="K21" s="772"/>
      <c r="L21" s="1123"/>
      <c r="M21" s="970"/>
      <c r="N21" s="970"/>
      <c r="O21" s="650">
        <f t="shared" si="2"/>
        <v>0</v>
      </c>
      <c r="P21" s="305"/>
      <c r="Q21" s="305"/>
      <c r="R21" s="305"/>
    </row>
    <row r="22" spans="1:18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0"/>
        <v>0</v>
      </c>
      <c r="E22" s="396">
        <f t="shared" si="3"/>
        <v>0</v>
      </c>
      <c r="F22" s="396">
        <f t="shared" si="5"/>
        <v>10902.777777777777</v>
      </c>
      <c r="G22" s="396">
        <f t="shared" si="1"/>
        <v>0</v>
      </c>
      <c r="H22" s="451">
        <f t="shared" si="4"/>
        <v>0</v>
      </c>
      <c r="I22" s="772"/>
      <c r="J22" s="772"/>
      <c r="K22" s="772"/>
      <c r="L22" s="1123"/>
      <c r="M22" s="970"/>
      <c r="N22" s="970"/>
      <c r="O22" s="650">
        <f t="shared" si="2"/>
        <v>0</v>
      </c>
      <c r="P22" s="305"/>
      <c r="Q22" s="305"/>
      <c r="R22" s="305"/>
    </row>
    <row r="23" spans="1:18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0"/>
        <v>0</v>
      </c>
      <c r="E23" s="396">
        <f t="shared" si="3"/>
        <v>0</v>
      </c>
      <c r="F23" s="396">
        <f t="shared" si="5"/>
        <v>10902.777777777777</v>
      </c>
      <c r="G23" s="769">
        <f t="shared" si="1"/>
        <v>0</v>
      </c>
      <c r="H23" s="451">
        <f t="shared" si="4"/>
        <v>0</v>
      </c>
      <c r="I23" s="772"/>
      <c r="J23" s="772"/>
      <c r="K23" s="772"/>
      <c r="L23" s="1123"/>
      <c r="M23" s="970"/>
      <c r="N23" s="970"/>
      <c r="O23" s="650">
        <f t="shared" si="2"/>
        <v>0</v>
      </c>
      <c r="P23" s="305"/>
      <c r="Q23" s="305"/>
      <c r="R23" s="305"/>
    </row>
    <row r="24" spans="1:18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0"/>
        <v>0</v>
      </c>
      <c r="E24" s="396">
        <f t="shared" si="3"/>
        <v>0</v>
      </c>
      <c r="F24" s="396">
        <f t="shared" si="5"/>
        <v>10902.777777777777</v>
      </c>
      <c r="G24" s="396">
        <f t="shared" si="1"/>
        <v>0</v>
      </c>
      <c r="H24" s="451">
        <f t="shared" si="4"/>
        <v>0</v>
      </c>
      <c r="I24" s="772"/>
      <c r="J24" s="772"/>
      <c r="K24" s="772"/>
      <c r="L24" s="1123"/>
      <c r="M24" s="970"/>
      <c r="N24" s="970"/>
      <c r="O24" s="650">
        <f t="shared" si="2"/>
        <v>0</v>
      </c>
      <c r="P24" s="305"/>
      <c r="Q24" s="305"/>
      <c r="R24" s="305"/>
    </row>
    <row r="25" spans="1:18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0"/>
        <v>0</v>
      </c>
      <c r="E25" s="396">
        <f t="shared" si="3"/>
        <v>0</v>
      </c>
      <c r="F25" s="396">
        <f t="shared" si="5"/>
        <v>10902.777777777777</v>
      </c>
      <c r="G25" s="396">
        <f t="shared" si="1"/>
        <v>0</v>
      </c>
      <c r="H25" s="451">
        <f t="shared" si="4"/>
        <v>0</v>
      </c>
      <c r="I25" s="772"/>
      <c r="J25" s="772"/>
      <c r="K25" s="772"/>
      <c r="L25" s="1123"/>
      <c r="M25" s="970"/>
      <c r="N25" s="970"/>
      <c r="O25" s="650">
        <f t="shared" si="2"/>
        <v>0</v>
      </c>
      <c r="P25" s="305"/>
      <c r="Q25" s="305"/>
      <c r="R25" s="305"/>
    </row>
    <row r="26" spans="1:18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0"/>
        <v>0</v>
      </c>
      <c r="E26" s="396">
        <f t="shared" si="3"/>
        <v>0</v>
      </c>
      <c r="F26" s="396">
        <f t="shared" si="5"/>
        <v>10902.777777777777</v>
      </c>
      <c r="G26" s="396">
        <f t="shared" si="1"/>
        <v>0</v>
      </c>
      <c r="H26" s="451">
        <f t="shared" si="4"/>
        <v>0</v>
      </c>
      <c r="I26" s="772"/>
      <c r="J26" s="772"/>
      <c r="K26" s="772"/>
      <c r="L26" s="1123"/>
      <c r="M26" s="970"/>
      <c r="N26" s="970"/>
      <c r="O26" s="650">
        <f t="shared" si="2"/>
        <v>0</v>
      </c>
    </row>
    <row r="27" spans="1:18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0"/>
        <v>0</v>
      </c>
      <c r="E27" s="396">
        <f t="shared" si="3"/>
        <v>0</v>
      </c>
      <c r="F27" s="396">
        <f t="shared" si="5"/>
        <v>10902.777777777777</v>
      </c>
      <c r="G27" s="396">
        <f t="shared" si="1"/>
        <v>0</v>
      </c>
      <c r="H27" s="451">
        <f t="shared" si="4"/>
        <v>0</v>
      </c>
      <c r="I27" s="772"/>
      <c r="J27" s="772"/>
      <c r="K27" s="772"/>
      <c r="L27" s="1123"/>
      <c r="M27" s="970"/>
      <c r="N27" s="970"/>
      <c r="O27" s="650">
        <f t="shared" si="2"/>
        <v>0</v>
      </c>
    </row>
    <row r="28" spans="1:18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0"/>
        <v>0</v>
      </c>
      <c r="E28" s="396">
        <f t="shared" si="3"/>
        <v>0</v>
      </c>
      <c r="F28" s="396">
        <f t="shared" si="5"/>
        <v>10902.777777777777</v>
      </c>
      <c r="G28" s="769">
        <f t="shared" si="1"/>
        <v>0</v>
      </c>
      <c r="H28" s="451">
        <f t="shared" si="4"/>
        <v>0</v>
      </c>
      <c r="I28" s="772"/>
      <c r="J28" s="772"/>
      <c r="K28" s="772"/>
      <c r="L28" s="1123"/>
      <c r="M28" s="970"/>
      <c r="N28" s="970"/>
      <c r="O28" s="650">
        <f t="shared" si="2"/>
        <v>0</v>
      </c>
    </row>
    <row r="29" spans="1:18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0"/>
        <v>0</v>
      </c>
      <c r="E29" s="396">
        <f t="shared" si="3"/>
        <v>0</v>
      </c>
      <c r="F29" s="396">
        <f t="shared" si="5"/>
        <v>10902.777777777777</v>
      </c>
      <c r="G29" s="393">
        <f t="shared" si="1"/>
        <v>0</v>
      </c>
      <c r="H29" s="451">
        <f t="shared" si="4"/>
        <v>0</v>
      </c>
      <c r="I29" s="772"/>
      <c r="J29" s="772"/>
      <c r="K29" s="772"/>
      <c r="L29" s="1123"/>
      <c r="M29" s="970"/>
      <c r="N29" s="970"/>
      <c r="O29" s="650">
        <f t="shared" si="2"/>
        <v>0</v>
      </c>
    </row>
    <row r="30" spans="1:18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0"/>
        <v>0</v>
      </c>
      <c r="E30" s="396">
        <f t="shared" si="3"/>
        <v>0</v>
      </c>
      <c r="F30" s="396">
        <f t="shared" si="5"/>
        <v>10902.777777777777</v>
      </c>
      <c r="G30" s="393">
        <f t="shared" si="1"/>
        <v>0</v>
      </c>
      <c r="H30" s="451">
        <f t="shared" si="4"/>
        <v>0</v>
      </c>
      <c r="I30" s="772"/>
      <c r="J30" s="772"/>
      <c r="K30" s="772"/>
      <c r="L30" s="1123"/>
      <c r="M30" s="970"/>
      <c r="N30" s="970"/>
      <c r="O30" s="650">
        <f t="shared" si="2"/>
        <v>0</v>
      </c>
    </row>
    <row r="31" spans="1:18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0"/>
        <v>0</v>
      </c>
      <c r="E31" s="396">
        <f t="shared" si="3"/>
        <v>0</v>
      </c>
      <c r="F31" s="396">
        <f t="shared" si="5"/>
        <v>10902.777777777777</v>
      </c>
      <c r="G31" s="393">
        <f t="shared" si="1"/>
        <v>0</v>
      </c>
      <c r="H31" s="451">
        <f t="shared" si="4"/>
        <v>0</v>
      </c>
      <c r="I31" s="772"/>
      <c r="J31" s="772"/>
      <c r="K31" s="772"/>
      <c r="L31" s="1123"/>
      <c r="M31" s="970"/>
      <c r="N31" s="970"/>
      <c r="O31" s="650">
        <f t="shared" si="2"/>
        <v>0</v>
      </c>
    </row>
    <row r="32" spans="1:18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0"/>
        <v>0</v>
      </c>
      <c r="E32" s="396">
        <f t="shared" si="3"/>
        <v>0</v>
      </c>
      <c r="F32" s="396">
        <f t="shared" si="5"/>
        <v>10902.777777777777</v>
      </c>
      <c r="G32" s="393">
        <f t="shared" si="1"/>
        <v>0</v>
      </c>
      <c r="H32" s="451">
        <f t="shared" si="4"/>
        <v>0</v>
      </c>
      <c r="I32" s="772"/>
      <c r="J32" s="772"/>
      <c r="K32" s="772"/>
      <c r="L32" s="1123"/>
      <c r="M32" s="970"/>
      <c r="N32" s="970"/>
      <c r="O32" s="650">
        <f t="shared" si="2"/>
        <v>0</v>
      </c>
    </row>
    <row r="33" spans="1:16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0"/>
        <v>0</v>
      </c>
      <c r="E33" s="396">
        <f t="shared" si="3"/>
        <v>0</v>
      </c>
      <c r="F33" s="396">
        <f t="shared" si="5"/>
        <v>10902.777777777777</v>
      </c>
      <c r="G33" s="770">
        <f t="shared" si="1"/>
        <v>0</v>
      </c>
      <c r="H33" s="451">
        <f t="shared" si="4"/>
        <v>0</v>
      </c>
      <c r="I33" s="772"/>
      <c r="J33" s="772"/>
      <c r="K33" s="772"/>
      <c r="L33" s="1123"/>
      <c r="M33" s="970"/>
      <c r="N33" s="970"/>
      <c r="O33" s="650">
        <f t="shared" si="2"/>
        <v>0</v>
      </c>
    </row>
    <row r="34" spans="1:16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0"/>
        <v>0</v>
      </c>
      <c r="E34" s="396">
        <f t="shared" si="3"/>
        <v>0</v>
      </c>
      <c r="F34" s="396">
        <f t="shared" si="5"/>
        <v>10902.777777777777</v>
      </c>
      <c r="G34" s="396">
        <f t="shared" si="1"/>
        <v>0</v>
      </c>
      <c r="H34" s="451">
        <f t="shared" si="4"/>
        <v>0</v>
      </c>
      <c r="I34" s="772"/>
      <c r="J34" s="772"/>
      <c r="K34" s="772"/>
      <c r="L34" s="1123"/>
      <c r="M34" s="970"/>
      <c r="N34" s="970"/>
      <c r="O34" s="650">
        <f t="shared" si="2"/>
        <v>0</v>
      </c>
    </row>
    <row r="35" spans="1:16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0"/>
        <v>0</v>
      </c>
      <c r="E35" s="396">
        <f t="shared" si="3"/>
        <v>0</v>
      </c>
      <c r="F35" s="396">
        <f t="shared" si="5"/>
        <v>10902.777777777777</v>
      </c>
      <c r="G35" s="396">
        <f t="shared" si="1"/>
        <v>0</v>
      </c>
      <c r="H35" s="451">
        <f t="shared" si="4"/>
        <v>0</v>
      </c>
      <c r="I35" s="772"/>
      <c r="J35" s="772"/>
      <c r="K35" s="772"/>
      <c r="L35" s="1123"/>
      <c r="M35" s="970"/>
      <c r="N35" s="970"/>
      <c r="O35" s="650">
        <f t="shared" si="2"/>
        <v>0</v>
      </c>
    </row>
    <row r="36" spans="1:16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0"/>
        <v>0</v>
      </c>
      <c r="E36" s="396">
        <f t="shared" si="3"/>
        <v>0</v>
      </c>
      <c r="F36" s="396">
        <f t="shared" si="5"/>
        <v>10902.777777777777</v>
      </c>
      <c r="G36" s="396">
        <f t="shared" si="1"/>
        <v>0</v>
      </c>
      <c r="H36" s="451">
        <f t="shared" si="4"/>
        <v>0</v>
      </c>
      <c r="I36" s="772"/>
      <c r="J36" s="772"/>
      <c r="K36" s="772"/>
      <c r="L36" s="1123"/>
      <c r="M36" s="970"/>
      <c r="N36" s="970"/>
      <c r="O36" s="650">
        <f t="shared" si="2"/>
        <v>0</v>
      </c>
    </row>
    <row r="37" spans="1:16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0"/>
        <v>0</v>
      </c>
      <c r="E37" s="396">
        <f t="shared" si="3"/>
        <v>0</v>
      </c>
      <c r="F37" s="396">
        <f t="shared" si="5"/>
        <v>10902.777777777777</v>
      </c>
      <c r="G37" s="396">
        <f t="shared" si="1"/>
        <v>0</v>
      </c>
      <c r="H37" s="451">
        <f t="shared" si="4"/>
        <v>0</v>
      </c>
      <c r="I37" s="772"/>
      <c r="J37" s="772"/>
      <c r="K37" s="772"/>
      <c r="L37" s="1123"/>
      <c r="M37" s="970"/>
      <c r="N37" s="970"/>
      <c r="O37" s="650">
        <f t="shared" si="2"/>
        <v>0</v>
      </c>
    </row>
    <row r="38" spans="1:16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0"/>
        <v>0</v>
      </c>
      <c r="E38" s="396">
        <f t="shared" si="3"/>
        <v>0</v>
      </c>
      <c r="F38" s="396">
        <f t="shared" si="5"/>
        <v>10902.777777777777</v>
      </c>
      <c r="G38" s="769">
        <f>G37+D38-E38</f>
        <v>0</v>
      </c>
      <c r="H38" s="451">
        <f t="shared" si="4"/>
        <v>0</v>
      </c>
      <c r="I38" s="772"/>
      <c r="J38" s="772"/>
      <c r="K38" s="772"/>
      <c r="L38" s="1123"/>
      <c r="M38" s="970"/>
      <c r="N38" s="970"/>
      <c r="O38" s="650">
        <f t="shared" si="2"/>
        <v>0</v>
      </c>
    </row>
    <row r="39" spans="1:16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0"/>
        <v>0</v>
      </c>
      <c r="E39" s="396">
        <f t="shared" si="3"/>
        <v>0</v>
      </c>
      <c r="F39" s="396">
        <f t="shared" si="5"/>
        <v>10902.777777777777</v>
      </c>
      <c r="G39" s="396">
        <f t="shared" si="1"/>
        <v>0</v>
      </c>
      <c r="H39" s="451">
        <f t="shared" si="4"/>
        <v>0</v>
      </c>
      <c r="I39" s="772"/>
      <c r="J39" s="772"/>
      <c r="K39" s="772"/>
      <c r="L39" s="1123"/>
      <c r="M39" s="970"/>
      <c r="N39" s="970"/>
      <c r="O39" s="650">
        <f t="shared" si="2"/>
        <v>0</v>
      </c>
    </row>
    <row r="40" spans="1:16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N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  <c r="N40" s="689">
        <f t="shared" si="6"/>
        <v>0</v>
      </c>
    </row>
    <row r="41" spans="1:16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794"/>
      <c r="M41" s="794"/>
      <c r="N41" s="794"/>
    </row>
    <row r="42" spans="1:16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6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</row>
    <row r="47" spans="1:16">
      <c r="P47" s="151"/>
    </row>
    <row r="48" spans="1:16">
      <c r="P48" s="151"/>
    </row>
    <row r="49" spans="16:16">
      <c r="P49" s="151"/>
    </row>
  </sheetData>
  <mergeCells count="7">
    <mergeCell ref="A41:C41"/>
    <mergeCell ref="A3:I3"/>
    <mergeCell ref="A4:B4"/>
    <mergeCell ref="M7:M8"/>
    <mergeCell ref="N7:N8"/>
    <mergeCell ref="A8:C8"/>
    <mergeCell ref="A40:C40"/>
  </mergeCells>
  <conditionalFormatting sqref="H9:H39">
    <cfRule type="cellIs" dxfId="8309" priority="22" operator="between">
      <formula>3.5</formula>
      <formula>6</formula>
    </cfRule>
    <cfRule type="cellIs" dxfId="8308" priority="23" operator="lessThan">
      <formula>3.5</formula>
    </cfRule>
    <cfRule type="cellIs" dxfId="8307" priority="24" operator="greaterThan">
      <formula>6</formula>
    </cfRule>
  </conditionalFormatting>
  <conditionalFormatting sqref="H9:H39">
    <cfRule type="cellIs" dxfId="8306" priority="19" operator="between">
      <formula>3.5</formula>
      <formula>6</formula>
    </cfRule>
    <cfRule type="cellIs" dxfId="8305" priority="20" operator="lessThan">
      <formula>3.5</formula>
    </cfRule>
    <cfRule type="cellIs" dxfId="8304" priority="21" operator="greaterThan">
      <formula>6</formula>
    </cfRule>
  </conditionalFormatting>
  <conditionalFormatting sqref="H9:H39">
    <cfRule type="cellIs" dxfId="8303" priority="16" operator="between">
      <formula>3.5</formula>
      <formula>6</formula>
    </cfRule>
    <cfRule type="cellIs" dxfId="8302" priority="17" operator="lessThan">
      <formula>3.5</formula>
    </cfRule>
    <cfRule type="cellIs" dxfId="8301" priority="18" operator="greaterThan">
      <formula>6</formula>
    </cfRule>
  </conditionalFormatting>
  <conditionalFormatting sqref="H9:H39">
    <cfRule type="cellIs" dxfId="8300" priority="13" operator="between">
      <formula>3.5</formula>
      <formula>6</formula>
    </cfRule>
    <cfRule type="cellIs" dxfId="8299" priority="14" operator="lessThan">
      <formula>3.5</formula>
    </cfRule>
    <cfRule type="cellIs" dxfId="8298" priority="15" operator="greaterThan">
      <formula>6</formula>
    </cfRule>
  </conditionalFormatting>
  <conditionalFormatting sqref="H9:H39">
    <cfRule type="cellIs" dxfId="8297" priority="10" operator="between">
      <formula>3.5</formula>
      <formula>6</formula>
    </cfRule>
    <cfRule type="cellIs" dxfId="8296" priority="11" operator="lessThan">
      <formula>3.5</formula>
    </cfRule>
    <cfRule type="cellIs" dxfId="8295" priority="12" operator="greaterThan">
      <formula>6</formula>
    </cfRule>
  </conditionalFormatting>
  <conditionalFormatting sqref="H9:H39">
    <cfRule type="cellIs" dxfId="8294" priority="7" operator="between">
      <formula>3.5</formula>
      <formula>6</formula>
    </cfRule>
    <cfRule type="cellIs" dxfId="8293" priority="8" operator="lessThan">
      <formula>3.5</formula>
    </cfRule>
    <cfRule type="cellIs" dxfId="8292" priority="9" operator="greaterThan">
      <formula>6</formula>
    </cfRule>
  </conditionalFormatting>
  <conditionalFormatting sqref="H9:H39">
    <cfRule type="cellIs" dxfId="8291" priority="4" operator="between">
      <formula>3.5</formula>
      <formula>6</formula>
    </cfRule>
    <cfRule type="cellIs" dxfId="8290" priority="5" operator="lessThan">
      <formula>3.5</formula>
    </cfRule>
    <cfRule type="cellIs" dxfId="8289" priority="6" operator="greaterThan">
      <formula>6</formula>
    </cfRule>
  </conditionalFormatting>
  <conditionalFormatting sqref="H9:H39">
    <cfRule type="cellIs" dxfId="8288" priority="1" operator="between">
      <formula>3.5</formula>
      <formula>6</formula>
    </cfRule>
    <cfRule type="cellIs" dxfId="8287" priority="2" operator="lessThan">
      <formula>3.5</formula>
    </cfRule>
    <cfRule type="cellIs" dxfId="828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zoomScale="90" zoomScaleNormal="90" workbookViewId="0">
      <pane ySplit="8" topLeftCell="A15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8.7109375" style="42" customWidth="1"/>
    <col min="10" max="10" width="10" style="42" customWidth="1"/>
    <col min="11" max="12" width="8.7109375" style="42" customWidth="1"/>
    <col min="13" max="14" width="15.28515625" style="42" customWidth="1"/>
    <col min="15" max="15" width="11.5703125" style="143" bestFit="1" customWidth="1"/>
    <col min="16" max="16" width="13.5703125" style="42" customWidth="1"/>
    <col min="17" max="17" width="12.7109375" style="42" customWidth="1"/>
    <col min="18" max="18" width="7.5703125" style="42" customWidth="1"/>
    <col min="19" max="16384" width="9.28515625" style="42"/>
  </cols>
  <sheetData>
    <row r="1" spans="1:29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3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O2" s="323"/>
      <c r="P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72"/>
      <c r="K3" s="1272"/>
      <c r="L3" s="1272"/>
      <c r="M3" s="1272"/>
      <c r="N3" s="1272"/>
      <c r="P3" s="442"/>
      <c r="Q3" s="442"/>
      <c r="R3" s="442"/>
    </row>
    <row r="4" spans="1:29" s="1277" customFormat="1" ht="12" customHeight="1">
      <c r="A4" s="1648" t="s">
        <v>33</v>
      </c>
      <c r="B4" s="1648"/>
      <c r="C4" s="551" t="str">
        <f>H4</f>
        <v>LUXURY nâu 40x8 5V-HA</v>
      </c>
      <c r="E4" s="549" t="s">
        <v>228</v>
      </c>
      <c r="F4" s="549" t="s">
        <v>235</v>
      </c>
      <c r="G4" s="550" t="s">
        <v>114</v>
      </c>
      <c r="H4" s="551" t="s">
        <v>1080</v>
      </c>
      <c r="O4" s="143"/>
    </row>
    <row r="5" spans="1:29" s="127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324"/>
      <c r="O5" s="143"/>
    </row>
    <row r="6" spans="1:29" s="1277" customFormat="1" ht="12" customHeight="1">
      <c r="B6" s="453"/>
      <c r="C6" s="453"/>
      <c r="D6" s="453"/>
      <c r="E6" s="453"/>
      <c r="F6" s="453"/>
      <c r="G6" s="453">
        <v>58500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442"/>
    </row>
    <row r="7" spans="1:29" s="305" customFormat="1" ht="28.5" customHeight="1">
      <c r="A7" s="1274" t="s">
        <v>2</v>
      </c>
      <c r="B7" s="1276" t="s">
        <v>1</v>
      </c>
      <c r="C7" s="127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73" t="s">
        <v>30</v>
      </c>
      <c r="I7" s="697" t="s">
        <v>341</v>
      </c>
      <c r="J7" s="697" t="s">
        <v>244</v>
      </c>
      <c r="K7" s="697" t="s">
        <v>344</v>
      </c>
      <c r="L7" s="793" t="s">
        <v>821</v>
      </c>
      <c r="M7" s="1653" t="s">
        <v>771</v>
      </c>
      <c r="N7" s="1649" t="s">
        <v>772</v>
      </c>
      <c r="O7" s="143"/>
    </row>
    <row r="8" spans="1:29" s="305" customFormat="1" ht="12.75" customHeight="1">
      <c r="A8" s="1650" t="s">
        <v>3</v>
      </c>
      <c r="B8" s="1651"/>
      <c r="C8" s="1652"/>
      <c r="D8" s="771">
        <f>G8</f>
        <v>0</v>
      </c>
      <c r="E8" s="771">
        <f>E40</f>
        <v>22950</v>
      </c>
      <c r="F8" s="771"/>
      <c r="G8" s="774">
        <v>0</v>
      </c>
      <c r="H8" s="450"/>
      <c r="I8" s="772"/>
      <c r="J8" s="772"/>
      <c r="K8" s="772"/>
      <c r="L8" s="1123"/>
      <c r="M8" s="1654"/>
      <c r="N8" s="1649"/>
      <c r="O8" s="143">
        <v>12000</v>
      </c>
    </row>
    <row r="9" spans="1:29" s="305" customFormat="1" ht="11.25" customHeight="1">
      <c r="A9" s="1275">
        <v>1</v>
      </c>
      <c r="B9" s="365">
        <f>'FRIT HGE91-FHG'!B9</f>
        <v>46235</v>
      </c>
      <c r="C9" s="331" t="s">
        <v>334</v>
      </c>
      <c r="D9" s="1451">
        <f t="shared" ref="D9:D39" si="0">M9+N9</f>
        <v>0</v>
      </c>
      <c r="E9" s="1451">
        <f>I9+J9+K9+L9</f>
        <v>0</v>
      </c>
      <c r="F9" s="1451">
        <f>15700/1.44</f>
        <v>10902.777777777777</v>
      </c>
      <c r="G9" s="1451">
        <f t="shared" ref="G9:G39" si="1">G8+D9-E9</f>
        <v>0</v>
      </c>
      <c r="H9" s="1452">
        <f>G9/10417</f>
        <v>0</v>
      </c>
      <c r="I9" s="772"/>
      <c r="J9" s="772"/>
      <c r="K9" s="772"/>
      <c r="L9" s="1123"/>
      <c r="M9" s="970"/>
      <c r="N9" s="970"/>
      <c r="O9" s="650">
        <f t="shared" ref="O9:O39" si="2">G9/$O$8</f>
        <v>0</v>
      </c>
    </row>
    <row r="10" spans="1:29" s="333" customFormat="1" ht="11.25" customHeight="1">
      <c r="A10" s="330">
        <v>2</v>
      </c>
      <c r="B10" s="365">
        <f>'FRIT HGE91-FHG'!B10</f>
        <v>46236</v>
      </c>
      <c r="C10" s="331" t="s">
        <v>346</v>
      </c>
      <c r="D10" s="1451">
        <f t="shared" si="0"/>
        <v>0</v>
      </c>
      <c r="E10" s="1451">
        <f t="shared" ref="E10:E39" si="3">I10+J10+K10+L10</f>
        <v>0</v>
      </c>
      <c r="F10" s="1451">
        <f>$F$9</f>
        <v>10902.777777777777</v>
      </c>
      <c r="G10" s="1451">
        <f t="shared" si="1"/>
        <v>0</v>
      </c>
      <c r="H10" s="1452">
        <f t="shared" ref="H10:H39" si="4">G10/10417</f>
        <v>0</v>
      </c>
      <c r="I10" s="772"/>
      <c r="J10" s="772"/>
      <c r="K10" s="772"/>
      <c r="L10" s="1123"/>
      <c r="M10" s="970"/>
      <c r="N10" s="970"/>
      <c r="O10" s="650">
        <f t="shared" si="2"/>
        <v>0</v>
      </c>
      <c r="P10" s="305"/>
      <c r="Q10" s="305"/>
      <c r="R10" s="305"/>
    </row>
    <row r="11" spans="1:29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1451">
        <f t="shared" si="0"/>
        <v>0</v>
      </c>
      <c r="E11" s="1451">
        <f t="shared" si="3"/>
        <v>0</v>
      </c>
      <c r="F11" s="1451">
        <f>$F$9</f>
        <v>10902.777777777777</v>
      </c>
      <c r="G11" s="1451">
        <f t="shared" si="1"/>
        <v>0</v>
      </c>
      <c r="H11" s="1452">
        <f t="shared" si="4"/>
        <v>0</v>
      </c>
      <c r="I11" s="772"/>
      <c r="J11" s="772"/>
      <c r="K11" s="772"/>
      <c r="L11" s="1123"/>
      <c r="M11" s="970"/>
      <c r="N11" s="970"/>
      <c r="O11" s="650">
        <f t="shared" si="2"/>
        <v>0</v>
      </c>
      <c r="P11" s="305"/>
      <c r="Q11" s="305"/>
      <c r="R11" s="305"/>
    </row>
    <row r="12" spans="1:29" s="367" customFormat="1" ht="11.25" customHeight="1">
      <c r="A12" s="330">
        <v>4</v>
      </c>
      <c r="B12" s="365">
        <f>'FRIT HGE91-FHG'!B12</f>
        <v>46238</v>
      </c>
      <c r="C12" s="331" t="s">
        <v>348</v>
      </c>
      <c r="D12" s="1451">
        <f t="shared" si="0"/>
        <v>0</v>
      </c>
      <c r="E12" s="1451">
        <f t="shared" si="3"/>
        <v>0</v>
      </c>
      <c r="F12" s="1451">
        <f t="shared" ref="F12:F39" si="5">$F$9</f>
        <v>10902.777777777777</v>
      </c>
      <c r="G12" s="1451">
        <f t="shared" si="1"/>
        <v>0</v>
      </c>
      <c r="H12" s="1452">
        <f t="shared" si="4"/>
        <v>0</v>
      </c>
      <c r="I12" s="772"/>
      <c r="J12" s="772"/>
      <c r="K12" s="772"/>
      <c r="L12" s="1123"/>
      <c r="M12" s="970"/>
      <c r="N12" s="970"/>
      <c r="O12" s="650">
        <f t="shared" si="2"/>
        <v>0</v>
      </c>
      <c r="P12" s="305"/>
      <c r="Q12" s="305"/>
      <c r="R12" s="305"/>
    </row>
    <row r="13" spans="1:29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1451">
        <f t="shared" si="0"/>
        <v>0</v>
      </c>
      <c r="E13" s="1451">
        <f t="shared" si="3"/>
        <v>0</v>
      </c>
      <c r="F13" s="1451">
        <f t="shared" si="5"/>
        <v>10902.777777777777</v>
      </c>
      <c r="G13" s="1453">
        <f t="shared" si="1"/>
        <v>0</v>
      </c>
      <c r="H13" s="1452">
        <f t="shared" si="4"/>
        <v>0</v>
      </c>
      <c r="I13" s="772"/>
      <c r="J13" s="772"/>
      <c r="K13" s="772"/>
      <c r="L13" s="1123"/>
      <c r="M13" s="970"/>
      <c r="N13" s="970"/>
      <c r="O13" s="650">
        <f t="shared" si="2"/>
        <v>0</v>
      </c>
      <c r="P13" s="305"/>
      <c r="Q13" s="305"/>
      <c r="R13" s="305"/>
    </row>
    <row r="14" spans="1:29" s="367" customFormat="1" ht="11.25" customHeight="1">
      <c r="A14" s="330">
        <v>6</v>
      </c>
      <c r="B14" s="365">
        <f>'FRIT HGE91-FHG'!B14</f>
        <v>46240</v>
      </c>
      <c r="C14" s="331" t="s">
        <v>348</v>
      </c>
      <c r="D14" s="1451">
        <f t="shared" si="0"/>
        <v>0</v>
      </c>
      <c r="E14" s="1451">
        <f t="shared" si="3"/>
        <v>0</v>
      </c>
      <c r="F14" s="1451">
        <f t="shared" si="5"/>
        <v>10902.777777777777</v>
      </c>
      <c r="G14" s="1451">
        <f t="shared" si="1"/>
        <v>0</v>
      </c>
      <c r="H14" s="1452">
        <f t="shared" si="4"/>
        <v>0</v>
      </c>
      <c r="I14" s="772"/>
      <c r="J14" s="772"/>
      <c r="K14" s="772"/>
      <c r="L14" s="1123"/>
      <c r="M14" s="970"/>
      <c r="N14" s="970"/>
      <c r="O14" s="650">
        <f t="shared" si="2"/>
        <v>0</v>
      </c>
      <c r="P14" s="305"/>
      <c r="Q14" s="305"/>
      <c r="R14" s="305"/>
    </row>
    <row r="15" spans="1:29" s="367" customFormat="1" ht="11.25" customHeight="1">
      <c r="A15" s="330">
        <v>7</v>
      </c>
      <c r="B15" s="365">
        <f>'FRIT HGE91-FHG'!B15</f>
        <v>46241</v>
      </c>
      <c r="C15" s="331" t="s">
        <v>348</v>
      </c>
      <c r="D15" s="1451">
        <f t="shared" si="0"/>
        <v>0</v>
      </c>
      <c r="E15" s="1451">
        <f t="shared" si="3"/>
        <v>0</v>
      </c>
      <c r="F15" s="1451">
        <f t="shared" si="5"/>
        <v>10902.777777777777</v>
      </c>
      <c r="G15" s="1451">
        <f t="shared" si="1"/>
        <v>0</v>
      </c>
      <c r="H15" s="1452">
        <f t="shared" si="4"/>
        <v>0</v>
      </c>
      <c r="I15" s="772"/>
      <c r="J15" s="772"/>
      <c r="K15" s="772"/>
      <c r="L15" s="1123"/>
      <c r="M15" s="970"/>
      <c r="N15" s="970"/>
      <c r="O15" s="650">
        <f t="shared" si="2"/>
        <v>0</v>
      </c>
      <c r="P15" s="305"/>
      <c r="Q15" s="305"/>
      <c r="R15" s="305"/>
    </row>
    <row r="16" spans="1:29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1451">
        <f t="shared" si="0"/>
        <v>0</v>
      </c>
      <c r="E16" s="1451">
        <f t="shared" si="3"/>
        <v>0</v>
      </c>
      <c r="F16" s="1451">
        <f t="shared" si="5"/>
        <v>10902.777777777777</v>
      </c>
      <c r="G16" s="1451">
        <f t="shared" si="1"/>
        <v>0</v>
      </c>
      <c r="H16" s="1452">
        <f t="shared" si="4"/>
        <v>0</v>
      </c>
      <c r="I16" s="772"/>
      <c r="J16" s="772"/>
      <c r="K16" s="772"/>
      <c r="L16" s="1123"/>
      <c r="M16" s="970"/>
      <c r="N16" s="970"/>
      <c r="O16" s="650">
        <f t="shared" si="2"/>
        <v>0</v>
      </c>
      <c r="P16" s="305"/>
      <c r="Q16" s="305"/>
      <c r="R16" s="305"/>
    </row>
    <row r="17" spans="1:18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1451">
        <f t="shared" si="0"/>
        <v>0</v>
      </c>
      <c r="E17" s="1451">
        <f t="shared" si="3"/>
        <v>0</v>
      </c>
      <c r="F17" s="1451">
        <f t="shared" si="5"/>
        <v>10902.777777777777</v>
      </c>
      <c r="G17" s="1451">
        <f t="shared" si="1"/>
        <v>0</v>
      </c>
      <c r="H17" s="1452">
        <f t="shared" si="4"/>
        <v>0</v>
      </c>
      <c r="I17" s="772"/>
      <c r="J17" s="772"/>
      <c r="K17" s="772"/>
      <c r="L17" s="1123"/>
      <c r="M17" s="970"/>
      <c r="N17" s="970"/>
      <c r="O17" s="650">
        <f t="shared" si="2"/>
        <v>0</v>
      </c>
      <c r="P17" s="305"/>
      <c r="Q17" s="305"/>
      <c r="R17" s="305"/>
    </row>
    <row r="18" spans="1:18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1451">
        <f t="shared" si="0"/>
        <v>0</v>
      </c>
      <c r="E18" s="1451">
        <f t="shared" si="3"/>
        <v>0</v>
      </c>
      <c r="F18" s="1451">
        <f t="shared" si="5"/>
        <v>10902.777777777777</v>
      </c>
      <c r="G18" s="1453">
        <f t="shared" si="1"/>
        <v>0</v>
      </c>
      <c r="H18" s="1452">
        <f t="shared" si="4"/>
        <v>0</v>
      </c>
      <c r="I18" s="772"/>
      <c r="J18" s="772"/>
      <c r="K18" s="772"/>
      <c r="L18" s="1123"/>
      <c r="M18" s="970"/>
      <c r="N18" s="970"/>
      <c r="O18" s="650">
        <f t="shared" si="2"/>
        <v>0</v>
      </c>
      <c r="P18" s="305"/>
      <c r="Q18" s="305"/>
      <c r="R18" s="305"/>
    </row>
    <row r="19" spans="1:18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1451">
        <f t="shared" si="0"/>
        <v>0</v>
      </c>
      <c r="E19" s="1451">
        <f t="shared" si="3"/>
        <v>0</v>
      </c>
      <c r="F19" s="1451">
        <f t="shared" si="5"/>
        <v>10902.777777777777</v>
      </c>
      <c r="G19" s="1451">
        <f t="shared" si="1"/>
        <v>0</v>
      </c>
      <c r="H19" s="1452">
        <f t="shared" si="4"/>
        <v>0</v>
      </c>
      <c r="I19" s="772"/>
      <c r="J19" s="772"/>
      <c r="K19" s="772"/>
      <c r="L19" s="1123"/>
      <c r="M19" s="970"/>
      <c r="N19" s="970"/>
      <c r="O19" s="650">
        <f t="shared" si="2"/>
        <v>0</v>
      </c>
      <c r="P19" s="305"/>
      <c r="Q19" s="305"/>
      <c r="R19" s="305"/>
    </row>
    <row r="20" spans="1:18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1451">
        <f t="shared" si="0"/>
        <v>17950</v>
      </c>
      <c r="E20" s="1451">
        <f t="shared" si="3"/>
        <v>0</v>
      </c>
      <c r="F20" s="1451">
        <f t="shared" si="5"/>
        <v>10902.777777777777</v>
      </c>
      <c r="G20" s="1451">
        <f t="shared" si="1"/>
        <v>17950</v>
      </c>
      <c r="H20" s="1452">
        <f t="shared" si="4"/>
        <v>1.7231448593645002</v>
      </c>
      <c r="I20" s="772"/>
      <c r="J20" s="772"/>
      <c r="K20" s="772"/>
      <c r="L20" s="1123"/>
      <c r="M20" s="970"/>
      <c r="N20" s="970">
        <v>17950</v>
      </c>
      <c r="O20" s="650">
        <f t="shared" si="2"/>
        <v>1.4958333333333333</v>
      </c>
      <c r="P20" s="305"/>
      <c r="Q20" s="305"/>
      <c r="R20" s="305"/>
    </row>
    <row r="21" spans="1:18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1451">
        <f t="shared" si="0"/>
        <v>0</v>
      </c>
      <c r="E21" s="1451">
        <f t="shared" si="3"/>
        <v>5000</v>
      </c>
      <c r="F21" s="1451">
        <f t="shared" si="5"/>
        <v>10902.777777777777</v>
      </c>
      <c r="G21" s="1451">
        <f t="shared" si="1"/>
        <v>12950</v>
      </c>
      <c r="H21" s="1452">
        <f t="shared" si="4"/>
        <v>1.243160218872996</v>
      </c>
      <c r="I21" s="772"/>
      <c r="J21" s="772">
        <v>5000</v>
      </c>
      <c r="K21" s="772"/>
      <c r="L21" s="1123"/>
      <c r="M21" s="970"/>
      <c r="N21" s="970"/>
      <c r="O21" s="650">
        <f t="shared" si="2"/>
        <v>1.0791666666666666</v>
      </c>
      <c r="P21" s="305"/>
      <c r="Q21" s="305"/>
      <c r="R21" s="305"/>
    </row>
    <row r="22" spans="1:18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1451">
        <f t="shared" si="0"/>
        <v>0</v>
      </c>
      <c r="E22" s="1451">
        <f t="shared" si="3"/>
        <v>5000</v>
      </c>
      <c r="F22" s="1451">
        <f t="shared" si="5"/>
        <v>10902.777777777777</v>
      </c>
      <c r="G22" s="1451">
        <f t="shared" si="1"/>
        <v>7950</v>
      </c>
      <c r="H22" s="1452">
        <f t="shared" si="4"/>
        <v>0.76317557838149175</v>
      </c>
      <c r="I22" s="772"/>
      <c r="J22" s="772">
        <v>5000</v>
      </c>
      <c r="K22" s="772"/>
      <c r="L22" s="1123"/>
      <c r="M22" s="970"/>
      <c r="N22" s="970"/>
      <c r="O22" s="650">
        <f t="shared" si="2"/>
        <v>0.66249999999999998</v>
      </c>
      <c r="P22" s="305"/>
      <c r="Q22" s="305"/>
      <c r="R22" s="305"/>
    </row>
    <row r="23" spans="1:18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1451">
        <f t="shared" si="0"/>
        <v>0</v>
      </c>
      <c r="E23" s="1451">
        <f t="shared" si="3"/>
        <v>7950</v>
      </c>
      <c r="F23" s="1451">
        <f t="shared" si="5"/>
        <v>10902.777777777777</v>
      </c>
      <c r="G23" s="1453">
        <f t="shared" si="1"/>
        <v>0</v>
      </c>
      <c r="H23" s="1452">
        <f t="shared" si="4"/>
        <v>0</v>
      </c>
      <c r="I23" s="772"/>
      <c r="J23" s="772">
        <v>7950</v>
      </c>
      <c r="K23" s="772"/>
      <c r="L23" s="1123"/>
      <c r="M23" s="970"/>
      <c r="N23" s="970"/>
      <c r="O23" s="650">
        <f t="shared" si="2"/>
        <v>0</v>
      </c>
      <c r="P23" s="305"/>
      <c r="Q23" s="305"/>
      <c r="R23" s="305"/>
    </row>
    <row r="24" spans="1:18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1451">
        <f t="shared" si="0"/>
        <v>0</v>
      </c>
      <c r="E24" s="1451">
        <f t="shared" si="3"/>
        <v>0</v>
      </c>
      <c r="F24" s="1451">
        <f t="shared" si="5"/>
        <v>10902.777777777777</v>
      </c>
      <c r="G24" s="1451">
        <f t="shared" si="1"/>
        <v>0</v>
      </c>
      <c r="H24" s="1452">
        <f t="shared" si="4"/>
        <v>0</v>
      </c>
      <c r="I24" s="772"/>
      <c r="J24" s="772"/>
      <c r="K24" s="772"/>
      <c r="L24" s="1123"/>
      <c r="M24" s="970"/>
      <c r="N24" s="970"/>
      <c r="O24" s="650">
        <f t="shared" si="2"/>
        <v>0</v>
      </c>
      <c r="P24" s="305"/>
      <c r="Q24" s="305"/>
      <c r="R24" s="305"/>
    </row>
    <row r="25" spans="1:18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1451">
        <f t="shared" si="0"/>
        <v>10000</v>
      </c>
      <c r="E25" s="1451">
        <f t="shared" si="3"/>
        <v>5000</v>
      </c>
      <c r="F25" s="1451">
        <f t="shared" si="5"/>
        <v>10902.777777777777</v>
      </c>
      <c r="G25" s="1451">
        <f t="shared" si="1"/>
        <v>5000</v>
      </c>
      <c r="H25" s="1452">
        <f t="shared" si="4"/>
        <v>0.47998464049150424</v>
      </c>
      <c r="I25" s="772"/>
      <c r="J25" s="772">
        <v>5000</v>
      </c>
      <c r="K25" s="772"/>
      <c r="L25" s="1123"/>
      <c r="M25" s="970"/>
      <c r="N25" s="970">
        <v>10000</v>
      </c>
      <c r="O25" s="650">
        <f t="shared" si="2"/>
        <v>0.41666666666666669</v>
      </c>
      <c r="P25" s="305"/>
      <c r="Q25" s="305"/>
      <c r="R25" s="305"/>
    </row>
    <row r="26" spans="1:18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1451">
        <f t="shared" si="0"/>
        <v>12120</v>
      </c>
      <c r="E26" s="1451">
        <f t="shared" si="3"/>
        <v>0</v>
      </c>
      <c r="F26" s="1451">
        <f t="shared" si="5"/>
        <v>10902.777777777777</v>
      </c>
      <c r="G26" s="1451">
        <f t="shared" si="1"/>
        <v>17120</v>
      </c>
      <c r="H26" s="1452">
        <f t="shared" si="4"/>
        <v>1.6434674090429107</v>
      </c>
      <c r="I26" s="772"/>
      <c r="J26" s="772"/>
      <c r="K26" s="772"/>
      <c r="L26" s="1123"/>
      <c r="M26" s="970"/>
      <c r="N26" s="970">
        <f>5600+6520</f>
        <v>12120</v>
      </c>
      <c r="O26" s="650">
        <f t="shared" si="2"/>
        <v>1.4266666666666667</v>
      </c>
    </row>
    <row r="27" spans="1:18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1451">
        <f t="shared" si="0"/>
        <v>0</v>
      </c>
      <c r="E27" s="1451">
        <f t="shared" si="3"/>
        <v>0</v>
      </c>
      <c r="F27" s="1451">
        <f t="shared" si="5"/>
        <v>10902.777777777777</v>
      </c>
      <c r="G27" s="1451">
        <f t="shared" si="1"/>
        <v>17120</v>
      </c>
      <c r="H27" s="1452">
        <f t="shared" si="4"/>
        <v>1.6434674090429107</v>
      </c>
      <c r="I27" s="772"/>
      <c r="J27" s="772"/>
      <c r="K27" s="772"/>
      <c r="L27" s="1123"/>
      <c r="M27" s="970"/>
      <c r="N27" s="970"/>
      <c r="O27" s="650">
        <f t="shared" si="2"/>
        <v>1.4266666666666667</v>
      </c>
    </row>
    <row r="28" spans="1:18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1451">
        <f t="shared" si="0"/>
        <v>0</v>
      </c>
      <c r="E28" s="1451">
        <f t="shared" si="3"/>
        <v>0</v>
      </c>
      <c r="F28" s="1451">
        <f t="shared" si="5"/>
        <v>10902.777777777777</v>
      </c>
      <c r="G28" s="1453">
        <f t="shared" si="1"/>
        <v>17120</v>
      </c>
      <c r="H28" s="1452">
        <f t="shared" si="4"/>
        <v>1.6434674090429107</v>
      </c>
      <c r="I28" s="772"/>
      <c r="J28" s="772"/>
      <c r="K28" s="772"/>
      <c r="L28" s="1123"/>
      <c r="M28" s="970"/>
      <c r="N28" s="970"/>
      <c r="O28" s="650">
        <f t="shared" si="2"/>
        <v>1.4266666666666667</v>
      </c>
    </row>
    <row r="29" spans="1:18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1451">
        <f t="shared" si="0"/>
        <v>0</v>
      </c>
      <c r="E29" s="1451">
        <f t="shared" si="3"/>
        <v>0</v>
      </c>
      <c r="F29" s="1451">
        <f t="shared" si="5"/>
        <v>10902.777777777777</v>
      </c>
      <c r="G29" s="1454">
        <f t="shared" si="1"/>
        <v>17120</v>
      </c>
      <c r="H29" s="1452">
        <f t="shared" si="4"/>
        <v>1.6434674090429107</v>
      </c>
      <c r="I29" s="772"/>
      <c r="J29" s="772"/>
      <c r="K29" s="772"/>
      <c r="L29" s="1123"/>
      <c r="M29" s="970"/>
      <c r="N29" s="970"/>
      <c r="O29" s="650">
        <f t="shared" si="2"/>
        <v>1.4266666666666667</v>
      </c>
    </row>
    <row r="30" spans="1:18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1451">
        <f t="shared" si="0"/>
        <v>0</v>
      </c>
      <c r="E30" s="1451">
        <f t="shared" si="3"/>
        <v>0</v>
      </c>
      <c r="F30" s="1451">
        <f t="shared" si="5"/>
        <v>10902.777777777777</v>
      </c>
      <c r="G30" s="1454">
        <f t="shared" si="1"/>
        <v>17120</v>
      </c>
      <c r="H30" s="1452">
        <f t="shared" si="4"/>
        <v>1.6434674090429107</v>
      </c>
      <c r="I30" s="772"/>
      <c r="J30" s="772"/>
      <c r="K30" s="772"/>
      <c r="L30" s="1123"/>
      <c r="M30" s="970"/>
      <c r="N30" s="970"/>
      <c r="O30" s="650">
        <f t="shared" si="2"/>
        <v>1.4266666666666667</v>
      </c>
    </row>
    <row r="31" spans="1:18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1451">
        <f t="shared" si="0"/>
        <v>0</v>
      </c>
      <c r="E31" s="1451">
        <f t="shared" si="3"/>
        <v>0</v>
      </c>
      <c r="F31" s="1451">
        <f t="shared" si="5"/>
        <v>10902.777777777777</v>
      </c>
      <c r="G31" s="1454">
        <f t="shared" si="1"/>
        <v>17120</v>
      </c>
      <c r="H31" s="1452">
        <f t="shared" si="4"/>
        <v>1.6434674090429107</v>
      </c>
      <c r="I31" s="772"/>
      <c r="J31" s="772"/>
      <c r="K31" s="772"/>
      <c r="L31" s="1123"/>
      <c r="M31" s="970"/>
      <c r="N31" s="970"/>
      <c r="O31" s="650">
        <f t="shared" si="2"/>
        <v>1.4266666666666667</v>
      </c>
    </row>
    <row r="32" spans="1:18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1451">
        <f t="shared" si="0"/>
        <v>0</v>
      </c>
      <c r="E32" s="1451">
        <f t="shared" si="3"/>
        <v>0</v>
      </c>
      <c r="F32" s="1451">
        <f t="shared" si="5"/>
        <v>10902.777777777777</v>
      </c>
      <c r="G32" s="1454">
        <f t="shared" si="1"/>
        <v>17120</v>
      </c>
      <c r="H32" s="1452">
        <f t="shared" si="4"/>
        <v>1.6434674090429107</v>
      </c>
      <c r="I32" s="772"/>
      <c r="J32" s="772"/>
      <c r="K32" s="772"/>
      <c r="L32" s="1123"/>
      <c r="M32" s="970"/>
      <c r="N32" s="970"/>
      <c r="O32" s="650">
        <f t="shared" si="2"/>
        <v>1.4266666666666667</v>
      </c>
    </row>
    <row r="33" spans="1:16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1451">
        <f t="shared" si="0"/>
        <v>0</v>
      </c>
      <c r="E33" s="1451">
        <f t="shared" si="3"/>
        <v>0</v>
      </c>
      <c r="F33" s="1451">
        <f t="shared" si="5"/>
        <v>10902.777777777777</v>
      </c>
      <c r="G33" s="1455">
        <f t="shared" si="1"/>
        <v>17120</v>
      </c>
      <c r="H33" s="1452">
        <f t="shared" si="4"/>
        <v>1.6434674090429107</v>
      </c>
      <c r="I33" s="772"/>
      <c r="J33" s="772"/>
      <c r="K33" s="772"/>
      <c r="L33" s="1123"/>
      <c r="M33" s="970"/>
      <c r="N33" s="970"/>
      <c r="O33" s="650">
        <f t="shared" si="2"/>
        <v>1.4266666666666667</v>
      </c>
    </row>
    <row r="34" spans="1:16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1451">
        <f t="shared" si="0"/>
        <v>0</v>
      </c>
      <c r="E34" s="1451">
        <f t="shared" si="3"/>
        <v>0</v>
      </c>
      <c r="F34" s="1451">
        <f t="shared" si="5"/>
        <v>10902.777777777777</v>
      </c>
      <c r="G34" s="1451">
        <f t="shared" si="1"/>
        <v>17120</v>
      </c>
      <c r="H34" s="1452">
        <f t="shared" si="4"/>
        <v>1.6434674090429107</v>
      </c>
      <c r="I34" s="772"/>
      <c r="J34" s="772"/>
      <c r="K34" s="772"/>
      <c r="L34" s="1123"/>
      <c r="M34" s="970"/>
      <c r="N34" s="970"/>
      <c r="O34" s="650">
        <f t="shared" si="2"/>
        <v>1.4266666666666667</v>
      </c>
    </row>
    <row r="35" spans="1:16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1451">
        <f t="shared" si="0"/>
        <v>0</v>
      </c>
      <c r="E35" s="1451">
        <f t="shared" si="3"/>
        <v>0</v>
      </c>
      <c r="F35" s="1451">
        <f t="shared" si="5"/>
        <v>10902.777777777777</v>
      </c>
      <c r="G35" s="1451">
        <f t="shared" si="1"/>
        <v>17120</v>
      </c>
      <c r="H35" s="1452">
        <f t="shared" si="4"/>
        <v>1.6434674090429107</v>
      </c>
      <c r="I35" s="772"/>
      <c r="J35" s="772"/>
      <c r="K35" s="772"/>
      <c r="L35" s="1123"/>
      <c r="M35" s="970"/>
      <c r="N35" s="970"/>
      <c r="O35" s="650">
        <f t="shared" si="2"/>
        <v>1.4266666666666667</v>
      </c>
    </row>
    <row r="36" spans="1:16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1451">
        <f t="shared" si="0"/>
        <v>0</v>
      </c>
      <c r="E36" s="1451">
        <f t="shared" si="3"/>
        <v>0</v>
      </c>
      <c r="F36" s="1451">
        <f t="shared" si="5"/>
        <v>10902.777777777777</v>
      </c>
      <c r="G36" s="1451">
        <f t="shared" si="1"/>
        <v>17120</v>
      </c>
      <c r="H36" s="1452">
        <f t="shared" si="4"/>
        <v>1.6434674090429107</v>
      </c>
      <c r="I36" s="772"/>
      <c r="J36" s="772"/>
      <c r="K36" s="772"/>
      <c r="L36" s="1123"/>
      <c r="M36" s="970"/>
      <c r="N36" s="970"/>
      <c r="O36" s="650">
        <f t="shared" si="2"/>
        <v>1.4266666666666667</v>
      </c>
    </row>
    <row r="37" spans="1:16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51">
        <f t="shared" si="0"/>
        <v>0</v>
      </c>
      <c r="E37" s="1451">
        <f t="shared" si="3"/>
        <v>0</v>
      </c>
      <c r="F37" s="1451">
        <f t="shared" si="5"/>
        <v>10902.777777777777</v>
      </c>
      <c r="G37" s="1451">
        <f t="shared" si="1"/>
        <v>17120</v>
      </c>
      <c r="H37" s="1452">
        <f t="shared" si="4"/>
        <v>1.6434674090429107</v>
      </c>
      <c r="I37" s="772"/>
      <c r="J37" s="772"/>
      <c r="K37" s="772"/>
      <c r="L37" s="1123"/>
      <c r="M37" s="970"/>
      <c r="N37" s="970"/>
      <c r="O37" s="650">
        <f t="shared" si="2"/>
        <v>1.4266666666666667</v>
      </c>
    </row>
    <row r="38" spans="1:16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1">
        <f t="shared" si="0"/>
        <v>0</v>
      </c>
      <c r="E38" s="1451">
        <f t="shared" si="3"/>
        <v>0</v>
      </c>
      <c r="F38" s="1451">
        <f t="shared" si="5"/>
        <v>10902.777777777777</v>
      </c>
      <c r="G38" s="1453">
        <f>G37+D38-E38</f>
        <v>17120</v>
      </c>
      <c r="H38" s="1452">
        <f t="shared" si="4"/>
        <v>1.6434674090429107</v>
      </c>
      <c r="I38" s="772"/>
      <c r="J38" s="772"/>
      <c r="K38" s="772"/>
      <c r="L38" s="1123"/>
      <c r="M38" s="970"/>
      <c r="N38" s="970"/>
      <c r="O38" s="650">
        <f t="shared" si="2"/>
        <v>1.4266666666666667</v>
      </c>
    </row>
    <row r="39" spans="1:16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51">
        <f t="shared" si="0"/>
        <v>0</v>
      </c>
      <c r="E39" s="1451">
        <f t="shared" si="3"/>
        <v>0</v>
      </c>
      <c r="F39" s="1451">
        <f t="shared" si="5"/>
        <v>10902.777777777777</v>
      </c>
      <c r="G39" s="1451">
        <f t="shared" si="1"/>
        <v>17120</v>
      </c>
      <c r="H39" s="1452">
        <f t="shared" si="4"/>
        <v>1.6434674090429107</v>
      </c>
      <c r="I39" s="772"/>
      <c r="J39" s="772"/>
      <c r="K39" s="772"/>
      <c r="L39" s="1123"/>
      <c r="M39" s="970"/>
      <c r="N39" s="970"/>
      <c r="O39" s="650">
        <f t="shared" si="2"/>
        <v>1.4266666666666667</v>
      </c>
    </row>
    <row r="40" spans="1:16" s="374" customFormat="1" ht="11.25" customHeight="1">
      <c r="A40" s="1647" t="s">
        <v>29</v>
      </c>
      <c r="B40" s="1647"/>
      <c r="C40" s="1647"/>
      <c r="D40" s="448">
        <f>SUM(D9:D39)</f>
        <v>40070</v>
      </c>
      <c r="E40" s="389">
        <f>SUM(E9:E39)</f>
        <v>22950</v>
      </c>
      <c r="F40" s="449"/>
      <c r="G40" s="389">
        <f>G39</f>
        <v>17120</v>
      </c>
      <c r="H40" s="309"/>
      <c r="I40" s="689">
        <f>SUM(I9:I39)</f>
        <v>0</v>
      </c>
      <c r="J40" s="689">
        <f t="shared" ref="J40:N40" si="6">SUM(J9:J39)</f>
        <v>22950</v>
      </c>
      <c r="K40" s="689">
        <f t="shared" si="6"/>
        <v>0</v>
      </c>
      <c r="L40" s="689">
        <f t="shared" si="6"/>
        <v>0</v>
      </c>
      <c r="M40" s="689">
        <f t="shared" si="6"/>
        <v>0</v>
      </c>
      <c r="N40" s="689">
        <f t="shared" si="6"/>
        <v>40070</v>
      </c>
    </row>
    <row r="41" spans="1:16" s="374" customFormat="1" ht="11.25" customHeight="1">
      <c r="A41" s="1647" t="s">
        <v>15</v>
      </c>
      <c r="B41" s="1647"/>
      <c r="C41" s="1647"/>
      <c r="D41" s="448">
        <f>D8+D40</f>
        <v>40070</v>
      </c>
      <c r="E41" s="389">
        <f>E40</f>
        <v>22950</v>
      </c>
      <c r="F41" s="449"/>
      <c r="G41" s="389">
        <f>D41-E41</f>
        <v>17120</v>
      </c>
      <c r="H41" s="309"/>
      <c r="I41" s="689"/>
      <c r="J41" s="689"/>
      <c r="K41" s="689"/>
      <c r="L41" s="794"/>
      <c r="M41" s="794"/>
      <c r="N41" s="794"/>
    </row>
    <row r="42" spans="1:16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6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</row>
    <row r="47" spans="1:16">
      <c r="P47" s="151"/>
    </row>
    <row r="48" spans="1:16">
      <c r="P48" s="151"/>
    </row>
    <row r="49" spans="16:16">
      <c r="P49" s="151"/>
    </row>
  </sheetData>
  <mergeCells count="7">
    <mergeCell ref="A41:C41"/>
    <mergeCell ref="A3:I3"/>
    <mergeCell ref="A4:B4"/>
    <mergeCell ref="M7:M8"/>
    <mergeCell ref="N7:N8"/>
    <mergeCell ref="A8:C8"/>
    <mergeCell ref="A40:C40"/>
  </mergeCells>
  <conditionalFormatting sqref="H9:H39">
    <cfRule type="cellIs" dxfId="8285" priority="22" operator="between">
      <formula>3.5</formula>
      <formula>6</formula>
    </cfRule>
    <cfRule type="cellIs" dxfId="8284" priority="23" operator="lessThan">
      <formula>3.5</formula>
    </cfRule>
    <cfRule type="cellIs" dxfId="8283" priority="24" operator="greaterThan">
      <formula>6</formula>
    </cfRule>
  </conditionalFormatting>
  <conditionalFormatting sqref="H9:H39">
    <cfRule type="cellIs" dxfId="8282" priority="19" operator="between">
      <formula>3.5</formula>
      <formula>6</formula>
    </cfRule>
    <cfRule type="cellIs" dxfId="8281" priority="20" operator="lessThan">
      <formula>3.5</formula>
    </cfRule>
    <cfRule type="cellIs" dxfId="8280" priority="21" operator="greaterThan">
      <formula>6</formula>
    </cfRule>
  </conditionalFormatting>
  <conditionalFormatting sqref="H9:H39">
    <cfRule type="cellIs" dxfId="8279" priority="16" operator="between">
      <formula>3.5</formula>
      <formula>6</formula>
    </cfRule>
    <cfRule type="cellIs" dxfId="8278" priority="17" operator="lessThan">
      <formula>3.5</formula>
    </cfRule>
    <cfRule type="cellIs" dxfId="8277" priority="18" operator="greaterThan">
      <formula>6</formula>
    </cfRule>
  </conditionalFormatting>
  <conditionalFormatting sqref="H9:H39">
    <cfRule type="cellIs" dxfId="8276" priority="13" operator="between">
      <formula>3.5</formula>
      <formula>6</formula>
    </cfRule>
    <cfRule type="cellIs" dxfId="8275" priority="14" operator="lessThan">
      <formula>3.5</formula>
    </cfRule>
    <cfRule type="cellIs" dxfId="8274" priority="15" operator="greaterThan">
      <formula>6</formula>
    </cfRule>
  </conditionalFormatting>
  <conditionalFormatting sqref="H9:H39">
    <cfRule type="cellIs" dxfId="8273" priority="10" operator="between">
      <formula>3.5</formula>
      <formula>6</formula>
    </cfRule>
    <cfRule type="cellIs" dxfId="8272" priority="11" operator="lessThan">
      <formula>3.5</formula>
    </cfRule>
    <cfRule type="cellIs" dxfId="8271" priority="12" operator="greaterThan">
      <formula>6</formula>
    </cfRule>
  </conditionalFormatting>
  <conditionalFormatting sqref="H9:H39">
    <cfRule type="cellIs" dxfId="8270" priority="7" operator="between">
      <formula>3.5</formula>
      <formula>6</formula>
    </cfRule>
    <cfRule type="cellIs" dxfId="8269" priority="8" operator="lessThan">
      <formula>3.5</formula>
    </cfRule>
    <cfRule type="cellIs" dxfId="8268" priority="9" operator="greaterThan">
      <formula>6</formula>
    </cfRule>
  </conditionalFormatting>
  <conditionalFormatting sqref="H9:H39">
    <cfRule type="cellIs" dxfId="8267" priority="4" operator="between">
      <formula>3.5</formula>
      <formula>6</formula>
    </cfRule>
    <cfRule type="cellIs" dxfId="8266" priority="5" operator="lessThan">
      <formula>3.5</formula>
    </cfRule>
    <cfRule type="cellIs" dxfId="8265" priority="6" operator="greaterThan">
      <formula>6</formula>
    </cfRule>
  </conditionalFormatting>
  <conditionalFormatting sqref="H9:H39">
    <cfRule type="cellIs" dxfId="8264" priority="1" operator="between">
      <formula>3.5</formula>
      <formula>6</formula>
    </cfRule>
    <cfRule type="cellIs" dxfId="8263" priority="2" operator="lessThan">
      <formula>3.5</formula>
    </cfRule>
    <cfRule type="cellIs" dxfId="826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49"/>
  <sheetViews>
    <sheetView zoomScale="90" zoomScaleNormal="90" workbookViewId="0">
      <pane ySplit="8" topLeftCell="A9" activePane="bottomLeft" state="frozen"/>
      <selection pane="bottomLeft" activeCell="M16" sqref="M1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8.7109375" style="42" customWidth="1"/>
    <col min="10" max="10" width="10" style="42" customWidth="1"/>
    <col min="11" max="11" width="8.7109375" style="42" customWidth="1"/>
    <col min="12" max="13" width="15.28515625" style="42" customWidth="1"/>
    <col min="14" max="14" width="11.5703125" style="143" bestFit="1" customWidth="1"/>
    <col min="15" max="15" width="7.5703125" style="42" customWidth="1"/>
    <col min="16" max="16" width="9.5703125" style="42" customWidth="1"/>
    <col min="17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22"/>
      <c r="K3" s="1022"/>
      <c r="L3" s="1022"/>
      <c r="M3" s="1022"/>
      <c r="O3" s="442"/>
      <c r="P3" s="442"/>
      <c r="Q3" s="442"/>
    </row>
    <row r="4" spans="1:28" s="1027" customFormat="1" ht="12" customHeight="1">
      <c r="A4" s="1648" t="s">
        <v>33</v>
      </c>
      <c r="B4" s="1648"/>
      <c r="C4" s="551" t="str">
        <f>H4</f>
        <v>LUXURY 500*500-HA</v>
      </c>
      <c r="E4" s="549" t="s">
        <v>228</v>
      </c>
      <c r="F4" s="549" t="s">
        <v>235</v>
      </c>
      <c r="G4" s="550" t="s">
        <v>114</v>
      </c>
      <c r="H4" s="551" t="s">
        <v>825</v>
      </c>
      <c r="N4" s="143"/>
    </row>
    <row r="5" spans="1:28" s="102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143"/>
    </row>
    <row r="6" spans="1:28" s="1027" customFormat="1" ht="12" customHeight="1">
      <c r="B6" s="453"/>
      <c r="C6" s="453"/>
      <c r="D6" s="453"/>
      <c r="E6" s="453"/>
      <c r="F6" s="453"/>
      <c r="G6" s="453">
        <v>58500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1024" t="s">
        <v>2</v>
      </c>
      <c r="B7" s="1026" t="s">
        <v>1</v>
      </c>
      <c r="C7" s="102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23" t="s">
        <v>30</v>
      </c>
      <c r="I7" s="697" t="s">
        <v>341</v>
      </c>
      <c r="J7" s="697" t="s">
        <v>244</v>
      </c>
      <c r="K7" s="697" t="s">
        <v>344</v>
      </c>
      <c r="L7" s="1649" t="s">
        <v>771</v>
      </c>
      <c r="M7" s="1649" t="s">
        <v>772</v>
      </c>
      <c r="N7" s="143"/>
    </row>
    <row r="8" spans="1:28" s="305" customFormat="1" ht="12.7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649"/>
      <c r="M8" s="1649"/>
      <c r="N8" s="143">
        <v>12000</v>
      </c>
    </row>
    <row r="9" spans="1:28" s="305" customFormat="1" ht="11.25" customHeight="1">
      <c r="A9" s="1025">
        <v>1</v>
      </c>
      <c r="B9" s="365">
        <f>'FRIT HGE91-FHG'!B9</f>
        <v>46235</v>
      </c>
      <c r="C9" s="331" t="s">
        <v>334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970"/>
      <c r="M9" s="970"/>
      <c r="N9" s="650">
        <f>G9/$N$8</f>
        <v>0</v>
      </c>
    </row>
    <row r="10" spans="1:28" s="333" customFormat="1" ht="11.25" customHeight="1">
      <c r="A10" s="330">
        <v>2</v>
      </c>
      <c r="B10" s="365">
        <f>'FRIT HGE91-FHG'!B10</f>
        <v>46236</v>
      </c>
      <c r="C10" s="331" t="s">
        <v>346</v>
      </c>
      <c r="D10" s="396">
        <f t="shared" ref="D10:D39" si="1">L10+M10</f>
        <v>0</v>
      </c>
      <c r="E10" s="396">
        <f t="shared" ref="E10:E39" si="2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3">G10/10417</f>
        <v>0</v>
      </c>
      <c r="I10" s="772"/>
      <c r="J10" s="772"/>
      <c r="K10" s="772"/>
      <c r="L10" s="970"/>
      <c r="M10" s="970"/>
      <c r="N10" s="650">
        <f t="shared" ref="N10:N39" si="4">G10/$N$8</f>
        <v>0</v>
      </c>
    </row>
    <row r="11" spans="1:28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0</v>
      </c>
      <c r="H11" s="451">
        <f t="shared" si="3"/>
        <v>0</v>
      </c>
      <c r="I11" s="772"/>
      <c r="J11" s="772"/>
      <c r="K11" s="772"/>
      <c r="L11" s="970"/>
      <c r="M11" s="970"/>
      <c r="N11" s="650">
        <f t="shared" si="4"/>
        <v>0</v>
      </c>
    </row>
    <row r="12" spans="1:28" s="367" customFormat="1" ht="11.25" customHeight="1">
      <c r="A12" s="330">
        <v>4</v>
      </c>
      <c r="B12" s="365">
        <f>'FRIT HGE91-FHG'!B12</f>
        <v>46238</v>
      </c>
      <c r="C12" s="331" t="s">
        <v>348</v>
      </c>
      <c r="D12" s="396">
        <f t="shared" si="1"/>
        <v>0</v>
      </c>
      <c r="E12" s="396">
        <f t="shared" si="2"/>
        <v>0</v>
      </c>
      <c r="F12" s="396">
        <f t="shared" ref="F12:F39" si="5">$F$9</f>
        <v>10902.777777777777</v>
      </c>
      <c r="G12" s="396">
        <f t="shared" si="0"/>
        <v>0</v>
      </c>
      <c r="H12" s="451">
        <f t="shared" si="3"/>
        <v>0</v>
      </c>
      <c r="I12" s="772"/>
      <c r="J12" s="772"/>
      <c r="K12" s="772"/>
      <c r="L12" s="970"/>
      <c r="M12" s="970"/>
      <c r="N12" s="650">
        <f t="shared" si="4"/>
        <v>0</v>
      </c>
    </row>
    <row r="13" spans="1:28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0</v>
      </c>
      <c r="H13" s="451">
        <f t="shared" si="3"/>
        <v>0</v>
      </c>
      <c r="I13" s="772"/>
      <c r="J13" s="772"/>
      <c r="K13" s="772"/>
      <c r="L13" s="970"/>
      <c r="M13" s="970"/>
      <c r="N13" s="650">
        <f t="shared" si="4"/>
        <v>0</v>
      </c>
    </row>
    <row r="14" spans="1:28" s="367" customFormat="1" ht="11.25" customHeight="1">
      <c r="A14" s="330">
        <v>6</v>
      </c>
      <c r="B14" s="365">
        <f>'FRIT HGE91-FHG'!B14</f>
        <v>46240</v>
      </c>
      <c r="C14" s="331" t="s">
        <v>348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0</v>
      </c>
      <c r="H14" s="451">
        <f t="shared" si="3"/>
        <v>0</v>
      </c>
      <c r="I14" s="772"/>
      <c r="J14" s="772"/>
      <c r="K14" s="772"/>
      <c r="L14" s="970"/>
      <c r="M14" s="970"/>
      <c r="N14" s="650">
        <f t="shared" si="4"/>
        <v>0</v>
      </c>
    </row>
    <row r="15" spans="1:28" s="367" customFormat="1" ht="11.25" customHeight="1">
      <c r="A15" s="330">
        <v>7</v>
      </c>
      <c r="B15" s="365">
        <f>'FRIT HGE91-FHG'!B15</f>
        <v>46241</v>
      </c>
      <c r="C15" s="331" t="s">
        <v>348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0</v>
      </c>
      <c r="H15" s="451">
        <f t="shared" si="3"/>
        <v>0</v>
      </c>
      <c r="I15" s="772"/>
      <c r="J15" s="772"/>
      <c r="K15" s="772"/>
      <c r="L15" s="970"/>
      <c r="M15" s="970"/>
      <c r="N15" s="650">
        <f t="shared" si="4"/>
        <v>0</v>
      </c>
    </row>
    <row r="16" spans="1:28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0</v>
      </c>
      <c r="H16" s="451">
        <f t="shared" si="3"/>
        <v>0</v>
      </c>
      <c r="I16" s="772"/>
      <c r="J16" s="772"/>
      <c r="K16" s="772"/>
      <c r="L16" s="970"/>
      <c r="M16" s="970"/>
      <c r="N16" s="650">
        <f t="shared" si="4"/>
        <v>0</v>
      </c>
    </row>
    <row r="17" spans="1:14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0</v>
      </c>
      <c r="H17" s="451">
        <f t="shared" si="3"/>
        <v>0</v>
      </c>
      <c r="I17" s="772"/>
      <c r="J17" s="772"/>
      <c r="K17" s="772"/>
      <c r="L17" s="970"/>
      <c r="M17" s="970"/>
      <c r="N17" s="650">
        <f t="shared" si="4"/>
        <v>0</v>
      </c>
    </row>
    <row r="18" spans="1:14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0</v>
      </c>
      <c r="H18" s="451">
        <f t="shared" si="3"/>
        <v>0</v>
      </c>
      <c r="I18" s="772"/>
      <c r="J18" s="772"/>
      <c r="K18" s="772"/>
      <c r="L18" s="970"/>
      <c r="M18" s="970"/>
      <c r="N18" s="650">
        <f t="shared" si="4"/>
        <v>0</v>
      </c>
    </row>
    <row r="19" spans="1:14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0</v>
      </c>
      <c r="H19" s="451">
        <f t="shared" si="3"/>
        <v>0</v>
      </c>
      <c r="I19" s="772"/>
      <c r="J19" s="772"/>
      <c r="K19" s="772"/>
      <c r="L19" s="970"/>
      <c r="M19" s="970"/>
      <c r="N19" s="650">
        <f t="shared" si="4"/>
        <v>0</v>
      </c>
    </row>
    <row r="20" spans="1:14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0</v>
      </c>
      <c r="H20" s="451">
        <f t="shared" si="3"/>
        <v>0</v>
      </c>
      <c r="I20" s="772"/>
      <c r="J20" s="772"/>
      <c r="K20" s="772"/>
      <c r="L20" s="970"/>
      <c r="M20" s="970"/>
      <c r="N20" s="650">
        <f t="shared" si="4"/>
        <v>0</v>
      </c>
    </row>
    <row r="21" spans="1:14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0</v>
      </c>
      <c r="H21" s="451">
        <f t="shared" si="3"/>
        <v>0</v>
      </c>
      <c r="I21" s="772"/>
      <c r="J21" s="772"/>
      <c r="K21" s="772"/>
      <c r="L21" s="970"/>
      <c r="M21" s="970"/>
      <c r="N21" s="650">
        <f t="shared" si="4"/>
        <v>0</v>
      </c>
    </row>
    <row r="22" spans="1:14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0</v>
      </c>
      <c r="H22" s="451">
        <f t="shared" si="3"/>
        <v>0</v>
      </c>
      <c r="I22" s="772"/>
      <c r="J22" s="772"/>
      <c r="K22" s="772"/>
      <c r="L22" s="970"/>
      <c r="M22" s="970"/>
      <c r="N22" s="650">
        <f t="shared" si="4"/>
        <v>0</v>
      </c>
    </row>
    <row r="23" spans="1:14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0</v>
      </c>
      <c r="H23" s="451">
        <f t="shared" si="3"/>
        <v>0</v>
      </c>
      <c r="I23" s="772"/>
      <c r="J23" s="772"/>
      <c r="K23" s="772"/>
      <c r="L23" s="970"/>
      <c r="M23" s="970"/>
      <c r="N23" s="650">
        <f t="shared" si="4"/>
        <v>0</v>
      </c>
    </row>
    <row r="24" spans="1:14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0</v>
      </c>
      <c r="H24" s="451">
        <f t="shared" si="3"/>
        <v>0</v>
      </c>
      <c r="I24" s="772"/>
      <c r="J24" s="772"/>
      <c r="K24" s="772"/>
      <c r="L24" s="970"/>
      <c r="M24" s="970"/>
      <c r="N24" s="650">
        <f t="shared" si="4"/>
        <v>0</v>
      </c>
    </row>
    <row r="25" spans="1:14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0</v>
      </c>
      <c r="H25" s="451">
        <f t="shared" si="3"/>
        <v>0</v>
      </c>
      <c r="I25" s="772"/>
      <c r="J25" s="772"/>
      <c r="K25" s="772"/>
      <c r="L25" s="970"/>
      <c r="M25" s="970"/>
      <c r="N25" s="650">
        <f t="shared" si="4"/>
        <v>0</v>
      </c>
    </row>
    <row r="26" spans="1:14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0</v>
      </c>
      <c r="H26" s="451">
        <f t="shared" si="3"/>
        <v>0</v>
      </c>
      <c r="I26" s="772"/>
      <c r="J26" s="772"/>
      <c r="K26" s="772"/>
      <c r="L26" s="970"/>
      <c r="M26" s="970"/>
      <c r="N26" s="650">
        <f t="shared" si="4"/>
        <v>0</v>
      </c>
    </row>
    <row r="27" spans="1:14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0</v>
      </c>
      <c r="H27" s="451">
        <f t="shared" si="3"/>
        <v>0</v>
      </c>
      <c r="I27" s="772"/>
      <c r="J27" s="772"/>
      <c r="K27" s="772"/>
      <c r="L27" s="970"/>
      <c r="M27" s="970"/>
      <c r="N27" s="650">
        <f t="shared" si="4"/>
        <v>0</v>
      </c>
    </row>
    <row r="28" spans="1:14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0</v>
      </c>
      <c r="H28" s="451">
        <f t="shared" si="3"/>
        <v>0</v>
      </c>
      <c r="I28" s="772"/>
      <c r="J28" s="772"/>
      <c r="K28" s="772"/>
      <c r="L28" s="970"/>
      <c r="M28" s="970"/>
      <c r="N28" s="650">
        <f t="shared" si="4"/>
        <v>0</v>
      </c>
    </row>
    <row r="29" spans="1:14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0</v>
      </c>
      <c r="H29" s="451">
        <f t="shared" si="3"/>
        <v>0</v>
      </c>
      <c r="I29" s="772"/>
      <c r="J29" s="772"/>
      <c r="K29" s="772"/>
      <c r="L29" s="970"/>
      <c r="M29" s="970"/>
      <c r="N29" s="650">
        <f t="shared" si="4"/>
        <v>0</v>
      </c>
    </row>
    <row r="30" spans="1:14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0</v>
      </c>
      <c r="H30" s="451">
        <f t="shared" si="3"/>
        <v>0</v>
      </c>
      <c r="I30" s="772"/>
      <c r="J30" s="772"/>
      <c r="K30" s="772"/>
      <c r="L30" s="970"/>
      <c r="M30" s="970"/>
      <c r="N30" s="650">
        <f t="shared" si="4"/>
        <v>0</v>
      </c>
    </row>
    <row r="31" spans="1:14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0</v>
      </c>
      <c r="H31" s="451">
        <f t="shared" si="3"/>
        <v>0</v>
      </c>
      <c r="I31" s="772"/>
      <c r="J31" s="772"/>
      <c r="K31" s="772"/>
      <c r="L31" s="970"/>
      <c r="M31" s="970"/>
      <c r="N31" s="650">
        <f t="shared" si="4"/>
        <v>0</v>
      </c>
    </row>
    <row r="32" spans="1:14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0</v>
      </c>
      <c r="H32" s="451">
        <f t="shared" si="3"/>
        <v>0</v>
      </c>
      <c r="I32" s="772"/>
      <c r="J32" s="772"/>
      <c r="K32" s="772"/>
      <c r="L32" s="970"/>
      <c r="M32" s="970"/>
      <c r="N32" s="650">
        <f t="shared" si="4"/>
        <v>0</v>
      </c>
    </row>
    <row r="33" spans="1:15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0</v>
      </c>
      <c r="H33" s="451">
        <f t="shared" si="3"/>
        <v>0</v>
      </c>
      <c r="I33" s="772"/>
      <c r="J33" s="772"/>
      <c r="K33" s="772"/>
      <c r="L33" s="970"/>
      <c r="M33" s="970"/>
      <c r="N33" s="650">
        <f t="shared" si="4"/>
        <v>0</v>
      </c>
    </row>
    <row r="34" spans="1:15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0</v>
      </c>
      <c r="H34" s="451">
        <f t="shared" si="3"/>
        <v>0</v>
      </c>
      <c r="I34" s="772"/>
      <c r="J34" s="772"/>
      <c r="K34" s="772"/>
      <c r="L34" s="970"/>
      <c r="M34" s="970"/>
      <c r="N34" s="650">
        <f t="shared" si="4"/>
        <v>0</v>
      </c>
    </row>
    <row r="35" spans="1:15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0</v>
      </c>
      <c r="H35" s="451">
        <f t="shared" si="3"/>
        <v>0</v>
      </c>
      <c r="I35" s="772"/>
      <c r="J35" s="772"/>
      <c r="K35" s="772"/>
      <c r="L35" s="970"/>
      <c r="M35" s="970"/>
      <c r="N35" s="650">
        <f t="shared" si="4"/>
        <v>0</v>
      </c>
    </row>
    <row r="36" spans="1:15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0</v>
      </c>
      <c r="H36" s="451">
        <f t="shared" si="3"/>
        <v>0</v>
      </c>
      <c r="I36" s="772"/>
      <c r="J36" s="772"/>
      <c r="K36" s="772"/>
      <c r="L36" s="970"/>
      <c r="M36" s="970"/>
      <c r="N36" s="650">
        <f t="shared" si="4"/>
        <v>0</v>
      </c>
    </row>
    <row r="37" spans="1:15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0</v>
      </c>
      <c r="H37" s="451">
        <f t="shared" si="3"/>
        <v>0</v>
      </c>
      <c r="I37" s="772"/>
      <c r="J37" s="772"/>
      <c r="K37" s="772"/>
      <c r="L37" s="970"/>
      <c r="M37" s="970"/>
      <c r="N37" s="650">
        <f t="shared" si="4"/>
        <v>0</v>
      </c>
    </row>
    <row r="38" spans="1:15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0</v>
      </c>
      <c r="H38" s="451">
        <f t="shared" si="3"/>
        <v>0</v>
      </c>
      <c r="I38" s="772"/>
      <c r="J38" s="772"/>
      <c r="K38" s="772"/>
      <c r="L38" s="970"/>
      <c r="M38" s="970"/>
      <c r="N38" s="650">
        <f t="shared" si="4"/>
        <v>0</v>
      </c>
    </row>
    <row r="39" spans="1:15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 t="shared" si="5"/>
        <v>10902.777777777777</v>
      </c>
      <c r="G39" s="396">
        <f t="shared" si="0"/>
        <v>0</v>
      </c>
      <c r="H39" s="451">
        <f t="shared" si="3"/>
        <v>0</v>
      </c>
      <c r="I39" s="772"/>
      <c r="J39" s="772"/>
      <c r="K39" s="772"/>
      <c r="L39" s="970"/>
      <c r="M39" s="970"/>
      <c r="N39" s="650">
        <f t="shared" si="4"/>
        <v>0</v>
      </c>
    </row>
    <row r="40" spans="1:15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M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</row>
    <row r="41" spans="1:15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794"/>
      <c r="M41" s="794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A41:C41"/>
    <mergeCell ref="A3:I3"/>
    <mergeCell ref="A4:B4"/>
    <mergeCell ref="L7:L8"/>
    <mergeCell ref="M7:M8"/>
    <mergeCell ref="A8:C8"/>
    <mergeCell ref="A40:C40"/>
  </mergeCells>
  <conditionalFormatting sqref="H9:H39">
    <cfRule type="cellIs" dxfId="8261" priority="22" operator="between">
      <formula>3.5</formula>
      <formula>6</formula>
    </cfRule>
    <cfRule type="cellIs" dxfId="8260" priority="23" operator="lessThan">
      <formula>3.5</formula>
    </cfRule>
    <cfRule type="cellIs" dxfId="8259" priority="24" operator="greaterThan">
      <formula>6</formula>
    </cfRule>
  </conditionalFormatting>
  <conditionalFormatting sqref="H9:H39">
    <cfRule type="cellIs" dxfId="8258" priority="19" operator="between">
      <formula>3.5</formula>
      <formula>6</formula>
    </cfRule>
    <cfRule type="cellIs" dxfId="8257" priority="20" operator="lessThan">
      <formula>3.5</formula>
    </cfRule>
    <cfRule type="cellIs" dxfId="8256" priority="21" operator="greaterThan">
      <formula>6</formula>
    </cfRule>
  </conditionalFormatting>
  <conditionalFormatting sqref="H9:H39">
    <cfRule type="cellIs" dxfId="8255" priority="16" operator="between">
      <formula>3.5</formula>
      <formula>6</formula>
    </cfRule>
    <cfRule type="cellIs" dxfId="8254" priority="17" operator="lessThan">
      <formula>3.5</formula>
    </cfRule>
    <cfRule type="cellIs" dxfId="8253" priority="18" operator="greaterThan">
      <formula>6</formula>
    </cfRule>
  </conditionalFormatting>
  <conditionalFormatting sqref="H9:H39">
    <cfRule type="cellIs" dxfId="8252" priority="13" operator="between">
      <formula>3.5</formula>
      <formula>6</formula>
    </cfRule>
    <cfRule type="cellIs" dxfId="8251" priority="14" operator="lessThan">
      <formula>3.5</formula>
    </cfRule>
    <cfRule type="cellIs" dxfId="8250" priority="15" operator="greaterThan">
      <formula>6</formula>
    </cfRule>
  </conditionalFormatting>
  <conditionalFormatting sqref="H9:H39">
    <cfRule type="cellIs" dxfId="8249" priority="10" operator="between">
      <formula>3.5</formula>
      <formula>6</formula>
    </cfRule>
    <cfRule type="cellIs" dxfId="8248" priority="11" operator="lessThan">
      <formula>3.5</formula>
    </cfRule>
    <cfRule type="cellIs" dxfId="8247" priority="12" operator="greaterThan">
      <formula>6</formula>
    </cfRule>
  </conditionalFormatting>
  <conditionalFormatting sqref="H9:H39">
    <cfRule type="cellIs" dxfId="8246" priority="7" operator="between">
      <formula>3.5</formula>
      <formula>6</formula>
    </cfRule>
    <cfRule type="cellIs" dxfId="8245" priority="8" operator="lessThan">
      <formula>3.5</formula>
    </cfRule>
    <cfRule type="cellIs" dxfId="8244" priority="9" operator="greaterThan">
      <formula>6</formula>
    </cfRule>
  </conditionalFormatting>
  <conditionalFormatting sqref="H9:H39">
    <cfRule type="cellIs" dxfId="8243" priority="4" operator="between">
      <formula>3.5</formula>
      <formula>6</formula>
    </cfRule>
    <cfRule type="cellIs" dxfId="8242" priority="5" operator="lessThan">
      <formula>3.5</formula>
    </cfRule>
    <cfRule type="cellIs" dxfId="8241" priority="6" operator="greaterThan">
      <formula>6</formula>
    </cfRule>
  </conditionalFormatting>
  <conditionalFormatting sqref="H9:H39">
    <cfRule type="cellIs" dxfId="8240" priority="1" operator="between">
      <formula>3.5</formula>
      <formula>6</formula>
    </cfRule>
    <cfRule type="cellIs" dxfId="8239" priority="2" operator="lessThan">
      <formula>3.5</formula>
    </cfRule>
    <cfRule type="cellIs" dxfId="823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8.7109375" style="42" customWidth="1"/>
    <col min="10" max="11" width="10" style="42" customWidth="1"/>
    <col min="12" max="12" width="8.7109375" style="42" customWidth="1"/>
    <col min="13" max="14" width="15.28515625" style="42" customWidth="1"/>
    <col min="15" max="15" width="11.5703125" style="143" bestFit="1" customWidth="1"/>
    <col min="16" max="18" width="7.5703125" style="42" customWidth="1"/>
    <col min="19" max="16384" width="9.28515625" style="42"/>
  </cols>
  <sheetData>
    <row r="1" spans="1:29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3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O2" s="323"/>
      <c r="P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74"/>
      <c r="K3" s="1299"/>
      <c r="L3" s="1074"/>
      <c r="M3" s="1074"/>
      <c r="N3" s="1074"/>
      <c r="P3" s="442"/>
      <c r="Q3" s="442"/>
      <c r="R3" s="442"/>
    </row>
    <row r="4" spans="1:29" s="1079" customFormat="1" ht="12" customHeight="1">
      <c r="A4" s="1648" t="s">
        <v>33</v>
      </c>
      <c r="B4" s="1648"/>
      <c r="C4" s="551" t="str">
        <f>H4</f>
        <v>LUXURY 500*500-HA giấy nâu</v>
      </c>
      <c r="E4" s="549" t="s">
        <v>228</v>
      </c>
      <c r="F4" s="549" t="s">
        <v>235</v>
      </c>
      <c r="G4" s="550" t="s">
        <v>114</v>
      </c>
      <c r="H4" s="551" t="s">
        <v>868</v>
      </c>
      <c r="K4" s="1300"/>
      <c r="O4" s="143"/>
    </row>
    <row r="5" spans="1:29" s="107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324"/>
      <c r="O5" s="143"/>
    </row>
    <row r="6" spans="1:29" s="1079" customFormat="1" ht="12" customHeight="1">
      <c r="B6" s="453"/>
      <c r="C6" s="453"/>
      <c r="D6" s="453"/>
      <c r="E6" s="453"/>
      <c r="F6" s="453"/>
      <c r="G6" s="453">
        <v>58500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442"/>
    </row>
    <row r="7" spans="1:29" s="305" customFormat="1" ht="28.5" customHeight="1">
      <c r="A7" s="1076" t="s">
        <v>2</v>
      </c>
      <c r="B7" s="1078" t="s">
        <v>1</v>
      </c>
      <c r="C7" s="107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75" t="s">
        <v>30</v>
      </c>
      <c r="I7" s="697" t="s">
        <v>341</v>
      </c>
      <c r="J7" s="697" t="s">
        <v>244</v>
      </c>
      <c r="K7" s="697" t="s">
        <v>344</v>
      </c>
      <c r="L7" s="697" t="s">
        <v>821</v>
      </c>
      <c r="M7" s="1649" t="s">
        <v>771</v>
      </c>
      <c r="N7" s="1649" t="s">
        <v>772</v>
      </c>
      <c r="O7" s="143"/>
    </row>
    <row r="8" spans="1:29" s="305" customFormat="1" ht="12.75" customHeight="1">
      <c r="A8" s="1650" t="s">
        <v>3</v>
      </c>
      <c r="B8" s="1651"/>
      <c r="C8" s="1652"/>
      <c r="D8" s="771">
        <f>G8</f>
        <v>38645</v>
      </c>
      <c r="E8" s="771">
        <f>E40</f>
        <v>56000</v>
      </c>
      <c r="F8" s="771"/>
      <c r="G8" s="774">
        <v>38645</v>
      </c>
      <c r="H8" s="450"/>
      <c r="I8" s="772"/>
      <c r="J8" s="772"/>
      <c r="K8" s="772"/>
      <c r="L8" s="772"/>
      <c r="M8" s="1649"/>
      <c r="N8" s="1649"/>
      <c r="O8" s="143">
        <v>12000</v>
      </c>
    </row>
    <row r="9" spans="1:29" s="305" customFormat="1" ht="11.25" customHeight="1">
      <c r="A9" s="1077">
        <v>1</v>
      </c>
      <c r="B9" s="365">
        <f>'FRIT HGE91-FHG'!B9</f>
        <v>46235</v>
      </c>
      <c r="C9" s="331" t="s">
        <v>334</v>
      </c>
      <c r="D9" s="396">
        <f>M9+N9</f>
        <v>0</v>
      </c>
      <c r="E9" s="396">
        <f>I9+J9+L9+K9</f>
        <v>16000</v>
      </c>
      <c r="F9" s="396">
        <f>15700/1.44</f>
        <v>10902.777777777777</v>
      </c>
      <c r="G9" s="396">
        <f t="shared" ref="G9:G39" si="0">G8+D9-E9</f>
        <v>22645</v>
      </c>
      <c r="H9" s="451">
        <f>G9/10417</f>
        <v>2.1738504367860227</v>
      </c>
      <c r="I9" s="772"/>
      <c r="J9" s="772">
        <v>16000</v>
      </c>
      <c r="K9" s="772"/>
      <c r="L9" s="772"/>
      <c r="M9" s="970"/>
      <c r="N9" s="970"/>
      <c r="O9" s="650">
        <f>G9/$O$8</f>
        <v>1.8870833333333332</v>
      </c>
    </row>
    <row r="10" spans="1:29" s="333" customFormat="1" ht="11.25" customHeight="1">
      <c r="A10" s="330">
        <v>2</v>
      </c>
      <c r="B10" s="365">
        <f>'FRIT HGE91-FHG'!B10</f>
        <v>46236</v>
      </c>
      <c r="C10" s="331" t="s">
        <v>346</v>
      </c>
      <c r="D10" s="396">
        <f t="shared" ref="D10:D39" si="1">M10+N10</f>
        <v>0</v>
      </c>
      <c r="E10" s="396">
        <f t="shared" ref="E10:E39" si="2">I10+J10+L10+K10</f>
        <v>0</v>
      </c>
      <c r="F10" s="396">
        <f>$F$9</f>
        <v>10902.777777777777</v>
      </c>
      <c r="G10" s="396">
        <f t="shared" si="0"/>
        <v>22645</v>
      </c>
      <c r="H10" s="451">
        <f t="shared" ref="H10:H39" si="3">G10/10417</f>
        <v>2.1738504367860227</v>
      </c>
      <c r="I10" s="772"/>
      <c r="J10" s="772"/>
      <c r="K10" s="772"/>
      <c r="L10" s="772"/>
      <c r="M10" s="970"/>
      <c r="N10" s="970"/>
      <c r="O10" s="650">
        <f t="shared" ref="O10:O39" si="4">G10/$O$8</f>
        <v>1.8870833333333332</v>
      </c>
    </row>
    <row r="11" spans="1:29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22645</v>
      </c>
      <c r="H11" s="451">
        <f t="shared" si="3"/>
        <v>2.1738504367860227</v>
      </c>
      <c r="I11" s="772"/>
      <c r="J11" s="772"/>
      <c r="K11" s="772"/>
      <c r="L11" s="772"/>
      <c r="M11" s="970"/>
      <c r="N11" s="970"/>
      <c r="O11" s="650">
        <f t="shared" si="4"/>
        <v>1.8870833333333332</v>
      </c>
    </row>
    <row r="12" spans="1:29" s="367" customFormat="1" ht="11.25" customHeight="1">
      <c r="A12" s="330">
        <v>4</v>
      </c>
      <c r="B12" s="365">
        <f>'FRIT HGE91-FHG'!B12</f>
        <v>46238</v>
      </c>
      <c r="C12" s="331" t="s">
        <v>348</v>
      </c>
      <c r="D12" s="396">
        <f t="shared" si="1"/>
        <v>9800</v>
      </c>
      <c r="E12" s="396">
        <f t="shared" si="2"/>
        <v>10000</v>
      </c>
      <c r="F12" s="396">
        <f t="shared" ref="F12:F39" si="5">$F$9</f>
        <v>10902.777777777777</v>
      </c>
      <c r="G12" s="396">
        <f t="shared" si="0"/>
        <v>22445</v>
      </c>
      <c r="H12" s="451">
        <f t="shared" si="3"/>
        <v>2.1546510511663626</v>
      </c>
      <c r="I12" s="772"/>
      <c r="J12" s="772">
        <v>10000</v>
      </c>
      <c r="K12" s="772"/>
      <c r="L12" s="772"/>
      <c r="M12" s="970"/>
      <c r="N12" s="970">
        <f>1400+8400</f>
        <v>9800</v>
      </c>
      <c r="O12" s="650">
        <f t="shared" si="4"/>
        <v>1.8704166666666666</v>
      </c>
    </row>
    <row r="13" spans="1:29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1"/>
        <v>5320</v>
      </c>
      <c r="E13" s="396">
        <f t="shared" si="2"/>
        <v>0</v>
      </c>
      <c r="F13" s="396">
        <f t="shared" si="5"/>
        <v>10902.777777777777</v>
      </c>
      <c r="G13" s="769">
        <f t="shared" si="0"/>
        <v>27765</v>
      </c>
      <c r="H13" s="451">
        <f t="shared" si="3"/>
        <v>2.665354708649323</v>
      </c>
      <c r="I13" s="772"/>
      <c r="J13" s="772"/>
      <c r="K13" s="772"/>
      <c r="L13" s="772"/>
      <c r="M13" s="970"/>
      <c r="N13" s="970">
        <v>5320</v>
      </c>
      <c r="O13" s="650">
        <f t="shared" si="4"/>
        <v>2.3137500000000002</v>
      </c>
    </row>
    <row r="14" spans="1:29" s="367" customFormat="1" ht="11.25" customHeight="1">
      <c r="A14" s="330">
        <v>6</v>
      </c>
      <c r="B14" s="365">
        <f>'FRIT HGE91-FHG'!B14</f>
        <v>46240</v>
      </c>
      <c r="C14" s="331" t="s">
        <v>348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27765</v>
      </c>
      <c r="H14" s="451">
        <f t="shared" si="3"/>
        <v>2.665354708649323</v>
      </c>
      <c r="I14" s="772"/>
      <c r="J14" s="772"/>
      <c r="K14" s="772"/>
      <c r="L14" s="772"/>
      <c r="M14" s="970"/>
      <c r="N14" s="970"/>
      <c r="O14" s="650">
        <f t="shared" si="4"/>
        <v>2.3137500000000002</v>
      </c>
    </row>
    <row r="15" spans="1:29" s="367" customFormat="1" ht="11.25" customHeight="1">
      <c r="A15" s="330">
        <v>7</v>
      </c>
      <c r="B15" s="365">
        <f>'FRIT HGE91-FHG'!B15</f>
        <v>46241</v>
      </c>
      <c r="C15" s="331" t="s">
        <v>348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27765</v>
      </c>
      <c r="H15" s="451">
        <f t="shared" si="3"/>
        <v>2.665354708649323</v>
      </c>
      <c r="I15" s="772"/>
      <c r="J15" s="772"/>
      <c r="K15" s="772"/>
      <c r="L15" s="772"/>
      <c r="M15" s="970"/>
      <c r="N15" s="970"/>
      <c r="O15" s="650">
        <f t="shared" si="4"/>
        <v>2.3137500000000002</v>
      </c>
    </row>
    <row r="16" spans="1:29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>
        <f t="shared" si="1"/>
        <v>7050</v>
      </c>
      <c r="E16" s="396">
        <f t="shared" si="2"/>
        <v>10000</v>
      </c>
      <c r="F16" s="396">
        <f t="shared" si="5"/>
        <v>10902.777777777777</v>
      </c>
      <c r="G16" s="396">
        <f t="shared" si="0"/>
        <v>24815</v>
      </c>
      <c r="H16" s="451">
        <f t="shared" si="3"/>
        <v>2.3821637707593357</v>
      </c>
      <c r="I16" s="772"/>
      <c r="J16" s="772">
        <v>10000</v>
      </c>
      <c r="K16" s="772"/>
      <c r="L16" s="772"/>
      <c r="M16" s="970"/>
      <c r="N16" s="970">
        <v>7050</v>
      </c>
      <c r="O16" s="650">
        <f t="shared" si="4"/>
        <v>2.0679166666666666</v>
      </c>
    </row>
    <row r="17" spans="1:15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396">
        <f t="shared" si="1"/>
        <v>0</v>
      </c>
      <c r="E17" s="396">
        <f t="shared" si="2"/>
        <v>10000</v>
      </c>
      <c r="F17" s="396">
        <f t="shared" si="5"/>
        <v>10902.777777777777</v>
      </c>
      <c r="G17" s="396">
        <f t="shared" si="0"/>
        <v>14815</v>
      </c>
      <c r="H17" s="451">
        <f t="shared" si="3"/>
        <v>1.4221944897763272</v>
      </c>
      <c r="I17" s="772"/>
      <c r="J17" s="772">
        <v>10000</v>
      </c>
      <c r="K17" s="772"/>
      <c r="L17" s="772"/>
      <c r="M17" s="970"/>
      <c r="N17" s="970"/>
      <c r="O17" s="650">
        <f t="shared" si="4"/>
        <v>1.2345833333333334</v>
      </c>
    </row>
    <row r="18" spans="1:15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14815</v>
      </c>
      <c r="H18" s="451">
        <f t="shared" si="3"/>
        <v>1.4221944897763272</v>
      </c>
      <c r="I18" s="772"/>
      <c r="J18" s="772"/>
      <c r="K18" s="772"/>
      <c r="L18" s="772"/>
      <c r="M18" s="970"/>
      <c r="N18" s="970"/>
      <c r="O18" s="650">
        <f t="shared" si="4"/>
        <v>1.2345833333333334</v>
      </c>
    </row>
    <row r="19" spans="1:15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5000</v>
      </c>
      <c r="F19" s="396">
        <f t="shared" si="5"/>
        <v>10902.777777777777</v>
      </c>
      <c r="G19" s="396">
        <f t="shared" si="0"/>
        <v>9815</v>
      </c>
      <c r="H19" s="451">
        <f t="shared" si="3"/>
        <v>0.94220984928482288</v>
      </c>
      <c r="I19" s="772"/>
      <c r="J19" s="772">
        <v>5000</v>
      </c>
      <c r="K19" s="772"/>
      <c r="L19" s="772"/>
      <c r="M19" s="970"/>
      <c r="N19" s="970"/>
      <c r="O19" s="650">
        <f t="shared" si="4"/>
        <v>0.81791666666666663</v>
      </c>
    </row>
    <row r="20" spans="1:15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5000</v>
      </c>
      <c r="F20" s="396">
        <f t="shared" si="5"/>
        <v>10902.777777777777</v>
      </c>
      <c r="G20" s="396">
        <f t="shared" si="0"/>
        <v>4815</v>
      </c>
      <c r="H20" s="451">
        <f t="shared" si="3"/>
        <v>0.46222520879331863</v>
      </c>
      <c r="I20" s="772"/>
      <c r="J20" s="772">
        <v>5000</v>
      </c>
      <c r="K20" s="772"/>
      <c r="L20" s="772"/>
      <c r="M20" s="970"/>
      <c r="N20" s="970"/>
      <c r="O20" s="650">
        <f t="shared" si="4"/>
        <v>0.40125</v>
      </c>
    </row>
    <row r="21" spans="1:15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4815</v>
      </c>
      <c r="H21" s="451">
        <f t="shared" si="3"/>
        <v>0.46222520879331863</v>
      </c>
      <c r="I21" s="772"/>
      <c r="J21" s="772"/>
      <c r="K21" s="772"/>
      <c r="L21" s="772"/>
      <c r="M21" s="970"/>
      <c r="N21" s="970"/>
      <c r="O21" s="650">
        <f t="shared" si="4"/>
        <v>0.40125</v>
      </c>
    </row>
    <row r="22" spans="1:15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4815</v>
      </c>
      <c r="H22" s="451">
        <f t="shared" si="3"/>
        <v>0.46222520879331863</v>
      </c>
      <c r="I22" s="772"/>
      <c r="J22" s="772"/>
      <c r="K22" s="772"/>
      <c r="L22" s="772"/>
      <c r="M22" s="970"/>
      <c r="N22" s="970"/>
      <c r="O22" s="650">
        <f t="shared" si="4"/>
        <v>0.40125</v>
      </c>
    </row>
    <row r="23" spans="1:15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4815</v>
      </c>
      <c r="H23" s="451">
        <f t="shared" si="3"/>
        <v>0.46222520879331863</v>
      </c>
      <c r="I23" s="772"/>
      <c r="J23" s="772"/>
      <c r="K23" s="772"/>
      <c r="L23" s="772"/>
      <c r="M23" s="970"/>
      <c r="N23" s="970"/>
      <c r="O23" s="650">
        <f t="shared" si="4"/>
        <v>0.40125</v>
      </c>
    </row>
    <row r="24" spans="1:15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4815</v>
      </c>
      <c r="H24" s="451">
        <f t="shared" si="3"/>
        <v>0.46222520879331863</v>
      </c>
      <c r="I24" s="772"/>
      <c r="J24" s="772"/>
      <c r="K24" s="772"/>
      <c r="L24" s="772"/>
      <c r="M24" s="970"/>
      <c r="N24" s="970"/>
      <c r="O24" s="650">
        <f t="shared" si="4"/>
        <v>0.40125</v>
      </c>
    </row>
    <row r="25" spans="1:15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4815</v>
      </c>
      <c r="H25" s="451">
        <f t="shared" si="3"/>
        <v>0.46222520879331863</v>
      </c>
      <c r="I25" s="772"/>
      <c r="J25" s="772"/>
      <c r="K25" s="772"/>
      <c r="L25" s="772"/>
      <c r="M25" s="970"/>
      <c r="N25" s="970"/>
      <c r="O25" s="650">
        <f t="shared" si="4"/>
        <v>0.40125</v>
      </c>
    </row>
    <row r="26" spans="1:15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4815</v>
      </c>
      <c r="H26" s="451">
        <f t="shared" si="3"/>
        <v>0.46222520879331863</v>
      </c>
      <c r="I26" s="772"/>
      <c r="J26" s="772"/>
      <c r="K26" s="772"/>
      <c r="L26" s="772"/>
      <c r="M26" s="970"/>
      <c r="N26" s="970"/>
      <c r="O26" s="650">
        <f t="shared" si="4"/>
        <v>0.40125</v>
      </c>
    </row>
    <row r="27" spans="1:15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4815</v>
      </c>
      <c r="H27" s="451">
        <f t="shared" si="3"/>
        <v>0.46222520879331863</v>
      </c>
      <c r="I27" s="772"/>
      <c r="J27" s="772"/>
      <c r="K27" s="772"/>
      <c r="L27" s="772"/>
      <c r="M27" s="970"/>
      <c r="N27" s="970"/>
      <c r="O27" s="650">
        <f t="shared" si="4"/>
        <v>0.40125</v>
      </c>
    </row>
    <row r="28" spans="1:15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4815</v>
      </c>
      <c r="H28" s="451">
        <f t="shared" si="3"/>
        <v>0.46222520879331863</v>
      </c>
      <c r="I28" s="772"/>
      <c r="J28" s="772"/>
      <c r="K28" s="772"/>
      <c r="L28" s="772"/>
      <c r="M28" s="970"/>
      <c r="N28" s="970"/>
      <c r="O28" s="650">
        <f t="shared" si="4"/>
        <v>0.40125</v>
      </c>
    </row>
    <row r="29" spans="1:15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4815</v>
      </c>
      <c r="H29" s="451">
        <f t="shared" si="3"/>
        <v>0.46222520879331863</v>
      </c>
      <c r="I29" s="772"/>
      <c r="J29" s="772"/>
      <c r="K29" s="772"/>
      <c r="L29" s="772"/>
      <c r="M29" s="970"/>
      <c r="N29" s="970"/>
      <c r="O29" s="650">
        <f t="shared" si="4"/>
        <v>0.40125</v>
      </c>
    </row>
    <row r="30" spans="1:15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4815</v>
      </c>
      <c r="H30" s="451">
        <f t="shared" si="3"/>
        <v>0.46222520879331863</v>
      </c>
      <c r="I30" s="772"/>
      <c r="J30" s="772"/>
      <c r="K30" s="772"/>
      <c r="L30" s="772"/>
      <c r="M30" s="970"/>
      <c r="N30" s="970"/>
      <c r="O30" s="650">
        <f t="shared" si="4"/>
        <v>0.40125</v>
      </c>
    </row>
    <row r="31" spans="1:15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4815</v>
      </c>
      <c r="H31" s="451">
        <f t="shared" si="3"/>
        <v>0.46222520879331863</v>
      </c>
      <c r="I31" s="772"/>
      <c r="J31" s="772"/>
      <c r="K31" s="772"/>
      <c r="L31" s="772"/>
      <c r="M31" s="970"/>
      <c r="N31" s="970"/>
      <c r="O31" s="650">
        <f t="shared" si="4"/>
        <v>0.40125</v>
      </c>
    </row>
    <row r="32" spans="1:15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4815</v>
      </c>
      <c r="H32" s="451">
        <f t="shared" si="3"/>
        <v>0.46222520879331863</v>
      </c>
      <c r="I32" s="772"/>
      <c r="J32" s="772"/>
      <c r="K32" s="772"/>
      <c r="L32" s="772"/>
      <c r="M32" s="970"/>
      <c r="N32" s="970"/>
      <c r="O32" s="650">
        <f t="shared" si="4"/>
        <v>0.40125</v>
      </c>
    </row>
    <row r="33" spans="1:16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4815</v>
      </c>
      <c r="H33" s="451">
        <f t="shared" si="3"/>
        <v>0.46222520879331863</v>
      </c>
      <c r="I33" s="772"/>
      <c r="J33" s="772"/>
      <c r="K33" s="772"/>
      <c r="L33" s="772"/>
      <c r="M33" s="970"/>
      <c r="N33" s="970"/>
      <c r="O33" s="650">
        <f t="shared" si="4"/>
        <v>0.40125</v>
      </c>
    </row>
    <row r="34" spans="1:16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4815</v>
      </c>
      <c r="H34" s="451">
        <f t="shared" si="3"/>
        <v>0.46222520879331863</v>
      </c>
      <c r="I34" s="772"/>
      <c r="J34" s="772"/>
      <c r="K34" s="772"/>
      <c r="L34" s="772"/>
      <c r="M34" s="970"/>
      <c r="N34" s="970"/>
      <c r="O34" s="650">
        <f t="shared" si="4"/>
        <v>0.40125</v>
      </c>
    </row>
    <row r="35" spans="1:16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4815</v>
      </c>
      <c r="H35" s="451">
        <f t="shared" si="3"/>
        <v>0.46222520879331863</v>
      </c>
      <c r="I35" s="772"/>
      <c r="J35" s="772"/>
      <c r="K35" s="772"/>
      <c r="L35" s="772"/>
      <c r="M35" s="970"/>
      <c r="N35" s="970"/>
      <c r="O35" s="650">
        <f t="shared" si="4"/>
        <v>0.40125</v>
      </c>
    </row>
    <row r="36" spans="1:16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4815</v>
      </c>
      <c r="H36" s="451">
        <f t="shared" si="3"/>
        <v>0.46222520879331863</v>
      </c>
      <c r="I36" s="772"/>
      <c r="J36" s="772"/>
      <c r="K36" s="772"/>
      <c r="L36" s="772"/>
      <c r="M36" s="970"/>
      <c r="N36" s="970"/>
      <c r="O36" s="650">
        <f t="shared" si="4"/>
        <v>0.40125</v>
      </c>
    </row>
    <row r="37" spans="1:16" s="367" customFormat="1" ht="11.25" customHeight="1">
      <c r="A37" s="330">
        <v>29</v>
      </c>
      <c r="B37" s="365">
        <f>'FRIT HGE91-FHG'!B37</f>
        <v>46263</v>
      </c>
      <c r="C37" s="331" t="s">
        <v>349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4815</v>
      </c>
      <c r="H37" s="451">
        <f t="shared" si="3"/>
        <v>0.46222520879331863</v>
      </c>
      <c r="I37" s="772"/>
      <c r="J37" s="772"/>
      <c r="K37" s="772"/>
      <c r="L37" s="772"/>
      <c r="M37" s="970"/>
      <c r="N37" s="970"/>
      <c r="O37" s="650">
        <f t="shared" si="4"/>
        <v>0.40125</v>
      </c>
    </row>
    <row r="38" spans="1:16" s="367" customFormat="1" ht="11.25" customHeight="1">
      <c r="A38" s="425">
        <v>30</v>
      </c>
      <c r="B38" s="365">
        <f>'FRIT HGE91-FHG'!B38</f>
        <v>46264</v>
      </c>
      <c r="C38" s="331" t="s">
        <v>349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4815</v>
      </c>
      <c r="H38" s="451">
        <f t="shared" si="3"/>
        <v>0.46222520879331863</v>
      </c>
      <c r="I38" s="772"/>
      <c r="J38" s="772"/>
      <c r="K38" s="772"/>
      <c r="L38" s="772"/>
      <c r="M38" s="970"/>
      <c r="N38" s="970"/>
      <c r="O38" s="650">
        <f t="shared" si="4"/>
        <v>0.40125</v>
      </c>
    </row>
    <row r="39" spans="1:16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 t="shared" si="5"/>
        <v>10902.777777777777</v>
      </c>
      <c r="G39" s="396">
        <f t="shared" si="0"/>
        <v>4815</v>
      </c>
      <c r="H39" s="451">
        <f t="shared" si="3"/>
        <v>0.46222520879331863</v>
      </c>
      <c r="I39" s="772"/>
      <c r="J39" s="772"/>
      <c r="K39" s="772"/>
      <c r="L39" s="772"/>
      <c r="M39" s="970"/>
      <c r="N39" s="970"/>
      <c r="O39" s="650">
        <f t="shared" si="4"/>
        <v>0.40125</v>
      </c>
    </row>
    <row r="40" spans="1:16" s="374" customFormat="1" ht="11.25" customHeight="1">
      <c r="A40" s="1647" t="s">
        <v>29</v>
      </c>
      <c r="B40" s="1647"/>
      <c r="C40" s="1647"/>
      <c r="D40" s="448">
        <f>SUM(D9:D39)</f>
        <v>22170</v>
      </c>
      <c r="E40" s="389">
        <f>SUM(E9:E39)</f>
        <v>56000</v>
      </c>
      <c r="F40" s="449"/>
      <c r="G40" s="389">
        <f>G39</f>
        <v>4815</v>
      </c>
      <c r="H40" s="309"/>
      <c r="I40" s="689">
        <f>SUM(I9:I39)</f>
        <v>0</v>
      </c>
      <c r="J40" s="689">
        <f t="shared" ref="J40:N40" si="6">SUM(J9:J39)</f>
        <v>56000</v>
      </c>
      <c r="K40" s="689"/>
      <c r="L40" s="689">
        <f t="shared" si="6"/>
        <v>0</v>
      </c>
      <c r="M40" s="689">
        <f t="shared" si="6"/>
        <v>0</v>
      </c>
      <c r="N40" s="689">
        <f t="shared" si="6"/>
        <v>22170</v>
      </c>
    </row>
    <row r="41" spans="1:16" s="374" customFormat="1" ht="11.25" customHeight="1">
      <c r="A41" s="1647" t="s">
        <v>15</v>
      </c>
      <c r="B41" s="1647"/>
      <c r="C41" s="1647"/>
      <c r="D41" s="448">
        <f>D8+D40</f>
        <v>60815</v>
      </c>
      <c r="E41" s="389">
        <f>E40</f>
        <v>56000</v>
      </c>
      <c r="F41" s="449"/>
      <c r="G41" s="389">
        <f>D41-E41</f>
        <v>4815</v>
      </c>
      <c r="H41" s="309"/>
      <c r="I41" s="689"/>
      <c r="J41" s="689"/>
      <c r="K41" s="689"/>
      <c r="L41" s="689"/>
      <c r="M41" s="794"/>
      <c r="N41" s="794"/>
    </row>
    <row r="42" spans="1:16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6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</row>
    <row r="47" spans="1:16">
      <c r="P47" s="151"/>
    </row>
    <row r="48" spans="1:16">
      <c r="P48" s="151"/>
    </row>
    <row r="49" spans="16:16">
      <c r="P49" s="151"/>
    </row>
  </sheetData>
  <mergeCells count="7">
    <mergeCell ref="A41:C41"/>
    <mergeCell ref="A3:I3"/>
    <mergeCell ref="A4:B4"/>
    <mergeCell ref="M7:M8"/>
    <mergeCell ref="N7:N8"/>
    <mergeCell ref="A8:C8"/>
    <mergeCell ref="A40:C40"/>
  </mergeCells>
  <conditionalFormatting sqref="H9:H39">
    <cfRule type="cellIs" dxfId="8237" priority="22" operator="between">
      <formula>3.5</formula>
      <formula>6</formula>
    </cfRule>
    <cfRule type="cellIs" dxfId="8236" priority="23" operator="lessThan">
      <formula>3.5</formula>
    </cfRule>
    <cfRule type="cellIs" dxfId="8235" priority="24" operator="greaterThan">
      <formula>6</formula>
    </cfRule>
  </conditionalFormatting>
  <conditionalFormatting sqref="H9:H39">
    <cfRule type="cellIs" dxfId="8234" priority="19" operator="between">
      <formula>3.5</formula>
      <formula>6</formula>
    </cfRule>
    <cfRule type="cellIs" dxfId="8233" priority="20" operator="lessThan">
      <formula>3.5</formula>
    </cfRule>
    <cfRule type="cellIs" dxfId="8232" priority="21" operator="greaterThan">
      <formula>6</formula>
    </cfRule>
  </conditionalFormatting>
  <conditionalFormatting sqref="H9:H39">
    <cfRule type="cellIs" dxfId="8231" priority="16" operator="between">
      <formula>3.5</formula>
      <formula>6</formula>
    </cfRule>
    <cfRule type="cellIs" dxfId="8230" priority="17" operator="lessThan">
      <formula>3.5</formula>
    </cfRule>
    <cfRule type="cellIs" dxfId="8229" priority="18" operator="greaterThan">
      <formula>6</formula>
    </cfRule>
  </conditionalFormatting>
  <conditionalFormatting sqref="H9:H39">
    <cfRule type="cellIs" dxfId="8228" priority="13" operator="between">
      <formula>3.5</formula>
      <formula>6</formula>
    </cfRule>
    <cfRule type="cellIs" dxfId="8227" priority="14" operator="lessThan">
      <formula>3.5</formula>
    </cfRule>
    <cfRule type="cellIs" dxfId="8226" priority="15" operator="greaterThan">
      <formula>6</formula>
    </cfRule>
  </conditionalFormatting>
  <conditionalFormatting sqref="H9:H39">
    <cfRule type="cellIs" dxfId="8225" priority="10" operator="between">
      <formula>3.5</formula>
      <formula>6</formula>
    </cfRule>
    <cfRule type="cellIs" dxfId="8224" priority="11" operator="lessThan">
      <formula>3.5</formula>
    </cfRule>
    <cfRule type="cellIs" dxfId="8223" priority="12" operator="greaterThan">
      <formula>6</formula>
    </cfRule>
  </conditionalFormatting>
  <conditionalFormatting sqref="H9:H39">
    <cfRule type="cellIs" dxfId="8222" priority="7" operator="between">
      <formula>3.5</formula>
      <formula>6</formula>
    </cfRule>
    <cfRule type="cellIs" dxfId="8221" priority="8" operator="lessThan">
      <formula>3.5</formula>
    </cfRule>
    <cfRule type="cellIs" dxfId="8220" priority="9" operator="greaterThan">
      <formula>6</formula>
    </cfRule>
  </conditionalFormatting>
  <conditionalFormatting sqref="H9:H39">
    <cfRule type="cellIs" dxfId="8219" priority="4" operator="between">
      <formula>3.5</formula>
      <formula>6</formula>
    </cfRule>
    <cfRule type="cellIs" dxfId="8218" priority="5" operator="lessThan">
      <formula>3.5</formula>
    </cfRule>
    <cfRule type="cellIs" dxfId="8217" priority="6" operator="greaterThan">
      <formula>6</formula>
    </cfRule>
  </conditionalFormatting>
  <conditionalFormatting sqref="H9:H39">
    <cfRule type="cellIs" dxfId="8216" priority="1" operator="between">
      <formula>3.5</formula>
      <formula>6</formula>
    </cfRule>
    <cfRule type="cellIs" dxfId="8215" priority="2" operator="lessThan">
      <formula>3.5</formula>
    </cfRule>
    <cfRule type="cellIs" dxfId="821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49"/>
  <sheetViews>
    <sheetView zoomScale="90" zoomScaleNormal="90" workbookViewId="0">
      <pane ySplit="8" topLeftCell="A27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8.7109375" style="42" customWidth="1"/>
    <col min="10" max="10" width="10" style="42" customWidth="1"/>
    <col min="11" max="11" width="8.7109375" style="42" customWidth="1"/>
    <col min="12" max="13" width="15.28515625" style="42" customWidth="1"/>
    <col min="14" max="14" width="11.5703125" style="143" bestFit="1" customWidth="1"/>
    <col min="15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64"/>
      <c r="K3" s="1064"/>
      <c r="L3" s="1064"/>
      <c r="M3" s="1064"/>
      <c r="O3" s="442"/>
      <c r="P3" s="442"/>
      <c r="Q3" s="442"/>
    </row>
    <row r="4" spans="1:28" s="1069" customFormat="1" ht="12" customHeight="1">
      <c r="A4" s="1648" t="s">
        <v>33</v>
      </c>
      <c r="B4" s="1648"/>
      <c r="C4" s="551" t="str">
        <f>H4</f>
        <v>LUXURY 400*600-HA giấy nâu</v>
      </c>
      <c r="E4" s="549" t="s">
        <v>228</v>
      </c>
      <c r="F4" s="549" t="s">
        <v>235</v>
      </c>
      <c r="G4" s="550" t="s">
        <v>114</v>
      </c>
      <c r="H4" s="551" t="s">
        <v>875</v>
      </c>
      <c r="N4" s="143"/>
    </row>
    <row r="5" spans="1:28" s="106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143"/>
    </row>
    <row r="6" spans="1:28" s="1069" customFormat="1" ht="12" customHeight="1">
      <c r="B6" s="453"/>
      <c r="C6" s="453"/>
      <c r="D6" s="453"/>
      <c r="E6" s="453"/>
      <c r="F6" s="453"/>
      <c r="G6" s="453">
        <v>58500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1066" t="s">
        <v>2</v>
      </c>
      <c r="B7" s="1068" t="s">
        <v>1</v>
      </c>
      <c r="C7" s="106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65" t="s">
        <v>30</v>
      </c>
      <c r="I7" s="697" t="s">
        <v>341</v>
      </c>
      <c r="J7" s="697" t="s">
        <v>244</v>
      </c>
      <c r="K7" s="697" t="s">
        <v>344</v>
      </c>
      <c r="L7" s="1649" t="s">
        <v>771</v>
      </c>
      <c r="M7" s="1649" t="s">
        <v>772</v>
      </c>
      <c r="N7" s="143"/>
    </row>
    <row r="8" spans="1:28" s="305" customFormat="1" ht="12.75" customHeight="1">
      <c r="A8" s="1650" t="s">
        <v>3</v>
      </c>
      <c r="B8" s="1651"/>
      <c r="C8" s="1652"/>
      <c r="D8" s="771">
        <f>G8</f>
        <v>4200</v>
      </c>
      <c r="E8" s="771">
        <f>E40</f>
        <v>0</v>
      </c>
      <c r="F8" s="771"/>
      <c r="G8" s="774">
        <v>4200</v>
      </c>
      <c r="H8" s="450"/>
      <c r="I8" s="772"/>
      <c r="J8" s="772"/>
      <c r="K8" s="772"/>
      <c r="L8" s="1649"/>
      <c r="M8" s="1649"/>
      <c r="N8" s="143">
        <v>12000</v>
      </c>
    </row>
    <row r="9" spans="1:28" s="305" customFormat="1" ht="11.25" customHeight="1">
      <c r="A9" s="1067">
        <v>1</v>
      </c>
      <c r="B9" s="365">
        <f>'FRIT HGE91-FHG'!B9</f>
        <v>46235</v>
      </c>
      <c r="C9" s="331" t="s">
        <v>334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 t="shared" ref="G9:G39" si="0">G8+D9-E9</f>
        <v>4200</v>
      </c>
      <c r="H9" s="451">
        <f>G9/10417</f>
        <v>0.40318709801286357</v>
      </c>
      <c r="I9" s="772"/>
      <c r="J9" s="772"/>
      <c r="K9" s="772"/>
      <c r="L9" s="970"/>
      <c r="M9" s="970"/>
      <c r="N9" s="650">
        <f>G9/$N$8</f>
        <v>0.35</v>
      </c>
    </row>
    <row r="10" spans="1:28" s="333" customFormat="1" ht="11.25" customHeight="1">
      <c r="A10" s="330">
        <v>2</v>
      </c>
      <c r="B10" s="365">
        <f>'FRIT HGE91-FHG'!B10</f>
        <v>46236</v>
      </c>
      <c r="C10" s="331" t="s">
        <v>346</v>
      </c>
      <c r="D10" s="396">
        <f t="shared" ref="D10:D39" si="1">L10+M10</f>
        <v>0</v>
      </c>
      <c r="E10" s="396">
        <f t="shared" ref="E10:E39" si="2">I10+J10+K10</f>
        <v>0</v>
      </c>
      <c r="F10" s="396">
        <f>$F$9</f>
        <v>10902.777777777777</v>
      </c>
      <c r="G10" s="396">
        <f t="shared" si="0"/>
        <v>4200</v>
      </c>
      <c r="H10" s="451">
        <f t="shared" ref="H10:H39" si="3">G10/10417</f>
        <v>0.40318709801286357</v>
      </c>
      <c r="I10" s="772"/>
      <c r="J10" s="772"/>
      <c r="K10" s="772"/>
      <c r="L10" s="970"/>
      <c r="M10" s="970"/>
      <c r="N10" s="650">
        <f t="shared" ref="N10:N39" si="4">G10/$N$8</f>
        <v>0.35</v>
      </c>
    </row>
    <row r="11" spans="1:28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4200</v>
      </c>
      <c r="H11" s="451">
        <f t="shared" si="3"/>
        <v>0.40318709801286357</v>
      </c>
      <c r="I11" s="772"/>
      <c r="J11" s="772"/>
      <c r="K11" s="772"/>
      <c r="L11" s="970"/>
      <c r="M11" s="970"/>
      <c r="N11" s="650">
        <f t="shared" si="4"/>
        <v>0.35</v>
      </c>
    </row>
    <row r="12" spans="1:28" s="367" customFormat="1" ht="11.25" customHeight="1">
      <c r="A12" s="330">
        <v>4</v>
      </c>
      <c r="B12" s="365">
        <f>'FRIT HGE91-FHG'!B12</f>
        <v>46238</v>
      </c>
      <c r="C12" s="331" t="s">
        <v>348</v>
      </c>
      <c r="D12" s="396">
        <f t="shared" si="1"/>
        <v>0</v>
      </c>
      <c r="E12" s="396">
        <f t="shared" si="2"/>
        <v>0</v>
      </c>
      <c r="F12" s="396">
        <f t="shared" ref="F12:F39" si="5">$F$9</f>
        <v>10902.777777777777</v>
      </c>
      <c r="G12" s="396">
        <f t="shared" si="0"/>
        <v>4200</v>
      </c>
      <c r="H12" s="451">
        <f t="shared" si="3"/>
        <v>0.40318709801286357</v>
      </c>
      <c r="I12" s="772"/>
      <c r="J12" s="772"/>
      <c r="K12" s="772"/>
      <c r="L12" s="970"/>
      <c r="M12" s="970"/>
      <c r="N12" s="650">
        <f t="shared" si="4"/>
        <v>0.35</v>
      </c>
    </row>
    <row r="13" spans="1:28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4200</v>
      </c>
      <c r="H13" s="451">
        <f t="shared" si="3"/>
        <v>0.40318709801286357</v>
      </c>
      <c r="I13" s="772"/>
      <c r="J13" s="772"/>
      <c r="K13" s="772"/>
      <c r="L13" s="970"/>
      <c r="M13" s="970"/>
      <c r="N13" s="650">
        <f t="shared" si="4"/>
        <v>0.35</v>
      </c>
    </row>
    <row r="14" spans="1:28" s="367" customFormat="1" ht="11.25" customHeight="1">
      <c r="A14" s="330">
        <v>6</v>
      </c>
      <c r="B14" s="365">
        <f>'FRIT HGE91-FHG'!B14</f>
        <v>46240</v>
      </c>
      <c r="C14" s="331" t="s">
        <v>348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4200</v>
      </c>
      <c r="H14" s="451">
        <f t="shared" si="3"/>
        <v>0.40318709801286357</v>
      </c>
      <c r="I14" s="772"/>
      <c r="J14" s="772"/>
      <c r="K14" s="772"/>
      <c r="L14" s="970"/>
      <c r="M14" s="970"/>
      <c r="N14" s="650">
        <f t="shared" si="4"/>
        <v>0.35</v>
      </c>
    </row>
    <row r="15" spans="1:28" s="367" customFormat="1" ht="11.25" customHeight="1">
      <c r="A15" s="330">
        <v>7</v>
      </c>
      <c r="B15" s="365">
        <f>'FRIT HGE91-FHG'!B15</f>
        <v>46241</v>
      </c>
      <c r="C15" s="331" t="s">
        <v>348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4200</v>
      </c>
      <c r="H15" s="451">
        <f t="shared" si="3"/>
        <v>0.40318709801286357</v>
      </c>
      <c r="I15" s="772"/>
      <c r="J15" s="772"/>
      <c r="K15" s="772"/>
      <c r="L15" s="970"/>
      <c r="M15" s="970"/>
      <c r="N15" s="650">
        <f t="shared" si="4"/>
        <v>0.35</v>
      </c>
    </row>
    <row r="16" spans="1:28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4200</v>
      </c>
      <c r="H16" s="451">
        <f t="shared" si="3"/>
        <v>0.40318709801286357</v>
      </c>
      <c r="I16" s="772"/>
      <c r="J16" s="772"/>
      <c r="K16" s="772"/>
      <c r="L16" s="970"/>
      <c r="M16" s="970"/>
      <c r="N16" s="650">
        <f t="shared" si="4"/>
        <v>0.35</v>
      </c>
    </row>
    <row r="17" spans="1:14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4200</v>
      </c>
      <c r="H17" s="451">
        <f t="shared" si="3"/>
        <v>0.40318709801286357</v>
      </c>
      <c r="I17" s="772"/>
      <c r="J17" s="772"/>
      <c r="K17" s="772"/>
      <c r="L17" s="970"/>
      <c r="M17" s="970"/>
      <c r="N17" s="650">
        <f t="shared" si="4"/>
        <v>0.35</v>
      </c>
    </row>
    <row r="18" spans="1:14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4200</v>
      </c>
      <c r="H18" s="451">
        <f t="shared" si="3"/>
        <v>0.40318709801286357</v>
      </c>
      <c r="I18" s="772"/>
      <c r="J18" s="772"/>
      <c r="K18" s="772"/>
      <c r="L18" s="970"/>
      <c r="M18" s="970"/>
      <c r="N18" s="650">
        <f t="shared" si="4"/>
        <v>0.35</v>
      </c>
    </row>
    <row r="19" spans="1:14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4200</v>
      </c>
      <c r="H19" s="451">
        <f t="shared" si="3"/>
        <v>0.40318709801286357</v>
      </c>
      <c r="I19" s="772"/>
      <c r="J19" s="772"/>
      <c r="K19" s="772"/>
      <c r="L19" s="970"/>
      <c r="M19" s="970"/>
      <c r="N19" s="650">
        <f t="shared" si="4"/>
        <v>0.35</v>
      </c>
    </row>
    <row r="20" spans="1:14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4200</v>
      </c>
      <c r="H20" s="451">
        <f t="shared" si="3"/>
        <v>0.40318709801286357</v>
      </c>
      <c r="I20" s="772"/>
      <c r="J20" s="772"/>
      <c r="K20" s="772"/>
      <c r="L20" s="970"/>
      <c r="M20" s="970"/>
      <c r="N20" s="650">
        <f t="shared" si="4"/>
        <v>0.35</v>
      </c>
    </row>
    <row r="21" spans="1:14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4200</v>
      </c>
      <c r="H21" s="451">
        <f t="shared" si="3"/>
        <v>0.40318709801286357</v>
      </c>
      <c r="I21" s="772"/>
      <c r="J21" s="772"/>
      <c r="K21" s="772"/>
      <c r="L21" s="970"/>
      <c r="M21" s="970"/>
      <c r="N21" s="650">
        <f t="shared" si="4"/>
        <v>0.35</v>
      </c>
    </row>
    <row r="22" spans="1:14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4200</v>
      </c>
      <c r="H22" s="451">
        <f t="shared" si="3"/>
        <v>0.40318709801286357</v>
      </c>
      <c r="I22" s="772"/>
      <c r="J22" s="772"/>
      <c r="K22" s="772"/>
      <c r="L22" s="970"/>
      <c r="M22" s="970"/>
      <c r="N22" s="650">
        <f t="shared" si="4"/>
        <v>0.35</v>
      </c>
    </row>
    <row r="23" spans="1:14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4200</v>
      </c>
      <c r="H23" s="451">
        <f t="shared" si="3"/>
        <v>0.40318709801286357</v>
      </c>
      <c r="I23" s="772"/>
      <c r="J23" s="772"/>
      <c r="K23" s="772"/>
      <c r="L23" s="970"/>
      <c r="M23" s="970"/>
      <c r="N23" s="650">
        <f t="shared" si="4"/>
        <v>0.35</v>
      </c>
    </row>
    <row r="24" spans="1:14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4200</v>
      </c>
      <c r="H24" s="451">
        <f t="shared" si="3"/>
        <v>0.40318709801286357</v>
      </c>
      <c r="I24" s="772"/>
      <c r="J24" s="772"/>
      <c r="K24" s="772"/>
      <c r="L24" s="970"/>
      <c r="M24" s="970"/>
      <c r="N24" s="650">
        <f t="shared" si="4"/>
        <v>0.35</v>
      </c>
    </row>
    <row r="25" spans="1:14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4200</v>
      </c>
      <c r="H25" s="451">
        <f t="shared" si="3"/>
        <v>0.40318709801286357</v>
      </c>
      <c r="I25" s="772"/>
      <c r="J25" s="772"/>
      <c r="K25" s="772"/>
      <c r="L25" s="970"/>
      <c r="M25" s="970"/>
      <c r="N25" s="650">
        <f t="shared" si="4"/>
        <v>0.35</v>
      </c>
    </row>
    <row r="26" spans="1:14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4200</v>
      </c>
      <c r="H26" s="451">
        <f t="shared" si="3"/>
        <v>0.40318709801286357</v>
      </c>
      <c r="I26" s="772"/>
      <c r="J26" s="772"/>
      <c r="K26" s="772"/>
      <c r="L26" s="970"/>
      <c r="M26" s="970"/>
      <c r="N26" s="650">
        <f t="shared" si="4"/>
        <v>0.35</v>
      </c>
    </row>
    <row r="27" spans="1:14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4200</v>
      </c>
      <c r="H27" s="451">
        <f t="shared" si="3"/>
        <v>0.40318709801286357</v>
      </c>
      <c r="I27" s="772"/>
      <c r="J27" s="772"/>
      <c r="K27" s="772"/>
      <c r="L27" s="970"/>
      <c r="M27" s="970"/>
      <c r="N27" s="650">
        <f t="shared" si="4"/>
        <v>0.35</v>
      </c>
    </row>
    <row r="28" spans="1:14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4200</v>
      </c>
      <c r="H28" s="451">
        <f t="shared" si="3"/>
        <v>0.40318709801286357</v>
      </c>
      <c r="I28" s="772"/>
      <c r="J28" s="772"/>
      <c r="K28" s="772"/>
      <c r="L28" s="970"/>
      <c r="M28" s="970"/>
      <c r="N28" s="650">
        <f t="shared" si="4"/>
        <v>0.35</v>
      </c>
    </row>
    <row r="29" spans="1:14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4200</v>
      </c>
      <c r="H29" s="451">
        <f t="shared" si="3"/>
        <v>0.40318709801286357</v>
      </c>
      <c r="I29" s="772"/>
      <c r="J29" s="772"/>
      <c r="K29" s="772"/>
      <c r="L29" s="970"/>
      <c r="M29" s="970"/>
      <c r="N29" s="650">
        <f t="shared" si="4"/>
        <v>0.35</v>
      </c>
    </row>
    <row r="30" spans="1:14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4200</v>
      </c>
      <c r="H30" s="451">
        <f t="shared" si="3"/>
        <v>0.40318709801286357</v>
      </c>
      <c r="I30" s="772"/>
      <c r="J30" s="772"/>
      <c r="K30" s="772"/>
      <c r="L30" s="970"/>
      <c r="M30" s="970"/>
      <c r="N30" s="650">
        <f t="shared" si="4"/>
        <v>0.35</v>
      </c>
    </row>
    <row r="31" spans="1:14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4200</v>
      </c>
      <c r="H31" s="451">
        <f t="shared" si="3"/>
        <v>0.40318709801286357</v>
      </c>
      <c r="I31" s="772"/>
      <c r="J31" s="772"/>
      <c r="K31" s="772"/>
      <c r="L31" s="970"/>
      <c r="M31" s="970"/>
      <c r="N31" s="650">
        <f t="shared" si="4"/>
        <v>0.35</v>
      </c>
    </row>
    <row r="32" spans="1:14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4200</v>
      </c>
      <c r="H32" s="451">
        <f t="shared" si="3"/>
        <v>0.40318709801286357</v>
      </c>
      <c r="I32" s="772"/>
      <c r="J32" s="772"/>
      <c r="K32" s="772"/>
      <c r="L32" s="970"/>
      <c r="M32" s="970"/>
      <c r="N32" s="650">
        <f t="shared" si="4"/>
        <v>0.35</v>
      </c>
    </row>
    <row r="33" spans="1:15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4200</v>
      </c>
      <c r="H33" s="451">
        <f t="shared" si="3"/>
        <v>0.40318709801286357</v>
      </c>
      <c r="I33" s="772"/>
      <c r="J33" s="772"/>
      <c r="K33" s="772"/>
      <c r="L33" s="970"/>
      <c r="M33" s="970"/>
      <c r="N33" s="650">
        <f t="shared" si="4"/>
        <v>0.35</v>
      </c>
    </row>
    <row r="34" spans="1:15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4200</v>
      </c>
      <c r="H34" s="451">
        <f t="shared" si="3"/>
        <v>0.40318709801286357</v>
      </c>
      <c r="I34" s="772"/>
      <c r="J34" s="772"/>
      <c r="K34" s="772"/>
      <c r="L34" s="970"/>
      <c r="M34" s="970"/>
      <c r="N34" s="650">
        <f t="shared" si="4"/>
        <v>0.35</v>
      </c>
    </row>
    <row r="35" spans="1:15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4200</v>
      </c>
      <c r="H35" s="451">
        <f t="shared" si="3"/>
        <v>0.40318709801286357</v>
      </c>
      <c r="I35" s="772"/>
      <c r="J35" s="772"/>
      <c r="K35" s="772"/>
      <c r="L35" s="970"/>
      <c r="M35" s="970"/>
      <c r="N35" s="650">
        <f t="shared" si="4"/>
        <v>0.35</v>
      </c>
    </row>
    <row r="36" spans="1:15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4200</v>
      </c>
      <c r="H36" s="451">
        <f t="shared" si="3"/>
        <v>0.40318709801286357</v>
      </c>
      <c r="I36" s="772"/>
      <c r="J36" s="772"/>
      <c r="K36" s="772"/>
      <c r="L36" s="970"/>
      <c r="M36" s="970"/>
      <c r="N36" s="650">
        <f t="shared" si="4"/>
        <v>0.35</v>
      </c>
    </row>
    <row r="37" spans="1:15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4200</v>
      </c>
      <c r="H37" s="451">
        <f t="shared" si="3"/>
        <v>0.40318709801286357</v>
      </c>
      <c r="I37" s="772"/>
      <c r="J37" s="772"/>
      <c r="K37" s="772"/>
      <c r="L37" s="970"/>
      <c r="M37" s="970"/>
      <c r="N37" s="650">
        <f t="shared" si="4"/>
        <v>0.35</v>
      </c>
    </row>
    <row r="38" spans="1:15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4200</v>
      </c>
      <c r="H38" s="451">
        <f t="shared" si="3"/>
        <v>0.40318709801286357</v>
      </c>
      <c r="I38" s="772"/>
      <c r="J38" s="772"/>
      <c r="K38" s="772"/>
      <c r="L38" s="970"/>
      <c r="M38" s="970"/>
      <c r="N38" s="650">
        <f t="shared" si="4"/>
        <v>0.35</v>
      </c>
    </row>
    <row r="39" spans="1:15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 t="shared" si="5"/>
        <v>10902.777777777777</v>
      </c>
      <c r="G39" s="396">
        <f t="shared" si="0"/>
        <v>4200</v>
      </c>
      <c r="H39" s="451">
        <f t="shared" si="3"/>
        <v>0.40318709801286357</v>
      </c>
      <c r="I39" s="772"/>
      <c r="J39" s="772"/>
      <c r="K39" s="772"/>
      <c r="L39" s="970"/>
      <c r="M39" s="970"/>
      <c r="N39" s="650">
        <f t="shared" si="4"/>
        <v>0.35</v>
      </c>
    </row>
    <row r="40" spans="1:15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4200</v>
      </c>
      <c r="H40" s="309"/>
      <c r="I40" s="689">
        <f>SUM(I9:I39)</f>
        <v>0</v>
      </c>
      <c r="J40" s="689">
        <f t="shared" ref="J40:M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</row>
    <row r="41" spans="1:15" s="374" customFormat="1" ht="11.25" customHeight="1">
      <c r="A41" s="1647" t="s">
        <v>15</v>
      </c>
      <c r="B41" s="1647"/>
      <c r="C41" s="1647"/>
      <c r="D41" s="448">
        <f>D8+D40</f>
        <v>4200</v>
      </c>
      <c r="E41" s="389">
        <f>E40</f>
        <v>0</v>
      </c>
      <c r="F41" s="449"/>
      <c r="G41" s="389">
        <f>D41-E41</f>
        <v>4200</v>
      </c>
      <c r="H41" s="309"/>
      <c r="I41" s="689"/>
      <c r="J41" s="689"/>
      <c r="K41" s="689"/>
      <c r="L41" s="794"/>
      <c r="M41" s="794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A41:C41"/>
    <mergeCell ref="A3:I3"/>
    <mergeCell ref="A4:B4"/>
    <mergeCell ref="L7:L8"/>
    <mergeCell ref="M7:M8"/>
    <mergeCell ref="A8:C8"/>
    <mergeCell ref="A40:C40"/>
  </mergeCells>
  <conditionalFormatting sqref="H9:H39">
    <cfRule type="cellIs" dxfId="8213" priority="22" operator="between">
      <formula>3.5</formula>
      <formula>6</formula>
    </cfRule>
    <cfRule type="cellIs" dxfId="8212" priority="23" operator="lessThan">
      <formula>3.5</formula>
    </cfRule>
    <cfRule type="cellIs" dxfId="8211" priority="24" operator="greaterThan">
      <formula>6</formula>
    </cfRule>
  </conditionalFormatting>
  <conditionalFormatting sqref="H9:H39">
    <cfRule type="cellIs" dxfId="8210" priority="19" operator="between">
      <formula>3.5</formula>
      <formula>6</formula>
    </cfRule>
    <cfRule type="cellIs" dxfId="8209" priority="20" operator="lessThan">
      <formula>3.5</formula>
    </cfRule>
    <cfRule type="cellIs" dxfId="8208" priority="21" operator="greaterThan">
      <formula>6</formula>
    </cfRule>
  </conditionalFormatting>
  <conditionalFormatting sqref="H9:H39">
    <cfRule type="cellIs" dxfId="8207" priority="16" operator="between">
      <formula>3.5</formula>
      <formula>6</formula>
    </cfRule>
    <cfRule type="cellIs" dxfId="8206" priority="17" operator="lessThan">
      <formula>3.5</formula>
    </cfRule>
    <cfRule type="cellIs" dxfId="8205" priority="18" operator="greaterThan">
      <formula>6</formula>
    </cfRule>
  </conditionalFormatting>
  <conditionalFormatting sqref="H9:H39">
    <cfRule type="cellIs" dxfId="8204" priority="13" operator="between">
      <formula>3.5</formula>
      <formula>6</formula>
    </cfRule>
    <cfRule type="cellIs" dxfId="8203" priority="14" operator="lessThan">
      <formula>3.5</formula>
    </cfRule>
    <cfRule type="cellIs" dxfId="8202" priority="15" operator="greaterThan">
      <formula>6</formula>
    </cfRule>
  </conditionalFormatting>
  <conditionalFormatting sqref="H9:H39">
    <cfRule type="cellIs" dxfId="8201" priority="10" operator="between">
      <formula>3.5</formula>
      <formula>6</formula>
    </cfRule>
    <cfRule type="cellIs" dxfId="8200" priority="11" operator="lessThan">
      <formula>3.5</formula>
    </cfRule>
    <cfRule type="cellIs" dxfId="8199" priority="12" operator="greaterThan">
      <formula>6</formula>
    </cfRule>
  </conditionalFormatting>
  <conditionalFormatting sqref="H9:H39">
    <cfRule type="cellIs" dxfId="8198" priority="7" operator="between">
      <formula>3.5</formula>
      <formula>6</formula>
    </cfRule>
    <cfRule type="cellIs" dxfId="8197" priority="8" operator="lessThan">
      <formula>3.5</formula>
    </cfRule>
    <cfRule type="cellIs" dxfId="8196" priority="9" operator="greaterThan">
      <formula>6</formula>
    </cfRule>
  </conditionalFormatting>
  <conditionalFormatting sqref="H9:H39">
    <cfRule type="cellIs" dxfId="8195" priority="4" operator="between">
      <formula>3.5</formula>
      <formula>6</formula>
    </cfRule>
    <cfRule type="cellIs" dxfId="8194" priority="5" operator="lessThan">
      <formula>3.5</formula>
    </cfRule>
    <cfRule type="cellIs" dxfId="8193" priority="6" operator="greaterThan">
      <formula>6</formula>
    </cfRule>
  </conditionalFormatting>
  <conditionalFormatting sqref="H9:H39">
    <cfRule type="cellIs" dxfId="8192" priority="1" operator="between">
      <formula>3.5</formula>
      <formula>6</formula>
    </cfRule>
    <cfRule type="cellIs" dxfId="8191" priority="2" operator="lessThan">
      <formula>3.5</formula>
    </cfRule>
    <cfRule type="cellIs" dxfId="819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49"/>
  <sheetViews>
    <sheetView zoomScale="90" zoomScaleNormal="90" workbookViewId="0">
      <pane ySplit="8" topLeftCell="A21" activePane="bottomLeft" state="frozen"/>
      <selection pane="bottomLeft" activeCell="A7" sqref="A7:XFD8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8.7109375" style="42" customWidth="1"/>
    <col min="10" max="10" width="10" style="42" customWidth="1"/>
    <col min="11" max="11" width="8.7109375" style="42" customWidth="1"/>
    <col min="12" max="13" width="15.28515625" style="42" customWidth="1"/>
    <col min="14" max="14" width="11.5703125" style="143" bestFit="1" customWidth="1"/>
    <col min="15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25"/>
      <c r="K3" s="1125"/>
      <c r="L3" s="1125"/>
      <c r="M3" s="1125"/>
      <c r="O3" s="442"/>
      <c r="P3" s="442"/>
      <c r="Q3" s="442"/>
    </row>
    <row r="4" spans="1:28" s="1134" customFormat="1" ht="12" customHeight="1">
      <c r="A4" s="1648" t="s">
        <v>33</v>
      </c>
      <c r="B4" s="1648"/>
      <c r="C4" s="551" t="str">
        <f>H4</f>
        <v>LUXURY 600*600-HA giấy nâu</v>
      </c>
      <c r="E4" s="549" t="s">
        <v>228</v>
      </c>
      <c r="F4" s="549" t="s">
        <v>235</v>
      </c>
      <c r="G4" s="550" t="s">
        <v>114</v>
      </c>
      <c r="H4" s="551" t="s">
        <v>929</v>
      </c>
      <c r="N4" s="143"/>
    </row>
    <row r="5" spans="1:28" s="1134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143"/>
    </row>
    <row r="6" spans="1:28" s="1134" customFormat="1" ht="12" customHeight="1">
      <c r="B6" s="453"/>
      <c r="C6" s="453"/>
      <c r="D6" s="453"/>
      <c r="E6" s="453"/>
      <c r="F6" s="453"/>
      <c r="G6" s="453">
        <v>58500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1128" t="s">
        <v>2</v>
      </c>
      <c r="B7" s="1130" t="s">
        <v>1</v>
      </c>
      <c r="C7" s="1130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27" t="s">
        <v>30</v>
      </c>
      <c r="I7" s="697" t="s">
        <v>341</v>
      </c>
      <c r="J7" s="697" t="s">
        <v>244</v>
      </c>
      <c r="K7" s="697" t="s">
        <v>344</v>
      </c>
      <c r="L7" s="1649" t="s">
        <v>771</v>
      </c>
      <c r="M7" s="1649" t="s">
        <v>772</v>
      </c>
      <c r="N7" s="143"/>
    </row>
    <row r="8" spans="1:28" s="305" customFormat="1" ht="12.7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649"/>
      <c r="M8" s="1649"/>
      <c r="N8" s="143">
        <v>12000</v>
      </c>
    </row>
    <row r="9" spans="1:28" s="305" customFormat="1" ht="11.25" customHeight="1">
      <c r="A9" s="1129">
        <v>1</v>
      </c>
      <c r="B9" s="365">
        <f>'FRIT HGE91-FHG'!B9</f>
        <v>46235</v>
      </c>
      <c r="C9" s="331" t="s">
        <v>334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970"/>
      <c r="M9" s="970"/>
      <c r="N9" s="650">
        <f>G9/$N$8</f>
        <v>0</v>
      </c>
    </row>
    <row r="10" spans="1:28" s="333" customFormat="1" ht="11.25" customHeight="1">
      <c r="A10" s="330">
        <v>2</v>
      </c>
      <c r="B10" s="365">
        <f>'FRIT HGE91-FHG'!B10</f>
        <v>46236</v>
      </c>
      <c r="C10" s="331" t="s">
        <v>346</v>
      </c>
      <c r="D10" s="396">
        <f t="shared" ref="D10:D39" si="1">L10+M10</f>
        <v>0</v>
      </c>
      <c r="E10" s="396">
        <f t="shared" ref="E10:E39" si="2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3">G10/10417</f>
        <v>0</v>
      </c>
      <c r="I10" s="772"/>
      <c r="J10" s="772"/>
      <c r="K10" s="772"/>
      <c r="L10" s="970"/>
      <c r="M10" s="970"/>
      <c r="N10" s="650">
        <f t="shared" ref="N10:N39" si="4">G10/$N$8</f>
        <v>0</v>
      </c>
    </row>
    <row r="11" spans="1:28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0</v>
      </c>
      <c r="H11" s="451">
        <f t="shared" si="3"/>
        <v>0</v>
      </c>
      <c r="I11" s="772"/>
      <c r="J11" s="772"/>
      <c r="K11" s="772"/>
      <c r="L11" s="970"/>
      <c r="M11" s="970"/>
      <c r="N11" s="650">
        <f t="shared" si="4"/>
        <v>0</v>
      </c>
    </row>
    <row r="12" spans="1:28" s="367" customFormat="1" ht="15">
      <c r="A12" s="330">
        <v>4</v>
      </c>
      <c r="B12" s="365">
        <f>'FRIT HGE91-FHG'!B12</f>
        <v>46238</v>
      </c>
      <c r="C12" s="331" t="s">
        <v>348</v>
      </c>
      <c r="D12" s="396">
        <f t="shared" si="1"/>
        <v>0</v>
      </c>
      <c r="E12" s="396">
        <f t="shared" si="2"/>
        <v>0</v>
      </c>
      <c r="F12" s="396">
        <f t="shared" ref="F12:F39" si="5">$F$9</f>
        <v>10902.777777777777</v>
      </c>
      <c r="G12" s="396">
        <f t="shared" si="0"/>
        <v>0</v>
      </c>
      <c r="H12" s="451">
        <f t="shared" si="3"/>
        <v>0</v>
      </c>
      <c r="I12" s="772"/>
      <c r="J12" s="772"/>
      <c r="K12" s="772"/>
      <c r="L12" s="970"/>
      <c r="M12" s="970"/>
      <c r="N12" s="650">
        <f t="shared" si="4"/>
        <v>0</v>
      </c>
    </row>
    <row r="13" spans="1:28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0</v>
      </c>
      <c r="H13" s="451">
        <f t="shared" si="3"/>
        <v>0</v>
      </c>
      <c r="I13" s="772"/>
      <c r="J13" s="772"/>
      <c r="K13" s="772"/>
      <c r="L13" s="970"/>
      <c r="M13" s="970"/>
      <c r="N13" s="650">
        <f t="shared" si="4"/>
        <v>0</v>
      </c>
    </row>
    <row r="14" spans="1:28" s="367" customFormat="1" ht="11.25" customHeight="1">
      <c r="A14" s="330">
        <v>6</v>
      </c>
      <c r="B14" s="365">
        <f>'FRIT HGE91-FHG'!B14</f>
        <v>46240</v>
      </c>
      <c r="C14" s="331" t="s">
        <v>348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0</v>
      </c>
      <c r="H14" s="451">
        <f t="shared" si="3"/>
        <v>0</v>
      </c>
      <c r="I14" s="772"/>
      <c r="J14" s="772"/>
      <c r="K14" s="772"/>
      <c r="L14" s="970"/>
      <c r="M14" s="970"/>
      <c r="N14" s="650">
        <f t="shared" si="4"/>
        <v>0</v>
      </c>
    </row>
    <row r="15" spans="1:28" s="367" customFormat="1" ht="11.25" customHeight="1">
      <c r="A15" s="330">
        <v>7</v>
      </c>
      <c r="B15" s="365">
        <f>'FRIT HGE91-FHG'!B15</f>
        <v>46241</v>
      </c>
      <c r="C15" s="331" t="s">
        <v>348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0</v>
      </c>
      <c r="H15" s="451">
        <f t="shared" si="3"/>
        <v>0</v>
      </c>
      <c r="I15" s="772"/>
      <c r="J15" s="772"/>
      <c r="K15" s="772"/>
      <c r="L15" s="970"/>
      <c r="M15" s="970"/>
      <c r="N15" s="650">
        <f t="shared" si="4"/>
        <v>0</v>
      </c>
    </row>
    <row r="16" spans="1:28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0</v>
      </c>
      <c r="H16" s="451">
        <f t="shared" si="3"/>
        <v>0</v>
      </c>
      <c r="I16" s="772"/>
      <c r="J16" s="772"/>
      <c r="K16" s="772"/>
      <c r="L16" s="970"/>
      <c r="M16" s="970"/>
      <c r="N16" s="650">
        <f t="shared" si="4"/>
        <v>0</v>
      </c>
    </row>
    <row r="17" spans="1:17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0</v>
      </c>
      <c r="H17" s="451">
        <f t="shared" si="3"/>
        <v>0</v>
      </c>
      <c r="I17" s="772"/>
      <c r="J17" s="772"/>
      <c r="K17" s="772"/>
      <c r="L17" s="970"/>
      <c r="M17" s="970"/>
      <c r="N17" s="650">
        <f t="shared" si="4"/>
        <v>0</v>
      </c>
    </row>
    <row r="18" spans="1:17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0</v>
      </c>
      <c r="H18" s="451">
        <f t="shared" si="3"/>
        <v>0</v>
      </c>
      <c r="I18" s="772"/>
      <c r="J18" s="772"/>
      <c r="K18" s="772"/>
      <c r="L18" s="970"/>
      <c r="M18" s="970"/>
      <c r="N18" s="650">
        <f t="shared" si="4"/>
        <v>0</v>
      </c>
      <c r="Q18" s="551"/>
    </row>
    <row r="19" spans="1:17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0</v>
      </c>
      <c r="H19" s="451">
        <f t="shared" si="3"/>
        <v>0</v>
      </c>
      <c r="I19" s="772"/>
      <c r="J19" s="772"/>
      <c r="K19" s="772"/>
      <c r="L19" s="970"/>
      <c r="M19" s="970"/>
      <c r="N19" s="650">
        <f t="shared" si="4"/>
        <v>0</v>
      </c>
    </row>
    <row r="20" spans="1:17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0</v>
      </c>
      <c r="H20" s="451">
        <f t="shared" si="3"/>
        <v>0</v>
      </c>
      <c r="I20" s="772"/>
      <c r="J20" s="772"/>
      <c r="K20" s="772"/>
      <c r="L20" s="970"/>
      <c r="M20" s="970"/>
      <c r="N20" s="650">
        <f t="shared" si="4"/>
        <v>0</v>
      </c>
    </row>
    <row r="21" spans="1:17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0</v>
      </c>
      <c r="H21" s="451">
        <f t="shared" si="3"/>
        <v>0</v>
      </c>
      <c r="I21" s="772"/>
      <c r="J21" s="772"/>
      <c r="K21" s="772"/>
      <c r="L21" s="970"/>
      <c r="M21" s="970"/>
      <c r="N21" s="650">
        <f t="shared" si="4"/>
        <v>0</v>
      </c>
    </row>
    <row r="22" spans="1:17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0</v>
      </c>
      <c r="H22" s="451">
        <f t="shared" si="3"/>
        <v>0</v>
      </c>
      <c r="I22" s="772"/>
      <c r="J22" s="772"/>
      <c r="K22" s="772"/>
      <c r="L22" s="970"/>
      <c r="M22" s="970"/>
      <c r="N22" s="650">
        <f t="shared" si="4"/>
        <v>0</v>
      </c>
    </row>
    <row r="23" spans="1:17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0</v>
      </c>
      <c r="H23" s="451">
        <f t="shared" si="3"/>
        <v>0</v>
      </c>
      <c r="I23" s="772"/>
      <c r="J23" s="772"/>
      <c r="K23" s="772"/>
      <c r="L23" s="970"/>
      <c r="M23" s="970"/>
      <c r="N23" s="650">
        <f t="shared" si="4"/>
        <v>0</v>
      </c>
    </row>
    <row r="24" spans="1:17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0</v>
      </c>
      <c r="H24" s="451">
        <f t="shared" si="3"/>
        <v>0</v>
      </c>
      <c r="I24" s="772"/>
      <c r="J24" s="772"/>
      <c r="K24" s="772"/>
      <c r="L24" s="970"/>
      <c r="M24" s="970"/>
      <c r="N24" s="650">
        <f t="shared" si="4"/>
        <v>0</v>
      </c>
    </row>
    <row r="25" spans="1:17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0</v>
      </c>
      <c r="H25" s="451">
        <f t="shared" si="3"/>
        <v>0</v>
      </c>
      <c r="I25" s="772"/>
      <c r="J25" s="772"/>
      <c r="K25" s="772"/>
      <c r="L25" s="970"/>
      <c r="M25" s="970"/>
      <c r="N25" s="650">
        <f t="shared" si="4"/>
        <v>0</v>
      </c>
    </row>
    <row r="26" spans="1:17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0</v>
      </c>
      <c r="H26" s="451">
        <f t="shared" si="3"/>
        <v>0</v>
      </c>
      <c r="I26" s="772"/>
      <c r="J26" s="772"/>
      <c r="K26" s="772"/>
      <c r="L26" s="970"/>
      <c r="M26" s="970"/>
      <c r="N26" s="650">
        <f t="shared" si="4"/>
        <v>0</v>
      </c>
    </row>
    <row r="27" spans="1:17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>L27+M27</f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0</v>
      </c>
      <c r="H27" s="451">
        <f t="shared" si="3"/>
        <v>0</v>
      </c>
      <c r="I27" s="772"/>
      <c r="J27" s="772"/>
      <c r="K27" s="772"/>
      <c r="L27" s="970"/>
      <c r="M27" s="970"/>
      <c r="N27" s="650">
        <f t="shared" si="4"/>
        <v>0</v>
      </c>
    </row>
    <row r="28" spans="1:17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0</v>
      </c>
      <c r="H28" s="451">
        <f t="shared" si="3"/>
        <v>0</v>
      </c>
      <c r="I28" s="772"/>
      <c r="J28" s="772"/>
      <c r="K28" s="772"/>
      <c r="L28" s="970"/>
      <c r="M28" s="970"/>
      <c r="N28" s="650">
        <f t="shared" si="4"/>
        <v>0</v>
      </c>
    </row>
    <row r="29" spans="1:17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>L29+M29</f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0</v>
      </c>
      <c r="H29" s="451">
        <f t="shared" si="3"/>
        <v>0</v>
      </c>
      <c r="I29" s="772"/>
      <c r="J29" s="772"/>
      <c r="K29" s="772"/>
      <c r="L29" s="970"/>
      <c r="M29" s="970"/>
      <c r="N29" s="650">
        <f t="shared" si="4"/>
        <v>0</v>
      </c>
    </row>
    <row r="30" spans="1:17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0</v>
      </c>
      <c r="H30" s="451">
        <f t="shared" si="3"/>
        <v>0</v>
      </c>
      <c r="I30" s="772"/>
      <c r="J30" s="772"/>
      <c r="K30" s="772"/>
      <c r="L30" s="970"/>
      <c r="M30" s="970"/>
      <c r="N30" s="650">
        <f t="shared" si="4"/>
        <v>0</v>
      </c>
    </row>
    <row r="31" spans="1:17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0</v>
      </c>
      <c r="H31" s="451">
        <f t="shared" si="3"/>
        <v>0</v>
      </c>
      <c r="I31" s="772"/>
      <c r="J31" s="772"/>
      <c r="K31" s="772"/>
      <c r="L31" s="970"/>
      <c r="M31" s="970"/>
      <c r="N31" s="650">
        <f t="shared" si="4"/>
        <v>0</v>
      </c>
    </row>
    <row r="32" spans="1:17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0</v>
      </c>
      <c r="H32" s="451">
        <f t="shared" si="3"/>
        <v>0</v>
      </c>
      <c r="I32" s="772"/>
      <c r="J32" s="772"/>
      <c r="K32" s="772"/>
      <c r="L32" s="970"/>
      <c r="M32" s="970"/>
      <c r="N32" s="650">
        <f t="shared" si="4"/>
        <v>0</v>
      </c>
    </row>
    <row r="33" spans="1:15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0</v>
      </c>
      <c r="H33" s="451">
        <f t="shared" si="3"/>
        <v>0</v>
      </c>
      <c r="I33" s="772"/>
      <c r="J33" s="772"/>
      <c r="K33" s="772"/>
      <c r="L33" s="970"/>
      <c r="M33" s="970"/>
      <c r="N33" s="650">
        <f t="shared" si="4"/>
        <v>0</v>
      </c>
    </row>
    <row r="34" spans="1:15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0</v>
      </c>
      <c r="H34" s="451">
        <f t="shared" si="3"/>
        <v>0</v>
      </c>
      <c r="I34" s="772"/>
      <c r="J34" s="772"/>
      <c r="K34" s="772"/>
      <c r="L34" s="970"/>
      <c r="M34" s="970"/>
      <c r="N34" s="650">
        <f t="shared" si="4"/>
        <v>0</v>
      </c>
    </row>
    <row r="35" spans="1:15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0</v>
      </c>
      <c r="H35" s="451">
        <f t="shared" si="3"/>
        <v>0</v>
      </c>
      <c r="I35" s="772"/>
      <c r="J35" s="772"/>
      <c r="K35" s="772"/>
      <c r="L35" s="970"/>
      <c r="M35" s="970"/>
      <c r="N35" s="650">
        <f t="shared" si="4"/>
        <v>0</v>
      </c>
    </row>
    <row r="36" spans="1:15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0</v>
      </c>
      <c r="H36" s="451">
        <f t="shared" si="3"/>
        <v>0</v>
      </c>
      <c r="I36" s="772"/>
      <c r="J36" s="772"/>
      <c r="K36" s="772"/>
      <c r="L36" s="970"/>
      <c r="M36" s="970"/>
      <c r="N36" s="650">
        <f t="shared" si="4"/>
        <v>0</v>
      </c>
    </row>
    <row r="37" spans="1:15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0</v>
      </c>
      <c r="H37" s="451">
        <f t="shared" si="3"/>
        <v>0</v>
      </c>
      <c r="I37" s="772"/>
      <c r="J37" s="772"/>
      <c r="K37" s="772"/>
      <c r="L37" s="970"/>
      <c r="M37" s="970"/>
      <c r="N37" s="650">
        <f t="shared" si="4"/>
        <v>0</v>
      </c>
    </row>
    <row r="38" spans="1:15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0</v>
      </c>
      <c r="H38" s="451">
        <f t="shared" si="3"/>
        <v>0</v>
      </c>
      <c r="I38" s="772"/>
      <c r="J38" s="772"/>
      <c r="K38" s="772"/>
      <c r="L38" s="970"/>
      <c r="M38" s="970"/>
      <c r="N38" s="650">
        <f t="shared" si="4"/>
        <v>0</v>
      </c>
    </row>
    <row r="39" spans="1:15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 t="shared" si="5"/>
        <v>10902.777777777777</v>
      </c>
      <c r="G39" s="396">
        <f t="shared" si="0"/>
        <v>0</v>
      </c>
      <c r="H39" s="451">
        <f t="shared" si="3"/>
        <v>0</v>
      </c>
      <c r="I39" s="772"/>
      <c r="J39" s="772"/>
      <c r="K39" s="772"/>
      <c r="L39" s="970"/>
      <c r="M39" s="970"/>
      <c r="N39" s="650">
        <f t="shared" si="4"/>
        <v>0</v>
      </c>
    </row>
    <row r="40" spans="1:15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M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</row>
    <row r="41" spans="1:15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794"/>
      <c r="M41" s="794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A41:C41"/>
    <mergeCell ref="A3:I3"/>
    <mergeCell ref="A4:B4"/>
    <mergeCell ref="L7:L8"/>
    <mergeCell ref="M7:M8"/>
    <mergeCell ref="A8:C8"/>
    <mergeCell ref="A40:C40"/>
  </mergeCells>
  <conditionalFormatting sqref="H9:H39">
    <cfRule type="cellIs" dxfId="8189" priority="22" operator="between">
      <formula>3.5</formula>
      <formula>6</formula>
    </cfRule>
    <cfRule type="cellIs" dxfId="8188" priority="23" operator="lessThan">
      <formula>3.5</formula>
    </cfRule>
    <cfRule type="cellIs" dxfId="8187" priority="24" operator="greaterThan">
      <formula>6</formula>
    </cfRule>
  </conditionalFormatting>
  <conditionalFormatting sqref="H9:H39">
    <cfRule type="cellIs" dxfId="8186" priority="19" operator="between">
      <formula>3.5</formula>
      <formula>6</formula>
    </cfRule>
    <cfRule type="cellIs" dxfId="8185" priority="20" operator="lessThan">
      <formula>3.5</formula>
    </cfRule>
    <cfRule type="cellIs" dxfId="8184" priority="21" operator="greaterThan">
      <formula>6</formula>
    </cfRule>
  </conditionalFormatting>
  <conditionalFormatting sqref="H9:H39">
    <cfRule type="cellIs" dxfId="8183" priority="16" operator="between">
      <formula>3.5</formula>
      <formula>6</formula>
    </cfRule>
    <cfRule type="cellIs" dxfId="8182" priority="17" operator="lessThan">
      <formula>3.5</formula>
    </cfRule>
    <cfRule type="cellIs" dxfId="8181" priority="18" operator="greaterThan">
      <formula>6</formula>
    </cfRule>
  </conditionalFormatting>
  <conditionalFormatting sqref="H9:H39">
    <cfRule type="cellIs" dxfId="8180" priority="13" operator="between">
      <formula>3.5</formula>
      <formula>6</formula>
    </cfRule>
    <cfRule type="cellIs" dxfId="8179" priority="14" operator="lessThan">
      <formula>3.5</formula>
    </cfRule>
    <cfRule type="cellIs" dxfId="8178" priority="15" operator="greaterThan">
      <formula>6</formula>
    </cfRule>
  </conditionalFormatting>
  <conditionalFormatting sqref="H9:H39">
    <cfRule type="cellIs" dxfId="8177" priority="10" operator="between">
      <formula>3.5</formula>
      <formula>6</formula>
    </cfRule>
    <cfRule type="cellIs" dxfId="8176" priority="11" operator="lessThan">
      <formula>3.5</formula>
    </cfRule>
    <cfRule type="cellIs" dxfId="8175" priority="12" operator="greaterThan">
      <formula>6</formula>
    </cfRule>
  </conditionalFormatting>
  <conditionalFormatting sqref="H9:H39">
    <cfRule type="cellIs" dxfId="8174" priority="7" operator="between">
      <formula>3.5</formula>
      <formula>6</formula>
    </cfRule>
    <cfRule type="cellIs" dxfId="8173" priority="8" operator="lessThan">
      <formula>3.5</formula>
    </cfRule>
    <cfRule type="cellIs" dxfId="8172" priority="9" operator="greaterThan">
      <formula>6</formula>
    </cfRule>
  </conditionalFormatting>
  <conditionalFormatting sqref="H9:H39">
    <cfRule type="cellIs" dxfId="8171" priority="4" operator="between">
      <formula>3.5</formula>
      <formula>6</formula>
    </cfRule>
    <cfRule type="cellIs" dxfId="8170" priority="5" operator="lessThan">
      <formula>3.5</formula>
    </cfRule>
    <cfRule type="cellIs" dxfId="8169" priority="6" operator="greaterThan">
      <formula>6</formula>
    </cfRule>
  </conditionalFormatting>
  <conditionalFormatting sqref="H9:H39">
    <cfRule type="cellIs" dxfId="8168" priority="1" operator="between">
      <formula>3.5</formula>
      <formula>6</formula>
    </cfRule>
    <cfRule type="cellIs" dxfId="8167" priority="2" operator="lessThan">
      <formula>3.5</formula>
    </cfRule>
    <cfRule type="cellIs" dxfId="816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49"/>
  <sheetViews>
    <sheetView zoomScale="90" zoomScaleNormal="90" workbookViewId="0">
      <pane ySplit="8" topLeftCell="A18" activePane="bottomLeft" state="frozen"/>
      <selection pane="bottomLeft" activeCell="L11" sqref="L11:L35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9" width="8.7109375" style="42" customWidth="1"/>
    <col min="10" max="11" width="10" style="42" customWidth="1"/>
    <col min="12" max="12" width="8.7109375" style="42" customWidth="1"/>
    <col min="13" max="14" width="15.28515625" style="42" customWidth="1"/>
    <col min="15" max="15" width="11.5703125" style="143" bestFit="1" customWidth="1"/>
    <col min="16" max="18" width="7.5703125" style="42" customWidth="1"/>
    <col min="19" max="16384" width="9.28515625" style="42"/>
  </cols>
  <sheetData>
    <row r="1" spans="1:29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3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O2" s="323"/>
      <c r="P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64"/>
      <c r="K3" s="1299"/>
      <c r="L3" s="1264"/>
      <c r="M3" s="1264"/>
      <c r="N3" s="1264"/>
      <c r="P3" s="442"/>
      <c r="Q3" s="442"/>
      <c r="R3" s="442"/>
    </row>
    <row r="4" spans="1:29" s="1269" customFormat="1" ht="12" customHeight="1">
      <c r="A4" s="1648" t="s">
        <v>33</v>
      </c>
      <c r="B4" s="1648"/>
      <c r="C4" s="551" t="str">
        <f>H4</f>
        <v>LUXURY 60x60 5V nâu</v>
      </c>
      <c r="E4" s="549" t="s">
        <v>228</v>
      </c>
      <c r="F4" s="549" t="s">
        <v>235</v>
      </c>
      <c r="G4" s="550" t="s">
        <v>114</v>
      </c>
      <c r="H4" s="551" t="s">
        <v>1059</v>
      </c>
      <c r="K4" s="1300"/>
      <c r="O4" s="143"/>
    </row>
    <row r="5" spans="1:29" s="126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  <c r="N5" s="324"/>
      <c r="O5" s="143"/>
    </row>
    <row r="6" spans="1:29" s="1269" customFormat="1" ht="12" customHeight="1">
      <c r="B6" s="453"/>
      <c r="C6" s="453"/>
      <c r="D6" s="453"/>
      <c r="E6" s="453"/>
      <c r="F6" s="453"/>
      <c r="G6" s="453">
        <v>58500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442"/>
    </row>
    <row r="7" spans="1:29" s="305" customFormat="1" ht="28.5" customHeight="1">
      <c r="A7" s="1266" t="s">
        <v>2</v>
      </c>
      <c r="B7" s="1268" t="s">
        <v>1</v>
      </c>
      <c r="C7" s="126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65" t="s">
        <v>30</v>
      </c>
      <c r="I7" s="697" t="s">
        <v>341</v>
      </c>
      <c r="J7" s="697" t="s">
        <v>244</v>
      </c>
      <c r="K7" s="697" t="s">
        <v>344</v>
      </c>
      <c r="L7" s="697" t="s">
        <v>821</v>
      </c>
      <c r="M7" s="1649" t="s">
        <v>771</v>
      </c>
      <c r="N7" s="1649" t="s">
        <v>772</v>
      </c>
      <c r="O7" s="143"/>
    </row>
    <row r="8" spans="1:29" s="305" customFormat="1" ht="12.75" customHeight="1">
      <c r="A8" s="1650" t="s">
        <v>3</v>
      </c>
      <c r="B8" s="1651"/>
      <c r="C8" s="1652"/>
      <c r="D8" s="771">
        <f>G8</f>
        <v>1748</v>
      </c>
      <c r="E8" s="771">
        <f>E40</f>
        <v>0</v>
      </c>
      <c r="F8" s="771"/>
      <c r="G8" s="774">
        <v>1748</v>
      </c>
      <c r="H8" s="450"/>
      <c r="I8" s="772"/>
      <c r="J8" s="772"/>
      <c r="K8" s="772"/>
      <c r="L8" s="772"/>
      <c r="M8" s="1649"/>
      <c r="N8" s="1649"/>
      <c r="O8" s="143">
        <v>12000</v>
      </c>
    </row>
    <row r="9" spans="1:29" s="305" customFormat="1" ht="11.25" customHeight="1">
      <c r="A9" s="1267">
        <v>1</v>
      </c>
      <c r="B9" s="365">
        <f>'FRIT HGE91-FHG'!B9</f>
        <v>46235</v>
      </c>
      <c r="C9" s="331" t="s">
        <v>334</v>
      </c>
      <c r="D9" s="396">
        <f>M9+N9</f>
        <v>0</v>
      </c>
      <c r="E9" s="396">
        <f>I9+J9+L9+K9</f>
        <v>0</v>
      </c>
      <c r="F9" s="396">
        <f>15700/1.44</f>
        <v>10902.777777777777</v>
      </c>
      <c r="G9" s="396">
        <f t="shared" ref="G9:G39" si="0">G8+D9-E9</f>
        <v>1748</v>
      </c>
      <c r="H9" s="451">
        <f>G9/10417</f>
        <v>0.1678026303158299</v>
      </c>
      <c r="I9" s="772"/>
      <c r="J9" s="772"/>
      <c r="K9" s="772"/>
      <c r="L9" s="772"/>
      <c r="M9" s="970"/>
      <c r="N9" s="970"/>
      <c r="O9" s="650">
        <f>G9/$O$8</f>
        <v>0.14566666666666667</v>
      </c>
    </row>
    <row r="10" spans="1:29" s="333" customFormat="1" ht="11.25" customHeight="1">
      <c r="A10" s="330">
        <v>2</v>
      </c>
      <c r="B10" s="365">
        <f>'FRIT HGE91-FHG'!B10</f>
        <v>46236</v>
      </c>
      <c r="C10" s="331" t="s">
        <v>346</v>
      </c>
      <c r="D10" s="396">
        <f t="shared" ref="D10:D39" si="1">M10+N10</f>
        <v>0</v>
      </c>
      <c r="E10" s="396">
        <f t="shared" ref="E10:E39" si="2">I10+J10+L10+K10</f>
        <v>0</v>
      </c>
      <c r="F10" s="396">
        <f>$F$9</f>
        <v>10902.777777777777</v>
      </c>
      <c r="G10" s="396">
        <f t="shared" si="0"/>
        <v>1748</v>
      </c>
      <c r="H10" s="451">
        <f t="shared" ref="H10:H39" si="3">G10/10417</f>
        <v>0.1678026303158299</v>
      </c>
      <c r="I10" s="772"/>
      <c r="J10" s="772"/>
      <c r="K10" s="772"/>
      <c r="L10" s="772"/>
      <c r="M10" s="970"/>
      <c r="N10" s="970"/>
      <c r="O10" s="650">
        <f t="shared" ref="O10:O39" si="4">G10/$O$8</f>
        <v>0.14566666666666667</v>
      </c>
    </row>
    <row r="11" spans="1:29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1748</v>
      </c>
      <c r="H11" s="451">
        <f t="shared" si="3"/>
        <v>0.1678026303158299</v>
      </c>
      <c r="I11" s="772"/>
      <c r="J11" s="772"/>
      <c r="K11" s="772"/>
      <c r="L11" s="772"/>
      <c r="M11" s="970"/>
      <c r="N11" s="970"/>
      <c r="O11" s="650">
        <f t="shared" si="4"/>
        <v>0.14566666666666667</v>
      </c>
    </row>
    <row r="12" spans="1:29" s="367" customFormat="1" ht="15">
      <c r="A12" s="330">
        <v>4</v>
      </c>
      <c r="B12" s="365">
        <f>'FRIT HGE91-FHG'!B12</f>
        <v>46238</v>
      </c>
      <c r="C12" s="331" t="s">
        <v>348</v>
      </c>
      <c r="D12" s="396">
        <f t="shared" si="1"/>
        <v>0</v>
      </c>
      <c r="E12" s="396">
        <f t="shared" si="2"/>
        <v>0</v>
      </c>
      <c r="F12" s="396">
        <f t="shared" ref="F12:F39" si="5">$F$9</f>
        <v>10902.777777777777</v>
      </c>
      <c r="G12" s="396">
        <f t="shared" si="0"/>
        <v>1748</v>
      </c>
      <c r="H12" s="451">
        <f t="shared" si="3"/>
        <v>0.1678026303158299</v>
      </c>
      <c r="I12" s="772"/>
      <c r="J12" s="772"/>
      <c r="K12" s="772"/>
      <c r="L12" s="772"/>
      <c r="M12" s="970"/>
      <c r="N12" s="970"/>
      <c r="O12" s="650">
        <f t="shared" si="4"/>
        <v>0.14566666666666667</v>
      </c>
    </row>
    <row r="13" spans="1:29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1748</v>
      </c>
      <c r="H13" s="451">
        <f t="shared" si="3"/>
        <v>0.1678026303158299</v>
      </c>
      <c r="I13" s="772"/>
      <c r="J13" s="772"/>
      <c r="K13" s="772"/>
      <c r="L13" s="772"/>
      <c r="M13" s="970"/>
      <c r="N13" s="970"/>
      <c r="O13" s="650">
        <f t="shared" si="4"/>
        <v>0.14566666666666667</v>
      </c>
    </row>
    <row r="14" spans="1:29" s="367" customFormat="1" ht="11.25" customHeight="1">
      <c r="A14" s="330">
        <v>6</v>
      </c>
      <c r="B14" s="365">
        <f>'FRIT HGE91-FHG'!B14</f>
        <v>46240</v>
      </c>
      <c r="C14" s="331" t="s">
        <v>348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1748</v>
      </c>
      <c r="H14" s="451">
        <f t="shared" si="3"/>
        <v>0.1678026303158299</v>
      </c>
      <c r="I14" s="772"/>
      <c r="J14" s="772"/>
      <c r="K14" s="772"/>
      <c r="L14" s="772"/>
      <c r="M14" s="970"/>
      <c r="N14" s="970"/>
      <c r="O14" s="650">
        <f t="shared" si="4"/>
        <v>0.14566666666666667</v>
      </c>
    </row>
    <row r="15" spans="1:29" s="367" customFormat="1" ht="11.25" customHeight="1">
      <c r="A15" s="330">
        <v>7</v>
      </c>
      <c r="B15" s="365">
        <f>'FRIT HGE91-FHG'!B15</f>
        <v>46241</v>
      </c>
      <c r="C15" s="331" t="s">
        <v>348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1748</v>
      </c>
      <c r="H15" s="451">
        <f t="shared" si="3"/>
        <v>0.1678026303158299</v>
      </c>
      <c r="I15" s="772"/>
      <c r="J15" s="772"/>
      <c r="K15" s="772"/>
      <c r="L15" s="772"/>
      <c r="M15" s="970"/>
      <c r="N15" s="970"/>
      <c r="O15" s="650">
        <f t="shared" si="4"/>
        <v>0.14566666666666667</v>
      </c>
    </row>
    <row r="16" spans="1:29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1748</v>
      </c>
      <c r="H16" s="451">
        <f t="shared" si="3"/>
        <v>0.1678026303158299</v>
      </c>
      <c r="I16" s="772"/>
      <c r="J16" s="772"/>
      <c r="K16" s="772"/>
      <c r="L16" s="772"/>
      <c r="M16" s="970"/>
      <c r="N16" s="970"/>
      <c r="O16" s="650">
        <f t="shared" si="4"/>
        <v>0.14566666666666667</v>
      </c>
    </row>
    <row r="17" spans="1:15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1748</v>
      </c>
      <c r="H17" s="451">
        <f t="shared" si="3"/>
        <v>0.1678026303158299</v>
      </c>
      <c r="I17" s="772"/>
      <c r="J17" s="772"/>
      <c r="K17" s="772"/>
      <c r="L17" s="772"/>
      <c r="M17" s="970"/>
      <c r="N17" s="970"/>
      <c r="O17" s="650">
        <f t="shared" si="4"/>
        <v>0.14566666666666667</v>
      </c>
    </row>
    <row r="18" spans="1:15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1748</v>
      </c>
      <c r="H18" s="451">
        <f t="shared" si="3"/>
        <v>0.1678026303158299</v>
      </c>
      <c r="I18" s="772"/>
      <c r="J18" s="772"/>
      <c r="K18" s="772"/>
      <c r="L18" s="772"/>
      <c r="M18" s="970"/>
      <c r="N18" s="970"/>
      <c r="O18" s="650">
        <f t="shared" si="4"/>
        <v>0.14566666666666667</v>
      </c>
    </row>
    <row r="19" spans="1:15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1748</v>
      </c>
      <c r="H19" s="451">
        <f t="shared" si="3"/>
        <v>0.1678026303158299</v>
      </c>
      <c r="I19" s="772"/>
      <c r="J19" s="772"/>
      <c r="K19" s="772"/>
      <c r="L19" s="772"/>
      <c r="M19" s="970"/>
      <c r="N19" s="970"/>
      <c r="O19" s="650">
        <f t="shared" si="4"/>
        <v>0.14566666666666667</v>
      </c>
    </row>
    <row r="20" spans="1:15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1748</v>
      </c>
      <c r="H20" s="451">
        <f t="shared" si="3"/>
        <v>0.1678026303158299</v>
      </c>
      <c r="I20" s="772"/>
      <c r="J20" s="772"/>
      <c r="K20" s="772"/>
      <c r="L20" s="772"/>
      <c r="M20" s="970"/>
      <c r="N20" s="970"/>
      <c r="O20" s="650">
        <f t="shared" si="4"/>
        <v>0.14566666666666667</v>
      </c>
    </row>
    <row r="21" spans="1:15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1748</v>
      </c>
      <c r="H21" s="451">
        <f t="shared" si="3"/>
        <v>0.1678026303158299</v>
      </c>
      <c r="I21" s="772"/>
      <c r="J21" s="772"/>
      <c r="K21" s="772"/>
      <c r="L21" s="772"/>
      <c r="M21" s="970"/>
      <c r="N21" s="970"/>
      <c r="O21" s="650">
        <f t="shared" si="4"/>
        <v>0.14566666666666667</v>
      </c>
    </row>
    <row r="22" spans="1:15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1748</v>
      </c>
      <c r="H22" s="451">
        <f t="shared" si="3"/>
        <v>0.1678026303158299</v>
      </c>
      <c r="I22" s="772"/>
      <c r="J22" s="772"/>
      <c r="K22" s="772"/>
      <c r="L22" s="772"/>
      <c r="M22" s="970"/>
      <c r="N22" s="970"/>
      <c r="O22" s="650">
        <f t="shared" si="4"/>
        <v>0.14566666666666667</v>
      </c>
    </row>
    <row r="23" spans="1:15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1748</v>
      </c>
      <c r="H23" s="451">
        <f t="shared" si="3"/>
        <v>0.1678026303158299</v>
      </c>
      <c r="I23" s="772"/>
      <c r="J23" s="772"/>
      <c r="K23" s="772"/>
      <c r="L23" s="772"/>
      <c r="M23" s="970"/>
      <c r="N23" s="970"/>
      <c r="O23" s="650">
        <f t="shared" si="4"/>
        <v>0.14566666666666667</v>
      </c>
    </row>
    <row r="24" spans="1:15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1748</v>
      </c>
      <c r="H24" s="451">
        <f t="shared" si="3"/>
        <v>0.1678026303158299</v>
      </c>
      <c r="I24" s="772"/>
      <c r="J24" s="772"/>
      <c r="K24" s="772"/>
      <c r="L24" s="772"/>
      <c r="M24" s="970"/>
      <c r="N24" s="970"/>
      <c r="O24" s="650">
        <f t="shared" si="4"/>
        <v>0.14566666666666667</v>
      </c>
    </row>
    <row r="25" spans="1:15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1748</v>
      </c>
      <c r="H25" s="451">
        <f t="shared" si="3"/>
        <v>0.1678026303158299</v>
      </c>
      <c r="I25" s="772"/>
      <c r="J25" s="772"/>
      <c r="K25" s="772"/>
      <c r="L25" s="772"/>
      <c r="M25" s="970"/>
      <c r="N25" s="970"/>
      <c r="O25" s="650">
        <f t="shared" si="4"/>
        <v>0.14566666666666667</v>
      </c>
    </row>
    <row r="26" spans="1:15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1748</v>
      </c>
      <c r="H26" s="451">
        <f t="shared" si="3"/>
        <v>0.1678026303158299</v>
      </c>
      <c r="I26" s="772"/>
      <c r="J26" s="772"/>
      <c r="K26" s="772"/>
      <c r="L26" s="772"/>
      <c r="M26" s="970"/>
      <c r="N26" s="970"/>
      <c r="O26" s="650">
        <f t="shared" si="4"/>
        <v>0.14566666666666667</v>
      </c>
    </row>
    <row r="27" spans="1:15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>M27+N27</f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1748</v>
      </c>
      <c r="H27" s="451">
        <f t="shared" si="3"/>
        <v>0.1678026303158299</v>
      </c>
      <c r="I27" s="772"/>
      <c r="J27" s="772"/>
      <c r="K27" s="772"/>
      <c r="L27" s="772"/>
      <c r="M27" s="970"/>
      <c r="N27" s="970"/>
      <c r="O27" s="650">
        <f t="shared" si="4"/>
        <v>0.14566666666666667</v>
      </c>
    </row>
    <row r="28" spans="1:15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1748</v>
      </c>
      <c r="H28" s="451">
        <f t="shared" si="3"/>
        <v>0.1678026303158299</v>
      </c>
      <c r="I28" s="772"/>
      <c r="J28" s="772"/>
      <c r="K28" s="772"/>
      <c r="L28" s="772"/>
      <c r="M28" s="970"/>
      <c r="N28" s="970"/>
      <c r="O28" s="650">
        <f t="shared" si="4"/>
        <v>0.14566666666666667</v>
      </c>
    </row>
    <row r="29" spans="1:15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>M29+N29</f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1748</v>
      </c>
      <c r="H29" s="451">
        <f t="shared" si="3"/>
        <v>0.1678026303158299</v>
      </c>
      <c r="I29" s="772"/>
      <c r="J29" s="772"/>
      <c r="K29" s="772"/>
      <c r="L29" s="772"/>
      <c r="M29" s="970"/>
      <c r="N29" s="970"/>
      <c r="O29" s="650">
        <f t="shared" si="4"/>
        <v>0.14566666666666667</v>
      </c>
    </row>
    <row r="30" spans="1:15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1748</v>
      </c>
      <c r="H30" s="451">
        <f t="shared" si="3"/>
        <v>0.1678026303158299</v>
      </c>
      <c r="I30" s="772"/>
      <c r="J30" s="772"/>
      <c r="K30" s="772"/>
      <c r="L30" s="772"/>
      <c r="M30" s="970"/>
      <c r="N30" s="970"/>
      <c r="O30" s="650">
        <f t="shared" si="4"/>
        <v>0.14566666666666667</v>
      </c>
    </row>
    <row r="31" spans="1:15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1748</v>
      </c>
      <c r="H31" s="451">
        <f t="shared" si="3"/>
        <v>0.1678026303158299</v>
      </c>
      <c r="I31" s="772"/>
      <c r="J31" s="772"/>
      <c r="K31" s="772"/>
      <c r="L31" s="772"/>
      <c r="M31" s="970"/>
      <c r="N31" s="970"/>
      <c r="O31" s="650">
        <f t="shared" si="4"/>
        <v>0.14566666666666667</v>
      </c>
    </row>
    <row r="32" spans="1:15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1748</v>
      </c>
      <c r="H32" s="451">
        <f t="shared" si="3"/>
        <v>0.1678026303158299</v>
      </c>
      <c r="I32" s="772"/>
      <c r="J32" s="772"/>
      <c r="K32" s="772"/>
      <c r="L32" s="772"/>
      <c r="M32" s="970"/>
      <c r="N32" s="970"/>
      <c r="O32" s="650">
        <f t="shared" si="4"/>
        <v>0.14566666666666667</v>
      </c>
    </row>
    <row r="33" spans="1:16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1748</v>
      </c>
      <c r="H33" s="451">
        <f t="shared" si="3"/>
        <v>0.1678026303158299</v>
      </c>
      <c r="I33" s="772"/>
      <c r="J33" s="772"/>
      <c r="K33" s="772"/>
      <c r="L33" s="772"/>
      <c r="M33" s="970"/>
      <c r="N33" s="970"/>
      <c r="O33" s="650">
        <f t="shared" si="4"/>
        <v>0.14566666666666667</v>
      </c>
    </row>
    <row r="34" spans="1:16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1748</v>
      </c>
      <c r="H34" s="451">
        <f t="shared" si="3"/>
        <v>0.1678026303158299</v>
      </c>
      <c r="I34" s="772"/>
      <c r="J34" s="772"/>
      <c r="K34" s="772"/>
      <c r="L34" s="772"/>
      <c r="M34" s="970"/>
      <c r="N34" s="970"/>
      <c r="O34" s="650">
        <f t="shared" si="4"/>
        <v>0.14566666666666667</v>
      </c>
    </row>
    <row r="35" spans="1:16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1748</v>
      </c>
      <c r="H35" s="451">
        <f t="shared" si="3"/>
        <v>0.1678026303158299</v>
      </c>
      <c r="I35" s="772"/>
      <c r="J35" s="772"/>
      <c r="K35" s="772"/>
      <c r="L35" s="772"/>
      <c r="M35" s="970"/>
      <c r="N35" s="970"/>
      <c r="O35" s="650">
        <f t="shared" si="4"/>
        <v>0.14566666666666667</v>
      </c>
    </row>
    <row r="36" spans="1:16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1748</v>
      </c>
      <c r="H36" s="451">
        <f t="shared" si="3"/>
        <v>0.1678026303158299</v>
      </c>
      <c r="I36" s="772"/>
      <c r="J36" s="772"/>
      <c r="K36" s="772"/>
      <c r="L36" s="772"/>
      <c r="M36" s="970"/>
      <c r="N36" s="970"/>
      <c r="O36" s="650">
        <f t="shared" si="4"/>
        <v>0.14566666666666667</v>
      </c>
    </row>
    <row r="37" spans="1:16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1748</v>
      </c>
      <c r="H37" s="451">
        <f t="shared" si="3"/>
        <v>0.1678026303158299</v>
      </c>
      <c r="I37" s="772"/>
      <c r="J37" s="772"/>
      <c r="K37" s="772"/>
      <c r="L37" s="772"/>
      <c r="M37" s="970"/>
      <c r="N37" s="970"/>
      <c r="O37" s="650">
        <f t="shared" si="4"/>
        <v>0.14566666666666667</v>
      </c>
    </row>
    <row r="38" spans="1:16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1748</v>
      </c>
      <c r="H38" s="451">
        <f t="shared" si="3"/>
        <v>0.1678026303158299</v>
      </c>
      <c r="I38" s="772"/>
      <c r="J38" s="772"/>
      <c r="K38" s="772"/>
      <c r="L38" s="772"/>
      <c r="M38" s="970"/>
      <c r="N38" s="970"/>
      <c r="O38" s="650">
        <f t="shared" si="4"/>
        <v>0.14566666666666667</v>
      </c>
    </row>
    <row r="39" spans="1:16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 t="shared" si="5"/>
        <v>10902.777777777777</v>
      </c>
      <c r="G39" s="396">
        <f t="shared" si="0"/>
        <v>1748</v>
      </c>
      <c r="H39" s="451">
        <f t="shared" si="3"/>
        <v>0.1678026303158299</v>
      </c>
      <c r="I39" s="772"/>
      <c r="J39" s="772"/>
      <c r="K39" s="772"/>
      <c r="L39" s="772"/>
      <c r="M39" s="970"/>
      <c r="N39" s="970"/>
      <c r="O39" s="650">
        <f t="shared" si="4"/>
        <v>0.14566666666666667</v>
      </c>
    </row>
    <row r="40" spans="1:16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1748</v>
      </c>
      <c r="H40" s="309"/>
      <c r="I40" s="689">
        <f>SUM(I9:I39)</f>
        <v>0</v>
      </c>
      <c r="J40" s="689">
        <f t="shared" ref="J40:N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  <c r="N40" s="689">
        <f t="shared" si="6"/>
        <v>0</v>
      </c>
    </row>
    <row r="41" spans="1:16" s="374" customFormat="1" ht="11.25" customHeight="1">
      <c r="A41" s="1647" t="s">
        <v>15</v>
      </c>
      <c r="B41" s="1647"/>
      <c r="C41" s="1647"/>
      <c r="D41" s="448">
        <f>D8+D40</f>
        <v>1748</v>
      </c>
      <c r="E41" s="389">
        <f>E40</f>
        <v>0</v>
      </c>
      <c r="F41" s="449"/>
      <c r="G41" s="389">
        <f>D41-E41</f>
        <v>1748</v>
      </c>
      <c r="H41" s="309"/>
      <c r="I41" s="689"/>
      <c r="J41" s="689"/>
      <c r="K41" s="689"/>
      <c r="L41" s="689"/>
      <c r="M41" s="794"/>
      <c r="N41" s="794"/>
    </row>
    <row r="42" spans="1:16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</row>
    <row r="43" spans="1:16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  <c r="N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6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</row>
    <row r="47" spans="1:16">
      <c r="P47" s="151"/>
    </row>
    <row r="48" spans="1:16">
      <c r="P48" s="151"/>
    </row>
    <row r="49" spans="16:16">
      <c r="P49" s="151"/>
    </row>
  </sheetData>
  <mergeCells count="7">
    <mergeCell ref="A41:C41"/>
    <mergeCell ref="A3:I3"/>
    <mergeCell ref="A4:B4"/>
    <mergeCell ref="M7:M8"/>
    <mergeCell ref="N7:N8"/>
    <mergeCell ref="A8:C8"/>
    <mergeCell ref="A40:C40"/>
  </mergeCells>
  <conditionalFormatting sqref="H9:H39">
    <cfRule type="cellIs" dxfId="8165" priority="22" operator="between">
      <formula>3.5</formula>
      <formula>6</formula>
    </cfRule>
    <cfRule type="cellIs" dxfId="8164" priority="23" operator="lessThan">
      <formula>3.5</formula>
    </cfRule>
    <cfRule type="cellIs" dxfId="8163" priority="24" operator="greaterThan">
      <formula>6</formula>
    </cfRule>
  </conditionalFormatting>
  <conditionalFormatting sqref="H9:H39">
    <cfRule type="cellIs" dxfId="8162" priority="19" operator="between">
      <formula>3.5</formula>
      <formula>6</formula>
    </cfRule>
    <cfRule type="cellIs" dxfId="8161" priority="20" operator="lessThan">
      <formula>3.5</formula>
    </cfRule>
    <cfRule type="cellIs" dxfId="8160" priority="21" operator="greaterThan">
      <formula>6</formula>
    </cfRule>
  </conditionalFormatting>
  <conditionalFormatting sqref="H9:H39">
    <cfRule type="cellIs" dxfId="8159" priority="16" operator="between">
      <formula>3.5</formula>
      <formula>6</formula>
    </cfRule>
    <cfRule type="cellIs" dxfId="8158" priority="17" operator="lessThan">
      <formula>3.5</formula>
    </cfRule>
    <cfRule type="cellIs" dxfId="8157" priority="18" operator="greaterThan">
      <formula>6</formula>
    </cfRule>
  </conditionalFormatting>
  <conditionalFormatting sqref="H9:H39">
    <cfRule type="cellIs" dxfId="8156" priority="13" operator="between">
      <formula>3.5</formula>
      <formula>6</formula>
    </cfRule>
    <cfRule type="cellIs" dxfId="8155" priority="14" operator="lessThan">
      <formula>3.5</formula>
    </cfRule>
    <cfRule type="cellIs" dxfId="8154" priority="15" operator="greaterThan">
      <formula>6</formula>
    </cfRule>
  </conditionalFormatting>
  <conditionalFormatting sqref="H9:H39">
    <cfRule type="cellIs" dxfId="8153" priority="10" operator="between">
      <formula>3.5</formula>
      <formula>6</formula>
    </cfRule>
    <cfRule type="cellIs" dxfId="8152" priority="11" operator="lessThan">
      <formula>3.5</formula>
    </cfRule>
    <cfRule type="cellIs" dxfId="8151" priority="12" operator="greaterThan">
      <formula>6</formula>
    </cfRule>
  </conditionalFormatting>
  <conditionalFormatting sqref="H9:H39">
    <cfRule type="cellIs" dxfId="8150" priority="7" operator="between">
      <formula>3.5</formula>
      <formula>6</formula>
    </cfRule>
    <cfRule type="cellIs" dxfId="8149" priority="8" operator="lessThan">
      <formula>3.5</formula>
    </cfRule>
    <cfRule type="cellIs" dxfId="8148" priority="9" operator="greaterThan">
      <formula>6</formula>
    </cfRule>
  </conditionalFormatting>
  <conditionalFormatting sqref="H9:H39">
    <cfRule type="cellIs" dxfId="8147" priority="4" operator="between">
      <formula>3.5</formula>
      <formula>6</formula>
    </cfRule>
    <cfRule type="cellIs" dxfId="8146" priority="5" operator="lessThan">
      <formula>3.5</formula>
    </cfRule>
    <cfRule type="cellIs" dxfId="8145" priority="6" operator="greaterThan">
      <formula>6</formula>
    </cfRule>
  </conditionalFormatting>
  <conditionalFormatting sqref="H9:H39">
    <cfRule type="cellIs" dxfId="8144" priority="1" operator="between">
      <formula>3.5</formula>
      <formula>6</formula>
    </cfRule>
    <cfRule type="cellIs" dxfId="8143" priority="2" operator="lessThan">
      <formula>3.5</formula>
    </cfRule>
    <cfRule type="cellIs" dxfId="814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A49"/>
  <sheetViews>
    <sheetView zoomScale="90" zoomScaleNormal="90" workbookViewId="0">
      <pane ySplit="8" topLeftCell="A15" activePane="bottomLeft" state="frozen"/>
      <selection pane="bottomLeft" activeCell="I21" sqref="I21:I25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L3" s="1121"/>
      <c r="N3" s="442"/>
      <c r="O3" s="442"/>
      <c r="P3" s="442"/>
    </row>
    <row r="4" spans="1:27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403</v>
      </c>
      <c r="L4" s="1122"/>
      <c r="M4" s="143"/>
    </row>
    <row r="5" spans="1:27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143"/>
    </row>
    <row r="6" spans="1:27" s="766" customFormat="1" ht="12" customHeight="1">
      <c r="B6" s="453"/>
      <c r="C6" s="453"/>
      <c r="D6" s="453"/>
      <c r="E6" s="453"/>
      <c r="F6" s="453"/>
      <c r="G6" s="453">
        <v>12450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124" t="s">
        <v>821</v>
      </c>
      <c r="M7" s="143"/>
    </row>
    <row r="8" spans="1:27" s="305" customFormat="1" ht="11.2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1.25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1.25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1.25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1.25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1.25" customHeight="1">
      <c r="A16" s="330">
        <v>8</v>
      </c>
      <c r="B16" s="365">
        <f>'FRIT HGE91-FHG'!B16</f>
        <v>46242</v>
      </c>
      <c r="C16" s="331"/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334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334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334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334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8:C8"/>
    <mergeCell ref="A40:C40"/>
    <mergeCell ref="A41:C41"/>
    <mergeCell ref="A3:I3"/>
    <mergeCell ref="A4:B4"/>
  </mergeCells>
  <conditionalFormatting sqref="H9:H39">
    <cfRule type="cellIs" dxfId="8141" priority="22" operator="between">
      <formula>3.5</formula>
      <formula>6</formula>
    </cfRule>
    <cfRule type="cellIs" dxfId="8140" priority="23" operator="lessThan">
      <formula>3.5</formula>
    </cfRule>
    <cfRule type="cellIs" dxfId="8139" priority="24" operator="greaterThan">
      <formula>6</formula>
    </cfRule>
  </conditionalFormatting>
  <conditionalFormatting sqref="H9:H39">
    <cfRule type="cellIs" dxfId="8138" priority="19" operator="between">
      <formula>3.5</formula>
      <formula>6</formula>
    </cfRule>
    <cfRule type="cellIs" dxfId="8137" priority="20" operator="lessThan">
      <formula>3.5</formula>
    </cfRule>
    <cfRule type="cellIs" dxfId="8136" priority="21" operator="greaterThan">
      <formula>6</formula>
    </cfRule>
  </conditionalFormatting>
  <conditionalFormatting sqref="H9:H39">
    <cfRule type="cellIs" dxfId="8135" priority="16" operator="between">
      <formula>3.5</formula>
      <formula>6</formula>
    </cfRule>
    <cfRule type="cellIs" dxfId="8134" priority="17" operator="lessThan">
      <formula>3.5</formula>
    </cfRule>
    <cfRule type="cellIs" dxfId="8133" priority="18" operator="greaterThan">
      <formula>6</formula>
    </cfRule>
  </conditionalFormatting>
  <conditionalFormatting sqref="H9:H39">
    <cfRule type="cellIs" dxfId="8132" priority="13" operator="between">
      <formula>3.5</formula>
      <formula>6</formula>
    </cfRule>
    <cfRule type="cellIs" dxfId="8131" priority="14" operator="lessThan">
      <formula>3.5</formula>
    </cfRule>
    <cfRule type="cellIs" dxfId="8130" priority="15" operator="greaterThan">
      <formula>6</formula>
    </cfRule>
  </conditionalFormatting>
  <conditionalFormatting sqref="H9:H39">
    <cfRule type="cellIs" dxfId="8129" priority="10" operator="between">
      <formula>3.5</formula>
      <formula>6</formula>
    </cfRule>
    <cfRule type="cellIs" dxfId="8128" priority="11" operator="lessThan">
      <formula>3.5</formula>
    </cfRule>
    <cfRule type="cellIs" dxfId="8127" priority="12" operator="greaterThan">
      <formula>6</formula>
    </cfRule>
  </conditionalFormatting>
  <conditionalFormatting sqref="H9:H39">
    <cfRule type="cellIs" dxfId="8126" priority="7" operator="between">
      <formula>3.5</formula>
      <formula>6</formula>
    </cfRule>
    <cfRule type="cellIs" dxfId="8125" priority="8" operator="lessThan">
      <formula>3.5</formula>
    </cfRule>
    <cfRule type="cellIs" dxfId="8124" priority="9" operator="greaterThan">
      <formula>6</formula>
    </cfRule>
  </conditionalFormatting>
  <conditionalFormatting sqref="H9:H39">
    <cfRule type="cellIs" dxfId="8123" priority="4" operator="between">
      <formula>3.5</formula>
      <formula>6</formula>
    </cfRule>
    <cfRule type="cellIs" dxfId="8122" priority="5" operator="lessThan">
      <formula>3.5</formula>
    </cfRule>
    <cfRule type="cellIs" dxfId="8121" priority="6" operator="greaterThan">
      <formula>6</formula>
    </cfRule>
  </conditionalFormatting>
  <conditionalFormatting sqref="H9:H39">
    <cfRule type="cellIs" dxfId="8120" priority="1" operator="between">
      <formula>3.5</formula>
      <formula>6</formula>
    </cfRule>
    <cfRule type="cellIs" dxfId="8119" priority="2" operator="lessThan">
      <formula>3.5</formula>
    </cfRule>
    <cfRule type="cellIs" dxfId="811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23622047244094491"/>
  <pageSetup paperSize="8" orientation="landscape" horizontalDpi="4294967292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49"/>
  <sheetViews>
    <sheetView zoomScale="90" zoomScaleNormal="90" workbookViewId="0">
      <pane ySplit="8" topLeftCell="A21" activePane="bottomLeft" state="frozen"/>
      <selection pane="bottomLeft" activeCell="I10" sqref="I10:K3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405</v>
      </c>
      <c r="E4" s="549" t="s">
        <v>228</v>
      </c>
      <c r="F4" s="549" t="s">
        <v>235</v>
      </c>
      <c r="G4" s="550" t="s">
        <v>114</v>
      </c>
      <c r="H4" s="551" t="s">
        <v>404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>
        <v>12450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4642</v>
      </c>
      <c r="E8" s="771">
        <f>E40</f>
        <v>0</v>
      </c>
      <c r="F8" s="771"/>
      <c r="G8" s="774">
        <v>4642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761">
        <v>1</v>
      </c>
      <c r="B9" s="365">
        <f>'FRIT HGE91-FHG'!B9</f>
        <v>46235</v>
      </c>
      <c r="C9" s="331" t="s">
        <v>348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4642</v>
      </c>
      <c r="H9" s="451">
        <f>G9/10417</f>
        <v>0.44561774023231254</v>
      </c>
      <c r="I9" s="767"/>
      <c r="J9" s="767"/>
      <c r="K9" s="767"/>
      <c r="L9" s="650">
        <f>G9/$L$8</f>
        <v>0.42576218952929523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334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4642</v>
      </c>
      <c r="H10" s="451">
        <f t="shared" ref="H10:H39" si="2">G10/10417</f>
        <v>0.44561774023231254</v>
      </c>
      <c r="I10" s="767"/>
      <c r="J10" s="767"/>
      <c r="K10" s="767"/>
      <c r="L10" s="650">
        <f t="shared" ref="L10:L39" si="3">G10/$L$8</f>
        <v>0.42576218952929523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334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4642</v>
      </c>
      <c r="H11" s="451">
        <f t="shared" si="2"/>
        <v>0.44561774023231254</v>
      </c>
      <c r="I11" s="767"/>
      <c r="J11" s="767"/>
      <c r="K11" s="767"/>
      <c r="L11" s="650">
        <f t="shared" si="3"/>
        <v>0.42576218952929523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334</v>
      </c>
      <c r="D12" s="396"/>
      <c r="E12" s="396">
        <f t="shared" si="1"/>
        <v>0</v>
      </c>
      <c r="F12" s="396">
        <f t="shared" ref="F12:F39" si="4">$F$9</f>
        <v>10902.777777777777</v>
      </c>
      <c r="G12" s="396">
        <f t="shared" si="0"/>
        <v>4642</v>
      </c>
      <c r="H12" s="451">
        <f t="shared" si="2"/>
        <v>0.44561774023231254</v>
      </c>
      <c r="I12" s="767"/>
      <c r="J12" s="767"/>
      <c r="K12" s="767"/>
      <c r="L12" s="650">
        <f t="shared" si="3"/>
        <v>0.42576218952929523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334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4642</v>
      </c>
      <c r="H13" s="451">
        <f t="shared" si="2"/>
        <v>0.44561774023231254</v>
      </c>
      <c r="I13" s="767"/>
      <c r="J13" s="767"/>
      <c r="K13" s="767"/>
      <c r="L13" s="650">
        <f t="shared" si="3"/>
        <v>0.42576218952929523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4642</v>
      </c>
      <c r="H14" s="451">
        <f t="shared" si="2"/>
        <v>0.44561774023231254</v>
      </c>
      <c r="I14" s="767"/>
      <c r="J14" s="767"/>
      <c r="K14" s="767"/>
      <c r="L14" s="650">
        <f t="shared" si="3"/>
        <v>0.42576218952929523</v>
      </c>
    </row>
    <row r="15" spans="1:26" s="367" customFormat="1" ht="11.25" customHeight="1">
      <c r="A15" s="330">
        <v>7</v>
      </c>
      <c r="B15" s="365">
        <f>'FRIT HGE91-FHG'!B15</f>
        <v>46241</v>
      </c>
      <c r="C15" s="331" t="s">
        <v>334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4642</v>
      </c>
      <c r="H15" s="451">
        <f t="shared" si="2"/>
        <v>0.44561774023231254</v>
      </c>
      <c r="I15" s="767"/>
      <c r="J15" s="767"/>
      <c r="K15" s="767"/>
      <c r="L15" s="650">
        <f t="shared" si="3"/>
        <v>0.42576218952929523</v>
      </c>
    </row>
    <row r="16" spans="1:26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4642</v>
      </c>
      <c r="H16" s="451">
        <f t="shared" si="2"/>
        <v>0.44561774023231254</v>
      </c>
      <c r="I16" s="767"/>
      <c r="J16" s="767"/>
      <c r="K16" s="767"/>
      <c r="L16" s="650">
        <f t="shared" si="3"/>
        <v>0.42576218952929523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348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4642</v>
      </c>
      <c r="H17" s="451">
        <f t="shared" si="2"/>
        <v>0.44561774023231254</v>
      </c>
      <c r="I17" s="767"/>
      <c r="J17" s="767"/>
      <c r="K17" s="767"/>
      <c r="L17" s="650">
        <f t="shared" si="3"/>
        <v>0.42576218952929523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4642</v>
      </c>
      <c r="H18" s="451">
        <f t="shared" si="2"/>
        <v>0.44561774023231254</v>
      </c>
      <c r="I18" s="767"/>
      <c r="J18" s="767"/>
      <c r="K18" s="767"/>
      <c r="L18" s="650">
        <f t="shared" si="3"/>
        <v>0.42576218952929523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4642</v>
      </c>
      <c r="H19" s="451">
        <f t="shared" si="2"/>
        <v>0.44561774023231254</v>
      </c>
      <c r="I19" s="767"/>
      <c r="J19" s="767"/>
      <c r="K19" s="767"/>
      <c r="L19" s="650">
        <f t="shared" si="3"/>
        <v>0.42576218952929523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4642</v>
      </c>
      <c r="H20" s="451">
        <f t="shared" si="2"/>
        <v>0.44561774023231254</v>
      </c>
      <c r="I20" s="767"/>
      <c r="J20" s="767"/>
      <c r="K20" s="767"/>
      <c r="L20" s="650">
        <f t="shared" si="3"/>
        <v>0.42576218952929523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4642</v>
      </c>
      <c r="H21" s="451">
        <f t="shared" si="2"/>
        <v>0.44561774023231254</v>
      </c>
      <c r="I21" s="767"/>
      <c r="J21" s="767"/>
      <c r="K21" s="767"/>
      <c r="L21" s="650">
        <f t="shared" si="3"/>
        <v>0.42576218952929523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4642</v>
      </c>
      <c r="H22" s="451">
        <f t="shared" si="2"/>
        <v>0.44561774023231254</v>
      </c>
      <c r="I22" s="767"/>
      <c r="J22" s="767"/>
      <c r="K22" s="767"/>
      <c r="L22" s="650">
        <f t="shared" si="3"/>
        <v>0.42576218952929523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4642</v>
      </c>
      <c r="H23" s="451">
        <f t="shared" si="2"/>
        <v>0.44561774023231254</v>
      </c>
      <c r="I23" s="767"/>
      <c r="J23" s="767"/>
      <c r="K23" s="767"/>
      <c r="L23" s="650">
        <f t="shared" si="3"/>
        <v>0.42576218952929523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4642</v>
      </c>
      <c r="H24" s="451">
        <f t="shared" si="2"/>
        <v>0.44561774023231254</v>
      </c>
      <c r="I24" s="767"/>
      <c r="J24" s="767"/>
      <c r="K24" s="767"/>
      <c r="L24" s="650">
        <f t="shared" si="3"/>
        <v>0.42576218952929523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4642</v>
      </c>
      <c r="H25" s="451">
        <f t="shared" si="2"/>
        <v>0.44561774023231254</v>
      </c>
      <c r="I25" s="767"/>
      <c r="J25" s="767"/>
      <c r="K25" s="767"/>
      <c r="L25" s="650">
        <f t="shared" si="3"/>
        <v>0.42576218952929523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4642</v>
      </c>
      <c r="H26" s="451">
        <f t="shared" si="2"/>
        <v>0.44561774023231254</v>
      </c>
      <c r="I26" s="767"/>
      <c r="J26" s="767"/>
      <c r="K26" s="767"/>
      <c r="L26" s="650">
        <f t="shared" si="3"/>
        <v>0.42576218952929523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4642</v>
      </c>
      <c r="H27" s="451">
        <f t="shared" si="2"/>
        <v>0.44561774023231254</v>
      </c>
      <c r="I27" s="767"/>
      <c r="J27" s="767"/>
      <c r="K27" s="767"/>
      <c r="L27" s="650">
        <f t="shared" si="3"/>
        <v>0.42576218952929523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4642</v>
      </c>
      <c r="H28" s="451">
        <f t="shared" si="2"/>
        <v>0.44561774023231254</v>
      </c>
      <c r="I28" s="767"/>
      <c r="J28" s="767"/>
      <c r="K28" s="767"/>
      <c r="L28" s="650">
        <f t="shared" si="3"/>
        <v>0.42576218952929523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4642</v>
      </c>
      <c r="H29" s="451">
        <f t="shared" si="2"/>
        <v>0.44561774023231254</v>
      </c>
      <c r="I29" s="767"/>
      <c r="J29" s="767"/>
      <c r="K29" s="767"/>
      <c r="L29" s="650">
        <f t="shared" si="3"/>
        <v>0.42576218952929523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4642</v>
      </c>
      <c r="H30" s="451">
        <f t="shared" si="2"/>
        <v>0.44561774023231254</v>
      </c>
      <c r="I30" s="767"/>
      <c r="J30" s="767"/>
      <c r="K30" s="767"/>
      <c r="L30" s="650">
        <f t="shared" si="3"/>
        <v>0.42576218952929523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4642</v>
      </c>
      <c r="H31" s="451">
        <f t="shared" si="2"/>
        <v>0.44561774023231254</v>
      </c>
      <c r="I31" s="767"/>
      <c r="J31" s="767"/>
      <c r="K31" s="767"/>
      <c r="L31" s="650">
        <f t="shared" si="3"/>
        <v>0.42576218952929523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4642</v>
      </c>
      <c r="H32" s="451">
        <f t="shared" si="2"/>
        <v>0.44561774023231254</v>
      </c>
      <c r="I32" s="767"/>
      <c r="J32" s="767"/>
      <c r="K32" s="767"/>
      <c r="L32" s="650">
        <f t="shared" si="3"/>
        <v>0.42576218952929523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4642</v>
      </c>
      <c r="H33" s="451">
        <f t="shared" si="2"/>
        <v>0.44561774023231254</v>
      </c>
      <c r="I33" s="767"/>
      <c r="J33" s="767"/>
      <c r="K33" s="767"/>
      <c r="L33" s="650">
        <f t="shared" si="3"/>
        <v>0.42576218952929523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4642</v>
      </c>
      <c r="H34" s="451">
        <f t="shared" si="2"/>
        <v>0.44561774023231254</v>
      </c>
      <c r="I34" s="767"/>
      <c r="J34" s="767"/>
      <c r="K34" s="767"/>
      <c r="L34" s="650">
        <f t="shared" si="3"/>
        <v>0.42576218952929523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4642</v>
      </c>
      <c r="H35" s="451">
        <f t="shared" si="2"/>
        <v>0.44561774023231254</v>
      </c>
      <c r="I35" s="767"/>
      <c r="J35" s="767"/>
      <c r="K35" s="767"/>
      <c r="L35" s="650">
        <f t="shared" si="3"/>
        <v>0.42576218952929523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4642</v>
      </c>
      <c r="H36" s="451">
        <f t="shared" si="2"/>
        <v>0.44561774023231254</v>
      </c>
      <c r="I36" s="767"/>
      <c r="J36" s="767"/>
      <c r="K36" s="767"/>
      <c r="L36" s="650">
        <f t="shared" si="3"/>
        <v>0.42576218952929523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4642</v>
      </c>
      <c r="H37" s="451">
        <f t="shared" si="2"/>
        <v>0.44561774023231254</v>
      </c>
      <c r="I37" s="767"/>
      <c r="J37" s="767"/>
      <c r="K37" s="767"/>
      <c r="L37" s="650">
        <f t="shared" si="3"/>
        <v>0.42576218952929523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4642</v>
      </c>
      <c r="H38" s="451">
        <f t="shared" si="2"/>
        <v>0.44561774023231254</v>
      </c>
      <c r="I38" s="767"/>
      <c r="J38" s="767"/>
      <c r="K38" s="767"/>
      <c r="L38" s="650">
        <f t="shared" si="3"/>
        <v>0.42576218952929523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 t="shared" si="4"/>
        <v>10902.777777777777</v>
      </c>
      <c r="G39" s="396">
        <f t="shared" si="0"/>
        <v>4642</v>
      </c>
      <c r="H39" s="451">
        <f t="shared" si="2"/>
        <v>0.44561774023231254</v>
      </c>
      <c r="I39" s="767"/>
      <c r="J39" s="767"/>
      <c r="K39" s="767"/>
      <c r="L39" s="650">
        <f t="shared" si="3"/>
        <v>0.42576218952929523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4642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4642</v>
      </c>
      <c r="E41" s="389">
        <f>E40</f>
        <v>0</v>
      </c>
      <c r="F41" s="449"/>
      <c r="G41" s="389">
        <f>D41-E41</f>
        <v>4642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8117" priority="22" operator="between">
      <formula>3.5</formula>
      <formula>6</formula>
    </cfRule>
    <cfRule type="cellIs" dxfId="8116" priority="23" operator="lessThan">
      <formula>3.5</formula>
    </cfRule>
    <cfRule type="cellIs" dxfId="8115" priority="24" operator="greaterThan">
      <formula>6</formula>
    </cfRule>
  </conditionalFormatting>
  <conditionalFormatting sqref="H9:H39">
    <cfRule type="cellIs" dxfId="8114" priority="19" operator="between">
      <formula>3.5</formula>
      <formula>6</formula>
    </cfRule>
    <cfRule type="cellIs" dxfId="8113" priority="20" operator="lessThan">
      <formula>3.5</formula>
    </cfRule>
    <cfRule type="cellIs" dxfId="8112" priority="21" operator="greaterThan">
      <formula>6</formula>
    </cfRule>
  </conditionalFormatting>
  <conditionalFormatting sqref="H9:H39">
    <cfRule type="cellIs" dxfId="8111" priority="16" operator="between">
      <formula>3.5</formula>
      <formula>6</formula>
    </cfRule>
    <cfRule type="cellIs" dxfId="8110" priority="17" operator="lessThan">
      <formula>3.5</formula>
    </cfRule>
    <cfRule type="cellIs" dxfId="8109" priority="18" operator="greaterThan">
      <formula>6</formula>
    </cfRule>
  </conditionalFormatting>
  <conditionalFormatting sqref="H9:H39">
    <cfRule type="cellIs" dxfId="8108" priority="13" operator="between">
      <formula>3.5</formula>
      <formula>6</formula>
    </cfRule>
    <cfRule type="cellIs" dxfId="8107" priority="14" operator="lessThan">
      <formula>3.5</formula>
    </cfRule>
    <cfRule type="cellIs" dxfId="8106" priority="15" operator="greaterThan">
      <formula>6</formula>
    </cfRule>
  </conditionalFormatting>
  <conditionalFormatting sqref="H9:H39">
    <cfRule type="cellIs" dxfId="8105" priority="10" operator="between">
      <formula>3.5</formula>
      <formula>6</formula>
    </cfRule>
    <cfRule type="cellIs" dxfId="8104" priority="11" operator="lessThan">
      <formula>3.5</formula>
    </cfRule>
    <cfRule type="cellIs" dxfId="8103" priority="12" operator="greaterThan">
      <formula>6</formula>
    </cfRule>
  </conditionalFormatting>
  <conditionalFormatting sqref="H9:H39">
    <cfRule type="cellIs" dxfId="8102" priority="7" operator="between">
      <formula>3.5</formula>
      <formula>6</formula>
    </cfRule>
    <cfRule type="cellIs" dxfId="8101" priority="8" operator="lessThan">
      <formula>3.5</formula>
    </cfRule>
    <cfRule type="cellIs" dxfId="8100" priority="9" operator="greaterThan">
      <formula>6</formula>
    </cfRule>
  </conditionalFormatting>
  <conditionalFormatting sqref="H9:H39">
    <cfRule type="cellIs" dxfId="8099" priority="4" operator="between">
      <formula>3.5</formula>
      <formula>6</formula>
    </cfRule>
    <cfRule type="cellIs" dxfId="8098" priority="5" operator="lessThan">
      <formula>3.5</formula>
    </cfRule>
    <cfRule type="cellIs" dxfId="8097" priority="6" operator="greaterThan">
      <formula>6</formula>
    </cfRule>
  </conditionalFormatting>
  <conditionalFormatting sqref="H9:H39">
    <cfRule type="cellIs" dxfId="8096" priority="1" operator="between">
      <formula>3.5</formula>
      <formula>6</formula>
    </cfRule>
    <cfRule type="cellIs" dxfId="8095" priority="2" operator="lessThan">
      <formula>3.5</formula>
    </cfRule>
    <cfRule type="cellIs" dxfId="809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23622047244094491"/>
  <pageSetup paperSize="8" orientation="landscape" horizontalDpi="4294967292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49"/>
  <sheetViews>
    <sheetView zoomScale="90" zoomScaleNormal="90" workbookViewId="0">
      <pane ySplit="8" topLeftCell="A12" activePane="bottomLeft" state="frozen"/>
      <selection pane="bottomLeft" activeCell="J21" sqref="J21:J25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72"/>
      <c r="K3" s="1272"/>
      <c r="M3" s="442"/>
      <c r="N3" s="442"/>
      <c r="O3" s="442"/>
    </row>
    <row r="4" spans="1:26" s="1277" customFormat="1" ht="12" customHeight="1">
      <c r="A4" s="1648" t="s">
        <v>33</v>
      </c>
      <c r="B4" s="1648"/>
      <c r="C4" s="551" t="str">
        <f>H4</f>
        <v>CROWN 40x80 5V-HA</v>
      </c>
      <c r="E4" s="549" t="s">
        <v>228</v>
      </c>
      <c r="F4" s="549" t="s">
        <v>235</v>
      </c>
      <c r="G4" s="550" t="s">
        <v>114</v>
      </c>
      <c r="H4" s="551" t="s">
        <v>1082</v>
      </c>
      <c r="L4" s="143"/>
    </row>
    <row r="5" spans="1:26" s="127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277" customFormat="1" ht="12" customHeight="1">
      <c r="B6" s="453"/>
      <c r="C6" s="453"/>
      <c r="D6" s="453"/>
      <c r="E6" s="453"/>
      <c r="F6" s="453"/>
      <c r="G6" s="453">
        <v>12450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274" t="s">
        <v>2</v>
      </c>
      <c r="B7" s="1276" t="s">
        <v>1</v>
      </c>
      <c r="C7" s="127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73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/>
      <c r="H8" s="450"/>
      <c r="I8" s="772"/>
      <c r="J8" s="772"/>
      <c r="K8" s="772"/>
      <c r="L8" s="143">
        <v>10902.8</v>
      </c>
    </row>
    <row r="9" spans="1:26" s="305" customFormat="1" ht="11.25" customHeight="1">
      <c r="A9" s="1275">
        <v>1</v>
      </c>
      <c r="B9" s="365">
        <f>'FRIT HGE91-FHG'!B9</f>
        <v>46235</v>
      </c>
      <c r="C9" s="331" t="s">
        <v>348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67"/>
      <c r="J9" s="767"/>
      <c r="K9" s="767"/>
      <c r="L9" s="650">
        <f>G9/$L$8</f>
        <v>0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334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67"/>
      <c r="J10" s="767"/>
      <c r="K10" s="767"/>
      <c r="L10" s="650">
        <f t="shared" ref="L10:L39" si="3">G10/$L$8</f>
        <v>0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334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67"/>
      <c r="J11" s="767"/>
      <c r="K11" s="767"/>
      <c r="L11" s="650">
        <f t="shared" si="3"/>
        <v>0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334</v>
      </c>
      <c r="D12" s="396"/>
      <c r="E12" s="396">
        <f t="shared" si="1"/>
        <v>0</v>
      </c>
      <c r="F12" s="396">
        <f t="shared" ref="F12:F39" si="4">$F$9</f>
        <v>10902.777777777777</v>
      </c>
      <c r="G12" s="396">
        <f t="shared" si="0"/>
        <v>0</v>
      </c>
      <c r="H12" s="451">
        <f t="shared" si="2"/>
        <v>0</v>
      </c>
      <c r="I12" s="767"/>
      <c r="J12" s="767"/>
      <c r="K12" s="767"/>
      <c r="L12" s="650">
        <f t="shared" si="3"/>
        <v>0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334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67"/>
      <c r="J13" s="767"/>
      <c r="K13" s="767"/>
      <c r="L13" s="650">
        <f t="shared" si="3"/>
        <v>0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67"/>
      <c r="J14" s="767"/>
      <c r="K14" s="767"/>
      <c r="L14" s="650">
        <f t="shared" si="3"/>
        <v>0</v>
      </c>
    </row>
    <row r="15" spans="1:26" s="367" customFormat="1" ht="11.25" customHeight="1">
      <c r="A15" s="330">
        <v>7</v>
      </c>
      <c r="B15" s="365">
        <f>'FRIT HGE91-FHG'!B15</f>
        <v>46241</v>
      </c>
      <c r="C15" s="331" t="s">
        <v>334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67"/>
      <c r="J15" s="767"/>
      <c r="K15" s="767"/>
      <c r="L15" s="650">
        <f t="shared" si="3"/>
        <v>0</v>
      </c>
    </row>
    <row r="16" spans="1:26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67"/>
      <c r="J16" s="767"/>
      <c r="K16" s="767"/>
      <c r="L16" s="650">
        <f t="shared" si="3"/>
        <v>0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348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67"/>
      <c r="J17" s="767"/>
      <c r="K17" s="767"/>
      <c r="L17" s="650">
        <f t="shared" si="3"/>
        <v>0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67"/>
      <c r="J18" s="767"/>
      <c r="K18" s="767"/>
      <c r="L18" s="650">
        <f t="shared" si="3"/>
        <v>0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67"/>
      <c r="J19" s="767"/>
      <c r="K19" s="767"/>
      <c r="L19" s="650">
        <f t="shared" si="3"/>
        <v>0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67"/>
      <c r="J20" s="767"/>
      <c r="K20" s="767"/>
      <c r="L20" s="650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67"/>
      <c r="J21" s="767"/>
      <c r="K21" s="767"/>
      <c r="L21" s="650">
        <f t="shared" si="3"/>
        <v>0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67"/>
      <c r="J22" s="767"/>
      <c r="K22" s="767"/>
      <c r="L22" s="650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67"/>
      <c r="J23" s="767"/>
      <c r="K23" s="767"/>
      <c r="L23" s="650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67"/>
      <c r="J24" s="767"/>
      <c r="K24" s="767"/>
      <c r="L24" s="650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67"/>
      <c r="J25" s="767"/>
      <c r="K25" s="767"/>
      <c r="L25" s="650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67"/>
      <c r="J26" s="767"/>
      <c r="K26" s="767"/>
      <c r="L26" s="650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67"/>
      <c r="J27" s="767"/>
      <c r="K27" s="767"/>
      <c r="L27" s="650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67"/>
      <c r="J28" s="767"/>
      <c r="K28" s="767"/>
      <c r="L28" s="650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67"/>
      <c r="J29" s="767"/>
      <c r="K29" s="767"/>
      <c r="L29" s="650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67"/>
      <c r="J30" s="767"/>
      <c r="K30" s="767"/>
      <c r="L30" s="650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67"/>
      <c r="J31" s="767"/>
      <c r="K31" s="767"/>
      <c r="L31" s="650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67"/>
      <c r="J32" s="767"/>
      <c r="K32" s="767"/>
      <c r="L32" s="650">
        <f t="shared" si="3"/>
        <v>0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67"/>
      <c r="J33" s="767"/>
      <c r="K33" s="767"/>
      <c r="L33" s="650">
        <f t="shared" si="3"/>
        <v>0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67"/>
      <c r="J34" s="767"/>
      <c r="K34" s="767"/>
      <c r="L34" s="650">
        <f t="shared" si="3"/>
        <v>0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67"/>
      <c r="J35" s="767"/>
      <c r="K35" s="767"/>
      <c r="L35" s="650">
        <f t="shared" si="3"/>
        <v>0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67"/>
      <c r="J36" s="767"/>
      <c r="K36" s="767"/>
      <c r="L36" s="650">
        <f t="shared" si="3"/>
        <v>0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67"/>
      <c r="J37" s="767"/>
      <c r="K37" s="767"/>
      <c r="L37" s="650">
        <f t="shared" si="3"/>
        <v>0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67"/>
      <c r="J38" s="767"/>
      <c r="K38" s="767"/>
      <c r="L38" s="650">
        <f t="shared" si="3"/>
        <v>0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 t="shared" si="4"/>
        <v>10902.777777777777</v>
      </c>
      <c r="G39" s="396">
        <f t="shared" si="0"/>
        <v>0</v>
      </c>
      <c r="H39" s="451">
        <f t="shared" si="2"/>
        <v>0</v>
      </c>
      <c r="I39" s="767"/>
      <c r="J39" s="767"/>
      <c r="K39" s="767"/>
      <c r="L39" s="650">
        <f t="shared" si="3"/>
        <v>0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8093" priority="22" operator="between">
      <formula>3.5</formula>
      <formula>6</formula>
    </cfRule>
    <cfRule type="cellIs" dxfId="8092" priority="23" operator="lessThan">
      <formula>3.5</formula>
    </cfRule>
    <cfRule type="cellIs" dxfId="8091" priority="24" operator="greaterThan">
      <formula>6</formula>
    </cfRule>
  </conditionalFormatting>
  <conditionalFormatting sqref="H9:H39">
    <cfRule type="cellIs" dxfId="8090" priority="19" operator="between">
      <formula>3.5</formula>
      <formula>6</formula>
    </cfRule>
    <cfRule type="cellIs" dxfId="8089" priority="20" operator="lessThan">
      <formula>3.5</formula>
    </cfRule>
    <cfRule type="cellIs" dxfId="8088" priority="21" operator="greaterThan">
      <formula>6</formula>
    </cfRule>
  </conditionalFormatting>
  <conditionalFormatting sqref="H9:H39">
    <cfRule type="cellIs" dxfId="8087" priority="16" operator="between">
      <formula>3.5</formula>
      <formula>6</formula>
    </cfRule>
    <cfRule type="cellIs" dxfId="8086" priority="17" operator="lessThan">
      <formula>3.5</formula>
    </cfRule>
    <cfRule type="cellIs" dxfId="8085" priority="18" operator="greaterThan">
      <formula>6</formula>
    </cfRule>
  </conditionalFormatting>
  <conditionalFormatting sqref="H9:H39">
    <cfRule type="cellIs" dxfId="8084" priority="13" operator="between">
      <formula>3.5</formula>
      <formula>6</formula>
    </cfRule>
    <cfRule type="cellIs" dxfId="8083" priority="14" operator="lessThan">
      <formula>3.5</formula>
    </cfRule>
    <cfRule type="cellIs" dxfId="8082" priority="15" operator="greaterThan">
      <formula>6</formula>
    </cfRule>
  </conditionalFormatting>
  <conditionalFormatting sqref="H9:H39">
    <cfRule type="cellIs" dxfId="8081" priority="10" operator="between">
      <formula>3.5</formula>
      <formula>6</formula>
    </cfRule>
    <cfRule type="cellIs" dxfId="8080" priority="11" operator="lessThan">
      <formula>3.5</formula>
    </cfRule>
    <cfRule type="cellIs" dxfId="8079" priority="12" operator="greaterThan">
      <formula>6</formula>
    </cfRule>
  </conditionalFormatting>
  <conditionalFormatting sqref="H9:H39">
    <cfRule type="cellIs" dxfId="8078" priority="7" operator="between">
      <formula>3.5</formula>
      <formula>6</formula>
    </cfRule>
    <cfRule type="cellIs" dxfId="8077" priority="8" operator="lessThan">
      <formula>3.5</formula>
    </cfRule>
    <cfRule type="cellIs" dxfId="8076" priority="9" operator="greaterThan">
      <formula>6</formula>
    </cfRule>
  </conditionalFormatting>
  <conditionalFormatting sqref="H9:H39">
    <cfRule type="cellIs" dxfId="8075" priority="4" operator="between">
      <formula>3.5</formula>
      <formula>6</formula>
    </cfRule>
    <cfRule type="cellIs" dxfId="8074" priority="5" operator="lessThan">
      <formula>3.5</formula>
    </cfRule>
    <cfRule type="cellIs" dxfId="8073" priority="6" operator="greaterThan">
      <formula>6</formula>
    </cfRule>
  </conditionalFormatting>
  <conditionalFormatting sqref="H9:H39">
    <cfRule type="cellIs" dxfId="8072" priority="1" operator="between">
      <formula>3.5</formula>
      <formula>6</formula>
    </cfRule>
    <cfRule type="cellIs" dxfId="8071" priority="2" operator="lessThan">
      <formula>3.5</formula>
    </cfRule>
    <cfRule type="cellIs" dxfId="807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23622047244094491"/>
  <pageSetup paperSize="8" orientation="landscape" horizontalDpi="4294967292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49"/>
  <sheetViews>
    <sheetView zoomScale="90" zoomScaleNormal="90" workbookViewId="0">
      <pane ySplit="8" topLeftCell="A24" activePane="bottomLeft" state="frozen"/>
      <selection pane="bottomLeft" activeCell="J10" sqref="J10:J24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28"/>
      <c r="K3" s="1028"/>
      <c r="M3" s="442"/>
      <c r="N3" s="442"/>
      <c r="O3" s="442"/>
    </row>
    <row r="4" spans="1:26" s="1033" customFormat="1" ht="12" customHeight="1">
      <c r="A4" s="1648" t="s">
        <v>33</v>
      </c>
      <c r="B4" s="1648"/>
      <c r="C4" s="551" t="str">
        <f>H4</f>
        <v>CROWN 500x500-HA</v>
      </c>
      <c r="E4" s="549" t="s">
        <v>228</v>
      </c>
      <c r="F4" s="549" t="s">
        <v>235</v>
      </c>
      <c r="G4" s="550" t="s">
        <v>114</v>
      </c>
      <c r="H4" s="551" t="s">
        <v>828</v>
      </c>
      <c r="L4" s="143"/>
    </row>
    <row r="5" spans="1:26" s="1033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033" customFormat="1" ht="12" customHeight="1">
      <c r="B6" s="453"/>
      <c r="C6" s="453"/>
      <c r="D6" s="453"/>
      <c r="E6" s="453"/>
      <c r="F6" s="453"/>
      <c r="G6" s="453">
        <v>12450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030" t="s">
        <v>2</v>
      </c>
      <c r="B7" s="1032" t="s">
        <v>1</v>
      </c>
      <c r="C7" s="103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29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/>
      <c r="H8" s="450"/>
      <c r="I8" s="772"/>
      <c r="J8" s="772"/>
      <c r="K8" s="772"/>
      <c r="L8" s="143">
        <v>10902.8</v>
      </c>
    </row>
    <row r="9" spans="1:26" s="305" customFormat="1" ht="11.25" customHeight="1">
      <c r="A9" s="1031">
        <v>1</v>
      </c>
      <c r="B9" s="365">
        <f>'FRIT HGE91-FHG'!B9</f>
        <v>46235</v>
      </c>
      <c r="C9" s="331" t="s">
        <v>348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67"/>
      <c r="J9" s="767"/>
      <c r="K9" s="767"/>
      <c r="L9" s="650">
        <f>G9/$L$8</f>
        <v>0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334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67"/>
      <c r="J10" s="767"/>
      <c r="K10" s="767"/>
      <c r="L10" s="650">
        <f t="shared" ref="L10:L39" si="3">G10/$L$8</f>
        <v>0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334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67"/>
      <c r="J11" s="767"/>
      <c r="K11" s="767"/>
      <c r="L11" s="650">
        <f t="shared" si="3"/>
        <v>0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334</v>
      </c>
      <c r="D12" s="396"/>
      <c r="E12" s="396">
        <f t="shared" si="1"/>
        <v>0</v>
      </c>
      <c r="F12" s="396">
        <f t="shared" ref="F12:F39" si="4">$F$9</f>
        <v>10902.777777777777</v>
      </c>
      <c r="G12" s="396">
        <f t="shared" si="0"/>
        <v>0</v>
      </c>
      <c r="H12" s="451">
        <f t="shared" si="2"/>
        <v>0</v>
      </c>
      <c r="I12" s="767"/>
      <c r="J12" s="767"/>
      <c r="K12" s="767"/>
      <c r="L12" s="650">
        <f t="shared" si="3"/>
        <v>0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334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67"/>
      <c r="J13" s="767"/>
      <c r="K13" s="767"/>
      <c r="L13" s="650">
        <f t="shared" si="3"/>
        <v>0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67"/>
      <c r="J14" s="767"/>
      <c r="K14" s="767"/>
      <c r="L14" s="650">
        <f t="shared" si="3"/>
        <v>0</v>
      </c>
    </row>
    <row r="15" spans="1:26" s="367" customFormat="1" ht="11.25" customHeight="1">
      <c r="A15" s="330">
        <v>7</v>
      </c>
      <c r="B15" s="365">
        <f>'FRIT HGE91-FHG'!B15</f>
        <v>46241</v>
      </c>
      <c r="C15" s="331" t="s">
        <v>334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67"/>
      <c r="J15" s="767"/>
      <c r="K15" s="767"/>
      <c r="L15" s="650">
        <f t="shared" si="3"/>
        <v>0</v>
      </c>
    </row>
    <row r="16" spans="1:26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67"/>
      <c r="J16" s="767"/>
      <c r="K16" s="767"/>
      <c r="L16" s="650">
        <f t="shared" si="3"/>
        <v>0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348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67"/>
      <c r="J17" s="767"/>
      <c r="K17" s="767"/>
      <c r="L17" s="650">
        <f t="shared" si="3"/>
        <v>0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67"/>
      <c r="J18" s="767"/>
      <c r="K18" s="767"/>
      <c r="L18" s="650">
        <f t="shared" si="3"/>
        <v>0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67"/>
      <c r="J19" s="767"/>
      <c r="K19" s="767"/>
      <c r="L19" s="650">
        <f t="shared" si="3"/>
        <v>0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67"/>
      <c r="J20" s="767"/>
      <c r="K20" s="767"/>
      <c r="L20" s="650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67"/>
      <c r="J21" s="767"/>
      <c r="K21" s="767"/>
      <c r="L21" s="650">
        <f t="shared" si="3"/>
        <v>0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67"/>
      <c r="J22" s="767"/>
      <c r="K22" s="767"/>
      <c r="L22" s="650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67"/>
      <c r="J23" s="767"/>
      <c r="K23" s="767"/>
      <c r="L23" s="650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67"/>
      <c r="J24" s="767"/>
      <c r="K24" s="767"/>
      <c r="L24" s="650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67"/>
      <c r="J25" s="767"/>
      <c r="K25" s="767"/>
      <c r="L25" s="650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67"/>
      <c r="J26" s="767"/>
      <c r="K26" s="767"/>
      <c r="L26" s="650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67"/>
      <c r="J27" s="767"/>
      <c r="K27" s="767"/>
      <c r="L27" s="650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67"/>
      <c r="J28" s="767"/>
      <c r="K28" s="767"/>
      <c r="L28" s="650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67"/>
      <c r="J29" s="767"/>
      <c r="K29" s="767"/>
      <c r="L29" s="650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67"/>
      <c r="J30" s="767"/>
      <c r="K30" s="767"/>
      <c r="L30" s="650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67"/>
      <c r="J31" s="767"/>
      <c r="K31" s="767"/>
      <c r="L31" s="650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67"/>
      <c r="J32" s="767"/>
      <c r="K32" s="767"/>
      <c r="L32" s="650">
        <f t="shared" si="3"/>
        <v>0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67"/>
      <c r="J33" s="767"/>
      <c r="K33" s="767"/>
      <c r="L33" s="650">
        <f t="shared" si="3"/>
        <v>0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67"/>
      <c r="J34" s="767"/>
      <c r="K34" s="767"/>
      <c r="L34" s="650">
        <f t="shared" si="3"/>
        <v>0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67"/>
      <c r="J35" s="767"/>
      <c r="K35" s="767"/>
      <c r="L35" s="650">
        <f t="shared" si="3"/>
        <v>0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67"/>
      <c r="J36" s="767"/>
      <c r="K36" s="767"/>
      <c r="L36" s="650">
        <f t="shared" si="3"/>
        <v>0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67"/>
      <c r="J37" s="767"/>
      <c r="K37" s="767"/>
      <c r="L37" s="650">
        <f t="shared" si="3"/>
        <v>0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67"/>
      <c r="J38" s="767"/>
      <c r="K38" s="767"/>
      <c r="L38" s="650">
        <f t="shared" si="3"/>
        <v>0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/>
      <c r="E39" s="396">
        <f t="shared" si="1"/>
        <v>0</v>
      </c>
      <c r="F39" s="396">
        <f t="shared" si="4"/>
        <v>10902.777777777777</v>
      </c>
      <c r="G39" s="396">
        <f t="shared" si="0"/>
        <v>0</v>
      </c>
      <c r="H39" s="451">
        <f t="shared" si="2"/>
        <v>0</v>
      </c>
      <c r="I39" s="767"/>
      <c r="J39" s="767"/>
      <c r="K39" s="767"/>
      <c r="L39" s="650">
        <f t="shared" si="3"/>
        <v>0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8069" priority="22" operator="between">
      <formula>3.5</formula>
      <formula>6</formula>
    </cfRule>
    <cfRule type="cellIs" dxfId="8068" priority="23" operator="lessThan">
      <formula>3.5</formula>
    </cfRule>
    <cfRule type="cellIs" dxfId="8067" priority="24" operator="greaterThan">
      <formula>6</formula>
    </cfRule>
  </conditionalFormatting>
  <conditionalFormatting sqref="H9:H39">
    <cfRule type="cellIs" dxfId="8066" priority="19" operator="between">
      <formula>3.5</formula>
      <formula>6</formula>
    </cfRule>
    <cfRule type="cellIs" dxfId="8065" priority="20" operator="lessThan">
      <formula>3.5</formula>
    </cfRule>
    <cfRule type="cellIs" dxfId="8064" priority="21" operator="greaterThan">
      <formula>6</formula>
    </cfRule>
  </conditionalFormatting>
  <conditionalFormatting sqref="H9:H39">
    <cfRule type="cellIs" dxfId="8063" priority="16" operator="between">
      <formula>3.5</formula>
      <formula>6</formula>
    </cfRule>
    <cfRule type="cellIs" dxfId="8062" priority="17" operator="lessThan">
      <formula>3.5</formula>
    </cfRule>
    <cfRule type="cellIs" dxfId="8061" priority="18" operator="greaterThan">
      <formula>6</formula>
    </cfRule>
  </conditionalFormatting>
  <conditionalFormatting sqref="H9:H39">
    <cfRule type="cellIs" dxfId="8060" priority="13" operator="between">
      <formula>3.5</formula>
      <formula>6</formula>
    </cfRule>
    <cfRule type="cellIs" dxfId="8059" priority="14" operator="lessThan">
      <formula>3.5</formula>
    </cfRule>
    <cfRule type="cellIs" dxfId="8058" priority="15" operator="greaterThan">
      <formula>6</formula>
    </cfRule>
  </conditionalFormatting>
  <conditionalFormatting sqref="H9:H39">
    <cfRule type="cellIs" dxfId="8057" priority="10" operator="between">
      <formula>3.5</formula>
      <formula>6</formula>
    </cfRule>
    <cfRule type="cellIs" dxfId="8056" priority="11" operator="lessThan">
      <formula>3.5</formula>
    </cfRule>
    <cfRule type="cellIs" dxfId="8055" priority="12" operator="greaterThan">
      <formula>6</formula>
    </cfRule>
  </conditionalFormatting>
  <conditionalFormatting sqref="H9:H39">
    <cfRule type="cellIs" dxfId="8054" priority="7" operator="between">
      <formula>3.5</formula>
      <formula>6</formula>
    </cfRule>
    <cfRule type="cellIs" dxfId="8053" priority="8" operator="lessThan">
      <formula>3.5</formula>
    </cfRule>
    <cfRule type="cellIs" dxfId="8052" priority="9" operator="greaterThan">
      <formula>6</formula>
    </cfRule>
  </conditionalFormatting>
  <conditionalFormatting sqref="H9:H39">
    <cfRule type="cellIs" dxfId="8051" priority="4" operator="between">
      <formula>3.5</formula>
      <formula>6</formula>
    </cfRule>
    <cfRule type="cellIs" dxfId="8050" priority="5" operator="lessThan">
      <formula>3.5</formula>
    </cfRule>
    <cfRule type="cellIs" dxfId="8049" priority="6" operator="greaterThan">
      <formula>6</formula>
    </cfRule>
  </conditionalFormatting>
  <conditionalFormatting sqref="H9:H39">
    <cfRule type="cellIs" dxfId="8048" priority="1" operator="between">
      <formula>3.5</formula>
      <formula>6</formula>
    </cfRule>
    <cfRule type="cellIs" dxfId="8047" priority="2" operator="lessThan">
      <formula>3.5</formula>
    </cfRule>
    <cfRule type="cellIs" dxfId="804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23622047244094491"/>
  <pageSetup paperSize="8" orientation="landscape" horizontalDpi="4294967292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49"/>
  <sheetViews>
    <sheetView zoomScale="90" zoomScaleNormal="90" workbookViewId="0">
      <pane ySplit="8" topLeftCell="A18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92"/>
      <c r="K3" s="1092"/>
      <c r="M3" s="442"/>
      <c r="N3" s="442"/>
      <c r="O3" s="442"/>
    </row>
    <row r="4" spans="1:26" s="1097" customFormat="1" ht="12" customHeight="1">
      <c r="A4" s="1648" t="s">
        <v>33</v>
      </c>
      <c r="B4" s="1648"/>
      <c r="C4" s="551" t="str">
        <f>H4</f>
        <v>CROWN 40*60-HA</v>
      </c>
      <c r="E4" s="549" t="s">
        <v>228</v>
      </c>
      <c r="F4" s="549" t="s">
        <v>235</v>
      </c>
      <c r="G4" s="550" t="s">
        <v>114</v>
      </c>
      <c r="H4" s="551" t="s">
        <v>889</v>
      </c>
      <c r="L4" s="143"/>
    </row>
    <row r="5" spans="1:26" s="109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097" customFormat="1" ht="12" customHeight="1">
      <c r="B6" s="453"/>
      <c r="C6" s="453"/>
      <c r="D6" s="453"/>
      <c r="E6" s="453"/>
      <c r="F6" s="453"/>
      <c r="G6" s="453">
        <v>12450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094" t="s">
        <v>2</v>
      </c>
      <c r="B7" s="1096" t="s">
        <v>1</v>
      </c>
      <c r="C7" s="109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93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2210</v>
      </c>
      <c r="E8" s="771">
        <f>E40</f>
        <v>0</v>
      </c>
      <c r="F8" s="771"/>
      <c r="G8" s="774">
        <v>2210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1095">
        <v>1</v>
      </c>
      <c r="B9" s="365">
        <f>'FRIT HGE91-FHG'!B9</f>
        <v>46235</v>
      </c>
      <c r="C9" s="331" t="s">
        <v>348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2210</v>
      </c>
      <c r="H9" s="451">
        <f>G9/10417</f>
        <v>0.21215321109724489</v>
      </c>
      <c r="I9" s="767"/>
      <c r="J9" s="767"/>
      <c r="K9" s="767"/>
      <c r="L9" s="650">
        <f>G9/$L$8</f>
        <v>0.20270022379572222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334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2210</v>
      </c>
      <c r="H10" s="451">
        <f t="shared" ref="H10:H39" si="2">G10/10417</f>
        <v>0.21215321109724489</v>
      </c>
      <c r="I10" s="767"/>
      <c r="J10" s="767"/>
      <c r="K10" s="767"/>
      <c r="L10" s="650">
        <f t="shared" ref="L10:L39" si="3">G10/$L$8</f>
        <v>0.20270022379572222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334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2210</v>
      </c>
      <c r="H11" s="451">
        <f t="shared" si="2"/>
        <v>0.21215321109724489</v>
      </c>
      <c r="I11" s="767"/>
      <c r="J11" s="767"/>
      <c r="K11" s="767"/>
      <c r="L11" s="650">
        <f t="shared" si="3"/>
        <v>0.20270022379572222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334</v>
      </c>
      <c r="D12" s="396"/>
      <c r="E12" s="396">
        <f t="shared" si="1"/>
        <v>0</v>
      </c>
      <c r="F12" s="396">
        <f t="shared" ref="F12:F39" si="4">$F$9</f>
        <v>10902.777777777777</v>
      </c>
      <c r="G12" s="396">
        <f t="shared" si="0"/>
        <v>2210</v>
      </c>
      <c r="H12" s="451">
        <f t="shared" si="2"/>
        <v>0.21215321109724489</v>
      </c>
      <c r="I12" s="767"/>
      <c r="J12" s="767"/>
      <c r="K12" s="767"/>
      <c r="L12" s="650">
        <f t="shared" si="3"/>
        <v>0.20270022379572222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334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2210</v>
      </c>
      <c r="H13" s="451">
        <f t="shared" si="2"/>
        <v>0.21215321109724489</v>
      </c>
      <c r="I13" s="767"/>
      <c r="J13" s="767"/>
      <c r="K13" s="767"/>
      <c r="L13" s="650">
        <f t="shared" si="3"/>
        <v>0.20270022379572222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2210</v>
      </c>
      <c r="H14" s="451">
        <f t="shared" si="2"/>
        <v>0.21215321109724489</v>
      </c>
      <c r="I14" s="767"/>
      <c r="J14" s="767"/>
      <c r="K14" s="767"/>
      <c r="L14" s="650">
        <f t="shared" si="3"/>
        <v>0.20270022379572222</v>
      </c>
    </row>
    <row r="15" spans="1:26" s="367" customFormat="1" ht="11.25" customHeight="1">
      <c r="A15" s="330">
        <v>7</v>
      </c>
      <c r="B15" s="365">
        <f>'FRIT HGE91-FHG'!B15</f>
        <v>46241</v>
      </c>
      <c r="C15" s="331" t="s">
        <v>334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2210</v>
      </c>
      <c r="H15" s="451">
        <f t="shared" si="2"/>
        <v>0.21215321109724489</v>
      </c>
      <c r="I15" s="767"/>
      <c r="J15" s="767"/>
      <c r="K15" s="767"/>
      <c r="L15" s="650">
        <f t="shared" si="3"/>
        <v>0.20270022379572222</v>
      </c>
    </row>
    <row r="16" spans="1:26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2210</v>
      </c>
      <c r="H16" s="451">
        <f t="shared" si="2"/>
        <v>0.21215321109724489</v>
      </c>
      <c r="I16" s="767"/>
      <c r="J16" s="767"/>
      <c r="K16" s="767"/>
      <c r="L16" s="650">
        <f t="shared" si="3"/>
        <v>0.20270022379572222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348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2210</v>
      </c>
      <c r="H17" s="451">
        <f t="shared" si="2"/>
        <v>0.21215321109724489</v>
      </c>
      <c r="I17" s="767"/>
      <c r="J17" s="767"/>
      <c r="K17" s="767"/>
      <c r="L17" s="650">
        <f t="shared" si="3"/>
        <v>0.20270022379572222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2210</v>
      </c>
      <c r="H18" s="451">
        <f t="shared" si="2"/>
        <v>0.21215321109724489</v>
      </c>
      <c r="I18" s="767"/>
      <c r="J18" s="767"/>
      <c r="K18" s="767"/>
      <c r="L18" s="650">
        <f t="shared" si="3"/>
        <v>0.20270022379572222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2210</v>
      </c>
      <c r="H19" s="451">
        <f t="shared" si="2"/>
        <v>0.21215321109724489</v>
      </c>
      <c r="I19" s="767"/>
      <c r="J19" s="767"/>
      <c r="K19" s="767"/>
      <c r="L19" s="650">
        <f t="shared" si="3"/>
        <v>0.20270022379572222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2210</v>
      </c>
      <c r="H20" s="451">
        <f t="shared" si="2"/>
        <v>0.21215321109724489</v>
      </c>
      <c r="I20" s="767"/>
      <c r="J20" s="767"/>
      <c r="K20" s="767"/>
      <c r="L20" s="650">
        <f t="shared" si="3"/>
        <v>0.20270022379572222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2210</v>
      </c>
      <c r="H21" s="451">
        <f t="shared" si="2"/>
        <v>0.21215321109724489</v>
      </c>
      <c r="I21" s="767"/>
      <c r="J21" s="767"/>
      <c r="K21" s="767"/>
      <c r="L21" s="650">
        <f t="shared" si="3"/>
        <v>0.20270022379572222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2210</v>
      </c>
      <c r="H22" s="451">
        <f t="shared" si="2"/>
        <v>0.21215321109724489</v>
      </c>
      <c r="I22" s="767"/>
      <c r="J22" s="767"/>
      <c r="K22" s="767"/>
      <c r="L22" s="650">
        <f t="shared" si="3"/>
        <v>0.20270022379572222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2210</v>
      </c>
      <c r="H23" s="451">
        <f t="shared" si="2"/>
        <v>0.21215321109724489</v>
      </c>
      <c r="I23" s="767"/>
      <c r="J23" s="767"/>
      <c r="K23" s="767"/>
      <c r="L23" s="650">
        <f t="shared" si="3"/>
        <v>0.20270022379572222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2210</v>
      </c>
      <c r="H24" s="451">
        <f t="shared" si="2"/>
        <v>0.21215321109724489</v>
      </c>
      <c r="I24" s="767"/>
      <c r="J24" s="767"/>
      <c r="K24" s="767"/>
      <c r="L24" s="650">
        <f t="shared" si="3"/>
        <v>0.20270022379572222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2210</v>
      </c>
      <c r="H25" s="451">
        <f t="shared" si="2"/>
        <v>0.21215321109724489</v>
      </c>
      <c r="I25" s="767"/>
      <c r="J25" s="767"/>
      <c r="K25" s="767"/>
      <c r="L25" s="650">
        <f t="shared" si="3"/>
        <v>0.20270022379572222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2210</v>
      </c>
      <c r="H26" s="451">
        <f t="shared" si="2"/>
        <v>0.21215321109724489</v>
      </c>
      <c r="I26" s="767"/>
      <c r="J26" s="767"/>
      <c r="K26" s="767"/>
      <c r="L26" s="650">
        <f t="shared" si="3"/>
        <v>0.20270022379572222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2210</v>
      </c>
      <c r="H27" s="451">
        <f t="shared" si="2"/>
        <v>0.21215321109724489</v>
      </c>
      <c r="I27" s="767"/>
      <c r="J27" s="767"/>
      <c r="K27" s="767"/>
      <c r="L27" s="650">
        <f t="shared" si="3"/>
        <v>0.20270022379572222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2210</v>
      </c>
      <c r="H28" s="451">
        <f t="shared" si="2"/>
        <v>0.21215321109724489</v>
      </c>
      <c r="I28" s="767"/>
      <c r="J28" s="767"/>
      <c r="K28" s="767"/>
      <c r="L28" s="650">
        <f t="shared" si="3"/>
        <v>0.20270022379572222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2210</v>
      </c>
      <c r="H29" s="451">
        <f t="shared" si="2"/>
        <v>0.21215321109724489</v>
      </c>
      <c r="I29" s="767"/>
      <c r="J29" s="767"/>
      <c r="K29" s="767"/>
      <c r="L29" s="650">
        <f t="shared" si="3"/>
        <v>0.20270022379572222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2210</v>
      </c>
      <c r="H30" s="451">
        <f t="shared" si="2"/>
        <v>0.21215321109724489</v>
      </c>
      <c r="I30" s="767"/>
      <c r="J30" s="767"/>
      <c r="K30" s="767"/>
      <c r="L30" s="650">
        <f t="shared" si="3"/>
        <v>0.20270022379572222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2210</v>
      </c>
      <c r="H31" s="451">
        <f t="shared" si="2"/>
        <v>0.21215321109724489</v>
      </c>
      <c r="I31" s="767"/>
      <c r="J31" s="767"/>
      <c r="K31" s="767"/>
      <c r="L31" s="650">
        <f t="shared" si="3"/>
        <v>0.20270022379572222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2210</v>
      </c>
      <c r="H32" s="451">
        <f t="shared" si="2"/>
        <v>0.21215321109724489</v>
      </c>
      <c r="I32" s="767"/>
      <c r="J32" s="767"/>
      <c r="K32" s="767"/>
      <c r="L32" s="650">
        <f t="shared" si="3"/>
        <v>0.20270022379572222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0"/>
        <v>2210</v>
      </c>
      <c r="H33" s="451">
        <f t="shared" si="2"/>
        <v>0.21215321109724489</v>
      </c>
      <c r="I33" s="767"/>
      <c r="J33" s="767"/>
      <c r="K33" s="767"/>
      <c r="L33" s="650">
        <f t="shared" si="3"/>
        <v>0.20270022379572222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2210</v>
      </c>
      <c r="H34" s="451">
        <f t="shared" si="2"/>
        <v>0.21215321109724489</v>
      </c>
      <c r="I34" s="767"/>
      <c r="J34" s="767"/>
      <c r="K34" s="767"/>
      <c r="L34" s="650">
        <f t="shared" si="3"/>
        <v>0.20270022379572222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2210</v>
      </c>
      <c r="H35" s="451">
        <f t="shared" si="2"/>
        <v>0.21215321109724489</v>
      </c>
      <c r="I35" s="767"/>
      <c r="J35" s="767"/>
      <c r="K35" s="767"/>
      <c r="L35" s="650">
        <f t="shared" si="3"/>
        <v>0.20270022379572222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2210</v>
      </c>
      <c r="H36" s="451">
        <f t="shared" si="2"/>
        <v>0.21215321109724489</v>
      </c>
      <c r="I36" s="767"/>
      <c r="J36" s="767"/>
      <c r="K36" s="767"/>
      <c r="L36" s="650">
        <f t="shared" si="3"/>
        <v>0.20270022379572222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2210</v>
      </c>
      <c r="H37" s="451">
        <f t="shared" si="2"/>
        <v>0.21215321109724489</v>
      </c>
      <c r="I37" s="767"/>
      <c r="J37" s="767"/>
      <c r="K37" s="767"/>
      <c r="L37" s="650">
        <f t="shared" si="3"/>
        <v>0.20270022379572222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2210</v>
      </c>
      <c r="H38" s="451">
        <f t="shared" si="2"/>
        <v>0.21215321109724489</v>
      </c>
      <c r="I38" s="767"/>
      <c r="J38" s="767"/>
      <c r="K38" s="767"/>
      <c r="L38" s="650">
        <f t="shared" si="3"/>
        <v>0.20270022379572222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 t="shared" si="4"/>
        <v>10902.777777777777</v>
      </c>
      <c r="G39" s="396">
        <f t="shared" si="0"/>
        <v>2210</v>
      </c>
      <c r="H39" s="451">
        <f t="shared" si="2"/>
        <v>0.21215321109724489</v>
      </c>
      <c r="I39" s="767"/>
      <c r="J39" s="767"/>
      <c r="K39" s="767"/>
      <c r="L39" s="650">
        <f t="shared" si="3"/>
        <v>0.20270022379572222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2210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2210</v>
      </c>
      <c r="E41" s="389">
        <f>E40</f>
        <v>0</v>
      </c>
      <c r="F41" s="449"/>
      <c r="G41" s="389">
        <f>D41-E41</f>
        <v>2210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8045" priority="22" operator="between">
      <formula>3.5</formula>
      <formula>6</formula>
    </cfRule>
    <cfRule type="cellIs" dxfId="8044" priority="23" operator="lessThan">
      <formula>3.5</formula>
    </cfRule>
    <cfRule type="cellIs" dxfId="8043" priority="24" operator="greaterThan">
      <formula>6</formula>
    </cfRule>
  </conditionalFormatting>
  <conditionalFormatting sqref="H9:H39">
    <cfRule type="cellIs" dxfId="8042" priority="19" operator="between">
      <formula>3.5</formula>
      <formula>6</formula>
    </cfRule>
    <cfRule type="cellIs" dxfId="8041" priority="20" operator="lessThan">
      <formula>3.5</formula>
    </cfRule>
    <cfRule type="cellIs" dxfId="8040" priority="21" operator="greaterThan">
      <formula>6</formula>
    </cfRule>
  </conditionalFormatting>
  <conditionalFormatting sqref="H9:H39">
    <cfRule type="cellIs" dxfId="8039" priority="16" operator="between">
      <formula>3.5</formula>
      <formula>6</formula>
    </cfRule>
    <cfRule type="cellIs" dxfId="8038" priority="17" operator="lessThan">
      <formula>3.5</formula>
    </cfRule>
    <cfRule type="cellIs" dxfId="8037" priority="18" operator="greaterThan">
      <formula>6</formula>
    </cfRule>
  </conditionalFormatting>
  <conditionalFormatting sqref="H9:H39">
    <cfRule type="cellIs" dxfId="8036" priority="13" operator="between">
      <formula>3.5</formula>
      <formula>6</formula>
    </cfRule>
    <cfRule type="cellIs" dxfId="8035" priority="14" operator="lessThan">
      <formula>3.5</formula>
    </cfRule>
    <cfRule type="cellIs" dxfId="8034" priority="15" operator="greaterThan">
      <formula>6</formula>
    </cfRule>
  </conditionalFormatting>
  <conditionalFormatting sqref="H9:H39">
    <cfRule type="cellIs" dxfId="8033" priority="10" operator="between">
      <formula>3.5</formula>
      <formula>6</formula>
    </cfRule>
    <cfRule type="cellIs" dxfId="8032" priority="11" operator="lessThan">
      <formula>3.5</formula>
    </cfRule>
    <cfRule type="cellIs" dxfId="8031" priority="12" operator="greaterThan">
      <formula>6</formula>
    </cfRule>
  </conditionalFormatting>
  <conditionalFormatting sqref="H9:H39">
    <cfRule type="cellIs" dxfId="8030" priority="7" operator="between">
      <formula>3.5</formula>
      <formula>6</formula>
    </cfRule>
    <cfRule type="cellIs" dxfId="8029" priority="8" operator="lessThan">
      <formula>3.5</formula>
    </cfRule>
    <cfRule type="cellIs" dxfId="8028" priority="9" operator="greaterThan">
      <formula>6</formula>
    </cfRule>
  </conditionalFormatting>
  <conditionalFormatting sqref="H9:H39">
    <cfRule type="cellIs" dxfId="8027" priority="4" operator="between">
      <formula>3.5</formula>
      <formula>6</formula>
    </cfRule>
    <cfRule type="cellIs" dxfId="8026" priority="5" operator="lessThan">
      <formula>3.5</formula>
    </cfRule>
    <cfRule type="cellIs" dxfId="8025" priority="6" operator="greaterThan">
      <formula>6</formula>
    </cfRule>
  </conditionalFormatting>
  <conditionalFormatting sqref="H9:H39">
    <cfRule type="cellIs" dxfId="8024" priority="1" operator="between">
      <formula>3.5</formula>
      <formula>6</formula>
    </cfRule>
    <cfRule type="cellIs" dxfId="8023" priority="2" operator="lessThan">
      <formula>3.5</formula>
    </cfRule>
    <cfRule type="cellIs" dxfId="802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23622047244094491"/>
  <pageSetup paperSize="8" orientation="landscape" horizontalDpi="4294967292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49"/>
  <sheetViews>
    <sheetView zoomScale="90" zoomScaleNormal="90" workbookViewId="0">
      <pane ySplit="8" topLeftCell="A15" activePane="bottomLeft" state="frozen"/>
      <selection pane="bottomLeft" activeCell="J18" sqref="J18:J23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35"/>
      <c r="K3" s="1135"/>
      <c r="M3" s="442"/>
      <c r="N3" s="442"/>
      <c r="O3" s="442"/>
    </row>
    <row r="4" spans="1:26" s="1140" customFormat="1" ht="12" customHeight="1">
      <c r="A4" s="1648" t="s">
        <v>33</v>
      </c>
      <c r="B4" s="1648"/>
      <c r="C4" s="551" t="str">
        <f>H4</f>
        <v>CROWN 60*60-HA</v>
      </c>
      <c r="E4" s="549" t="s">
        <v>228</v>
      </c>
      <c r="F4" s="549" t="s">
        <v>235</v>
      </c>
      <c r="G4" s="550" t="s">
        <v>114</v>
      </c>
      <c r="H4" s="551" t="s">
        <v>933</v>
      </c>
      <c r="L4" s="143"/>
    </row>
    <row r="5" spans="1:26" s="1140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140" customFormat="1" ht="12" customHeight="1">
      <c r="B6" s="453"/>
      <c r="C6" s="453"/>
      <c r="D6" s="453"/>
      <c r="E6" s="453"/>
      <c r="F6" s="453"/>
      <c r="G6" s="453">
        <v>12450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137" t="s">
        <v>2</v>
      </c>
      <c r="B7" s="1139" t="s">
        <v>1</v>
      </c>
      <c r="C7" s="1139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36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920</v>
      </c>
      <c r="E8" s="771">
        <f>E40</f>
        <v>0</v>
      </c>
      <c r="F8" s="771"/>
      <c r="G8" s="774">
        <v>920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1138">
        <v>1</v>
      </c>
      <c r="B9" s="365">
        <f>'FRIT HGE91-FHG'!B9</f>
        <v>46235</v>
      </c>
      <c r="C9" s="331" t="s">
        <v>348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920</v>
      </c>
      <c r="H9" s="451">
        <f>G9/10417</f>
        <v>8.8317173850436789E-2</v>
      </c>
      <c r="I9" s="767"/>
      <c r="J9" s="767"/>
      <c r="K9" s="767"/>
      <c r="L9" s="650">
        <f>G9/$L$8</f>
        <v>8.4381993616318748E-2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334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920</v>
      </c>
      <c r="H10" s="451">
        <f t="shared" ref="H10:H39" si="2">G10/10417</f>
        <v>8.8317173850436789E-2</v>
      </c>
      <c r="I10" s="767"/>
      <c r="J10" s="767"/>
      <c r="K10" s="767"/>
      <c r="L10" s="650">
        <f t="shared" ref="L10:L39" si="3">G10/$L$8</f>
        <v>8.4381993616318748E-2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334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920</v>
      </c>
      <c r="H11" s="451">
        <f t="shared" si="2"/>
        <v>8.8317173850436789E-2</v>
      </c>
      <c r="I11" s="767"/>
      <c r="J11" s="767"/>
      <c r="K11" s="767"/>
      <c r="L11" s="650">
        <f t="shared" si="3"/>
        <v>8.4381993616318748E-2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334</v>
      </c>
      <c r="D12" s="396"/>
      <c r="E12" s="396">
        <f t="shared" si="1"/>
        <v>0</v>
      </c>
      <c r="F12" s="396">
        <f t="shared" ref="F12:F39" si="4">$F$9</f>
        <v>10902.777777777777</v>
      </c>
      <c r="G12" s="396">
        <f t="shared" si="0"/>
        <v>920</v>
      </c>
      <c r="H12" s="451">
        <f t="shared" si="2"/>
        <v>8.8317173850436789E-2</v>
      </c>
      <c r="I12" s="767"/>
      <c r="J12" s="767"/>
      <c r="K12" s="767"/>
      <c r="L12" s="650">
        <f t="shared" si="3"/>
        <v>8.4381993616318748E-2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334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920</v>
      </c>
      <c r="H13" s="451">
        <f t="shared" si="2"/>
        <v>8.8317173850436789E-2</v>
      </c>
      <c r="I13" s="767"/>
      <c r="J13" s="767"/>
      <c r="K13" s="767"/>
      <c r="L13" s="650">
        <f t="shared" si="3"/>
        <v>8.4381993616318748E-2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920</v>
      </c>
      <c r="H14" s="451">
        <f t="shared" si="2"/>
        <v>8.8317173850436789E-2</v>
      </c>
      <c r="I14" s="767"/>
      <c r="J14" s="767"/>
      <c r="K14" s="767"/>
      <c r="L14" s="650">
        <f t="shared" si="3"/>
        <v>8.4381993616318748E-2</v>
      </c>
    </row>
    <row r="15" spans="1:26" s="367" customFormat="1" ht="11.25" customHeight="1">
      <c r="A15" s="330">
        <v>7</v>
      </c>
      <c r="B15" s="365">
        <f>'FRIT HGE91-FHG'!B15</f>
        <v>46241</v>
      </c>
      <c r="C15" s="331" t="s">
        <v>334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920</v>
      </c>
      <c r="H15" s="451">
        <f t="shared" si="2"/>
        <v>8.8317173850436789E-2</v>
      </c>
      <c r="I15" s="767"/>
      <c r="J15" s="767"/>
      <c r="K15" s="767"/>
      <c r="L15" s="650">
        <f t="shared" si="3"/>
        <v>8.4381993616318748E-2</v>
      </c>
    </row>
    <row r="16" spans="1:26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920</v>
      </c>
      <c r="H16" s="451">
        <f t="shared" si="2"/>
        <v>8.8317173850436789E-2</v>
      </c>
      <c r="I16" s="767"/>
      <c r="J16" s="767"/>
      <c r="K16" s="767"/>
      <c r="L16" s="650">
        <f t="shared" si="3"/>
        <v>8.4381993616318748E-2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348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920</v>
      </c>
      <c r="H17" s="451">
        <f t="shared" si="2"/>
        <v>8.8317173850436789E-2</v>
      </c>
      <c r="I17" s="767"/>
      <c r="J17" s="767"/>
      <c r="K17" s="767"/>
      <c r="L17" s="650">
        <f t="shared" si="3"/>
        <v>8.4381993616318748E-2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920</v>
      </c>
      <c r="H18" s="451">
        <f t="shared" si="2"/>
        <v>8.8317173850436789E-2</v>
      </c>
      <c r="I18" s="767"/>
      <c r="J18" s="767"/>
      <c r="K18" s="767"/>
      <c r="L18" s="650">
        <f t="shared" si="3"/>
        <v>8.4381993616318748E-2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920</v>
      </c>
      <c r="H19" s="451">
        <f t="shared" si="2"/>
        <v>8.8317173850436789E-2</v>
      </c>
      <c r="I19" s="767"/>
      <c r="J19" s="767"/>
      <c r="K19" s="767"/>
      <c r="L19" s="650">
        <f t="shared" si="3"/>
        <v>8.4381993616318748E-2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920</v>
      </c>
      <c r="H20" s="451">
        <f t="shared" si="2"/>
        <v>8.8317173850436789E-2</v>
      </c>
      <c r="I20" s="767"/>
      <c r="J20" s="767"/>
      <c r="K20" s="767"/>
      <c r="L20" s="650">
        <f t="shared" si="3"/>
        <v>8.4381993616318748E-2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920</v>
      </c>
      <c r="H21" s="451">
        <f t="shared" si="2"/>
        <v>8.8317173850436789E-2</v>
      </c>
      <c r="I21" s="767"/>
      <c r="J21" s="767"/>
      <c r="K21" s="767"/>
      <c r="L21" s="650">
        <f t="shared" si="3"/>
        <v>8.4381993616318748E-2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920</v>
      </c>
      <c r="H22" s="451">
        <f t="shared" si="2"/>
        <v>8.8317173850436789E-2</v>
      </c>
      <c r="I22" s="767"/>
      <c r="J22" s="767"/>
      <c r="K22" s="767"/>
      <c r="L22" s="650">
        <f t="shared" si="3"/>
        <v>8.4381993616318748E-2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920</v>
      </c>
      <c r="H23" s="451">
        <f t="shared" si="2"/>
        <v>8.8317173850436789E-2</v>
      </c>
      <c r="I23" s="767"/>
      <c r="J23" s="767"/>
      <c r="K23" s="767"/>
      <c r="L23" s="650">
        <f t="shared" si="3"/>
        <v>8.4381993616318748E-2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920</v>
      </c>
      <c r="H24" s="451">
        <f t="shared" si="2"/>
        <v>8.8317173850436789E-2</v>
      </c>
      <c r="I24" s="767"/>
      <c r="J24" s="767"/>
      <c r="K24" s="767"/>
      <c r="L24" s="650">
        <f t="shared" si="3"/>
        <v>8.4381993616318748E-2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920</v>
      </c>
      <c r="H25" s="451">
        <f t="shared" si="2"/>
        <v>8.8317173850436789E-2</v>
      </c>
      <c r="I25" s="767"/>
      <c r="J25" s="767"/>
      <c r="K25" s="767"/>
      <c r="L25" s="650">
        <f t="shared" si="3"/>
        <v>8.4381993616318748E-2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920</v>
      </c>
      <c r="H26" s="451">
        <f t="shared" si="2"/>
        <v>8.8317173850436789E-2</v>
      </c>
      <c r="I26" s="767"/>
      <c r="J26" s="767"/>
      <c r="K26" s="767"/>
      <c r="L26" s="650">
        <f t="shared" si="3"/>
        <v>8.4381993616318748E-2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920</v>
      </c>
      <c r="H27" s="451">
        <f t="shared" si="2"/>
        <v>8.8317173850436789E-2</v>
      </c>
      <c r="I27" s="767"/>
      <c r="J27" s="767"/>
      <c r="K27" s="767"/>
      <c r="L27" s="650">
        <f t="shared" si="3"/>
        <v>8.4381993616318748E-2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920</v>
      </c>
      <c r="H28" s="451">
        <f t="shared" si="2"/>
        <v>8.8317173850436789E-2</v>
      </c>
      <c r="I28" s="767"/>
      <c r="J28" s="767"/>
      <c r="K28" s="767"/>
      <c r="L28" s="650">
        <f t="shared" si="3"/>
        <v>8.4381993616318748E-2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920</v>
      </c>
      <c r="H29" s="451">
        <f t="shared" si="2"/>
        <v>8.8317173850436789E-2</v>
      </c>
      <c r="I29" s="767"/>
      <c r="J29" s="767"/>
      <c r="K29" s="767"/>
      <c r="L29" s="650">
        <f t="shared" si="3"/>
        <v>8.4381993616318748E-2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920</v>
      </c>
      <c r="H30" s="451">
        <f t="shared" si="2"/>
        <v>8.8317173850436789E-2</v>
      </c>
      <c r="I30" s="767"/>
      <c r="J30" s="767"/>
      <c r="K30" s="767"/>
      <c r="L30" s="650">
        <f t="shared" si="3"/>
        <v>8.4381993616318748E-2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920</v>
      </c>
      <c r="H31" s="451">
        <f t="shared" si="2"/>
        <v>8.8317173850436789E-2</v>
      </c>
      <c r="I31" s="767"/>
      <c r="J31" s="767"/>
      <c r="K31" s="767"/>
      <c r="L31" s="650">
        <f t="shared" si="3"/>
        <v>8.4381993616318748E-2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920</v>
      </c>
      <c r="H32" s="451">
        <f t="shared" si="2"/>
        <v>8.8317173850436789E-2</v>
      </c>
      <c r="I32" s="767"/>
      <c r="J32" s="767"/>
      <c r="K32" s="767"/>
      <c r="L32" s="650">
        <f t="shared" si="3"/>
        <v>8.4381993616318748E-2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920</v>
      </c>
      <c r="H33" s="451">
        <f t="shared" si="2"/>
        <v>8.8317173850436789E-2</v>
      </c>
      <c r="I33" s="767"/>
      <c r="J33" s="767"/>
      <c r="K33" s="767"/>
      <c r="L33" s="650">
        <f t="shared" si="3"/>
        <v>8.4381993616318748E-2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920</v>
      </c>
      <c r="H34" s="451">
        <f t="shared" si="2"/>
        <v>8.8317173850436789E-2</v>
      </c>
      <c r="I34" s="767"/>
      <c r="J34" s="767"/>
      <c r="K34" s="767"/>
      <c r="L34" s="650">
        <f t="shared" si="3"/>
        <v>8.4381993616318748E-2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920</v>
      </c>
      <c r="H35" s="451">
        <f t="shared" si="2"/>
        <v>8.8317173850436789E-2</v>
      </c>
      <c r="I35" s="767"/>
      <c r="J35" s="767"/>
      <c r="K35" s="767"/>
      <c r="L35" s="650">
        <f t="shared" si="3"/>
        <v>8.4381993616318748E-2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920</v>
      </c>
      <c r="H36" s="451">
        <f t="shared" si="2"/>
        <v>8.8317173850436789E-2</v>
      </c>
      <c r="I36" s="767"/>
      <c r="J36" s="767"/>
      <c r="K36" s="767"/>
      <c r="L36" s="650">
        <f t="shared" si="3"/>
        <v>8.4381993616318748E-2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920</v>
      </c>
      <c r="H37" s="451">
        <f t="shared" si="2"/>
        <v>8.8317173850436789E-2</v>
      </c>
      <c r="I37" s="767"/>
      <c r="J37" s="767"/>
      <c r="K37" s="767"/>
      <c r="L37" s="650">
        <f t="shared" si="3"/>
        <v>8.4381993616318748E-2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920</v>
      </c>
      <c r="H38" s="451">
        <f t="shared" si="2"/>
        <v>8.8317173850436789E-2</v>
      </c>
      <c r="I38" s="767"/>
      <c r="J38" s="767"/>
      <c r="K38" s="767"/>
      <c r="L38" s="650">
        <f t="shared" si="3"/>
        <v>8.4381993616318748E-2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 t="shared" si="4"/>
        <v>10902.777777777777</v>
      </c>
      <c r="G39" s="396">
        <f t="shared" si="0"/>
        <v>920</v>
      </c>
      <c r="H39" s="451">
        <f t="shared" si="2"/>
        <v>8.8317173850436789E-2</v>
      </c>
      <c r="I39" s="767"/>
      <c r="J39" s="767"/>
      <c r="K39" s="767"/>
      <c r="L39" s="650">
        <f t="shared" si="3"/>
        <v>8.4381993616318748E-2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920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920</v>
      </c>
      <c r="E41" s="389">
        <f>E40</f>
        <v>0</v>
      </c>
      <c r="F41" s="449"/>
      <c r="G41" s="389">
        <f>D41-E41</f>
        <v>920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8021" priority="22" operator="between">
      <formula>3.5</formula>
      <formula>6</formula>
    </cfRule>
    <cfRule type="cellIs" dxfId="8020" priority="23" operator="lessThan">
      <formula>3.5</formula>
    </cfRule>
    <cfRule type="cellIs" dxfId="8019" priority="24" operator="greaterThan">
      <formula>6</formula>
    </cfRule>
  </conditionalFormatting>
  <conditionalFormatting sqref="H9:H39">
    <cfRule type="cellIs" dxfId="8018" priority="19" operator="between">
      <formula>3.5</formula>
      <formula>6</formula>
    </cfRule>
    <cfRule type="cellIs" dxfId="8017" priority="20" operator="lessThan">
      <formula>3.5</formula>
    </cfRule>
    <cfRule type="cellIs" dxfId="8016" priority="21" operator="greaterThan">
      <formula>6</formula>
    </cfRule>
  </conditionalFormatting>
  <conditionalFormatting sqref="H9:H39">
    <cfRule type="cellIs" dxfId="8015" priority="16" operator="between">
      <formula>3.5</formula>
      <formula>6</formula>
    </cfRule>
    <cfRule type="cellIs" dxfId="8014" priority="17" operator="lessThan">
      <formula>3.5</formula>
    </cfRule>
    <cfRule type="cellIs" dxfId="8013" priority="18" operator="greaterThan">
      <formula>6</formula>
    </cfRule>
  </conditionalFormatting>
  <conditionalFormatting sqref="H9:H39">
    <cfRule type="cellIs" dxfId="8012" priority="13" operator="between">
      <formula>3.5</formula>
      <formula>6</formula>
    </cfRule>
    <cfRule type="cellIs" dxfId="8011" priority="14" operator="lessThan">
      <formula>3.5</formula>
    </cfRule>
    <cfRule type="cellIs" dxfId="8010" priority="15" operator="greaterThan">
      <formula>6</formula>
    </cfRule>
  </conditionalFormatting>
  <conditionalFormatting sqref="H9:H39">
    <cfRule type="cellIs" dxfId="8009" priority="10" operator="between">
      <formula>3.5</formula>
      <formula>6</formula>
    </cfRule>
    <cfRule type="cellIs" dxfId="8008" priority="11" operator="lessThan">
      <formula>3.5</formula>
    </cfRule>
    <cfRule type="cellIs" dxfId="8007" priority="12" operator="greaterThan">
      <formula>6</formula>
    </cfRule>
  </conditionalFormatting>
  <conditionalFormatting sqref="H9:H39">
    <cfRule type="cellIs" dxfId="8006" priority="7" operator="between">
      <formula>3.5</formula>
      <formula>6</formula>
    </cfRule>
    <cfRule type="cellIs" dxfId="8005" priority="8" operator="lessThan">
      <formula>3.5</formula>
    </cfRule>
    <cfRule type="cellIs" dxfId="8004" priority="9" operator="greaterThan">
      <formula>6</formula>
    </cfRule>
  </conditionalFormatting>
  <conditionalFormatting sqref="H9:H39">
    <cfRule type="cellIs" dxfId="8003" priority="4" operator="between">
      <formula>3.5</formula>
      <formula>6</formula>
    </cfRule>
    <cfRule type="cellIs" dxfId="8002" priority="5" operator="lessThan">
      <formula>3.5</formula>
    </cfRule>
    <cfRule type="cellIs" dxfId="8001" priority="6" operator="greaterThan">
      <formula>6</formula>
    </cfRule>
  </conditionalFormatting>
  <conditionalFormatting sqref="H9:H39">
    <cfRule type="cellIs" dxfId="8000" priority="1" operator="between">
      <formula>3.5</formula>
      <formula>6</formula>
    </cfRule>
    <cfRule type="cellIs" dxfId="7999" priority="2" operator="lessThan">
      <formula>3.5</formula>
    </cfRule>
    <cfRule type="cellIs" dxfId="799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23622047244094491"/>
  <pageSetup paperSize="8" orientation="landscape" horizontalDpi="4294967292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49"/>
  <sheetViews>
    <sheetView zoomScale="90" zoomScaleNormal="90" workbookViewId="0">
      <pane ySplit="8" topLeftCell="A9" activePane="bottomLeft" state="frozen"/>
      <selection pane="bottomLeft" activeCell="J11" sqref="J11:J14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64"/>
      <c r="K3" s="1264"/>
      <c r="M3" s="442"/>
      <c r="N3" s="442"/>
      <c r="O3" s="442"/>
    </row>
    <row r="4" spans="1:26" s="1269" customFormat="1" ht="12" customHeight="1">
      <c r="A4" s="1648" t="s">
        <v>33</v>
      </c>
      <c r="B4" s="1648"/>
      <c r="C4" s="551" t="str">
        <f>H4</f>
        <v>CROWN 60x60 5V nâu</v>
      </c>
      <c r="E4" s="549" t="s">
        <v>228</v>
      </c>
      <c r="F4" s="549" t="s">
        <v>235</v>
      </c>
      <c r="G4" s="550" t="s">
        <v>114</v>
      </c>
      <c r="H4" s="551" t="s">
        <v>1065</v>
      </c>
      <c r="L4" s="143"/>
    </row>
    <row r="5" spans="1:26" s="126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269" customFormat="1" ht="12" customHeight="1">
      <c r="B6" s="453"/>
      <c r="C6" s="453"/>
      <c r="D6" s="453"/>
      <c r="E6" s="453"/>
      <c r="F6" s="453"/>
      <c r="G6" s="453">
        <v>12450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266" t="s">
        <v>2</v>
      </c>
      <c r="B7" s="1268" t="s">
        <v>1</v>
      </c>
      <c r="C7" s="126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65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1267">
        <v>1</v>
      </c>
      <c r="B9" s="365">
        <f>'FRIT HGE91-FHG'!B9</f>
        <v>46235</v>
      </c>
      <c r="C9" s="331" t="s">
        <v>348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67"/>
      <c r="J9" s="767"/>
      <c r="K9" s="767"/>
      <c r="L9" s="650">
        <f>G9/$L$8</f>
        <v>0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334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67"/>
      <c r="J10" s="767"/>
      <c r="K10" s="767"/>
      <c r="L10" s="650">
        <f t="shared" ref="L10:L39" si="3">G10/$L$8</f>
        <v>0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334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67"/>
      <c r="J11" s="767"/>
      <c r="K11" s="767"/>
      <c r="L11" s="650">
        <f t="shared" si="3"/>
        <v>0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334</v>
      </c>
      <c r="D12" s="396"/>
      <c r="E12" s="396">
        <f t="shared" si="1"/>
        <v>0</v>
      </c>
      <c r="F12" s="396">
        <f t="shared" ref="F12:F39" si="4">$F$9</f>
        <v>10902.777777777777</v>
      </c>
      <c r="G12" s="396">
        <f t="shared" si="0"/>
        <v>0</v>
      </c>
      <c r="H12" s="451">
        <f t="shared" si="2"/>
        <v>0</v>
      </c>
      <c r="I12" s="767"/>
      <c r="J12" s="767"/>
      <c r="K12" s="767"/>
      <c r="L12" s="650">
        <f t="shared" si="3"/>
        <v>0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334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67"/>
      <c r="J13" s="767"/>
      <c r="K13" s="767"/>
      <c r="L13" s="650">
        <f t="shared" si="3"/>
        <v>0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67"/>
      <c r="J14" s="767"/>
      <c r="K14" s="767"/>
      <c r="L14" s="650">
        <f t="shared" si="3"/>
        <v>0</v>
      </c>
    </row>
    <row r="15" spans="1:26" s="367" customFormat="1" ht="11.25" customHeight="1">
      <c r="A15" s="330">
        <v>7</v>
      </c>
      <c r="B15" s="365">
        <f>'FRIT HGE91-FHG'!B15</f>
        <v>46241</v>
      </c>
      <c r="C15" s="331" t="s">
        <v>334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67"/>
      <c r="J15" s="767"/>
      <c r="K15" s="767"/>
      <c r="L15" s="650">
        <f t="shared" si="3"/>
        <v>0</v>
      </c>
    </row>
    <row r="16" spans="1:26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67"/>
      <c r="J16" s="767"/>
      <c r="K16" s="767"/>
      <c r="L16" s="650">
        <f t="shared" si="3"/>
        <v>0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348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67"/>
      <c r="J17" s="767"/>
      <c r="K17" s="767"/>
      <c r="L17" s="650">
        <f t="shared" si="3"/>
        <v>0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67"/>
      <c r="J18" s="767"/>
      <c r="K18" s="767"/>
      <c r="L18" s="650">
        <f t="shared" si="3"/>
        <v>0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67"/>
      <c r="J19" s="767"/>
      <c r="K19" s="767"/>
      <c r="L19" s="650">
        <f t="shared" si="3"/>
        <v>0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67"/>
      <c r="J20" s="767"/>
      <c r="K20" s="767"/>
      <c r="L20" s="650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67"/>
      <c r="J21" s="767"/>
      <c r="K21" s="767"/>
      <c r="L21" s="650">
        <f t="shared" si="3"/>
        <v>0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67"/>
      <c r="J22" s="767"/>
      <c r="K22" s="767"/>
      <c r="L22" s="650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67"/>
      <c r="J23" s="767"/>
      <c r="K23" s="767"/>
      <c r="L23" s="650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67"/>
      <c r="J24" s="767"/>
      <c r="K24" s="767"/>
      <c r="L24" s="650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67"/>
      <c r="J25" s="767"/>
      <c r="K25" s="767"/>
      <c r="L25" s="650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67"/>
      <c r="J26" s="767"/>
      <c r="K26" s="767"/>
      <c r="L26" s="650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67"/>
      <c r="J27" s="767"/>
      <c r="K27" s="767"/>
      <c r="L27" s="650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67"/>
      <c r="J28" s="767"/>
      <c r="K28" s="767"/>
      <c r="L28" s="650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67"/>
      <c r="J29" s="767"/>
      <c r="K29" s="767"/>
      <c r="L29" s="650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67"/>
      <c r="J30" s="767"/>
      <c r="K30" s="767"/>
      <c r="L30" s="650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67"/>
      <c r="J31" s="767"/>
      <c r="K31" s="767"/>
      <c r="L31" s="650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67"/>
      <c r="J32" s="767"/>
      <c r="K32" s="767"/>
      <c r="L32" s="650">
        <f t="shared" si="3"/>
        <v>0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67"/>
      <c r="J33" s="767"/>
      <c r="K33" s="767"/>
      <c r="L33" s="650">
        <f t="shared" si="3"/>
        <v>0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67"/>
      <c r="J34" s="767"/>
      <c r="K34" s="767"/>
      <c r="L34" s="650">
        <f t="shared" si="3"/>
        <v>0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67"/>
      <c r="J35" s="767"/>
      <c r="K35" s="767"/>
      <c r="L35" s="650">
        <f t="shared" si="3"/>
        <v>0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67"/>
      <c r="J36" s="767"/>
      <c r="K36" s="767"/>
      <c r="L36" s="650">
        <f t="shared" si="3"/>
        <v>0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67"/>
      <c r="J37" s="767"/>
      <c r="K37" s="767"/>
      <c r="L37" s="650">
        <f t="shared" si="3"/>
        <v>0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67"/>
      <c r="J38" s="767"/>
      <c r="K38" s="767"/>
      <c r="L38" s="650">
        <f t="shared" si="3"/>
        <v>0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 t="shared" si="4"/>
        <v>10902.777777777777</v>
      </c>
      <c r="G39" s="396">
        <f t="shared" si="0"/>
        <v>0</v>
      </c>
      <c r="H39" s="451">
        <f t="shared" si="2"/>
        <v>0</v>
      </c>
      <c r="I39" s="767"/>
      <c r="J39" s="767"/>
      <c r="K39" s="767"/>
      <c r="L39" s="650">
        <f t="shared" si="3"/>
        <v>0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7997" priority="22" operator="between">
      <formula>3.5</formula>
      <formula>6</formula>
    </cfRule>
    <cfRule type="cellIs" dxfId="7996" priority="23" operator="lessThan">
      <formula>3.5</formula>
    </cfRule>
    <cfRule type="cellIs" dxfId="7995" priority="24" operator="greaterThan">
      <formula>6</formula>
    </cfRule>
  </conditionalFormatting>
  <conditionalFormatting sqref="H9:H39">
    <cfRule type="cellIs" dxfId="7994" priority="19" operator="between">
      <formula>3.5</formula>
      <formula>6</formula>
    </cfRule>
    <cfRule type="cellIs" dxfId="7993" priority="20" operator="lessThan">
      <formula>3.5</formula>
    </cfRule>
    <cfRule type="cellIs" dxfId="7992" priority="21" operator="greaterThan">
      <formula>6</formula>
    </cfRule>
  </conditionalFormatting>
  <conditionalFormatting sqref="H9:H39">
    <cfRule type="cellIs" dxfId="7991" priority="16" operator="between">
      <formula>3.5</formula>
      <formula>6</formula>
    </cfRule>
    <cfRule type="cellIs" dxfId="7990" priority="17" operator="lessThan">
      <formula>3.5</formula>
    </cfRule>
    <cfRule type="cellIs" dxfId="7989" priority="18" operator="greaterThan">
      <formula>6</formula>
    </cfRule>
  </conditionalFormatting>
  <conditionalFormatting sqref="H9:H39">
    <cfRule type="cellIs" dxfId="7988" priority="13" operator="between">
      <formula>3.5</formula>
      <formula>6</formula>
    </cfRule>
    <cfRule type="cellIs" dxfId="7987" priority="14" operator="lessThan">
      <formula>3.5</formula>
    </cfRule>
    <cfRule type="cellIs" dxfId="7986" priority="15" operator="greaterThan">
      <formula>6</formula>
    </cfRule>
  </conditionalFormatting>
  <conditionalFormatting sqref="H9:H39">
    <cfRule type="cellIs" dxfId="7985" priority="10" operator="between">
      <formula>3.5</formula>
      <formula>6</formula>
    </cfRule>
    <cfRule type="cellIs" dxfId="7984" priority="11" operator="lessThan">
      <formula>3.5</formula>
    </cfRule>
    <cfRule type="cellIs" dxfId="7983" priority="12" operator="greaterThan">
      <formula>6</formula>
    </cfRule>
  </conditionalFormatting>
  <conditionalFormatting sqref="H9:H39">
    <cfRule type="cellIs" dxfId="7982" priority="7" operator="between">
      <formula>3.5</formula>
      <formula>6</formula>
    </cfRule>
    <cfRule type="cellIs" dxfId="7981" priority="8" operator="lessThan">
      <formula>3.5</formula>
    </cfRule>
    <cfRule type="cellIs" dxfId="7980" priority="9" operator="greaterThan">
      <formula>6</formula>
    </cfRule>
  </conditionalFormatting>
  <conditionalFormatting sqref="H9:H39">
    <cfRule type="cellIs" dxfId="7979" priority="4" operator="between">
      <formula>3.5</formula>
      <formula>6</formula>
    </cfRule>
    <cfRule type="cellIs" dxfId="7978" priority="5" operator="lessThan">
      <formula>3.5</formula>
    </cfRule>
    <cfRule type="cellIs" dxfId="7977" priority="6" operator="greaterThan">
      <formula>6</formula>
    </cfRule>
  </conditionalFormatting>
  <conditionalFormatting sqref="H9:H39">
    <cfRule type="cellIs" dxfId="7976" priority="1" operator="between">
      <formula>3.5</formula>
      <formula>6</formula>
    </cfRule>
    <cfRule type="cellIs" dxfId="7975" priority="2" operator="lessThan">
      <formula>3.5</formula>
    </cfRule>
    <cfRule type="cellIs" dxfId="797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23622047244094491"/>
  <pageSetup paperSize="8" orientation="landscape" horizontalDpi="4294967292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Z49"/>
  <sheetViews>
    <sheetView zoomScale="90" zoomScaleNormal="90" workbookViewId="0">
      <pane ySplit="8" topLeftCell="A12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406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>
        <v>1400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67"/>
      <c r="J9" s="767"/>
      <c r="K9" s="767"/>
      <c r="L9" s="650">
        <f>G9/$L$8</f>
        <v>0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67"/>
      <c r="J10" s="767"/>
      <c r="K10" s="767"/>
      <c r="L10" s="650">
        <f t="shared" ref="L10:L39" si="3">G10/$L$8</f>
        <v>0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67"/>
      <c r="J11" s="767"/>
      <c r="K11" s="767"/>
      <c r="L11" s="650">
        <f t="shared" si="3"/>
        <v>0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1"/>
        <v>0</v>
      </c>
      <c r="F12" s="396">
        <f t="shared" ref="F12:F39" si="4">$F$9</f>
        <v>10902.777777777777</v>
      </c>
      <c r="G12" s="396">
        <f t="shared" si="0"/>
        <v>0</v>
      </c>
      <c r="H12" s="451">
        <f t="shared" si="2"/>
        <v>0</v>
      </c>
      <c r="I12" s="767"/>
      <c r="J12" s="767"/>
      <c r="K12" s="767"/>
      <c r="L12" s="650">
        <f t="shared" si="3"/>
        <v>0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768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67"/>
      <c r="J13" s="767"/>
      <c r="K13" s="767"/>
      <c r="L13" s="650">
        <f t="shared" si="3"/>
        <v>0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67"/>
      <c r="J14" s="767"/>
      <c r="K14" s="767"/>
      <c r="L14" s="650">
        <f t="shared" si="3"/>
        <v>0</v>
      </c>
    </row>
    <row r="15" spans="1:26" s="367" customFormat="1" ht="11.25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67"/>
      <c r="J15" s="767"/>
      <c r="K15" s="767"/>
      <c r="L15" s="650">
        <f t="shared" si="3"/>
        <v>0</v>
      </c>
    </row>
    <row r="16" spans="1:26" s="367" customFormat="1" ht="11.25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67"/>
      <c r="J16" s="767"/>
      <c r="K16" s="767"/>
      <c r="L16" s="650">
        <f t="shared" si="3"/>
        <v>0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67"/>
      <c r="J17" s="767"/>
      <c r="K17" s="767"/>
      <c r="L17" s="650">
        <f t="shared" si="3"/>
        <v>0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67"/>
      <c r="J18" s="767"/>
      <c r="K18" s="767"/>
      <c r="L18" s="650">
        <f t="shared" si="3"/>
        <v>0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67"/>
      <c r="J19" s="767"/>
      <c r="K19" s="767"/>
      <c r="L19" s="650">
        <f t="shared" si="3"/>
        <v>0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67"/>
      <c r="J20" s="767"/>
      <c r="K20" s="767"/>
      <c r="L20" s="650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67"/>
      <c r="J21" s="767"/>
      <c r="K21" s="767"/>
      <c r="L21" s="650">
        <f t="shared" si="3"/>
        <v>0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67"/>
      <c r="J22" s="767"/>
      <c r="K22" s="767"/>
      <c r="L22" s="650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67"/>
      <c r="J23" s="767"/>
      <c r="K23" s="767"/>
      <c r="L23" s="650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67"/>
      <c r="J24" s="767"/>
      <c r="K24" s="767"/>
      <c r="L24" s="650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67"/>
      <c r="J25" s="767"/>
      <c r="K25" s="767"/>
      <c r="L25" s="650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67"/>
      <c r="J26" s="767"/>
      <c r="K26" s="767"/>
      <c r="L26" s="650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67"/>
      <c r="J27" s="767"/>
      <c r="K27" s="767"/>
      <c r="L27" s="650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67"/>
      <c r="J28" s="767"/>
      <c r="K28" s="767"/>
      <c r="L28" s="650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67"/>
      <c r="J29" s="767"/>
      <c r="K29" s="767"/>
      <c r="L29" s="650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67"/>
      <c r="J30" s="767"/>
      <c r="K30" s="767"/>
      <c r="L30" s="650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67"/>
      <c r="J31" s="767"/>
      <c r="K31" s="767"/>
      <c r="L31" s="650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67"/>
      <c r="J32" s="767"/>
      <c r="K32" s="767"/>
      <c r="L32" s="650">
        <f t="shared" si="3"/>
        <v>0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67"/>
      <c r="J33" s="767"/>
      <c r="K33" s="767"/>
      <c r="L33" s="650">
        <f t="shared" si="3"/>
        <v>0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67"/>
      <c r="J34" s="767"/>
      <c r="K34" s="767"/>
      <c r="L34" s="650">
        <f t="shared" si="3"/>
        <v>0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67"/>
      <c r="J35" s="767"/>
      <c r="K35" s="767"/>
      <c r="L35" s="650">
        <f t="shared" si="3"/>
        <v>0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67"/>
      <c r="J36" s="767"/>
      <c r="K36" s="767"/>
      <c r="L36" s="650">
        <f t="shared" si="3"/>
        <v>0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67"/>
      <c r="J37" s="767"/>
      <c r="K37" s="767"/>
      <c r="L37" s="650">
        <f t="shared" si="3"/>
        <v>0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67"/>
      <c r="J38" s="767"/>
      <c r="K38" s="767"/>
      <c r="L38" s="650">
        <f t="shared" si="3"/>
        <v>0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 t="shared" si="4"/>
        <v>10902.777777777777</v>
      </c>
      <c r="G39" s="396">
        <f t="shared" si="0"/>
        <v>0</v>
      </c>
      <c r="H39" s="451">
        <f t="shared" si="2"/>
        <v>0</v>
      </c>
      <c r="I39" s="767"/>
      <c r="J39" s="767"/>
      <c r="K39" s="767"/>
      <c r="L39" s="650">
        <f t="shared" si="3"/>
        <v>0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8:C8"/>
    <mergeCell ref="A40:C40"/>
    <mergeCell ref="A41:C41"/>
    <mergeCell ref="A3:I3"/>
    <mergeCell ref="A4:B4"/>
  </mergeCells>
  <conditionalFormatting sqref="H38">
    <cfRule type="cellIs" dxfId="7973" priority="34" operator="between">
      <formula>3.5</formula>
      <formula>6</formula>
    </cfRule>
    <cfRule type="cellIs" dxfId="7972" priority="35" operator="lessThan">
      <formula>3.5</formula>
    </cfRule>
    <cfRule type="cellIs" dxfId="7971" priority="36" operator="greaterThan">
      <formula>6</formula>
    </cfRule>
  </conditionalFormatting>
  <conditionalFormatting sqref="H9:H12 H24:H37 H14:H17 H19:H22 H39">
    <cfRule type="cellIs" dxfId="7970" priority="31" operator="between">
      <formula>3.5</formula>
      <formula>6</formula>
    </cfRule>
    <cfRule type="cellIs" dxfId="7969" priority="32" operator="lessThan">
      <formula>3.5</formula>
    </cfRule>
    <cfRule type="cellIs" dxfId="7968" priority="33" operator="greaterThan">
      <formula>6</formula>
    </cfRule>
  </conditionalFormatting>
  <conditionalFormatting sqref="H23">
    <cfRule type="cellIs" dxfId="7967" priority="28" operator="between">
      <formula>3.5</formula>
      <formula>6</formula>
    </cfRule>
    <cfRule type="cellIs" dxfId="7966" priority="29" operator="lessThan">
      <formula>3.5</formula>
    </cfRule>
    <cfRule type="cellIs" dxfId="7965" priority="30" operator="greaterThan">
      <formula>6</formula>
    </cfRule>
  </conditionalFormatting>
  <conditionalFormatting sqref="H13">
    <cfRule type="cellIs" dxfId="7964" priority="25" operator="between">
      <formula>3.5</formula>
      <formula>6</formula>
    </cfRule>
    <cfRule type="cellIs" dxfId="7963" priority="26" operator="lessThan">
      <formula>3.5</formula>
    </cfRule>
    <cfRule type="cellIs" dxfId="7962" priority="27" operator="greaterThan">
      <formula>6</formula>
    </cfRule>
  </conditionalFormatting>
  <conditionalFormatting sqref="H18">
    <cfRule type="cellIs" dxfId="7961" priority="22" operator="between">
      <formula>3.5</formula>
      <formula>6</formula>
    </cfRule>
    <cfRule type="cellIs" dxfId="7960" priority="23" operator="lessThan">
      <formula>3.5</formula>
    </cfRule>
    <cfRule type="cellIs" dxfId="7959" priority="24" operator="greaterThan">
      <formula>6</formula>
    </cfRule>
  </conditionalFormatting>
  <conditionalFormatting sqref="H9:H39">
    <cfRule type="cellIs" dxfId="7958" priority="19" operator="between">
      <formula>3.5</formula>
      <formula>6</formula>
    </cfRule>
    <cfRule type="cellIs" dxfId="7957" priority="20" operator="lessThan">
      <formula>3.5</formula>
    </cfRule>
    <cfRule type="cellIs" dxfId="7956" priority="21" operator="greaterThan">
      <formula>6</formula>
    </cfRule>
  </conditionalFormatting>
  <conditionalFormatting sqref="H9:H39">
    <cfRule type="cellIs" dxfId="7955" priority="16" operator="between">
      <formula>3.5</formula>
      <formula>6</formula>
    </cfRule>
    <cfRule type="cellIs" dxfId="7954" priority="17" operator="lessThan">
      <formula>3.5</formula>
    </cfRule>
    <cfRule type="cellIs" dxfId="7953" priority="18" operator="greaterThan">
      <formula>6</formula>
    </cfRule>
  </conditionalFormatting>
  <conditionalFormatting sqref="H9:H39">
    <cfRule type="cellIs" dxfId="7952" priority="13" operator="between">
      <formula>3.5</formula>
      <formula>6</formula>
    </cfRule>
    <cfRule type="cellIs" dxfId="7951" priority="14" operator="lessThan">
      <formula>3.5</formula>
    </cfRule>
    <cfRule type="cellIs" dxfId="7950" priority="15" operator="greaterThan">
      <formula>6</formula>
    </cfRule>
  </conditionalFormatting>
  <conditionalFormatting sqref="H9:H39">
    <cfRule type="cellIs" dxfId="7949" priority="10" operator="between">
      <formula>3.5</formula>
      <formula>6</formula>
    </cfRule>
    <cfRule type="cellIs" dxfId="7948" priority="11" operator="lessThan">
      <formula>3.5</formula>
    </cfRule>
    <cfRule type="cellIs" dxfId="7947" priority="12" operator="greaterThan">
      <formula>6</formula>
    </cfRule>
  </conditionalFormatting>
  <conditionalFormatting sqref="H9:H39">
    <cfRule type="cellIs" dxfId="7946" priority="7" operator="between">
      <formula>3.5</formula>
      <formula>6</formula>
    </cfRule>
    <cfRule type="cellIs" dxfId="7945" priority="8" operator="lessThan">
      <formula>3.5</formula>
    </cfRule>
    <cfRule type="cellIs" dxfId="7944" priority="9" operator="greaterThan">
      <formula>6</formula>
    </cfRule>
  </conditionalFormatting>
  <conditionalFormatting sqref="H9:H39">
    <cfRule type="cellIs" dxfId="7943" priority="4" operator="between">
      <formula>3.5</formula>
      <formula>6</formula>
    </cfRule>
    <cfRule type="cellIs" dxfId="7942" priority="5" operator="lessThan">
      <formula>3.5</formula>
    </cfRule>
    <cfRule type="cellIs" dxfId="7941" priority="6" operator="greaterThan">
      <formula>6</formula>
    </cfRule>
  </conditionalFormatting>
  <conditionalFormatting sqref="H9:H39">
    <cfRule type="cellIs" dxfId="7940" priority="1" operator="between">
      <formula>3.5</formula>
      <formula>6</formula>
    </cfRule>
    <cfRule type="cellIs" dxfId="7939" priority="2" operator="lessThan">
      <formula>3.5</formula>
    </cfRule>
    <cfRule type="cellIs" dxfId="793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Z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407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10048</v>
      </c>
      <c r="E8" s="771">
        <f>E40</f>
        <v>2400</v>
      </c>
      <c r="F8" s="771"/>
      <c r="G8" s="774">
        <v>10048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761">
        <v>1</v>
      </c>
      <c r="B9" s="365">
        <f>'FRIT HGE91-FHG'!B9</f>
        <v>46235</v>
      </c>
      <c r="C9" s="331" t="s">
        <v>285</v>
      </c>
      <c r="D9" s="1451"/>
      <c r="E9" s="1451">
        <f>I9+J9+K9</f>
        <v>0</v>
      </c>
      <c r="F9" s="1451">
        <f>15700/1.44</f>
        <v>10902.777777777777</v>
      </c>
      <c r="G9" s="1451">
        <f t="shared" ref="G9:G39" si="0">G8+D9-E9</f>
        <v>10048</v>
      </c>
      <c r="H9" s="1452">
        <f>G9/10417</f>
        <v>0.96457713353172703</v>
      </c>
      <c r="I9" s="772"/>
      <c r="J9" s="772"/>
      <c r="K9" s="772"/>
      <c r="L9" s="650">
        <f>G9/$L$8</f>
        <v>0.92159812158344656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285</v>
      </c>
      <c r="D10" s="1451"/>
      <c r="E10" s="1451">
        <f t="shared" ref="E10:E39" si="1">I10+J10+K10</f>
        <v>0</v>
      </c>
      <c r="F10" s="1451">
        <f>$F$9</f>
        <v>10902.777777777777</v>
      </c>
      <c r="G10" s="1451">
        <f t="shared" si="0"/>
        <v>10048</v>
      </c>
      <c r="H10" s="1452">
        <f t="shared" ref="H10:H39" si="2">G10/10417</f>
        <v>0.96457713353172703</v>
      </c>
      <c r="I10" s="772"/>
      <c r="J10" s="772"/>
      <c r="K10" s="772"/>
      <c r="L10" s="650">
        <f t="shared" ref="L10:L39" si="3">G10/$L$8</f>
        <v>0.92159812158344656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1451"/>
      <c r="E11" s="1451">
        <f t="shared" si="1"/>
        <v>0</v>
      </c>
      <c r="F11" s="1451">
        <f>$F$9</f>
        <v>10902.777777777777</v>
      </c>
      <c r="G11" s="1451">
        <f t="shared" si="0"/>
        <v>10048</v>
      </c>
      <c r="H11" s="1452">
        <f t="shared" si="2"/>
        <v>0.96457713353172703</v>
      </c>
      <c r="I11" s="772"/>
      <c r="J11" s="772"/>
      <c r="K11" s="772"/>
      <c r="L11" s="650">
        <f t="shared" si="3"/>
        <v>0.92159812158344656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285</v>
      </c>
      <c r="D12" s="1451"/>
      <c r="E12" s="1451">
        <f t="shared" si="1"/>
        <v>0</v>
      </c>
      <c r="F12" s="1451">
        <f t="shared" ref="F12:F38" si="4">$F$9</f>
        <v>10902.777777777777</v>
      </c>
      <c r="G12" s="1451">
        <f t="shared" si="0"/>
        <v>10048</v>
      </c>
      <c r="H12" s="1452">
        <f t="shared" si="2"/>
        <v>0.96457713353172703</v>
      </c>
      <c r="I12" s="772"/>
      <c r="J12" s="772"/>
      <c r="K12" s="772"/>
      <c r="L12" s="650">
        <f t="shared" si="3"/>
        <v>0.92159812158344656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1451"/>
      <c r="E13" s="1451">
        <f t="shared" si="1"/>
        <v>0</v>
      </c>
      <c r="F13" s="1451">
        <f t="shared" si="4"/>
        <v>10902.777777777777</v>
      </c>
      <c r="G13" s="1453">
        <f t="shared" si="0"/>
        <v>10048</v>
      </c>
      <c r="H13" s="1452">
        <f t="shared" si="2"/>
        <v>0.96457713353172703</v>
      </c>
      <c r="I13" s="772"/>
      <c r="J13" s="772"/>
      <c r="K13" s="772"/>
      <c r="L13" s="650">
        <f t="shared" si="3"/>
        <v>0.92159812158344656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1451"/>
      <c r="E14" s="1451">
        <f t="shared" si="1"/>
        <v>0</v>
      </c>
      <c r="F14" s="1451">
        <f t="shared" si="4"/>
        <v>10902.777777777777</v>
      </c>
      <c r="G14" s="1451">
        <f t="shared" si="0"/>
        <v>10048</v>
      </c>
      <c r="H14" s="1452">
        <f t="shared" si="2"/>
        <v>0.96457713353172703</v>
      </c>
      <c r="I14" s="772"/>
      <c r="J14" s="772"/>
      <c r="K14" s="772"/>
      <c r="L14" s="650">
        <f t="shared" si="3"/>
        <v>0.92159812158344656</v>
      </c>
    </row>
    <row r="15" spans="1:26" s="367" customFormat="1" ht="11.25" customHeight="1">
      <c r="A15" s="330">
        <v>7</v>
      </c>
      <c r="B15" s="365">
        <f>'FRIT HGE91-FHG'!B15</f>
        <v>46241</v>
      </c>
      <c r="C15" s="331" t="s">
        <v>104</v>
      </c>
      <c r="D15" s="1451"/>
      <c r="E15" s="1451">
        <f t="shared" si="1"/>
        <v>0</v>
      </c>
      <c r="F15" s="1451">
        <f t="shared" si="4"/>
        <v>10902.777777777777</v>
      </c>
      <c r="G15" s="1451">
        <f t="shared" si="0"/>
        <v>10048</v>
      </c>
      <c r="H15" s="1452">
        <f t="shared" si="2"/>
        <v>0.96457713353172703</v>
      </c>
      <c r="I15" s="772"/>
      <c r="J15" s="772"/>
      <c r="K15" s="772"/>
      <c r="L15" s="650">
        <f t="shared" si="3"/>
        <v>0.92159812158344656</v>
      </c>
    </row>
    <row r="16" spans="1:26" s="367" customFormat="1" ht="11.25" customHeight="1">
      <c r="A16" s="330">
        <v>8</v>
      </c>
      <c r="B16" s="365">
        <f>'FRIT HGE91-FHG'!B16</f>
        <v>46242</v>
      </c>
      <c r="C16" s="331" t="s">
        <v>285</v>
      </c>
      <c r="D16" s="1451"/>
      <c r="E16" s="1451">
        <f t="shared" si="1"/>
        <v>0</v>
      </c>
      <c r="F16" s="1451">
        <f t="shared" si="4"/>
        <v>10902.777777777777</v>
      </c>
      <c r="G16" s="1451">
        <f t="shared" si="0"/>
        <v>10048</v>
      </c>
      <c r="H16" s="1452">
        <f t="shared" si="2"/>
        <v>0.96457713353172703</v>
      </c>
      <c r="I16" s="772"/>
      <c r="J16" s="772"/>
      <c r="K16" s="772"/>
      <c r="L16" s="650">
        <f t="shared" si="3"/>
        <v>0.92159812158344656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104</v>
      </c>
      <c r="D17" s="1451"/>
      <c r="E17" s="1451">
        <f t="shared" si="1"/>
        <v>0</v>
      </c>
      <c r="F17" s="1451">
        <f t="shared" si="4"/>
        <v>10902.777777777777</v>
      </c>
      <c r="G17" s="1451">
        <f t="shared" si="0"/>
        <v>10048</v>
      </c>
      <c r="H17" s="1452">
        <f t="shared" si="2"/>
        <v>0.96457713353172703</v>
      </c>
      <c r="I17" s="772"/>
      <c r="J17" s="772"/>
      <c r="K17" s="772"/>
      <c r="L17" s="650">
        <f t="shared" si="3"/>
        <v>0.92159812158344656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1451"/>
      <c r="E18" s="1451">
        <f t="shared" si="1"/>
        <v>0</v>
      </c>
      <c r="F18" s="1451">
        <f t="shared" si="4"/>
        <v>10902.777777777777</v>
      </c>
      <c r="G18" s="1453">
        <f t="shared" si="0"/>
        <v>10048</v>
      </c>
      <c r="H18" s="1452">
        <f t="shared" si="2"/>
        <v>0.96457713353172703</v>
      </c>
      <c r="I18" s="772"/>
      <c r="J18" s="772"/>
      <c r="K18" s="772"/>
      <c r="L18" s="650">
        <f t="shared" si="3"/>
        <v>0.92159812158344656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351</v>
      </c>
      <c r="D19" s="1451"/>
      <c r="E19" s="1451">
        <f t="shared" si="1"/>
        <v>0</v>
      </c>
      <c r="F19" s="1451">
        <f t="shared" si="4"/>
        <v>10902.777777777777</v>
      </c>
      <c r="G19" s="1451">
        <f t="shared" si="0"/>
        <v>10048</v>
      </c>
      <c r="H19" s="1452">
        <f t="shared" si="2"/>
        <v>0.96457713353172703</v>
      </c>
      <c r="I19" s="772"/>
      <c r="J19" s="772"/>
      <c r="K19" s="772"/>
      <c r="L19" s="650">
        <f t="shared" si="3"/>
        <v>0.92159812158344656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351</v>
      </c>
      <c r="D20" s="1451"/>
      <c r="E20" s="1451">
        <f t="shared" si="1"/>
        <v>0</v>
      </c>
      <c r="F20" s="1451">
        <f t="shared" si="4"/>
        <v>10902.777777777777</v>
      </c>
      <c r="G20" s="1451">
        <f t="shared" si="0"/>
        <v>10048</v>
      </c>
      <c r="H20" s="1452">
        <f t="shared" si="2"/>
        <v>0.96457713353172703</v>
      </c>
      <c r="I20" s="772"/>
      <c r="J20" s="772"/>
      <c r="K20" s="772"/>
      <c r="L20" s="650">
        <f t="shared" si="3"/>
        <v>0.92159812158344656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1451"/>
      <c r="E21" s="1451">
        <f t="shared" si="1"/>
        <v>0</v>
      </c>
      <c r="F21" s="1451">
        <f t="shared" si="4"/>
        <v>10902.777777777777</v>
      </c>
      <c r="G21" s="1451">
        <f t="shared" si="0"/>
        <v>10048</v>
      </c>
      <c r="H21" s="1452">
        <f t="shared" si="2"/>
        <v>0.96457713353172703</v>
      </c>
      <c r="I21" s="772"/>
      <c r="J21" s="772"/>
      <c r="K21" s="772"/>
      <c r="L21" s="650">
        <f t="shared" si="3"/>
        <v>0.92159812158344656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351</v>
      </c>
      <c r="D22" s="1451"/>
      <c r="E22" s="1451">
        <f t="shared" si="1"/>
        <v>0</v>
      </c>
      <c r="F22" s="1451">
        <f t="shared" si="4"/>
        <v>10902.777777777777</v>
      </c>
      <c r="G22" s="1451">
        <f t="shared" si="0"/>
        <v>10048</v>
      </c>
      <c r="H22" s="1452">
        <f t="shared" si="2"/>
        <v>0.96457713353172703</v>
      </c>
      <c r="I22" s="772"/>
      <c r="J22" s="772"/>
      <c r="K22" s="772"/>
      <c r="L22" s="650">
        <f t="shared" si="3"/>
        <v>0.92159812158344656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1451"/>
      <c r="E23" s="1451">
        <f t="shared" si="1"/>
        <v>2400</v>
      </c>
      <c r="F23" s="1451">
        <f t="shared" si="4"/>
        <v>10902.777777777777</v>
      </c>
      <c r="G23" s="1453">
        <f t="shared" si="0"/>
        <v>7648</v>
      </c>
      <c r="H23" s="1452">
        <f t="shared" si="2"/>
        <v>0.73418450609580499</v>
      </c>
      <c r="I23" s="772">
        <v>2400</v>
      </c>
      <c r="J23" s="772"/>
      <c r="K23" s="772"/>
      <c r="L23" s="650">
        <f t="shared" si="3"/>
        <v>0.70147118171478895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1451"/>
      <c r="E24" s="1451">
        <f t="shared" si="1"/>
        <v>0</v>
      </c>
      <c r="F24" s="1451">
        <f t="shared" si="4"/>
        <v>10902.777777777777</v>
      </c>
      <c r="G24" s="1451">
        <f t="shared" si="0"/>
        <v>7648</v>
      </c>
      <c r="H24" s="1452">
        <f t="shared" si="2"/>
        <v>0.73418450609580499</v>
      </c>
      <c r="I24" s="772"/>
      <c r="J24" s="772"/>
      <c r="K24" s="772"/>
      <c r="L24" s="650">
        <f t="shared" si="3"/>
        <v>0.70147118171478895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1451"/>
      <c r="E25" s="1451">
        <f t="shared" si="1"/>
        <v>0</v>
      </c>
      <c r="F25" s="1451">
        <f t="shared" si="4"/>
        <v>10902.777777777777</v>
      </c>
      <c r="G25" s="1451">
        <f t="shared" si="0"/>
        <v>7648</v>
      </c>
      <c r="H25" s="1452">
        <f t="shared" si="2"/>
        <v>0.73418450609580499</v>
      </c>
      <c r="I25" s="772"/>
      <c r="J25" s="772"/>
      <c r="K25" s="772"/>
      <c r="L25" s="650">
        <f t="shared" si="3"/>
        <v>0.70147118171478895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1451"/>
      <c r="E26" s="1451">
        <f t="shared" si="1"/>
        <v>0</v>
      </c>
      <c r="F26" s="1451">
        <f t="shared" si="4"/>
        <v>10902.777777777777</v>
      </c>
      <c r="G26" s="1451">
        <f t="shared" si="0"/>
        <v>7648</v>
      </c>
      <c r="H26" s="1452">
        <f t="shared" si="2"/>
        <v>0.73418450609580499</v>
      </c>
      <c r="I26" s="772"/>
      <c r="J26" s="772"/>
      <c r="K26" s="772"/>
      <c r="L26" s="650">
        <f t="shared" si="3"/>
        <v>0.70147118171478895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104</v>
      </c>
      <c r="D27" s="1451"/>
      <c r="E27" s="1451">
        <f t="shared" si="1"/>
        <v>0</v>
      </c>
      <c r="F27" s="1451">
        <f t="shared" si="4"/>
        <v>10902.777777777777</v>
      </c>
      <c r="G27" s="1451">
        <f t="shared" si="0"/>
        <v>7648</v>
      </c>
      <c r="H27" s="1452">
        <f t="shared" si="2"/>
        <v>0.73418450609580499</v>
      </c>
      <c r="I27" s="772"/>
      <c r="J27" s="772"/>
      <c r="K27" s="772"/>
      <c r="L27" s="650">
        <f t="shared" si="3"/>
        <v>0.70147118171478895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1451"/>
      <c r="E28" s="1451">
        <f t="shared" si="1"/>
        <v>0</v>
      </c>
      <c r="F28" s="1451">
        <f t="shared" si="4"/>
        <v>10902.777777777777</v>
      </c>
      <c r="G28" s="1453">
        <f t="shared" si="0"/>
        <v>7648</v>
      </c>
      <c r="H28" s="1452">
        <f t="shared" si="2"/>
        <v>0.73418450609580499</v>
      </c>
      <c r="I28" s="772"/>
      <c r="J28" s="772"/>
      <c r="K28" s="772"/>
      <c r="L28" s="650">
        <f t="shared" si="3"/>
        <v>0.70147118171478895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1451"/>
      <c r="E29" s="1451">
        <f t="shared" si="1"/>
        <v>0</v>
      </c>
      <c r="F29" s="1451">
        <f t="shared" si="4"/>
        <v>10902.777777777777</v>
      </c>
      <c r="G29" s="1454">
        <f t="shared" si="0"/>
        <v>7648</v>
      </c>
      <c r="H29" s="1452">
        <f t="shared" si="2"/>
        <v>0.73418450609580499</v>
      </c>
      <c r="I29" s="772"/>
      <c r="J29" s="772"/>
      <c r="K29" s="772"/>
      <c r="L29" s="650">
        <f t="shared" si="3"/>
        <v>0.70147118171478895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1451"/>
      <c r="E30" s="1451">
        <f t="shared" si="1"/>
        <v>0</v>
      </c>
      <c r="F30" s="1451">
        <f t="shared" si="4"/>
        <v>10902.777777777777</v>
      </c>
      <c r="G30" s="1454">
        <f t="shared" si="0"/>
        <v>7648</v>
      </c>
      <c r="H30" s="1452">
        <f t="shared" si="2"/>
        <v>0.73418450609580499</v>
      </c>
      <c r="I30" s="772"/>
      <c r="J30" s="772"/>
      <c r="K30" s="772"/>
      <c r="L30" s="650">
        <f t="shared" si="3"/>
        <v>0.70147118171478895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1451"/>
      <c r="E31" s="1451">
        <f t="shared" si="1"/>
        <v>0</v>
      </c>
      <c r="F31" s="1451">
        <f t="shared" si="4"/>
        <v>10902.777777777777</v>
      </c>
      <c r="G31" s="1454">
        <f t="shared" si="0"/>
        <v>7648</v>
      </c>
      <c r="H31" s="1452">
        <f t="shared" si="2"/>
        <v>0.73418450609580499</v>
      </c>
      <c r="I31" s="772"/>
      <c r="J31" s="772"/>
      <c r="K31" s="772"/>
      <c r="L31" s="650">
        <f t="shared" si="3"/>
        <v>0.70147118171478895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1451"/>
      <c r="E32" s="1451">
        <f t="shared" si="1"/>
        <v>0</v>
      </c>
      <c r="F32" s="1451">
        <f t="shared" si="4"/>
        <v>10902.777777777777</v>
      </c>
      <c r="G32" s="1454">
        <f t="shared" si="0"/>
        <v>7648</v>
      </c>
      <c r="H32" s="1452">
        <f t="shared" si="2"/>
        <v>0.73418450609580499</v>
      </c>
      <c r="I32" s="772"/>
      <c r="J32" s="772"/>
      <c r="K32" s="772"/>
      <c r="L32" s="650">
        <f t="shared" si="3"/>
        <v>0.70147118171478895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1451"/>
      <c r="E33" s="1451">
        <f t="shared" si="1"/>
        <v>0</v>
      </c>
      <c r="F33" s="1451">
        <f t="shared" si="4"/>
        <v>10902.777777777777</v>
      </c>
      <c r="G33" s="1455">
        <f t="shared" si="0"/>
        <v>7648</v>
      </c>
      <c r="H33" s="1452">
        <f t="shared" si="2"/>
        <v>0.73418450609580499</v>
      </c>
      <c r="I33" s="772"/>
      <c r="J33" s="772"/>
      <c r="K33" s="772"/>
      <c r="L33" s="650">
        <f t="shared" si="3"/>
        <v>0.70147118171478895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104</v>
      </c>
      <c r="D34" s="1451"/>
      <c r="E34" s="1451">
        <f t="shared" si="1"/>
        <v>0</v>
      </c>
      <c r="F34" s="1451">
        <f t="shared" si="4"/>
        <v>10902.777777777777</v>
      </c>
      <c r="G34" s="1451">
        <f t="shared" si="0"/>
        <v>7648</v>
      </c>
      <c r="H34" s="1452">
        <f t="shared" si="2"/>
        <v>0.73418450609580499</v>
      </c>
      <c r="I34" s="772"/>
      <c r="J34" s="772"/>
      <c r="K34" s="772"/>
      <c r="L34" s="650">
        <f t="shared" si="3"/>
        <v>0.70147118171478895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1451"/>
      <c r="E35" s="1451">
        <f t="shared" si="1"/>
        <v>0</v>
      </c>
      <c r="F35" s="1451">
        <f t="shared" si="4"/>
        <v>10902.777777777777</v>
      </c>
      <c r="G35" s="1451">
        <f t="shared" si="0"/>
        <v>7648</v>
      </c>
      <c r="H35" s="1452">
        <f t="shared" si="2"/>
        <v>0.73418450609580499</v>
      </c>
      <c r="I35" s="772"/>
      <c r="J35" s="772"/>
      <c r="K35" s="772"/>
      <c r="L35" s="650">
        <f t="shared" si="3"/>
        <v>0.70147118171478895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1451"/>
      <c r="E36" s="1451">
        <f t="shared" si="1"/>
        <v>0</v>
      </c>
      <c r="F36" s="1451">
        <f t="shared" si="4"/>
        <v>10902.777777777777</v>
      </c>
      <c r="G36" s="1451">
        <f t="shared" si="0"/>
        <v>7648</v>
      </c>
      <c r="H36" s="1452">
        <f t="shared" si="2"/>
        <v>0.73418450609580499</v>
      </c>
      <c r="I36" s="772"/>
      <c r="J36" s="772"/>
      <c r="K36" s="772"/>
      <c r="L36" s="650">
        <f t="shared" si="3"/>
        <v>0.70147118171478895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51"/>
      <c r="E37" s="1451">
        <f t="shared" si="1"/>
        <v>0</v>
      </c>
      <c r="F37" s="1451">
        <f t="shared" si="4"/>
        <v>10902.777777777777</v>
      </c>
      <c r="G37" s="1451">
        <f t="shared" si="0"/>
        <v>7648</v>
      </c>
      <c r="H37" s="1452">
        <f t="shared" si="2"/>
        <v>0.73418450609580499</v>
      </c>
      <c r="I37" s="772"/>
      <c r="J37" s="772"/>
      <c r="K37" s="772"/>
      <c r="L37" s="650">
        <f t="shared" si="3"/>
        <v>0.70147118171478895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1"/>
      <c r="E38" s="1451">
        <f t="shared" si="1"/>
        <v>0</v>
      </c>
      <c r="F38" s="1451">
        <f t="shared" si="4"/>
        <v>10902.777777777777</v>
      </c>
      <c r="G38" s="1453">
        <f>G37+D38-E38</f>
        <v>7648</v>
      </c>
      <c r="H38" s="1452">
        <f t="shared" si="2"/>
        <v>0.73418450609580499</v>
      </c>
      <c r="I38" s="772"/>
      <c r="J38" s="772"/>
      <c r="K38" s="772"/>
      <c r="L38" s="650">
        <f t="shared" si="3"/>
        <v>0.70147118171478895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104</v>
      </c>
      <c r="D39" s="1451"/>
      <c r="E39" s="1451">
        <f t="shared" si="1"/>
        <v>0</v>
      </c>
      <c r="F39" s="1451">
        <f>SUM($E$8:E39)/A39</f>
        <v>154.83870967741936</v>
      </c>
      <c r="G39" s="1451">
        <f t="shared" si="0"/>
        <v>7648</v>
      </c>
      <c r="H39" s="1452">
        <f t="shared" si="2"/>
        <v>0.73418450609580499</v>
      </c>
      <c r="I39" s="772"/>
      <c r="J39" s="772"/>
      <c r="K39" s="772"/>
      <c r="L39" s="650">
        <f t="shared" si="3"/>
        <v>0.70147118171478895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2400</v>
      </c>
      <c r="F40" s="449"/>
      <c r="G40" s="389">
        <f>G39</f>
        <v>7648</v>
      </c>
      <c r="H40" s="309"/>
      <c r="I40" s="689">
        <f>SUM(I9:I39)</f>
        <v>2400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10048</v>
      </c>
      <c r="E41" s="389">
        <f>E40</f>
        <v>2400</v>
      </c>
      <c r="F41" s="449"/>
      <c r="G41" s="389">
        <f>D41-E41</f>
        <v>7648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937" priority="34" operator="between">
      <formula>3.5</formula>
      <formula>6</formula>
    </cfRule>
    <cfRule type="cellIs" dxfId="7936" priority="35" operator="lessThan">
      <formula>3.5</formula>
    </cfRule>
    <cfRule type="cellIs" dxfId="7935" priority="36" operator="greaterThan">
      <formula>6</formula>
    </cfRule>
  </conditionalFormatting>
  <conditionalFormatting sqref="H9:H12 H24:H37 H14:H17 H19:H22 H39">
    <cfRule type="cellIs" dxfId="7934" priority="31" operator="between">
      <formula>3.5</formula>
      <formula>6</formula>
    </cfRule>
    <cfRule type="cellIs" dxfId="7933" priority="32" operator="lessThan">
      <formula>3.5</formula>
    </cfRule>
    <cfRule type="cellIs" dxfId="7932" priority="33" operator="greaterThan">
      <formula>6</formula>
    </cfRule>
  </conditionalFormatting>
  <conditionalFormatting sqref="H23">
    <cfRule type="cellIs" dxfId="7931" priority="28" operator="between">
      <formula>3.5</formula>
      <formula>6</formula>
    </cfRule>
    <cfRule type="cellIs" dxfId="7930" priority="29" operator="lessThan">
      <formula>3.5</formula>
    </cfRule>
    <cfRule type="cellIs" dxfId="7929" priority="30" operator="greaterThan">
      <formula>6</formula>
    </cfRule>
  </conditionalFormatting>
  <conditionalFormatting sqref="H13">
    <cfRule type="cellIs" dxfId="7928" priority="25" operator="between">
      <formula>3.5</formula>
      <formula>6</formula>
    </cfRule>
    <cfRule type="cellIs" dxfId="7927" priority="26" operator="lessThan">
      <formula>3.5</formula>
    </cfRule>
    <cfRule type="cellIs" dxfId="7926" priority="27" operator="greaterThan">
      <formula>6</formula>
    </cfRule>
  </conditionalFormatting>
  <conditionalFormatting sqref="H18">
    <cfRule type="cellIs" dxfId="7925" priority="22" operator="between">
      <formula>3.5</formula>
      <formula>6</formula>
    </cfRule>
    <cfRule type="cellIs" dxfId="7924" priority="23" operator="lessThan">
      <formula>3.5</formula>
    </cfRule>
    <cfRule type="cellIs" dxfId="7923" priority="24" operator="greaterThan">
      <formula>6</formula>
    </cfRule>
  </conditionalFormatting>
  <conditionalFormatting sqref="H9:H39">
    <cfRule type="cellIs" dxfId="7922" priority="19" operator="between">
      <formula>3.5</formula>
      <formula>6</formula>
    </cfRule>
    <cfRule type="cellIs" dxfId="7921" priority="20" operator="lessThan">
      <formula>3.5</formula>
    </cfRule>
    <cfRule type="cellIs" dxfId="7920" priority="21" operator="greaterThan">
      <formula>6</formula>
    </cfRule>
  </conditionalFormatting>
  <conditionalFormatting sqref="H9:H39">
    <cfRule type="cellIs" dxfId="7919" priority="16" operator="between">
      <formula>3.5</formula>
      <formula>6</formula>
    </cfRule>
    <cfRule type="cellIs" dxfId="7918" priority="17" operator="lessThan">
      <formula>3.5</formula>
    </cfRule>
    <cfRule type="cellIs" dxfId="7917" priority="18" operator="greaterThan">
      <formula>6</formula>
    </cfRule>
  </conditionalFormatting>
  <conditionalFormatting sqref="H9:H39">
    <cfRule type="cellIs" dxfId="7916" priority="13" operator="between">
      <formula>3.5</formula>
      <formula>6</formula>
    </cfRule>
    <cfRule type="cellIs" dxfId="7915" priority="14" operator="lessThan">
      <formula>3.5</formula>
    </cfRule>
    <cfRule type="cellIs" dxfId="7914" priority="15" operator="greaterThan">
      <formula>6</formula>
    </cfRule>
  </conditionalFormatting>
  <conditionalFormatting sqref="H9:H39">
    <cfRule type="cellIs" dxfId="7913" priority="10" operator="between">
      <formula>3.5</formula>
      <formula>6</formula>
    </cfRule>
    <cfRule type="cellIs" dxfId="7912" priority="11" operator="lessThan">
      <formula>3.5</formula>
    </cfRule>
    <cfRule type="cellIs" dxfId="7911" priority="12" operator="greaterThan">
      <formula>6</formula>
    </cfRule>
  </conditionalFormatting>
  <conditionalFormatting sqref="H9:H39">
    <cfRule type="cellIs" dxfId="7910" priority="7" operator="between">
      <formula>3.5</formula>
      <formula>6</formula>
    </cfRule>
    <cfRule type="cellIs" dxfId="7909" priority="8" operator="lessThan">
      <formula>3.5</formula>
    </cfRule>
    <cfRule type="cellIs" dxfId="7908" priority="9" operator="greaterThan">
      <formula>6</formula>
    </cfRule>
  </conditionalFormatting>
  <conditionalFormatting sqref="H9:H39">
    <cfRule type="cellIs" dxfId="7907" priority="4" operator="between">
      <formula>3.5</formula>
      <formula>6</formula>
    </cfRule>
    <cfRule type="cellIs" dxfId="7906" priority="5" operator="lessThan">
      <formula>3.5</formula>
    </cfRule>
    <cfRule type="cellIs" dxfId="7905" priority="6" operator="greaterThan">
      <formula>6</formula>
    </cfRule>
  </conditionalFormatting>
  <conditionalFormatting sqref="H9:H39">
    <cfRule type="cellIs" dxfId="7904" priority="1" operator="between">
      <formula>3.5</formula>
      <formula>6</formula>
    </cfRule>
    <cfRule type="cellIs" dxfId="7903" priority="2" operator="lessThan">
      <formula>3.5</formula>
    </cfRule>
    <cfRule type="cellIs" dxfId="790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Z49"/>
  <sheetViews>
    <sheetView zoomScale="90" zoomScaleNormal="90" workbookViewId="0">
      <pane ySplit="8" topLeftCell="A9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10"/>
      <c r="K3" s="1110"/>
      <c r="M3" s="442"/>
      <c r="N3" s="442"/>
      <c r="O3" s="442"/>
    </row>
    <row r="4" spans="1:26" s="1115" customFormat="1" ht="12" customHeight="1">
      <c r="A4" s="1648" t="s">
        <v>33</v>
      </c>
      <c r="B4" s="1648"/>
      <c r="C4" s="551" t="str">
        <f>H4</f>
        <v>ESPANA 30x60-HA nâu</v>
      </c>
      <c r="E4" s="549" t="s">
        <v>228</v>
      </c>
      <c r="F4" s="549" t="s">
        <v>235</v>
      </c>
      <c r="G4" s="550" t="s">
        <v>114</v>
      </c>
      <c r="H4" s="551" t="s">
        <v>897</v>
      </c>
      <c r="L4" s="143"/>
    </row>
    <row r="5" spans="1:26" s="1115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115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112" t="s">
        <v>2</v>
      </c>
      <c r="B7" s="1114" t="s">
        <v>1</v>
      </c>
      <c r="C7" s="1114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11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1113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650">
        <f>G9/$L$8</f>
        <v>0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650">
        <f t="shared" ref="L10:L39" si="3">G10/$L$8</f>
        <v>0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650">
        <f t="shared" si="3"/>
        <v>0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650">
        <f t="shared" si="3"/>
        <v>0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285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650">
        <f t="shared" si="3"/>
        <v>0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650">
        <f t="shared" si="3"/>
        <v>0</v>
      </c>
    </row>
    <row r="15" spans="1:26" s="367" customFormat="1" ht="11.25" customHeight="1">
      <c r="A15" s="330">
        <v>7</v>
      </c>
      <c r="B15" s="365">
        <f>'FRIT HGE91-FHG'!B15</f>
        <v>46241</v>
      </c>
      <c r="C15" s="331" t="s">
        <v>104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650">
        <f t="shared" si="3"/>
        <v>0</v>
      </c>
    </row>
    <row r="16" spans="1:26" s="367" customFormat="1" ht="11.25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650">
        <f t="shared" si="3"/>
        <v>0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104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650">
        <f t="shared" si="3"/>
        <v>0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650">
        <f t="shared" si="3"/>
        <v>0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351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650">
        <f t="shared" si="3"/>
        <v>0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351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650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650">
        <f t="shared" si="3"/>
        <v>0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351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650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650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650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650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650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104</v>
      </c>
      <c r="D27" s="396"/>
      <c r="E27" s="396">
        <f t="shared" si="1"/>
        <v>0</v>
      </c>
      <c r="F27" s="396">
        <f t="shared" si="4"/>
        <v>10902.777777777777</v>
      </c>
      <c r="G27" s="396">
        <f>G26+D27-E27</f>
        <v>0</v>
      </c>
      <c r="H27" s="451">
        <f t="shared" si="2"/>
        <v>0</v>
      </c>
      <c r="I27" s="772"/>
      <c r="J27" s="772"/>
      <c r="K27" s="772"/>
      <c r="L27" s="650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650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650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>G29+D30-E30</f>
        <v>0</v>
      </c>
      <c r="H30" s="451">
        <f t="shared" si="2"/>
        <v>0</v>
      </c>
      <c r="I30" s="772"/>
      <c r="J30" s="772"/>
      <c r="K30" s="772"/>
      <c r="L30" s="650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650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650">
        <f t="shared" si="3"/>
        <v>0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650">
        <f t="shared" si="3"/>
        <v>0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104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650">
        <f t="shared" si="3"/>
        <v>0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650">
        <f t="shared" si="3"/>
        <v>0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650">
        <f t="shared" si="3"/>
        <v>0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650">
        <f t="shared" si="3"/>
        <v>0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650">
        <f t="shared" si="3"/>
        <v>0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104</v>
      </c>
      <c r="D39" s="396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650">
        <f t="shared" si="3"/>
        <v>0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901" priority="34" operator="between">
      <formula>3.5</formula>
      <formula>6</formula>
    </cfRule>
    <cfRule type="cellIs" dxfId="7900" priority="35" operator="lessThan">
      <formula>3.5</formula>
    </cfRule>
    <cfRule type="cellIs" dxfId="7899" priority="36" operator="greaterThan">
      <formula>6</formula>
    </cfRule>
  </conditionalFormatting>
  <conditionalFormatting sqref="H9:H12 H24:H37 H14:H17 H19:H22 H39">
    <cfRule type="cellIs" dxfId="7898" priority="31" operator="between">
      <formula>3.5</formula>
      <formula>6</formula>
    </cfRule>
    <cfRule type="cellIs" dxfId="7897" priority="32" operator="lessThan">
      <formula>3.5</formula>
    </cfRule>
    <cfRule type="cellIs" dxfId="7896" priority="33" operator="greaterThan">
      <formula>6</formula>
    </cfRule>
  </conditionalFormatting>
  <conditionalFormatting sqref="H23">
    <cfRule type="cellIs" dxfId="7895" priority="28" operator="between">
      <formula>3.5</formula>
      <formula>6</formula>
    </cfRule>
    <cfRule type="cellIs" dxfId="7894" priority="29" operator="lessThan">
      <formula>3.5</formula>
    </cfRule>
    <cfRule type="cellIs" dxfId="7893" priority="30" operator="greaterThan">
      <formula>6</formula>
    </cfRule>
  </conditionalFormatting>
  <conditionalFormatting sqref="H13">
    <cfRule type="cellIs" dxfId="7892" priority="25" operator="between">
      <formula>3.5</formula>
      <formula>6</formula>
    </cfRule>
    <cfRule type="cellIs" dxfId="7891" priority="26" operator="lessThan">
      <formula>3.5</formula>
    </cfRule>
    <cfRule type="cellIs" dxfId="7890" priority="27" operator="greaterThan">
      <formula>6</formula>
    </cfRule>
  </conditionalFormatting>
  <conditionalFormatting sqref="H18">
    <cfRule type="cellIs" dxfId="7889" priority="22" operator="between">
      <formula>3.5</formula>
      <formula>6</formula>
    </cfRule>
    <cfRule type="cellIs" dxfId="7888" priority="23" operator="lessThan">
      <formula>3.5</formula>
    </cfRule>
    <cfRule type="cellIs" dxfId="7887" priority="24" operator="greaterThan">
      <formula>6</formula>
    </cfRule>
  </conditionalFormatting>
  <conditionalFormatting sqref="H9:H39">
    <cfRule type="cellIs" dxfId="7886" priority="19" operator="between">
      <formula>3.5</formula>
      <formula>6</formula>
    </cfRule>
    <cfRule type="cellIs" dxfId="7885" priority="20" operator="lessThan">
      <formula>3.5</formula>
    </cfRule>
    <cfRule type="cellIs" dxfId="7884" priority="21" operator="greaterThan">
      <formula>6</formula>
    </cfRule>
  </conditionalFormatting>
  <conditionalFormatting sqref="H9:H39">
    <cfRule type="cellIs" dxfId="7883" priority="16" operator="between">
      <formula>3.5</formula>
      <formula>6</formula>
    </cfRule>
    <cfRule type="cellIs" dxfId="7882" priority="17" operator="lessThan">
      <formula>3.5</formula>
    </cfRule>
    <cfRule type="cellIs" dxfId="7881" priority="18" operator="greaterThan">
      <formula>6</formula>
    </cfRule>
  </conditionalFormatting>
  <conditionalFormatting sqref="H9:H39">
    <cfRule type="cellIs" dxfId="7880" priority="13" operator="between">
      <formula>3.5</formula>
      <formula>6</formula>
    </cfRule>
    <cfRule type="cellIs" dxfId="7879" priority="14" operator="lessThan">
      <formula>3.5</formula>
    </cfRule>
    <cfRule type="cellIs" dxfId="7878" priority="15" operator="greaterThan">
      <formula>6</formula>
    </cfRule>
  </conditionalFormatting>
  <conditionalFormatting sqref="H9:H39">
    <cfRule type="cellIs" dxfId="7877" priority="10" operator="between">
      <formula>3.5</formula>
      <formula>6</formula>
    </cfRule>
    <cfRule type="cellIs" dxfId="7876" priority="11" operator="lessThan">
      <formula>3.5</formula>
    </cfRule>
    <cfRule type="cellIs" dxfId="7875" priority="12" operator="greaterThan">
      <formula>6</formula>
    </cfRule>
  </conditionalFormatting>
  <conditionalFormatting sqref="H9:H39">
    <cfRule type="cellIs" dxfId="7874" priority="7" operator="between">
      <formula>3.5</formula>
      <formula>6</formula>
    </cfRule>
    <cfRule type="cellIs" dxfId="7873" priority="8" operator="lessThan">
      <formula>3.5</formula>
    </cfRule>
    <cfRule type="cellIs" dxfId="7872" priority="9" operator="greaterThan">
      <formula>6</formula>
    </cfRule>
  </conditionalFormatting>
  <conditionalFormatting sqref="H9:H39">
    <cfRule type="cellIs" dxfId="7871" priority="4" operator="between">
      <formula>3.5</formula>
      <formula>6</formula>
    </cfRule>
    <cfRule type="cellIs" dxfId="7870" priority="5" operator="lessThan">
      <formula>3.5</formula>
    </cfRule>
    <cfRule type="cellIs" dxfId="7869" priority="6" operator="greaterThan">
      <formula>6</formula>
    </cfRule>
  </conditionalFormatting>
  <conditionalFormatting sqref="H9:H39">
    <cfRule type="cellIs" dxfId="7868" priority="1" operator="between">
      <formula>3.5</formula>
      <formula>6</formula>
    </cfRule>
    <cfRule type="cellIs" dxfId="7867" priority="2" operator="lessThan">
      <formula>3.5</formula>
    </cfRule>
    <cfRule type="cellIs" dxfId="786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A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L3" s="1121"/>
      <c r="N3" s="442"/>
      <c r="O3" s="442"/>
      <c r="P3" s="442"/>
    </row>
    <row r="4" spans="1:27" s="766" customFormat="1" ht="12" customHeight="1">
      <c r="A4" s="1648" t="s">
        <v>33</v>
      </c>
      <c r="B4" s="1648"/>
      <c r="C4" s="548" t="s">
        <v>384</v>
      </c>
      <c r="E4" s="549" t="s">
        <v>228</v>
      </c>
      <c r="F4" s="549" t="s">
        <v>235</v>
      </c>
      <c r="G4" s="550" t="s">
        <v>114</v>
      </c>
      <c r="H4" s="551" t="s">
        <v>393</v>
      </c>
      <c r="L4" s="1122"/>
      <c r="M4" s="143"/>
    </row>
    <row r="5" spans="1:27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143"/>
    </row>
    <row r="6" spans="1:27" s="76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124" t="s">
        <v>920</v>
      </c>
      <c r="M7" s="143"/>
    </row>
    <row r="8" spans="1:27" s="305" customFormat="1" ht="11.25" customHeight="1">
      <c r="A8" s="1650" t="s">
        <v>3</v>
      </c>
      <c r="B8" s="1651"/>
      <c r="C8" s="1652"/>
      <c r="D8" s="771">
        <f>G8</f>
        <v>14340</v>
      </c>
      <c r="E8" s="771">
        <f>E40</f>
        <v>0</v>
      </c>
      <c r="F8" s="771"/>
      <c r="G8" s="774">
        <v>14340</v>
      </c>
      <c r="H8" s="450"/>
      <c r="I8" s="772"/>
      <c r="J8" s="772"/>
      <c r="K8" s="772"/>
      <c r="L8" s="772"/>
      <c r="M8" s="143">
        <v>10902.8</v>
      </c>
    </row>
    <row r="9" spans="1:27" s="305" customFormat="1" ht="11.25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14340</v>
      </c>
      <c r="H9" s="451">
        <f>G9/10417</f>
        <v>1.3765959489296342</v>
      </c>
      <c r="I9" s="767"/>
      <c r="J9" s="767"/>
      <c r="K9" s="767"/>
      <c r="L9" s="767"/>
      <c r="M9" s="650">
        <f>G9/$M$8</f>
        <v>1.3152584657152293</v>
      </c>
    </row>
    <row r="10" spans="1:27" s="333" customFormat="1" ht="11.25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14340</v>
      </c>
      <c r="H10" s="451">
        <f t="shared" ref="H10:H39" si="2">G10/10417</f>
        <v>1.3765959489296342</v>
      </c>
      <c r="I10" s="767"/>
      <c r="J10" s="767"/>
      <c r="K10" s="767"/>
      <c r="L10" s="767"/>
      <c r="M10" s="650">
        <f t="shared" ref="M10:M39" si="3">G10/$M$8</f>
        <v>1.3152584657152293</v>
      </c>
    </row>
    <row r="11" spans="1:27" s="333" customFormat="1" ht="11.25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14340</v>
      </c>
      <c r="H11" s="451">
        <f t="shared" si="2"/>
        <v>1.3765959489296342</v>
      </c>
      <c r="I11" s="767"/>
      <c r="J11" s="767"/>
      <c r="K11" s="767"/>
      <c r="L11" s="767"/>
      <c r="M11" s="650">
        <f t="shared" si="3"/>
        <v>1.3152584657152293</v>
      </c>
    </row>
    <row r="12" spans="1:27" s="367" customFormat="1" ht="11.25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14340</v>
      </c>
      <c r="H12" s="451">
        <f t="shared" si="2"/>
        <v>1.3765959489296342</v>
      </c>
      <c r="I12" s="767"/>
      <c r="J12" s="767"/>
      <c r="K12" s="767"/>
      <c r="L12" s="767"/>
      <c r="M12" s="650">
        <f t="shared" si="3"/>
        <v>1.3152584657152293</v>
      </c>
    </row>
    <row r="13" spans="1:27" s="367" customFormat="1" ht="11.25" customHeight="1">
      <c r="A13" s="425">
        <v>5</v>
      </c>
      <c r="B13" s="365">
        <f>'FRIT HGE91-FHG'!B13</f>
        <v>46239</v>
      </c>
      <c r="C13" s="331" t="s">
        <v>348</v>
      </c>
      <c r="D13" s="768"/>
      <c r="E13" s="396">
        <f t="shared" si="1"/>
        <v>0</v>
      </c>
      <c r="F13" s="396">
        <f t="shared" si="4"/>
        <v>10902.777777777777</v>
      </c>
      <c r="G13" s="769">
        <f t="shared" si="0"/>
        <v>14340</v>
      </c>
      <c r="H13" s="451">
        <f t="shared" si="2"/>
        <v>1.3765959489296342</v>
      </c>
      <c r="I13" s="767"/>
      <c r="J13" s="767"/>
      <c r="K13" s="767"/>
      <c r="L13" s="767"/>
      <c r="M13" s="650">
        <f t="shared" si="3"/>
        <v>1.3152584657152293</v>
      </c>
    </row>
    <row r="14" spans="1:27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1"/>
        <v>0</v>
      </c>
      <c r="F14" s="396">
        <f t="shared" si="4"/>
        <v>10902.777777777777</v>
      </c>
      <c r="G14" s="396">
        <f t="shared" si="0"/>
        <v>14340</v>
      </c>
      <c r="H14" s="451">
        <f t="shared" si="2"/>
        <v>1.3765959489296342</v>
      </c>
      <c r="I14" s="767"/>
      <c r="J14" s="767"/>
      <c r="K14" s="767"/>
      <c r="L14" s="767"/>
      <c r="M14" s="650">
        <f t="shared" si="3"/>
        <v>1.3152584657152293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1"/>
        <v>0</v>
      </c>
      <c r="F15" s="396">
        <f t="shared" si="4"/>
        <v>10902.777777777777</v>
      </c>
      <c r="G15" s="396">
        <f t="shared" si="0"/>
        <v>14340</v>
      </c>
      <c r="H15" s="451">
        <f t="shared" si="2"/>
        <v>1.3765959489296342</v>
      </c>
      <c r="I15" s="767"/>
      <c r="J15" s="767"/>
      <c r="K15" s="767"/>
      <c r="L15" s="767"/>
      <c r="M15" s="650">
        <f t="shared" si="3"/>
        <v>1.3152584657152293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1"/>
        <v>0</v>
      </c>
      <c r="F16" s="396">
        <f t="shared" si="4"/>
        <v>10902.777777777777</v>
      </c>
      <c r="G16" s="396">
        <f t="shared" si="0"/>
        <v>14340</v>
      </c>
      <c r="H16" s="451">
        <f t="shared" si="2"/>
        <v>1.3765959489296342</v>
      </c>
      <c r="I16" s="767"/>
      <c r="J16" s="767"/>
      <c r="K16" s="767"/>
      <c r="L16" s="767"/>
      <c r="M16" s="650">
        <f t="shared" si="3"/>
        <v>1.3152584657152293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1"/>
        <v>0</v>
      </c>
      <c r="F17" s="396">
        <f t="shared" si="4"/>
        <v>10902.777777777777</v>
      </c>
      <c r="G17" s="396">
        <f t="shared" si="0"/>
        <v>14340</v>
      </c>
      <c r="H17" s="451">
        <f t="shared" si="2"/>
        <v>1.3765959489296342</v>
      </c>
      <c r="I17" s="767"/>
      <c r="J17" s="767"/>
      <c r="K17" s="767"/>
      <c r="L17" s="767"/>
      <c r="M17" s="650">
        <f t="shared" si="3"/>
        <v>1.3152584657152293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1"/>
        <v>0</v>
      </c>
      <c r="F18" s="396">
        <f t="shared" si="4"/>
        <v>10902.777777777777</v>
      </c>
      <c r="G18" s="769">
        <f t="shared" si="0"/>
        <v>14340</v>
      </c>
      <c r="H18" s="451">
        <f t="shared" si="2"/>
        <v>1.3765959489296342</v>
      </c>
      <c r="I18" s="767"/>
      <c r="J18" s="767"/>
      <c r="K18" s="767"/>
      <c r="L18" s="767"/>
      <c r="M18" s="650">
        <f t="shared" si="3"/>
        <v>1.3152584657152293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1"/>
        <v>0</v>
      </c>
      <c r="F19" s="396">
        <f t="shared" si="4"/>
        <v>10902.777777777777</v>
      </c>
      <c r="G19" s="396">
        <f t="shared" si="0"/>
        <v>14340</v>
      </c>
      <c r="H19" s="451">
        <f t="shared" si="2"/>
        <v>1.3765959489296342</v>
      </c>
      <c r="I19" s="767"/>
      <c r="J19" s="767"/>
      <c r="K19" s="767"/>
      <c r="L19" s="767"/>
      <c r="M19" s="650">
        <f t="shared" si="3"/>
        <v>1.3152584657152293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1"/>
        <v>0</v>
      </c>
      <c r="F20" s="396">
        <f t="shared" si="4"/>
        <v>10902.777777777777</v>
      </c>
      <c r="G20" s="396">
        <f t="shared" si="0"/>
        <v>14340</v>
      </c>
      <c r="H20" s="451">
        <f t="shared" si="2"/>
        <v>1.3765959489296342</v>
      </c>
      <c r="I20" s="767"/>
      <c r="J20" s="767"/>
      <c r="K20" s="767"/>
      <c r="L20" s="767"/>
      <c r="M20" s="650">
        <f t="shared" si="3"/>
        <v>1.3152584657152293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1"/>
        <v>0</v>
      </c>
      <c r="F21" s="396">
        <f t="shared" si="4"/>
        <v>10902.777777777777</v>
      </c>
      <c r="G21" s="396">
        <f t="shared" si="0"/>
        <v>14340</v>
      </c>
      <c r="H21" s="451">
        <f t="shared" si="2"/>
        <v>1.3765959489296342</v>
      </c>
      <c r="I21" s="767"/>
      <c r="J21" s="767"/>
      <c r="K21" s="767"/>
      <c r="L21" s="767"/>
      <c r="M21" s="650">
        <f t="shared" si="3"/>
        <v>1.3152584657152293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1"/>
        <v>0</v>
      </c>
      <c r="F22" s="396">
        <f t="shared" si="4"/>
        <v>10902.777777777777</v>
      </c>
      <c r="G22" s="396">
        <f t="shared" si="0"/>
        <v>14340</v>
      </c>
      <c r="H22" s="451">
        <f t="shared" si="2"/>
        <v>1.3765959489296342</v>
      </c>
      <c r="I22" s="767"/>
      <c r="J22" s="767"/>
      <c r="K22" s="767"/>
      <c r="L22" s="767"/>
      <c r="M22" s="650">
        <f t="shared" si="3"/>
        <v>1.3152584657152293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1"/>
        <v>0</v>
      </c>
      <c r="F23" s="396">
        <f t="shared" si="4"/>
        <v>10902.777777777777</v>
      </c>
      <c r="G23" s="769">
        <f t="shared" si="0"/>
        <v>14340</v>
      </c>
      <c r="H23" s="451">
        <f t="shared" si="2"/>
        <v>1.3765959489296342</v>
      </c>
      <c r="I23" s="767"/>
      <c r="J23" s="767"/>
      <c r="K23" s="767"/>
      <c r="L23" s="767"/>
      <c r="M23" s="650">
        <f t="shared" si="3"/>
        <v>1.3152584657152293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1"/>
        <v>0</v>
      </c>
      <c r="F24" s="396">
        <f t="shared" si="4"/>
        <v>10902.777777777777</v>
      </c>
      <c r="G24" s="396">
        <f t="shared" si="0"/>
        <v>14340</v>
      </c>
      <c r="H24" s="451">
        <f t="shared" si="2"/>
        <v>1.3765959489296342</v>
      </c>
      <c r="I24" s="767"/>
      <c r="J24" s="767"/>
      <c r="K24" s="767"/>
      <c r="L24" s="767"/>
      <c r="M24" s="650">
        <f t="shared" si="3"/>
        <v>1.3152584657152293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1"/>
        <v>0</v>
      </c>
      <c r="F25" s="396">
        <f t="shared" si="4"/>
        <v>10902.777777777777</v>
      </c>
      <c r="G25" s="396">
        <f t="shared" si="0"/>
        <v>14340</v>
      </c>
      <c r="H25" s="451">
        <f t="shared" si="2"/>
        <v>1.3765959489296342</v>
      </c>
      <c r="I25" s="767"/>
      <c r="J25" s="767"/>
      <c r="K25" s="767"/>
      <c r="L25" s="767"/>
      <c r="M25" s="650">
        <f t="shared" si="3"/>
        <v>1.3152584657152293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1"/>
        <v>0</v>
      </c>
      <c r="F26" s="396">
        <f t="shared" si="4"/>
        <v>10902.777777777777</v>
      </c>
      <c r="G26" s="396">
        <f t="shared" si="0"/>
        <v>14340</v>
      </c>
      <c r="H26" s="451">
        <f t="shared" si="2"/>
        <v>1.3765959489296342</v>
      </c>
      <c r="I26" s="767"/>
      <c r="J26" s="767"/>
      <c r="K26" s="767"/>
      <c r="L26" s="767"/>
      <c r="M26" s="650">
        <f t="shared" si="3"/>
        <v>1.3152584657152293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1"/>
        <v>0</v>
      </c>
      <c r="F27" s="396">
        <f t="shared" si="4"/>
        <v>10902.777777777777</v>
      </c>
      <c r="G27" s="396">
        <f t="shared" si="0"/>
        <v>14340</v>
      </c>
      <c r="H27" s="451">
        <f t="shared" si="2"/>
        <v>1.3765959489296342</v>
      </c>
      <c r="I27" s="767"/>
      <c r="J27" s="767"/>
      <c r="K27" s="767"/>
      <c r="L27" s="767"/>
      <c r="M27" s="650">
        <f t="shared" si="3"/>
        <v>1.3152584657152293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1"/>
        <v>0</v>
      </c>
      <c r="F28" s="396">
        <f t="shared" si="4"/>
        <v>10902.777777777777</v>
      </c>
      <c r="G28" s="769">
        <f t="shared" si="0"/>
        <v>14340</v>
      </c>
      <c r="H28" s="451">
        <f t="shared" si="2"/>
        <v>1.3765959489296342</v>
      </c>
      <c r="I28" s="767"/>
      <c r="J28" s="767"/>
      <c r="K28" s="767"/>
      <c r="L28" s="767"/>
      <c r="M28" s="650">
        <f t="shared" si="3"/>
        <v>1.3152584657152293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1"/>
        <v>0</v>
      </c>
      <c r="F29" s="396">
        <f t="shared" si="4"/>
        <v>10902.777777777777</v>
      </c>
      <c r="G29" s="393">
        <f t="shared" si="0"/>
        <v>14340</v>
      </c>
      <c r="H29" s="451">
        <f t="shared" si="2"/>
        <v>1.3765959489296342</v>
      </c>
      <c r="I29" s="767"/>
      <c r="J29" s="767"/>
      <c r="K29" s="767"/>
      <c r="L29" s="767"/>
      <c r="M29" s="650">
        <f t="shared" si="3"/>
        <v>1.3152584657152293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1"/>
        <v>0</v>
      </c>
      <c r="F30" s="396">
        <f t="shared" si="4"/>
        <v>10902.777777777777</v>
      </c>
      <c r="G30" s="393">
        <f t="shared" si="0"/>
        <v>14340</v>
      </c>
      <c r="H30" s="451">
        <f t="shared" si="2"/>
        <v>1.3765959489296342</v>
      </c>
      <c r="I30" s="767"/>
      <c r="J30" s="767"/>
      <c r="K30" s="767"/>
      <c r="L30" s="767"/>
      <c r="M30" s="650">
        <f t="shared" si="3"/>
        <v>1.3152584657152293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0"/>
        <v>14340</v>
      </c>
      <c r="H31" s="451">
        <f t="shared" si="2"/>
        <v>1.3765959489296342</v>
      </c>
      <c r="I31" s="767"/>
      <c r="J31" s="767"/>
      <c r="K31" s="767"/>
      <c r="L31" s="767"/>
      <c r="M31" s="650">
        <f t="shared" si="3"/>
        <v>1.3152584657152293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0"/>
        <v>14340</v>
      </c>
      <c r="H32" s="451">
        <f t="shared" si="2"/>
        <v>1.3765959489296342</v>
      </c>
      <c r="I32" s="767"/>
      <c r="J32" s="767"/>
      <c r="K32" s="767"/>
      <c r="L32" s="767"/>
      <c r="M32" s="650">
        <f t="shared" si="3"/>
        <v>1.3152584657152293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0"/>
        <v>14340</v>
      </c>
      <c r="H33" s="451">
        <f t="shared" si="2"/>
        <v>1.3765959489296342</v>
      </c>
      <c r="I33" s="767"/>
      <c r="J33" s="767"/>
      <c r="K33" s="767"/>
      <c r="L33" s="767"/>
      <c r="M33" s="650">
        <f t="shared" si="3"/>
        <v>1.3152584657152293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14340</v>
      </c>
      <c r="H34" s="451">
        <f t="shared" si="2"/>
        <v>1.3765959489296342</v>
      </c>
      <c r="I34" s="767"/>
      <c r="J34" s="767"/>
      <c r="K34" s="767"/>
      <c r="L34" s="767"/>
      <c r="M34" s="650">
        <f t="shared" si="3"/>
        <v>1.3152584657152293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14340</v>
      </c>
      <c r="H35" s="451">
        <f t="shared" si="2"/>
        <v>1.3765959489296342</v>
      </c>
      <c r="I35" s="767"/>
      <c r="J35" s="767"/>
      <c r="K35" s="767"/>
      <c r="L35" s="767"/>
      <c r="M35" s="650">
        <f t="shared" si="3"/>
        <v>1.3152584657152293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14340</v>
      </c>
      <c r="H36" s="451">
        <f t="shared" si="2"/>
        <v>1.3765959489296342</v>
      </c>
      <c r="I36" s="767"/>
      <c r="J36" s="767"/>
      <c r="K36" s="767"/>
      <c r="L36" s="767"/>
      <c r="M36" s="650">
        <f t="shared" si="3"/>
        <v>1.3152584657152293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14340</v>
      </c>
      <c r="H37" s="451">
        <f t="shared" si="2"/>
        <v>1.3765959489296342</v>
      </c>
      <c r="I37" s="767"/>
      <c r="J37" s="767"/>
      <c r="K37" s="767"/>
      <c r="L37" s="767"/>
      <c r="M37" s="650">
        <f t="shared" si="3"/>
        <v>1.3152584657152293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14340</v>
      </c>
      <c r="H38" s="451">
        <f t="shared" si="2"/>
        <v>1.3765959489296342</v>
      </c>
      <c r="I38" s="767"/>
      <c r="J38" s="767"/>
      <c r="K38" s="767"/>
      <c r="L38" s="767"/>
      <c r="M38" s="650">
        <f t="shared" si="3"/>
        <v>1.3152584657152293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14340</v>
      </c>
      <c r="H39" s="451">
        <f t="shared" si="2"/>
        <v>1.3765959489296342</v>
      </c>
      <c r="I39" s="767"/>
      <c r="J39" s="767"/>
      <c r="K39" s="767"/>
      <c r="L39" s="767"/>
      <c r="M39" s="650">
        <f t="shared" si="3"/>
        <v>1.3152584657152293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14340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14340</v>
      </c>
      <c r="E41" s="389">
        <f>E40</f>
        <v>0</v>
      </c>
      <c r="F41" s="449"/>
      <c r="G41" s="389">
        <f>D41-E41</f>
        <v>14340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865" priority="34" operator="between">
      <formula>3.5</formula>
      <formula>6</formula>
    </cfRule>
    <cfRule type="cellIs" dxfId="7864" priority="35" operator="lessThan">
      <formula>3.5</formula>
    </cfRule>
    <cfRule type="cellIs" dxfId="7863" priority="36" operator="greaterThan">
      <formula>6</formula>
    </cfRule>
  </conditionalFormatting>
  <conditionalFormatting sqref="H9:H12 H24:H37 H14:H17 H19:H22 H39">
    <cfRule type="cellIs" dxfId="7862" priority="31" operator="between">
      <formula>3.5</formula>
      <formula>6</formula>
    </cfRule>
    <cfRule type="cellIs" dxfId="7861" priority="32" operator="lessThan">
      <formula>3.5</formula>
    </cfRule>
    <cfRule type="cellIs" dxfId="7860" priority="33" operator="greaterThan">
      <formula>6</formula>
    </cfRule>
  </conditionalFormatting>
  <conditionalFormatting sqref="H23">
    <cfRule type="cellIs" dxfId="7859" priority="28" operator="between">
      <formula>3.5</formula>
      <formula>6</formula>
    </cfRule>
    <cfRule type="cellIs" dxfId="7858" priority="29" operator="lessThan">
      <formula>3.5</formula>
    </cfRule>
    <cfRule type="cellIs" dxfId="7857" priority="30" operator="greaterThan">
      <formula>6</formula>
    </cfRule>
  </conditionalFormatting>
  <conditionalFormatting sqref="H13">
    <cfRule type="cellIs" dxfId="7856" priority="25" operator="between">
      <formula>3.5</formula>
      <formula>6</formula>
    </cfRule>
    <cfRule type="cellIs" dxfId="7855" priority="26" operator="lessThan">
      <formula>3.5</formula>
    </cfRule>
    <cfRule type="cellIs" dxfId="7854" priority="27" operator="greaterThan">
      <formula>6</formula>
    </cfRule>
  </conditionalFormatting>
  <conditionalFormatting sqref="H18">
    <cfRule type="cellIs" dxfId="7853" priority="22" operator="between">
      <formula>3.5</formula>
      <formula>6</formula>
    </cfRule>
    <cfRule type="cellIs" dxfId="7852" priority="23" operator="lessThan">
      <formula>3.5</formula>
    </cfRule>
    <cfRule type="cellIs" dxfId="7851" priority="24" operator="greaterThan">
      <formula>6</formula>
    </cfRule>
  </conditionalFormatting>
  <conditionalFormatting sqref="H9:H39">
    <cfRule type="cellIs" dxfId="7850" priority="19" operator="between">
      <formula>3.5</formula>
      <formula>6</formula>
    </cfRule>
    <cfRule type="cellIs" dxfId="7849" priority="20" operator="lessThan">
      <formula>3.5</formula>
    </cfRule>
    <cfRule type="cellIs" dxfId="7848" priority="21" operator="greaterThan">
      <formula>6</formula>
    </cfRule>
  </conditionalFormatting>
  <conditionalFormatting sqref="H9:H39">
    <cfRule type="cellIs" dxfId="7847" priority="16" operator="between">
      <formula>3.5</formula>
      <formula>6</formula>
    </cfRule>
    <cfRule type="cellIs" dxfId="7846" priority="17" operator="lessThan">
      <formula>3.5</formula>
    </cfRule>
    <cfRule type="cellIs" dxfId="7845" priority="18" operator="greaterThan">
      <formula>6</formula>
    </cfRule>
  </conditionalFormatting>
  <conditionalFormatting sqref="H9:H39">
    <cfRule type="cellIs" dxfId="7844" priority="13" operator="between">
      <formula>3.5</formula>
      <formula>6</formula>
    </cfRule>
    <cfRule type="cellIs" dxfId="7843" priority="14" operator="lessThan">
      <formula>3.5</formula>
    </cfRule>
    <cfRule type="cellIs" dxfId="7842" priority="15" operator="greaterThan">
      <formula>6</formula>
    </cfRule>
  </conditionalFormatting>
  <conditionalFormatting sqref="H9:H39">
    <cfRule type="cellIs" dxfId="7841" priority="10" operator="between">
      <formula>3.5</formula>
      <formula>6</formula>
    </cfRule>
    <cfRule type="cellIs" dxfId="7840" priority="11" operator="lessThan">
      <formula>3.5</formula>
    </cfRule>
    <cfRule type="cellIs" dxfId="7839" priority="12" operator="greaterThan">
      <formula>6</formula>
    </cfRule>
  </conditionalFormatting>
  <conditionalFormatting sqref="H9:H39">
    <cfRule type="cellIs" dxfId="7838" priority="7" operator="between">
      <formula>3.5</formula>
      <formula>6</formula>
    </cfRule>
    <cfRule type="cellIs" dxfId="7837" priority="8" operator="lessThan">
      <formula>3.5</formula>
    </cfRule>
    <cfRule type="cellIs" dxfId="7836" priority="9" operator="greaterThan">
      <formula>6</formula>
    </cfRule>
  </conditionalFormatting>
  <conditionalFormatting sqref="H9:H39">
    <cfRule type="cellIs" dxfId="7835" priority="4" operator="between">
      <formula>3.5</formula>
      <formula>6</formula>
    </cfRule>
    <cfRule type="cellIs" dxfId="7834" priority="5" operator="lessThan">
      <formula>3.5</formula>
    </cfRule>
    <cfRule type="cellIs" dxfId="7833" priority="6" operator="greaterThan">
      <formula>6</formula>
    </cfRule>
  </conditionalFormatting>
  <conditionalFormatting sqref="H9:H39">
    <cfRule type="cellIs" dxfId="7832" priority="1" operator="between">
      <formula>3.5</formula>
      <formula>6</formula>
    </cfRule>
    <cfRule type="cellIs" dxfId="7831" priority="2" operator="lessThan">
      <formula>3.5</formula>
    </cfRule>
    <cfRule type="cellIs" dxfId="783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A49"/>
  <sheetViews>
    <sheetView zoomScale="90" zoomScaleNormal="90" workbookViewId="0">
      <pane ySplit="8" topLeftCell="A21" activePane="bottomLeft" state="frozen"/>
      <selection pane="bottomLeft" activeCell="I10" sqref="I10:L38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47"/>
      <c r="K3" s="1247"/>
      <c r="L3" s="1247"/>
      <c r="N3" s="442"/>
      <c r="O3" s="442"/>
      <c r="P3" s="442"/>
    </row>
    <row r="4" spans="1:27" s="1252" customFormat="1" ht="12" customHeight="1">
      <c r="A4" s="1648" t="s">
        <v>33</v>
      </c>
      <c r="B4" s="1648"/>
      <c r="C4" s="551" t="str">
        <f>H4</f>
        <v>ESPANA 40x80-HA giấy nâu</v>
      </c>
      <c r="E4" s="549" t="s">
        <v>228</v>
      </c>
      <c r="F4" s="549" t="s">
        <v>235</v>
      </c>
      <c r="G4" s="550" t="s">
        <v>114</v>
      </c>
      <c r="H4" s="551" t="s">
        <v>1043</v>
      </c>
      <c r="M4" s="143"/>
    </row>
    <row r="5" spans="1:27" s="1252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143"/>
    </row>
    <row r="6" spans="1:27" s="1252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249" t="s">
        <v>2</v>
      </c>
      <c r="B7" s="1251" t="s">
        <v>1</v>
      </c>
      <c r="C7" s="1251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48" t="s">
        <v>30</v>
      </c>
      <c r="I7" s="697" t="s">
        <v>341</v>
      </c>
      <c r="J7" s="697" t="s">
        <v>244</v>
      </c>
      <c r="K7" s="697" t="s">
        <v>344</v>
      </c>
      <c r="L7" s="1124" t="s">
        <v>920</v>
      </c>
      <c r="M7" s="143"/>
    </row>
    <row r="8" spans="1:27" s="305" customFormat="1" ht="11.2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1.25" customHeight="1">
      <c r="A9" s="1250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67"/>
      <c r="J9" s="767"/>
      <c r="K9" s="767"/>
      <c r="L9" s="767"/>
      <c r="M9" s="650">
        <f>G9/$M$8</f>
        <v>0</v>
      </c>
    </row>
    <row r="10" spans="1:27" s="333" customFormat="1" ht="11.25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67"/>
      <c r="J10" s="767"/>
      <c r="K10" s="767"/>
      <c r="L10" s="767"/>
      <c r="M10" s="650">
        <f t="shared" ref="M10:M39" si="3">G10/$M$8</f>
        <v>0</v>
      </c>
    </row>
    <row r="11" spans="1:27" s="333" customFormat="1" ht="11.25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67"/>
      <c r="J11" s="767"/>
      <c r="K11" s="767"/>
      <c r="L11" s="767"/>
      <c r="M11" s="650">
        <f t="shared" si="3"/>
        <v>0</v>
      </c>
    </row>
    <row r="12" spans="1:27" s="367" customFormat="1" ht="11.25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67"/>
      <c r="J12" s="767"/>
      <c r="K12" s="767"/>
      <c r="L12" s="767"/>
      <c r="M12" s="650">
        <f t="shared" si="3"/>
        <v>0</v>
      </c>
    </row>
    <row r="13" spans="1:27" s="367" customFormat="1" ht="11.25" customHeight="1">
      <c r="A13" s="425">
        <v>5</v>
      </c>
      <c r="B13" s="365">
        <f>'FRIT HGE91-FHG'!B13</f>
        <v>46239</v>
      </c>
      <c r="C13" s="331" t="s">
        <v>348</v>
      </c>
      <c r="D13" s="768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67"/>
      <c r="J13" s="767"/>
      <c r="K13" s="767"/>
      <c r="L13" s="767"/>
      <c r="M13" s="650">
        <f t="shared" si="3"/>
        <v>0</v>
      </c>
    </row>
    <row r="14" spans="1:27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67"/>
      <c r="J14" s="767"/>
      <c r="K14" s="767"/>
      <c r="L14" s="767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67"/>
      <c r="J15" s="767"/>
      <c r="K15" s="767"/>
      <c r="L15" s="767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67"/>
      <c r="J16" s="767"/>
      <c r="K16" s="767"/>
      <c r="L16" s="767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67"/>
      <c r="J17" s="767"/>
      <c r="K17" s="767"/>
      <c r="L17" s="767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67"/>
      <c r="J18" s="767"/>
      <c r="K18" s="767"/>
      <c r="L18" s="767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67"/>
      <c r="J19" s="767"/>
      <c r="K19" s="767"/>
      <c r="L19" s="767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67"/>
      <c r="J20" s="767"/>
      <c r="K20" s="767"/>
      <c r="L20" s="767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67"/>
      <c r="J21" s="767"/>
      <c r="K21" s="767"/>
      <c r="L21" s="767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67"/>
      <c r="J22" s="767"/>
      <c r="K22" s="767"/>
      <c r="L22" s="767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67"/>
      <c r="J23" s="767"/>
      <c r="K23" s="767"/>
      <c r="L23" s="767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67"/>
      <c r="J24" s="767"/>
      <c r="K24" s="767"/>
      <c r="L24" s="767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67"/>
      <c r="J25" s="767"/>
      <c r="K25" s="767"/>
      <c r="L25" s="767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67"/>
      <c r="J26" s="767"/>
      <c r="K26" s="767"/>
      <c r="L26" s="767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67"/>
      <c r="J27" s="767"/>
      <c r="K27" s="767"/>
      <c r="L27" s="767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67"/>
      <c r="J28" s="767"/>
      <c r="K28" s="767"/>
      <c r="L28" s="767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67"/>
      <c r="J29" s="767"/>
      <c r="K29" s="767"/>
      <c r="L29" s="767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67"/>
      <c r="J30" s="767"/>
      <c r="K30" s="767"/>
      <c r="L30" s="767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67"/>
      <c r="J31" s="767"/>
      <c r="K31" s="767"/>
      <c r="L31" s="767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67"/>
      <c r="J32" s="767"/>
      <c r="K32" s="767"/>
      <c r="L32" s="767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67"/>
      <c r="J33" s="767"/>
      <c r="K33" s="767"/>
      <c r="L33" s="767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67"/>
      <c r="J34" s="767"/>
      <c r="K34" s="767"/>
      <c r="L34" s="767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67"/>
      <c r="J35" s="767"/>
      <c r="K35" s="767"/>
      <c r="L35" s="767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67"/>
      <c r="J36" s="767"/>
      <c r="K36" s="767"/>
      <c r="L36" s="767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67"/>
      <c r="J37" s="767"/>
      <c r="K37" s="767"/>
      <c r="L37" s="767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67"/>
      <c r="J38" s="767"/>
      <c r="K38" s="767"/>
      <c r="L38" s="767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67"/>
      <c r="J39" s="767"/>
      <c r="K39" s="767"/>
      <c r="L39" s="767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829" priority="34" operator="between">
      <formula>3.5</formula>
      <formula>6</formula>
    </cfRule>
    <cfRule type="cellIs" dxfId="7828" priority="35" operator="lessThan">
      <formula>3.5</formula>
    </cfRule>
    <cfRule type="cellIs" dxfId="7827" priority="36" operator="greaterThan">
      <formula>6</formula>
    </cfRule>
  </conditionalFormatting>
  <conditionalFormatting sqref="H9:H12 H24:H37 H14:H17 H19:H22 H39">
    <cfRule type="cellIs" dxfId="7826" priority="31" operator="between">
      <formula>3.5</formula>
      <formula>6</formula>
    </cfRule>
    <cfRule type="cellIs" dxfId="7825" priority="32" operator="lessThan">
      <formula>3.5</formula>
    </cfRule>
    <cfRule type="cellIs" dxfId="7824" priority="33" operator="greaterThan">
      <formula>6</formula>
    </cfRule>
  </conditionalFormatting>
  <conditionalFormatting sqref="H23">
    <cfRule type="cellIs" dxfId="7823" priority="28" operator="between">
      <formula>3.5</formula>
      <formula>6</formula>
    </cfRule>
    <cfRule type="cellIs" dxfId="7822" priority="29" operator="lessThan">
      <formula>3.5</formula>
    </cfRule>
    <cfRule type="cellIs" dxfId="7821" priority="30" operator="greaterThan">
      <formula>6</formula>
    </cfRule>
  </conditionalFormatting>
  <conditionalFormatting sqref="H13">
    <cfRule type="cellIs" dxfId="7820" priority="25" operator="between">
      <formula>3.5</formula>
      <formula>6</formula>
    </cfRule>
    <cfRule type="cellIs" dxfId="7819" priority="26" operator="lessThan">
      <formula>3.5</formula>
    </cfRule>
    <cfRule type="cellIs" dxfId="7818" priority="27" operator="greaterThan">
      <formula>6</formula>
    </cfRule>
  </conditionalFormatting>
  <conditionalFormatting sqref="H18">
    <cfRule type="cellIs" dxfId="7817" priority="22" operator="between">
      <formula>3.5</formula>
      <formula>6</formula>
    </cfRule>
    <cfRule type="cellIs" dxfId="7816" priority="23" operator="lessThan">
      <formula>3.5</formula>
    </cfRule>
    <cfRule type="cellIs" dxfId="7815" priority="24" operator="greaterThan">
      <formula>6</formula>
    </cfRule>
  </conditionalFormatting>
  <conditionalFormatting sqref="H9:H39">
    <cfRule type="cellIs" dxfId="7814" priority="19" operator="between">
      <formula>3.5</formula>
      <formula>6</formula>
    </cfRule>
    <cfRule type="cellIs" dxfId="7813" priority="20" operator="lessThan">
      <formula>3.5</formula>
    </cfRule>
    <cfRule type="cellIs" dxfId="7812" priority="21" operator="greaterThan">
      <formula>6</formula>
    </cfRule>
  </conditionalFormatting>
  <conditionalFormatting sqref="H9:H39">
    <cfRule type="cellIs" dxfId="7811" priority="16" operator="between">
      <formula>3.5</formula>
      <formula>6</formula>
    </cfRule>
    <cfRule type="cellIs" dxfId="7810" priority="17" operator="lessThan">
      <formula>3.5</formula>
    </cfRule>
    <cfRule type="cellIs" dxfId="7809" priority="18" operator="greaterThan">
      <formula>6</formula>
    </cfRule>
  </conditionalFormatting>
  <conditionalFormatting sqref="H9:H39">
    <cfRule type="cellIs" dxfId="7808" priority="13" operator="between">
      <formula>3.5</formula>
      <formula>6</formula>
    </cfRule>
    <cfRule type="cellIs" dxfId="7807" priority="14" operator="lessThan">
      <formula>3.5</formula>
    </cfRule>
    <cfRule type="cellIs" dxfId="7806" priority="15" operator="greaterThan">
      <formula>6</formula>
    </cfRule>
  </conditionalFormatting>
  <conditionalFormatting sqref="H9:H39">
    <cfRule type="cellIs" dxfId="7805" priority="10" operator="between">
      <formula>3.5</formula>
      <formula>6</formula>
    </cfRule>
    <cfRule type="cellIs" dxfId="7804" priority="11" operator="lessThan">
      <formula>3.5</formula>
    </cfRule>
    <cfRule type="cellIs" dxfId="7803" priority="12" operator="greaterThan">
      <formula>6</formula>
    </cfRule>
  </conditionalFormatting>
  <conditionalFormatting sqref="H9:H39">
    <cfRule type="cellIs" dxfId="7802" priority="7" operator="between">
      <formula>3.5</formula>
      <formula>6</formula>
    </cfRule>
    <cfRule type="cellIs" dxfId="7801" priority="8" operator="lessThan">
      <formula>3.5</formula>
    </cfRule>
    <cfRule type="cellIs" dxfId="7800" priority="9" operator="greaterThan">
      <formula>6</formula>
    </cfRule>
  </conditionalFormatting>
  <conditionalFormatting sqref="H9:H39">
    <cfRule type="cellIs" dxfId="7799" priority="4" operator="between">
      <formula>3.5</formula>
      <formula>6</formula>
    </cfRule>
    <cfRule type="cellIs" dxfId="7798" priority="5" operator="lessThan">
      <formula>3.5</formula>
    </cfRule>
    <cfRule type="cellIs" dxfId="7797" priority="6" operator="greaterThan">
      <formula>6</formula>
    </cfRule>
  </conditionalFormatting>
  <conditionalFormatting sqref="H9:H39">
    <cfRule type="cellIs" dxfId="7796" priority="1" operator="between">
      <formula>3.5</formula>
      <formula>6</formula>
    </cfRule>
    <cfRule type="cellIs" dxfId="7795" priority="2" operator="lessThan">
      <formula>3.5</formula>
    </cfRule>
    <cfRule type="cellIs" dxfId="779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A49"/>
  <sheetViews>
    <sheetView zoomScale="90" zoomScaleNormal="90" workbookViewId="0">
      <pane ySplit="8" topLeftCell="A15" activePane="bottomLeft" state="frozen"/>
      <selection pane="bottomLeft" activeCell="D23" sqref="D23:D30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78"/>
      <c r="K3" s="1278"/>
      <c r="L3" s="1278"/>
      <c r="N3" s="442"/>
      <c r="O3" s="442"/>
      <c r="P3" s="442"/>
    </row>
    <row r="4" spans="1:27" s="1283" customFormat="1" ht="12" customHeight="1">
      <c r="A4" s="1648" t="s">
        <v>33</v>
      </c>
      <c r="B4" s="1648"/>
      <c r="C4" s="551" t="str">
        <f>H4</f>
        <v>ESPANA 40x80-5V HA giấy nâu</v>
      </c>
      <c r="E4" s="549" t="s">
        <v>228</v>
      </c>
      <c r="F4" s="549" t="s">
        <v>235</v>
      </c>
      <c r="G4" s="550" t="s">
        <v>114</v>
      </c>
      <c r="H4" s="551" t="s">
        <v>1088</v>
      </c>
      <c r="M4" s="143"/>
    </row>
    <row r="5" spans="1:27" s="1283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143"/>
    </row>
    <row r="6" spans="1:27" s="1283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280" t="s">
        <v>2</v>
      </c>
      <c r="B7" s="1282" t="s">
        <v>1</v>
      </c>
      <c r="C7" s="128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79" t="s">
        <v>30</v>
      </c>
      <c r="I7" s="697" t="s">
        <v>341</v>
      </c>
      <c r="J7" s="697" t="s">
        <v>244</v>
      </c>
      <c r="K7" s="697" t="s">
        <v>344</v>
      </c>
      <c r="L7" s="1124" t="s">
        <v>920</v>
      </c>
      <c r="M7" s="143"/>
    </row>
    <row r="8" spans="1:27" s="305" customFormat="1" ht="11.2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1.25" customHeight="1">
      <c r="A9" s="1281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67"/>
      <c r="J9" s="767"/>
      <c r="K9" s="767"/>
      <c r="L9" s="767"/>
      <c r="M9" s="650">
        <f>G9/$M$8</f>
        <v>0</v>
      </c>
    </row>
    <row r="10" spans="1:27" s="333" customFormat="1" ht="11.25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67"/>
      <c r="J10" s="767"/>
      <c r="K10" s="767"/>
      <c r="L10" s="767"/>
      <c r="M10" s="650">
        <f t="shared" ref="M10:M39" si="3">G10/$M$8</f>
        <v>0</v>
      </c>
    </row>
    <row r="11" spans="1:27" s="333" customFormat="1" ht="11.25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67"/>
      <c r="J11" s="767"/>
      <c r="K11" s="767"/>
      <c r="L11" s="767"/>
      <c r="M11" s="650">
        <f t="shared" si="3"/>
        <v>0</v>
      </c>
    </row>
    <row r="12" spans="1:27" s="367" customFormat="1" ht="11.25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67"/>
      <c r="J12" s="767"/>
      <c r="K12" s="767"/>
      <c r="L12" s="767"/>
      <c r="M12" s="650">
        <f t="shared" si="3"/>
        <v>0</v>
      </c>
    </row>
    <row r="13" spans="1:27" s="367" customFormat="1" ht="11.25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67"/>
      <c r="J13" s="767"/>
      <c r="K13" s="767"/>
      <c r="L13" s="767"/>
      <c r="M13" s="650">
        <f t="shared" si="3"/>
        <v>0</v>
      </c>
    </row>
    <row r="14" spans="1:27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67"/>
      <c r="J14" s="767"/>
      <c r="K14" s="767"/>
      <c r="L14" s="767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67"/>
      <c r="J15" s="767"/>
      <c r="K15" s="767"/>
      <c r="L15" s="767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67"/>
      <c r="J16" s="767"/>
      <c r="K16" s="767"/>
      <c r="L16" s="767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67"/>
      <c r="J17" s="767"/>
      <c r="K17" s="767"/>
      <c r="L17" s="767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67"/>
      <c r="J18" s="767"/>
      <c r="K18" s="767"/>
      <c r="L18" s="767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67"/>
      <c r="J19" s="767"/>
      <c r="K19" s="767"/>
      <c r="L19" s="767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67"/>
      <c r="J20" s="767"/>
      <c r="K20" s="767"/>
      <c r="L20" s="767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67"/>
      <c r="J21" s="767"/>
      <c r="K21" s="767"/>
      <c r="L21" s="767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67"/>
      <c r="J22" s="767"/>
      <c r="K22" s="767"/>
      <c r="L22" s="767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67"/>
      <c r="J23" s="767"/>
      <c r="K23" s="767"/>
      <c r="L23" s="767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67"/>
      <c r="J24" s="767"/>
      <c r="K24" s="767"/>
      <c r="L24" s="767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67"/>
      <c r="J25" s="767"/>
      <c r="K25" s="767"/>
      <c r="L25" s="767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67"/>
      <c r="J26" s="767"/>
      <c r="K26" s="767"/>
      <c r="L26" s="767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67"/>
      <c r="J27" s="767"/>
      <c r="K27" s="767"/>
      <c r="L27" s="767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67"/>
      <c r="J28" s="767"/>
      <c r="K28" s="767"/>
      <c r="L28" s="767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67"/>
      <c r="J29" s="767"/>
      <c r="K29" s="767"/>
      <c r="L29" s="767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67"/>
      <c r="J30" s="767"/>
      <c r="K30" s="767"/>
      <c r="L30" s="767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67"/>
      <c r="J31" s="767"/>
      <c r="K31" s="767"/>
      <c r="L31" s="767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67"/>
      <c r="J32" s="767"/>
      <c r="K32" s="767"/>
      <c r="L32" s="767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67"/>
      <c r="J33" s="767"/>
      <c r="K33" s="767"/>
      <c r="L33" s="767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67"/>
      <c r="J34" s="767"/>
      <c r="K34" s="767"/>
      <c r="L34" s="767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67"/>
      <c r="J35" s="767"/>
      <c r="K35" s="767"/>
      <c r="L35" s="767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67"/>
      <c r="J36" s="767"/>
      <c r="K36" s="767"/>
      <c r="L36" s="767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67"/>
      <c r="J37" s="767"/>
      <c r="K37" s="767"/>
      <c r="L37" s="767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67"/>
      <c r="J38" s="767"/>
      <c r="K38" s="767"/>
      <c r="L38" s="767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67"/>
      <c r="J39" s="767"/>
      <c r="K39" s="767"/>
      <c r="L39" s="767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793" priority="34" operator="between">
      <formula>3.5</formula>
      <formula>6</formula>
    </cfRule>
    <cfRule type="cellIs" dxfId="7792" priority="35" operator="lessThan">
      <formula>3.5</formula>
    </cfRule>
    <cfRule type="cellIs" dxfId="7791" priority="36" operator="greaterThan">
      <formula>6</formula>
    </cfRule>
  </conditionalFormatting>
  <conditionalFormatting sqref="H9:H12 H24:H37 H14:H17 H19:H22 H39">
    <cfRule type="cellIs" dxfId="7790" priority="31" operator="between">
      <formula>3.5</formula>
      <formula>6</formula>
    </cfRule>
    <cfRule type="cellIs" dxfId="7789" priority="32" operator="lessThan">
      <formula>3.5</formula>
    </cfRule>
    <cfRule type="cellIs" dxfId="7788" priority="33" operator="greaterThan">
      <formula>6</formula>
    </cfRule>
  </conditionalFormatting>
  <conditionalFormatting sqref="H23">
    <cfRule type="cellIs" dxfId="7787" priority="28" operator="between">
      <formula>3.5</formula>
      <formula>6</formula>
    </cfRule>
    <cfRule type="cellIs" dxfId="7786" priority="29" operator="lessThan">
      <formula>3.5</formula>
    </cfRule>
    <cfRule type="cellIs" dxfId="7785" priority="30" operator="greaterThan">
      <formula>6</formula>
    </cfRule>
  </conditionalFormatting>
  <conditionalFormatting sqref="H13">
    <cfRule type="cellIs" dxfId="7784" priority="25" operator="between">
      <formula>3.5</formula>
      <formula>6</formula>
    </cfRule>
    <cfRule type="cellIs" dxfId="7783" priority="26" operator="lessThan">
      <formula>3.5</formula>
    </cfRule>
    <cfRule type="cellIs" dxfId="7782" priority="27" operator="greaterThan">
      <formula>6</formula>
    </cfRule>
  </conditionalFormatting>
  <conditionalFormatting sqref="H18">
    <cfRule type="cellIs" dxfId="7781" priority="22" operator="between">
      <formula>3.5</formula>
      <formula>6</formula>
    </cfRule>
    <cfRule type="cellIs" dxfId="7780" priority="23" operator="lessThan">
      <formula>3.5</formula>
    </cfRule>
    <cfRule type="cellIs" dxfId="7779" priority="24" operator="greaterThan">
      <formula>6</formula>
    </cfRule>
  </conditionalFormatting>
  <conditionalFormatting sqref="H9:H39">
    <cfRule type="cellIs" dxfId="7778" priority="19" operator="between">
      <formula>3.5</formula>
      <formula>6</formula>
    </cfRule>
    <cfRule type="cellIs" dxfId="7777" priority="20" operator="lessThan">
      <formula>3.5</formula>
    </cfRule>
    <cfRule type="cellIs" dxfId="7776" priority="21" operator="greaterThan">
      <formula>6</formula>
    </cfRule>
  </conditionalFormatting>
  <conditionalFormatting sqref="H9:H39">
    <cfRule type="cellIs" dxfId="7775" priority="16" operator="between">
      <formula>3.5</formula>
      <formula>6</formula>
    </cfRule>
    <cfRule type="cellIs" dxfId="7774" priority="17" operator="lessThan">
      <formula>3.5</formula>
    </cfRule>
    <cfRule type="cellIs" dxfId="7773" priority="18" operator="greaterThan">
      <formula>6</formula>
    </cfRule>
  </conditionalFormatting>
  <conditionalFormatting sqref="H9:H39">
    <cfRule type="cellIs" dxfId="7772" priority="13" operator="between">
      <formula>3.5</formula>
      <formula>6</formula>
    </cfRule>
    <cfRule type="cellIs" dxfId="7771" priority="14" operator="lessThan">
      <formula>3.5</formula>
    </cfRule>
    <cfRule type="cellIs" dxfId="7770" priority="15" operator="greaterThan">
      <formula>6</formula>
    </cfRule>
  </conditionalFormatting>
  <conditionalFormatting sqref="H9:H39">
    <cfRule type="cellIs" dxfId="7769" priority="10" operator="between">
      <formula>3.5</formula>
      <formula>6</formula>
    </cfRule>
    <cfRule type="cellIs" dxfId="7768" priority="11" operator="lessThan">
      <formula>3.5</formula>
    </cfRule>
    <cfRule type="cellIs" dxfId="7767" priority="12" operator="greaterThan">
      <formula>6</formula>
    </cfRule>
  </conditionalFormatting>
  <conditionalFormatting sqref="H9:H39">
    <cfRule type="cellIs" dxfId="7766" priority="7" operator="between">
      <formula>3.5</formula>
      <formula>6</formula>
    </cfRule>
    <cfRule type="cellIs" dxfId="7765" priority="8" operator="lessThan">
      <formula>3.5</formula>
    </cfRule>
    <cfRule type="cellIs" dxfId="7764" priority="9" operator="greaterThan">
      <formula>6</formula>
    </cfRule>
  </conditionalFormatting>
  <conditionalFormatting sqref="H9:H39">
    <cfRule type="cellIs" dxfId="7763" priority="4" operator="between">
      <formula>3.5</formula>
      <formula>6</formula>
    </cfRule>
    <cfRule type="cellIs" dxfId="7762" priority="5" operator="lessThan">
      <formula>3.5</formula>
    </cfRule>
    <cfRule type="cellIs" dxfId="7761" priority="6" operator="greaterThan">
      <formula>6</formula>
    </cfRule>
  </conditionalFormatting>
  <conditionalFormatting sqref="H9:H39">
    <cfRule type="cellIs" dxfId="7760" priority="1" operator="between">
      <formula>3.5</formula>
      <formula>6</formula>
    </cfRule>
    <cfRule type="cellIs" dxfId="7759" priority="2" operator="lessThan">
      <formula>3.5</formula>
    </cfRule>
    <cfRule type="cellIs" dxfId="775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Z49"/>
  <sheetViews>
    <sheetView zoomScale="90" zoomScaleNormal="90" workbookViewId="0">
      <pane ySplit="8" topLeftCell="A9" activePane="bottomLeft" state="frozen"/>
      <selection pane="bottomLeft" activeCell="D13" sqref="D13:D20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48"/>
      <c r="K3" s="1048"/>
      <c r="M3" s="442"/>
      <c r="N3" s="442"/>
      <c r="O3" s="442"/>
    </row>
    <row r="4" spans="1:26" s="1053" customFormat="1" ht="12" customHeight="1">
      <c r="A4" s="1648" t="s">
        <v>33</v>
      </c>
      <c r="B4" s="1648"/>
      <c r="C4" s="551" t="str">
        <f>H4</f>
        <v>ESPANA 50x50-HA giấy nâu</v>
      </c>
      <c r="E4" s="549" t="s">
        <v>228</v>
      </c>
      <c r="F4" s="549" t="s">
        <v>235</v>
      </c>
      <c r="G4" s="550" t="s">
        <v>114</v>
      </c>
      <c r="H4" s="551" t="s">
        <v>871</v>
      </c>
      <c r="L4" s="143"/>
    </row>
    <row r="5" spans="1:26" s="1053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053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050" t="s">
        <v>2</v>
      </c>
      <c r="B7" s="1052" t="s">
        <v>1</v>
      </c>
      <c r="C7" s="105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49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260</v>
      </c>
      <c r="E8" s="771">
        <f>E40</f>
        <v>0</v>
      </c>
      <c r="F8" s="771"/>
      <c r="G8" s="774">
        <v>260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105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260</v>
      </c>
      <c r="H9" s="451">
        <f>G9/10417</f>
        <v>2.4959201305558221E-2</v>
      </c>
      <c r="I9" s="767"/>
      <c r="J9" s="772"/>
      <c r="K9" s="767"/>
      <c r="L9" s="650">
        <f>G9/$L$8</f>
        <v>2.3847085152437907E-2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260</v>
      </c>
      <c r="H10" s="451">
        <f t="shared" ref="H10:H39" si="2">G10/10417</f>
        <v>2.4959201305558221E-2</v>
      </c>
      <c r="I10" s="767"/>
      <c r="J10" s="772"/>
      <c r="K10" s="767"/>
      <c r="L10" s="650">
        <f t="shared" ref="L10:L39" si="3">G10/$L$8</f>
        <v>2.3847085152437907E-2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260</v>
      </c>
      <c r="H11" s="451">
        <f t="shared" si="2"/>
        <v>2.4959201305558221E-2</v>
      </c>
      <c r="I11" s="767"/>
      <c r="J11" s="772"/>
      <c r="K11" s="767"/>
      <c r="L11" s="650">
        <f t="shared" si="3"/>
        <v>2.3847085152437907E-2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260</v>
      </c>
      <c r="H12" s="451">
        <f t="shared" si="2"/>
        <v>2.4959201305558221E-2</v>
      </c>
      <c r="I12" s="767"/>
      <c r="J12" s="772"/>
      <c r="K12" s="767"/>
      <c r="L12" s="650">
        <f t="shared" si="3"/>
        <v>2.3847085152437907E-2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>G12+D13-E13</f>
        <v>260</v>
      </c>
      <c r="H13" s="451">
        <f t="shared" si="2"/>
        <v>2.4959201305558221E-2</v>
      </c>
      <c r="I13" s="767"/>
      <c r="J13" s="772"/>
      <c r="K13" s="767"/>
      <c r="L13" s="650">
        <f t="shared" si="3"/>
        <v>2.3847085152437907E-2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260</v>
      </c>
      <c r="H14" s="451">
        <f t="shared" si="2"/>
        <v>2.4959201305558221E-2</v>
      </c>
      <c r="I14" s="767"/>
      <c r="J14" s="772"/>
      <c r="K14" s="767"/>
      <c r="L14" s="650">
        <f t="shared" si="3"/>
        <v>2.3847085152437907E-2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260</v>
      </c>
      <c r="H15" s="451">
        <f t="shared" si="2"/>
        <v>2.4959201305558221E-2</v>
      </c>
      <c r="I15" s="767"/>
      <c r="J15" s="772"/>
      <c r="K15" s="767"/>
      <c r="L15" s="650">
        <f t="shared" si="3"/>
        <v>2.3847085152437907E-2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260</v>
      </c>
      <c r="H16" s="451">
        <f t="shared" si="2"/>
        <v>2.4959201305558221E-2</v>
      </c>
      <c r="I16" s="767"/>
      <c r="J16" s="772"/>
      <c r="K16" s="767"/>
      <c r="L16" s="650">
        <f t="shared" si="3"/>
        <v>2.3847085152437907E-2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260</v>
      </c>
      <c r="H17" s="451">
        <f t="shared" si="2"/>
        <v>2.4959201305558221E-2</v>
      </c>
      <c r="I17" s="767"/>
      <c r="J17" s="772"/>
      <c r="K17" s="767"/>
      <c r="L17" s="650">
        <f t="shared" si="3"/>
        <v>2.3847085152437907E-2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>G17+D18-E18</f>
        <v>260</v>
      </c>
      <c r="H18" s="451">
        <f t="shared" si="2"/>
        <v>2.4959201305558221E-2</v>
      </c>
      <c r="I18" s="767"/>
      <c r="J18" s="772"/>
      <c r="K18" s="767"/>
      <c r="L18" s="650">
        <f t="shared" si="3"/>
        <v>2.3847085152437907E-2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260</v>
      </c>
      <c r="H19" s="451">
        <f t="shared" si="2"/>
        <v>2.4959201305558221E-2</v>
      </c>
      <c r="I19" s="767"/>
      <c r="J19" s="772"/>
      <c r="K19" s="767"/>
      <c r="L19" s="650">
        <f t="shared" si="3"/>
        <v>2.3847085152437907E-2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260</v>
      </c>
      <c r="H20" s="451">
        <f t="shared" si="2"/>
        <v>2.4959201305558221E-2</v>
      </c>
      <c r="I20" s="767"/>
      <c r="J20" s="772"/>
      <c r="K20" s="767"/>
      <c r="L20" s="650">
        <f t="shared" si="3"/>
        <v>2.3847085152437907E-2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1"/>
        <v>0</v>
      </c>
      <c r="F21" s="396">
        <f t="shared" si="4"/>
        <v>10902.777777777777</v>
      </c>
      <c r="G21" s="396">
        <f t="shared" si="0"/>
        <v>260</v>
      </c>
      <c r="H21" s="451">
        <f t="shared" si="2"/>
        <v>2.4959201305558221E-2</v>
      </c>
      <c r="I21" s="767"/>
      <c r="J21" s="772"/>
      <c r="K21" s="767"/>
      <c r="L21" s="650">
        <f t="shared" si="3"/>
        <v>2.3847085152437907E-2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1"/>
        <v>0</v>
      </c>
      <c r="F22" s="396">
        <f t="shared" si="4"/>
        <v>10902.777777777777</v>
      </c>
      <c r="G22" s="396">
        <f t="shared" si="0"/>
        <v>260</v>
      </c>
      <c r="H22" s="451">
        <f t="shared" si="2"/>
        <v>2.4959201305558221E-2</v>
      </c>
      <c r="I22" s="767"/>
      <c r="J22" s="772"/>
      <c r="K22" s="767"/>
      <c r="L22" s="650">
        <f t="shared" si="3"/>
        <v>2.3847085152437907E-2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1"/>
        <v>0</v>
      </c>
      <c r="F23" s="396">
        <f t="shared" si="4"/>
        <v>10902.777777777777</v>
      </c>
      <c r="G23" s="769">
        <f t="shared" si="0"/>
        <v>260</v>
      </c>
      <c r="H23" s="451">
        <f t="shared" si="2"/>
        <v>2.4959201305558221E-2</v>
      </c>
      <c r="I23" s="767"/>
      <c r="J23" s="772"/>
      <c r="K23" s="767"/>
      <c r="L23" s="650">
        <f t="shared" si="3"/>
        <v>2.3847085152437907E-2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1"/>
        <v>0</v>
      </c>
      <c r="F24" s="396">
        <f t="shared" si="4"/>
        <v>10902.777777777777</v>
      </c>
      <c r="G24" s="396">
        <f t="shared" si="0"/>
        <v>260</v>
      </c>
      <c r="H24" s="451">
        <f t="shared" si="2"/>
        <v>2.4959201305558221E-2</v>
      </c>
      <c r="I24" s="767"/>
      <c r="J24" s="772"/>
      <c r="K24" s="767"/>
      <c r="L24" s="650">
        <f t="shared" si="3"/>
        <v>2.3847085152437907E-2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1"/>
        <v>0</v>
      </c>
      <c r="F25" s="396">
        <f t="shared" si="4"/>
        <v>10902.777777777777</v>
      </c>
      <c r="G25" s="396">
        <f t="shared" si="0"/>
        <v>260</v>
      </c>
      <c r="H25" s="451">
        <f t="shared" si="2"/>
        <v>2.4959201305558221E-2</v>
      </c>
      <c r="I25" s="767"/>
      <c r="J25" s="772"/>
      <c r="K25" s="767"/>
      <c r="L25" s="650">
        <f t="shared" si="3"/>
        <v>2.3847085152437907E-2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1"/>
        <v>0</v>
      </c>
      <c r="F26" s="396">
        <f t="shared" si="4"/>
        <v>10902.777777777777</v>
      </c>
      <c r="G26" s="396">
        <f t="shared" si="0"/>
        <v>260</v>
      </c>
      <c r="H26" s="451">
        <f t="shared" si="2"/>
        <v>2.4959201305558221E-2</v>
      </c>
      <c r="I26" s="767"/>
      <c r="J26" s="772"/>
      <c r="K26" s="767"/>
      <c r="L26" s="650">
        <f t="shared" si="3"/>
        <v>2.3847085152437907E-2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1"/>
        <v>0</v>
      </c>
      <c r="F27" s="396">
        <f t="shared" si="4"/>
        <v>10902.777777777777</v>
      </c>
      <c r="G27" s="396">
        <f t="shared" si="0"/>
        <v>260</v>
      </c>
      <c r="H27" s="451">
        <f t="shared" si="2"/>
        <v>2.4959201305558221E-2</v>
      </c>
      <c r="I27" s="767"/>
      <c r="J27" s="772"/>
      <c r="K27" s="767"/>
      <c r="L27" s="650">
        <f t="shared" si="3"/>
        <v>2.3847085152437907E-2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1"/>
        <v>0</v>
      </c>
      <c r="F28" s="396">
        <f t="shared" si="4"/>
        <v>10902.777777777777</v>
      </c>
      <c r="G28" s="769">
        <f t="shared" si="0"/>
        <v>260</v>
      </c>
      <c r="H28" s="451">
        <f t="shared" si="2"/>
        <v>2.4959201305558221E-2</v>
      </c>
      <c r="I28" s="767"/>
      <c r="J28" s="772"/>
      <c r="K28" s="767"/>
      <c r="L28" s="650">
        <f t="shared" si="3"/>
        <v>2.3847085152437907E-2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1"/>
        <v>0</v>
      </c>
      <c r="F29" s="396">
        <f t="shared" si="4"/>
        <v>10902.777777777777</v>
      </c>
      <c r="G29" s="393">
        <f t="shared" si="0"/>
        <v>260</v>
      </c>
      <c r="H29" s="451">
        <f t="shared" si="2"/>
        <v>2.4959201305558221E-2</v>
      </c>
      <c r="I29" s="767"/>
      <c r="J29" s="772"/>
      <c r="K29" s="767"/>
      <c r="L29" s="650">
        <f t="shared" si="3"/>
        <v>2.3847085152437907E-2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1"/>
        <v>0</v>
      </c>
      <c r="F30" s="396">
        <f t="shared" si="4"/>
        <v>10902.777777777777</v>
      </c>
      <c r="G30" s="393">
        <f t="shared" si="0"/>
        <v>260</v>
      </c>
      <c r="H30" s="451">
        <f t="shared" si="2"/>
        <v>2.4959201305558221E-2</v>
      </c>
      <c r="I30" s="767"/>
      <c r="J30" s="772"/>
      <c r="K30" s="767"/>
      <c r="L30" s="650">
        <f t="shared" si="3"/>
        <v>2.3847085152437907E-2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0"/>
        <v>260</v>
      </c>
      <c r="H31" s="451">
        <f t="shared" si="2"/>
        <v>2.4959201305558221E-2</v>
      </c>
      <c r="I31" s="767"/>
      <c r="J31" s="772"/>
      <c r="K31" s="767"/>
      <c r="L31" s="650">
        <f t="shared" si="3"/>
        <v>2.3847085152437907E-2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0"/>
        <v>260</v>
      </c>
      <c r="H32" s="451">
        <f t="shared" si="2"/>
        <v>2.4959201305558221E-2</v>
      </c>
      <c r="I32" s="767"/>
      <c r="J32" s="772"/>
      <c r="K32" s="767"/>
      <c r="L32" s="650">
        <f t="shared" si="3"/>
        <v>2.3847085152437907E-2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0"/>
        <v>260</v>
      </c>
      <c r="H33" s="451">
        <f t="shared" si="2"/>
        <v>2.4959201305558221E-2</v>
      </c>
      <c r="I33" s="767"/>
      <c r="J33" s="772"/>
      <c r="K33" s="767"/>
      <c r="L33" s="650">
        <f t="shared" si="3"/>
        <v>2.3847085152437907E-2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260</v>
      </c>
      <c r="H34" s="451">
        <f t="shared" si="2"/>
        <v>2.4959201305558221E-2</v>
      </c>
      <c r="I34" s="767"/>
      <c r="J34" s="772"/>
      <c r="K34" s="767"/>
      <c r="L34" s="650">
        <f t="shared" si="3"/>
        <v>2.3847085152437907E-2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260</v>
      </c>
      <c r="H35" s="451">
        <f t="shared" si="2"/>
        <v>2.4959201305558221E-2</v>
      </c>
      <c r="I35" s="767"/>
      <c r="J35" s="772"/>
      <c r="K35" s="767"/>
      <c r="L35" s="650">
        <f t="shared" si="3"/>
        <v>2.3847085152437907E-2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260</v>
      </c>
      <c r="H36" s="451">
        <f t="shared" si="2"/>
        <v>2.4959201305558221E-2</v>
      </c>
      <c r="I36" s="767"/>
      <c r="J36" s="772"/>
      <c r="K36" s="767"/>
      <c r="L36" s="650">
        <f t="shared" si="3"/>
        <v>2.3847085152437907E-2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260</v>
      </c>
      <c r="H37" s="451">
        <f t="shared" si="2"/>
        <v>2.4959201305558221E-2</v>
      </c>
      <c r="I37" s="767"/>
      <c r="J37" s="772"/>
      <c r="K37" s="767"/>
      <c r="L37" s="650">
        <f t="shared" si="3"/>
        <v>2.3847085152437907E-2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260</v>
      </c>
      <c r="H38" s="451">
        <f t="shared" si="2"/>
        <v>2.4959201305558221E-2</v>
      </c>
      <c r="I38" s="767"/>
      <c r="J38" s="772"/>
      <c r="K38" s="767"/>
      <c r="L38" s="650">
        <f t="shared" si="3"/>
        <v>2.3847085152437907E-2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260</v>
      </c>
      <c r="H39" s="451">
        <f t="shared" si="2"/>
        <v>2.4959201305558221E-2</v>
      </c>
      <c r="I39" s="767"/>
      <c r="J39" s="772"/>
      <c r="K39" s="767"/>
      <c r="L39" s="650">
        <f t="shared" si="3"/>
        <v>2.3847085152437907E-2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260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260</v>
      </c>
      <c r="E41" s="389">
        <f>E40</f>
        <v>0</v>
      </c>
      <c r="F41" s="449"/>
      <c r="G41" s="389">
        <f>D41-E41</f>
        <v>260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757" priority="34" operator="between">
      <formula>3.5</formula>
      <formula>6</formula>
    </cfRule>
    <cfRule type="cellIs" dxfId="7756" priority="35" operator="lessThan">
      <formula>3.5</formula>
    </cfRule>
    <cfRule type="cellIs" dxfId="7755" priority="36" operator="greaterThan">
      <formula>6</formula>
    </cfRule>
  </conditionalFormatting>
  <conditionalFormatting sqref="H9:H12 H24:H37 H14:H17 H19:H22 H39">
    <cfRule type="cellIs" dxfId="7754" priority="31" operator="between">
      <formula>3.5</formula>
      <formula>6</formula>
    </cfRule>
    <cfRule type="cellIs" dxfId="7753" priority="32" operator="lessThan">
      <formula>3.5</formula>
    </cfRule>
    <cfRule type="cellIs" dxfId="7752" priority="33" operator="greaterThan">
      <formula>6</formula>
    </cfRule>
  </conditionalFormatting>
  <conditionalFormatting sqref="H23">
    <cfRule type="cellIs" dxfId="7751" priority="28" operator="between">
      <formula>3.5</formula>
      <formula>6</formula>
    </cfRule>
    <cfRule type="cellIs" dxfId="7750" priority="29" operator="lessThan">
      <formula>3.5</formula>
    </cfRule>
    <cfRule type="cellIs" dxfId="7749" priority="30" operator="greaterThan">
      <formula>6</formula>
    </cfRule>
  </conditionalFormatting>
  <conditionalFormatting sqref="H13">
    <cfRule type="cellIs" dxfId="7748" priority="25" operator="between">
      <formula>3.5</formula>
      <formula>6</formula>
    </cfRule>
    <cfRule type="cellIs" dxfId="7747" priority="26" operator="lessThan">
      <formula>3.5</formula>
    </cfRule>
    <cfRule type="cellIs" dxfId="7746" priority="27" operator="greaterThan">
      <formula>6</formula>
    </cfRule>
  </conditionalFormatting>
  <conditionalFormatting sqref="H18">
    <cfRule type="cellIs" dxfId="7745" priority="22" operator="between">
      <formula>3.5</formula>
      <formula>6</formula>
    </cfRule>
    <cfRule type="cellIs" dxfId="7744" priority="23" operator="lessThan">
      <formula>3.5</formula>
    </cfRule>
    <cfRule type="cellIs" dxfId="7743" priority="24" operator="greaterThan">
      <formula>6</formula>
    </cfRule>
  </conditionalFormatting>
  <conditionalFormatting sqref="H9:H39">
    <cfRule type="cellIs" dxfId="7742" priority="19" operator="between">
      <formula>3.5</formula>
      <formula>6</formula>
    </cfRule>
    <cfRule type="cellIs" dxfId="7741" priority="20" operator="lessThan">
      <formula>3.5</formula>
    </cfRule>
    <cfRule type="cellIs" dxfId="7740" priority="21" operator="greaterThan">
      <formula>6</formula>
    </cfRule>
  </conditionalFormatting>
  <conditionalFormatting sqref="H9:H39">
    <cfRule type="cellIs" dxfId="7739" priority="16" operator="between">
      <formula>3.5</formula>
      <formula>6</formula>
    </cfRule>
    <cfRule type="cellIs" dxfId="7738" priority="17" operator="lessThan">
      <formula>3.5</formula>
    </cfRule>
    <cfRule type="cellIs" dxfId="7737" priority="18" operator="greaterThan">
      <formula>6</formula>
    </cfRule>
  </conditionalFormatting>
  <conditionalFormatting sqref="H9:H39">
    <cfRule type="cellIs" dxfId="7736" priority="13" operator="between">
      <formula>3.5</formula>
      <formula>6</formula>
    </cfRule>
    <cfRule type="cellIs" dxfId="7735" priority="14" operator="lessThan">
      <formula>3.5</formula>
    </cfRule>
    <cfRule type="cellIs" dxfId="7734" priority="15" operator="greaterThan">
      <formula>6</formula>
    </cfRule>
  </conditionalFormatting>
  <conditionalFormatting sqref="H9:H39">
    <cfRule type="cellIs" dxfId="7733" priority="10" operator="between">
      <formula>3.5</formula>
      <formula>6</formula>
    </cfRule>
    <cfRule type="cellIs" dxfId="7732" priority="11" operator="lessThan">
      <formula>3.5</formula>
    </cfRule>
    <cfRule type="cellIs" dxfId="7731" priority="12" operator="greaterThan">
      <formula>6</formula>
    </cfRule>
  </conditionalFormatting>
  <conditionalFormatting sqref="H9:H39">
    <cfRule type="cellIs" dxfId="7730" priority="7" operator="between">
      <formula>3.5</formula>
      <formula>6</formula>
    </cfRule>
    <cfRule type="cellIs" dxfId="7729" priority="8" operator="lessThan">
      <formula>3.5</formula>
    </cfRule>
    <cfRule type="cellIs" dxfId="7728" priority="9" operator="greaterThan">
      <formula>6</formula>
    </cfRule>
  </conditionalFormatting>
  <conditionalFormatting sqref="H9:H39">
    <cfRule type="cellIs" dxfId="7727" priority="4" operator="between">
      <formula>3.5</formula>
      <formula>6</formula>
    </cfRule>
    <cfRule type="cellIs" dxfId="7726" priority="5" operator="lessThan">
      <formula>3.5</formula>
    </cfRule>
    <cfRule type="cellIs" dxfId="7725" priority="6" operator="greaterThan">
      <formula>6</formula>
    </cfRule>
  </conditionalFormatting>
  <conditionalFormatting sqref="H9:H39">
    <cfRule type="cellIs" dxfId="7724" priority="1" operator="between">
      <formula>3.5</formula>
      <formula>6</formula>
    </cfRule>
    <cfRule type="cellIs" dxfId="7723" priority="2" operator="lessThan">
      <formula>3.5</formula>
    </cfRule>
    <cfRule type="cellIs" dxfId="772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Z49"/>
  <sheetViews>
    <sheetView zoomScale="90" zoomScaleNormal="90" workbookViewId="0">
      <pane ySplit="8" topLeftCell="A12" activePane="bottomLeft" state="frozen"/>
      <selection pane="bottomLeft" activeCell="I17" sqref="I17:K25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41"/>
      <c r="K3" s="1141"/>
      <c r="M3" s="442"/>
      <c r="N3" s="442"/>
      <c r="O3" s="442"/>
    </row>
    <row r="4" spans="1:26" s="1146" customFormat="1" ht="12" customHeight="1">
      <c r="A4" s="1648" t="s">
        <v>33</v>
      </c>
      <c r="B4" s="1648"/>
      <c r="C4" s="551" t="str">
        <f>H4</f>
        <v>ESPANA 60*60-HA giấy nâu</v>
      </c>
      <c r="E4" s="549" t="s">
        <v>228</v>
      </c>
      <c r="F4" s="549" t="s">
        <v>235</v>
      </c>
      <c r="G4" s="550" t="s">
        <v>114</v>
      </c>
      <c r="H4" s="551" t="s">
        <v>939</v>
      </c>
      <c r="L4" s="143"/>
    </row>
    <row r="5" spans="1:26" s="114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14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143" t="s">
        <v>2</v>
      </c>
      <c r="B7" s="1145" t="s">
        <v>1</v>
      </c>
      <c r="C7" s="1145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42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469</v>
      </c>
      <c r="E8" s="771">
        <f>E40</f>
        <v>0</v>
      </c>
      <c r="F8" s="771"/>
      <c r="G8" s="774">
        <v>469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1144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469</v>
      </c>
      <c r="H9" s="451">
        <f>G9/10417</f>
        <v>4.50225592781031E-2</v>
      </c>
      <c r="I9" s="767"/>
      <c r="J9" s="772"/>
      <c r="K9" s="767"/>
      <c r="L9" s="650">
        <f>G9/$L$8</f>
        <v>4.3016472832666838E-2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469</v>
      </c>
      <c r="H10" s="451">
        <f t="shared" ref="H10:H39" si="2">G10/10417</f>
        <v>4.50225592781031E-2</v>
      </c>
      <c r="I10" s="767"/>
      <c r="J10" s="772"/>
      <c r="K10" s="767"/>
      <c r="L10" s="650">
        <f t="shared" ref="L10:L39" si="3">G10/$L$8</f>
        <v>4.3016472832666838E-2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469</v>
      </c>
      <c r="H11" s="451">
        <f t="shared" si="2"/>
        <v>4.50225592781031E-2</v>
      </c>
      <c r="I11" s="767"/>
      <c r="J11" s="767"/>
      <c r="K11" s="767"/>
      <c r="L11" s="650">
        <f t="shared" si="3"/>
        <v>4.3016472832666838E-2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469</v>
      </c>
      <c r="H12" s="451">
        <f t="shared" si="2"/>
        <v>4.50225592781031E-2</v>
      </c>
      <c r="I12" s="767"/>
      <c r="J12" s="767"/>
      <c r="K12" s="767"/>
      <c r="L12" s="650">
        <f t="shared" si="3"/>
        <v>4.3016472832666838E-2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469</v>
      </c>
      <c r="H13" s="451">
        <f t="shared" si="2"/>
        <v>4.50225592781031E-2</v>
      </c>
      <c r="I13" s="767"/>
      <c r="J13" s="767"/>
      <c r="K13" s="767"/>
      <c r="L13" s="650">
        <f t="shared" si="3"/>
        <v>4.3016472832666838E-2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469</v>
      </c>
      <c r="H14" s="451">
        <f t="shared" si="2"/>
        <v>4.50225592781031E-2</v>
      </c>
      <c r="I14" s="767"/>
      <c r="J14" s="767"/>
      <c r="K14" s="767"/>
      <c r="L14" s="650">
        <f t="shared" si="3"/>
        <v>4.3016472832666838E-2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469</v>
      </c>
      <c r="H15" s="451">
        <f t="shared" si="2"/>
        <v>4.50225592781031E-2</v>
      </c>
      <c r="I15" s="767"/>
      <c r="J15" s="767"/>
      <c r="K15" s="767"/>
      <c r="L15" s="650">
        <f t="shared" si="3"/>
        <v>4.3016472832666838E-2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469</v>
      </c>
      <c r="H16" s="451">
        <f t="shared" si="2"/>
        <v>4.50225592781031E-2</v>
      </c>
      <c r="I16" s="767"/>
      <c r="J16" s="767"/>
      <c r="K16" s="767"/>
      <c r="L16" s="650">
        <f t="shared" si="3"/>
        <v>4.3016472832666838E-2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469</v>
      </c>
      <c r="H17" s="451">
        <f t="shared" si="2"/>
        <v>4.50225592781031E-2</v>
      </c>
      <c r="I17" s="767"/>
      <c r="J17" s="767"/>
      <c r="K17" s="767"/>
      <c r="L17" s="650">
        <f t="shared" si="3"/>
        <v>4.3016472832666838E-2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469</v>
      </c>
      <c r="H18" s="451">
        <f t="shared" si="2"/>
        <v>4.50225592781031E-2</v>
      </c>
      <c r="I18" s="767"/>
      <c r="J18" s="767"/>
      <c r="K18" s="767"/>
      <c r="L18" s="650">
        <f t="shared" si="3"/>
        <v>4.3016472832666838E-2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469</v>
      </c>
      <c r="H19" s="451">
        <f t="shared" si="2"/>
        <v>4.50225592781031E-2</v>
      </c>
      <c r="I19" s="767"/>
      <c r="J19" s="767"/>
      <c r="K19" s="767"/>
      <c r="L19" s="650">
        <f t="shared" si="3"/>
        <v>4.3016472832666838E-2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469</v>
      </c>
      <c r="H20" s="451">
        <f t="shared" si="2"/>
        <v>4.50225592781031E-2</v>
      </c>
      <c r="I20" s="767"/>
      <c r="J20" s="767"/>
      <c r="K20" s="767"/>
      <c r="L20" s="650">
        <f t="shared" si="3"/>
        <v>4.3016472832666838E-2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469</v>
      </c>
      <c r="H21" s="451">
        <f t="shared" si="2"/>
        <v>4.50225592781031E-2</v>
      </c>
      <c r="I21" s="767"/>
      <c r="J21" s="767"/>
      <c r="K21" s="767"/>
      <c r="L21" s="650">
        <f t="shared" si="3"/>
        <v>4.3016472832666838E-2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469</v>
      </c>
      <c r="H22" s="451">
        <f t="shared" si="2"/>
        <v>4.50225592781031E-2</v>
      </c>
      <c r="I22" s="767"/>
      <c r="J22" s="767"/>
      <c r="K22" s="767"/>
      <c r="L22" s="650">
        <f t="shared" si="3"/>
        <v>4.3016472832666838E-2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469</v>
      </c>
      <c r="H23" s="451">
        <f t="shared" si="2"/>
        <v>4.50225592781031E-2</v>
      </c>
      <c r="I23" s="767"/>
      <c r="J23" s="767"/>
      <c r="K23" s="767"/>
      <c r="L23" s="650">
        <f t="shared" si="3"/>
        <v>4.3016472832666838E-2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469</v>
      </c>
      <c r="H24" s="451">
        <f t="shared" si="2"/>
        <v>4.50225592781031E-2</v>
      </c>
      <c r="I24" s="767"/>
      <c r="J24" s="767"/>
      <c r="K24" s="767"/>
      <c r="L24" s="650">
        <f t="shared" si="3"/>
        <v>4.3016472832666838E-2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469</v>
      </c>
      <c r="H25" s="451">
        <f t="shared" si="2"/>
        <v>4.50225592781031E-2</v>
      </c>
      <c r="I25" s="767"/>
      <c r="J25" s="767"/>
      <c r="K25" s="767"/>
      <c r="L25" s="650">
        <f t="shared" si="3"/>
        <v>4.3016472832666838E-2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1"/>
        <v>0</v>
      </c>
      <c r="F26" s="396">
        <f t="shared" si="4"/>
        <v>10902.777777777777</v>
      </c>
      <c r="G26" s="396">
        <f t="shared" si="0"/>
        <v>469</v>
      </c>
      <c r="H26" s="451">
        <f t="shared" si="2"/>
        <v>4.50225592781031E-2</v>
      </c>
      <c r="I26" s="767"/>
      <c r="J26" s="767"/>
      <c r="K26" s="767"/>
      <c r="L26" s="650">
        <f t="shared" si="3"/>
        <v>4.3016472832666838E-2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1"/>
        <v>0</v>
      </c>
      <c r="F27" s="396">
        <f t="shared" si="4"/>
        <v>10902.777777777777</v>
      </c>
      <c r="G27" s="396">
        <f t="shared" si="0"/>
        <v>469</v>
      </c>
      <c r="H27" s="451">
        <f t="shared" si="2"/>
        <v>4.50225592781031E-2</v>
      </c>
      <c r="I27" s="767"/>
      <c r="J27" s="767"/>
      <c r="K27" s="767"/>
      <c r="L27" s="650">
        <f t="shared" si="3"/>
        <v>4.3016472832666838E-2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1"/>
        <v>0</v>
      </c>
      <c r="F28" s="396">
        <f t="shared" si="4"/>
        <v>10902.777777777777</v>
      </c>
      <c r="G28" s="769">
        <f t="shared" si="0"/>
        <v>469</v>
      </c>
      <c r="H28" s="451">
        <f t="shared" si="2"/>
        <v>4.50225592781031E-2</v>
      </c>
      <c r="I28" s="767"/>
      <c r="J28" s="772"/>
      <c r="K28" s="767"/>
      <c r="L28" s="650">
        <f t="shared" si="3"/>
        <v>4.3016472832666838E-2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1"/>
        <v>0</v>
      </c>
      <c r="F29" s="396">
        <f t="shared" si="4"/>
        <v>10902.777777777777</v>
      </c>
      <c r="G29" s="393">
        <f t="shared" si="0"/>
        <v>469</v>
      </c>
      <c r="H29" s="451">
        <f t="shared" si="2"/>
        <v>4.50225592781031E-2</v>
      </c>
      <c r="I29" s="767"/>
      <c r="J29" s="767"/>
      <c r="K29" s="767"/>
      <c r="L29" s="650">
        <f t="shared" si="3"/>
        <v>4.3016472832666838E-2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1"/>
        <v>0</v>
      </c>
      <c r="F30" s="396">
        <f t="shared" si="4"/>
        <v>10902.777777777777</v>
      </c>
      <c r="G30" s="393">
        <f t="shared" si="0"/>
        <v>469</v>
      </c>
      <c r="H30" s="451">
        <f t="shared" si="2"/>
        <v>4.50225592781031E-2</v>
      </c>
      <c r="I30" s="767"/>
      <c r="J30" s="772"/>
      <c r="K30" s="767"/>
      <c r="L30" s="650">
        <f t="shared" si="3"/>
        <v>4.3016472832666838E-2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0"/>
        <v>469</v>
      </c>
      <c r="H31" s="451">
        <f t="shared" si="2"/>
        <v>4.50225592781031E-2</v>
      </c>
      <c r="I31" s="767"/>
      <c r="J31" s="767"/>
      <c r="K31" s="767"/>
      <c r="L31" s="650">
        <f t="shared" si="3"/>
        <v>4.3016472832666838E-2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0"/>
        <v>469</v>
      </c>
      <c r="H32" s="451">
        <f t="shared" si="2"/>
        <v>4.50225592781031E-2</v>
      </c>
      <c r="I32" s="767"/>
      <c r="J32" s="772"/>
      <c r="K32" s="767"/>
      <c r="L32" s="650">
        <f t="shared" si="3"/>
        <v>4.3016472832666838E-2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0"/>
        <v>469</v>
      </c>
      <c r="H33" s="451">
        <f t="shared" si="2"/>
        <v>4.50225592781031E-2</v>
      </c>
      <c r="I33" s="767"/>
      <c r="J33" s="767"/>
      <c r="K33" s="767"/>
      <c r="L33" s="650">
        <f t="shared" si="3"/>
        <v>4.3016472832666838E-2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469</v>
      </c>
      <c r="H34" s="451">
        <f t="shared" si="2"/>
        <v>4.50225592781031E-2</v>
      </c>
      <c r="I34" s="767"/>
      <c r="J34" s="767"/>
      <c r="K34" s="767"/>
      <c r="L34" s="650">
        <f t="shared" si="3"/>
        <v>4.3016472832666838E-2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469</v>
      </c>
      <c r="H35" s="451">
        <f t="shared" si="2"/>
        <v>4.50225592781031E-2</v>
      </c>
      <c r="I35" s="767"/>
      <c r="J35" s="767"/>
      <c r="K35" s="767"/>
      <c r="L35" s="650">
        <f t="shared" si="3"/>
        <v>4.3016472832666838E-2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469</v>
      </c>
      <c r="H36" s="451">
        <f t="shared" si="2"/>
        <v>4.50225592781031E-2</v>
      </c>
      <c r="I36" s="767"/>
      <c r="J36" s="767"/>
      <c r="K36" s="767"/>
      <c r="L36" s="650">
        <f t="shared" si="3"/>
        <v>4.3016472832666838E-2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469</v>
      </c>
      <c r="H37" s="451">
        <f t="shared" si="2"/>
        <v>4.50225592781031E-2</v>
      </c>
      <c r="I37" s="767"/>
      <c r="J37" s="767"/>
      <c r="K37" s="767"/>
      <c r="L37" s="650">
        <f t="shared" si="3"/>
        <v>4.3016472832666838E-2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469</v>
      </c>
      <c r="H38" s="451">
        <f t="shared" si="2"/>
        <v>4.50225592781031E-2</v>
      </c>
      <c r="I38" s="767"/>
      <c r="J38" s="767"/>
      <c r="K38" s="767"/>
      <c r="L38" s="650">
        <f t="shared" si="3"/>
        <v>4.3016472832666838E-2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469</v>
      </c>
      <c r="H39" s="451">
        <f t="shared" si="2"/>
        <v>4.50225592781031E-2</v>
      </c>
      <c r="I39" s="767"/>
      <c r="J39" s="767"/>
      <c r="K39" s="767"/>
      <c r="L39" s="650">
        <f t="shared" si="3"/>
        <v>4.3016472832666838E-2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469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469</v>
      </c>
      <c r="E41" s="389">
        <f>E40</f>
        <v>0</v>
      </c>
      <c r="F41" s="449"/>
      <c r="G41" s="389">
        <f>D41-E41</f>
        <v>469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721" priority="34" operator="between">
      <formula>3.5</formula>
      <formula>6</formula>
    </cfRule>
    <cfRule type="cellIs" dxfId="7720" priority="35" operator="lessThan">
      <formula>3.5</formula>
    </cfRule>
    <cfRule type="cellIs" dxfId="7719" priority="36" operator="greaterThan">
      <formula>6</formula>
    </cfRule>
  </conditionalFormatting>
  <conditionalFormatting sqref="H9:H12 H24:H37 H14:H17 H19:H22 H39">
    <cfRule type="cellIs" dxfId="7718" priority="31" operator="between">
      <formula>3.5</formula>
      <formula>6</formula>
    </cfRule>
    <cfRule type="cellIs" dxfId="7717" priority="32" operator="lessThan">
      <formula>3.5</formula>
    </cfRule>
    <cfRule type="cellIs" dxfId="7716" priority="33" operator="greaterThan">
      <formula>6</formula>
    </cfRule>
  </conditionalFormatting>
  <conditionalFormatting sqref="H23">
    <cfRule type="cellIs" dxfId="7715" priority="28" operator="between">
      <formula>3.5</formula>
      <formula>6</formula>
    </cfRule>
    <cfRule type="cellIs" dxfId="7714" priority="29" operator="lessThan">
      <formula>3.5</formula>
    </cfRule>
    <cfRule type="cellIs" dxfId="7713" priority="30" operator="greaterThan">
      <formula>6</formula>
    </cfRule>
  </conditionalFormatting>
  <conditionalFormatting sqref="H13">
    <cfRule type="cellIs" dxfId="7712" priority="25" operator="between">
      <formula>3.5</formula>
      <formula>6</formula>
    </cfRule>
    <cfRule type="cellIs" dxfId="7711" priority="26" operator="lessThan">
      <formula>3.5</formula>
    </cfRule>
    <cfRule type="cellIs" dxfId="7710" priority="27" operator="greaterThan">
      <formula>6</formula>
    </cfRule>
  </conditionalFormatting>
  <conditionalFormatting sqref="H18">
    <cfRule type="cellIs" dxfId="7709" priority="22" operator="between">
      <formula>3.5</formula>
      <formula>6</formula>
    </cfRule>
    <cfRule type="cellIs" dxfId="7708" priority="23" operator="lessThan">
      <formula>3.5</formula>
    </cfRule>
    <cfRule type="cellIs" dxfId="7707" priority="24" operator="greaterThan">
      <formula>6</formula>
    </cfRule>
  </conditionalFormatting>
  <conditionalFormatting sqref="H9:H39">
    <cfRule type="cellIs" dxfId="7706" priority="19" operator="between">
      <formula>3.5</formula>
      <formula>6</formula>
    </cfRule>
    <cfRule type="cellIs" dxfId="7705" priority="20" operator="lessThan">
      <formula>3.5</formula>
    </cfRule>
    <cfRule type="cellIs" dxfId="7704" priority="21" operator="greaterThan">
      <formula>6</formula>
    </cfRule>
  </conditionalFormatting>
  <conditionalFormatting sqref="H9:H39">
    <cfRule type="cellIs" dxfId="7703" priority="16" operator="between">
      <formula>3.5</formula>
      <formula>6</formula>
    </cfRule>
    <cfRule type="cellIs" dxfId="7702" priority="17" operator="lessThan">
      <formula>3.5</formula>
    </cfRule>
    <cfRule type="cellIs" dxfId="7701" priority="18" operator="greaterThan">
      <formula>6</formula>
    </cfRule>
  </conditionalFormatting>
  <conditionalFormatting sqref="H9:H39">
    <cfRule type="cellIs" dxfId="7700" priority="13" operator="between">
      <formula>3.5</formula>
      <formula>6</formula>
    </cfRule>
    <cfRule type="cellIs" dxfId="7699" priority="14" operator="lessThan">
      <formula>3.5</formula>
    </cfRule>
    <cfRule type="cellIs" dxfId="7698" priority="15" operator="greaterThan">
      <formula>6</formula>
    </cfRule>
  </conditionalFormatting>
  <conditionalFormatting sqref="H9:H39">
    <cfRule type="cellIs" dxfId="7697" priority="10" operator="between">
      <formula>3.5</formula>
      <formula>6</formula>
    </cfRule>
    <cfRule type="cellIs" dxfId="7696" priority="11" operator="lessThan">
      <formula>3.5</formula>
    </cfRule>
    <cfRule type="cellIs" dxfId="7695" priority="12" operator="greaterThan">
      <formula>6</formula>
    </cfRule>
  </conditionalFormatting>
  <conditionalFormatting sqref="H9:H39">
    <cfRule type="cellIs" dxfId="7694" priority="7" operator="between">
      <formula>3.5</formula>
      <formula>6</formula>
    </cfRule>
    <cfRule type="cellIs" dxfId="7693" priority="8" operator="lessThan">
      <formula>3.5</formula>
    </cfRule>
    <cfRule type="cellIs" dxfId="7692" priority="9" operator="greaterThan">
      <formula>6</formula>
    </cfRule>
  </conditionalFormatting>
  <conditionalFormatting sqref="H9:H39">
    <cfRule type="cellIs" dxfId="7691" priority="4" operator="between">
      <formula>3.5</formula>
      <formula>6</formula>
    </cfRule>
    <cfRule type="cellIs" dxfId="7690" priority="5" operator="lessThan">
      <formula>3.5</formula>
    </cfRule>
    <cfRule type="cellIs" dxfId="7689" priority="6" operator="greaterThan">
      <formula>6</formula>
    </cfRule>
  </conditionalFormatting>
  <conditionalFormatting sqref="H9:H39">
    <cfRule type="cellIs" dxfId="7688" priority="1" operator="between">
      <formula>3.5</formula>
      <formula>6</formula>
    </cfRule>
    <cfRule type="cellIs" dxfId="7687" priority="2" operator="lessThan">
      <formula>3.5</formula>
    </cfRule>
    <cfRule type="cellIs" dxfId="768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Z49"/>
  <sheetViews>
    <sheetView zoomScale="90" zoomScaleNormal="90" workbookViewId="0">
      <pane ySplit="8" topLeftCell="A9" activePane="bottomLeft" state="frozen"/>
      <selection pane="bottomLeft" activeCell="K10" sqref="K10:K1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64"/>
      <c r="K3" s="1264"/>
      <c r="M3" s="442"/>
      <c r="N3" s="442"/>
      <c r="O3" s="442"/>
    </row>
    <row r="4" spans="1:26" s="1269" customFormat="1" ht="12" customHeight="1">
      <c r="A4" s="1648" t="s">
        <v>33</v>
      </c>
      <c r="B4" s="1648"/>
      <c r="C4" s="551" t="str">
        <f>H4</f>
        <v>ESPANA 60x60 5V nâu</v>
      </c>
      <c r="E4" s="549" t="s">
        <v>228</v>
      </c>
      <c r="F4" s="549" t="s">
        <v>235</v>
      </c>
      <c r="G4" s="550" t="s">
        <v>114</v>
      </c>
      <c r="H4" s="551" t="s">
        <v>1061</v>
      </c>
      <c r="L4" s="143"/>
    </row>
    <row r="5" spans="1:26" s="126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269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266" t="s">
        <v>2</v>
      </c>
      <c r="B7" s="1268" t="s">
        <v>1</v>
      </c>
      <c r="C7" s="126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65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1579</v>
      </c>
      <c r="E8" s="771">
        <f>E40</f>
        <v>0</v>
      </c>
      <c r="F8" s="771"/>
      <c r="G8" s="774">
        <v>1579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1267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1579</v>
      </c>
      <c r="H9" s="451">
        <f>G9/10417</f>
        <v>0.15157914946721704</v>
      </c>
      <c r="I9" s="767"/>
      <c r="J9" s="772"/>
      <c r="K9" s="767"/>
      <c r="L9" s="650">
        <f>G9/$L$8</f>
        <v>0.14482518252192098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1579</v>
      </c>
      <c r="H10" s="451">
        <f t="shared" ref="H10:H39" si="2">G10/10417</f>
        <v>0.15157914946721704</v>
      </c>
      <c r="I10" s="767"/>
      <c r="J10" s="772"/>
      <c r="K10" s="767"/>
      <c r="L10" s="650">
        <f t="shared" ref="L10:L39" si="3">G10/$L$8</f>
        <v>0.14482518252192098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1579</v>
      </c>
      <c r="H11" s="451">
        <f t="shared" si="2"/>
        <v>0.15157914946721704</v>
      </c>
      <c r="I11" s="767"/>
      <c r="J11" s="767"/>
      <c r="K11" s="767"/>
      <c r="L11" s="650">
        <f t="shared" si="3"/>
        <v>0.14482518252192098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1579</v>
      </c>
      <c r="H12" s="451">
        <f t="shared" si="2"/>
        <v>0.15157914946721704</v>
      </c>
      <c r="I12" s="767"/>
      <c r="J12" s="767"/>
      <c r="K12" s="767"/>
      <c r="L12" s="650">
        <f t="shared" si="3"/>
        <v>0.14482518252192098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1579</v>
      </c>
      <c r="H13" s="451">
        <f t="shared" si="2"/>
        <v>0.15157914946721704</v>
      </c>
      <c r="I13" s="767"/>
      <c r="J13" s="767"/>
      <c r="K13" s="767"/>
      <c r="L13" s="650">
        <f t="shared" si="3"/>
        <v>0.14482518252192098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1579</v>
      </c>
      <c r="H14" s="451">
        <f t="shared" si="2"/>
        <v>0.15157914946721704</v>
      </c>
      <c r="I14" s="767"/>
      <c r="J14" s="767"/>
      <c r="K14" s="767"/>
      <c r="L14" s="650">
        <f t="shared" si="3"/>
        <v>0.14482518252192098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1579</v>
      </c>
      <c r="H15" s="451">
        <f t="shared" si="2"/>
        <v>0.15157914946721704</v>
      </c>
      <c r="I15" s="767"/>
      <c r="J15" s="767"/>
      <c r="K15" s="767"/>
      <c r="L15" s="650">
        <f t="shared" si="3"/>
        <v>0.14482518252192098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1579</v>
      </c>
      <c r="H16" s="451">
        <f t="shared" si="2"/>
        <v>0.15157914946721704</v>
      </c>
      <c r="I16" s="767"/>
      <c r="J16" s="767"/>
      <c r="K16" s="767"/>
      <c r="L16" s="650">
        <f t="shared" si="3"/>
        <v>0.14482518252192098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1579</v>
      </c>
      <c r="H17" s="451">
        <f t="shared" si="2"/>
        <v>0.15157914946721704</v>
      </c>
      <c r="I17" s="767"/>
      <c r="J17" s="767"/>
      <c r="K17" s="767"/>
      <c r="L17" s="650">
        <f t="shared" si="3"/>
        <v>0.14482518252192098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1579</v>
      </c>
      <c r="H18" s="451">
        <f t="shared" si="2"/>
        <v>0.15157914946721704</v>
      </c>
      <c r="I18" s="767"/>
      <c r="J18" s="767"/>
      <c r="K18" s="767"/>
      <c r="L18" s="650">
        <f t="shared" si="3"/>
        <v>0.14482518252192098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1579</v>
      </c>
      <c r="H19" s="451">
        <f t="shared" si="2"/>
        <v>0.15157914946721704</v>
      </c>
      <c r="I19" s="767"/>
      <c r="J19" s="767"/>
      <c r="K19" s="767"/>
      <c r="L19" s="650">
        <f t="shared" si="3"/>
        <v>0.14482518252192098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1579</v>
      </c>
      <c r="H20" s="451">
        <f t="shared" si="2"/>
        <v>0.15157914946721704</v>
      </c>
      <c r="I20" s="767"/>
      <c r="J20" s="767"/>
      <c r="K20" s="767"/>
      <c r="L20" s="650">
        <f t="shared" si="3"/>
        <v>0.14482518252192098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1579</v>
      </c>
      <c r="H21" s="451">
        <f t="shared" si="2"/>
        <v>0.15157914946721704</v>
      </c>
      <c r="I21" s="767"/>
      <c r="J21" s="767"/>
      <c r="K21" s="767"/>
      <c r="L21" s="650">
        <f t="shared" si="3"/>
        <v>0.14482518252192098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1579</v>
      </c>
      <c r="H22" s="451">
        <f t="shared" si="2"/>
        <v>0.15157914946721704</v>
      </c>
      <c r="I22" s="767"/>
      <c r="J22" s="767"/>
      <c r="K22" s="767"/>
      <c r="L22" s="650">
        <f t="shared" si="3"/>
        <v>0.14482518252192098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1579</v>
      </c>
      <c r="H23" s="451">
        <f t="shared" si="2"/>
        <v>0.15157914946721704</v>
      </c>
      <c r="I23" s="767"/>
      <c r="J23" s="767"/>
      <c r="K23" s="767"/>
      <c r="L23" s="650">
        <f t="shared" si="3"/>
        <v>0.14482518252192098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1579</v>
      </c>
      <c r="H24" s="451">
        <f t="shared" si="2"/>
        <v>0.15157914946721704</v>
      </c>
      <c r="I24" s="767"/>
      <c r="J24" s="767"/>
      <c r="K24" s="767"/>
      <c r="L24" s="650">
        <f t="shared" si="3"/>
        <v>0.14482518252192098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1579</v>
      </c>
      <c r="H25" s="451">
        <f t="shared" si="2"/>
        <v>0.15157914946721704</v>
      </c>
      <c r="I25" s="767"/>
      <c r="J25" s="767"/>
      <c r="K25" s="767"/>
      <c r="L25" s="650">
        <f t="shared" si="3"/>
        <v>0.14482518252192098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1579</v>
      </c>
      <c r="H26" s="451">
        <f t="shared" si="2"/>
        <v>0.15157914946721704</v>
      </c>
      <c r="I26" s="767"/>
      <c r="J26" s="767"/>
      <c r="K26" s="767"/>
      <c r="L26" s="650">
        <f t="shared" si="3"/>
        <v>0.14482518252192098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1579</v>
      </c>
      <c r="H27" s="451">
        <f t="shared" si="2"/>
        <v>0.15157914946721704</v>
      </c>
      <c r="I27" s="767"/>
      <c r="J27" s="767"/>
      <c r="K27" s="767"/>
      <c r="L27" s="650">
        <f t="shared" si="3"/>
        <v>0.14482518252192098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1579</v>
      </c>
      <c r="H28" s="451">
        <f t="shared" si="2"/>
        <v>0.15157914946721704</v>
      </c>
      <c r="I28" s="767"/>
      <c r="J28" s="767"/>
      <c r="K28" s="767"/>
      <c r="L28" s="650">
        <f t="shared" si="3"/>
        <v>0.14482518252192098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1579</v>
      </c>
      <c r="H29" s="451">
        <f t="shared" si="2"/>
        <v>0.15157914946721704</v>
      </c>
      <c r="I29" s="767"/>
      <c r="J29" s="767"/>
      <c r="K29" s="767"/>
      <c r="L29" s="650">
        <f t="shared" si="3"/>
        <v>0.14482518252192098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1579</v>
      </c>
      <c r="H30" s="451">
        <f t="shared" si="2"/>
        <v>0.15157914946721704</v>
      </c>
      <c r="I30" s="767"/>
      <c r="J30" s="767"/>
      <c r="K30" s="767"/>
      <c r="L30" s="650">
        <f t="shared" si="3"/>
        <v>0.14482518252192098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1579</v>
      </c>
      <c r="H31" s="451">
        <f t="shared" si="2"/>
        <v>0.15157914946721704</v>
      </c>
      <c r="I31" s="767"/>
      <c r="J31" s="767"/>
      <c r="K31" s="767"/>
      <c r="L31" s="650">
        <f t="shared" si="3"/>
        <v>0.14482518252192098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1579</v>
      </c>
      <c r="H32" s="451">
        <f t="shared" si="2"/>
        <v>0.15157914946721704</v>
      </c>
      <c r="I32" s="767"/>
      <c r="J32" s="767"/>
      <c r="K32" s="767"/>
      <c r="L32" s="650">
        <f t="shared" si="3"/>
        <v>0.14482518252192098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1579</v>
      </c>
      <c r="H33" s="451">
        <f t="shared" si="2"/>
        <v>0.15157914946721704</v>
      </c>
      <c r="I33" s="767"/>
      <c r="J33" s="767"/>
      <c r="K33" s="767"/>
      <c r="L33" s="650">
        <f t="shared" si="3"/>
        <v>0.14482518252192098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1579</v>
      </c>
      <c r="H34" s="451">
        <f t="shared" si="2"/>
        <v>0.15157914946721704</v>
      </c>
      <c r="I34" s="767"/>
      <c r="J34" s="767"/>
      <c r="K34" s="767"/>
      <c r="L34" s="650">
        <f t="shared" si="3"/>
        <v>0.14482518252192098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1579</v>
      </c>
      <c r="H35" s="451">
        <f t="shared" si="2"/>
        <v>0.15157914946721704</v>
      </c>
      <c r="I35" s="767"/>
      <c r="J35" s="767"/>
      <c r="K35" s="767"/>
      <c r="L35" s="650">
        <f t="shared" si="3"/>
        <v>0.14482518252192098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1579</v>
      </c>
      <c r="H36" s="451">
        <f t="shared" si="2"/>
        <v>0.15157914946721704</v>
      </c>
      <c r="I36" s="767"/>
      <c r="J36" s="767"/>
      <c r="K36" s="767"/>
      <c r="L36" s="650">
        <f t="shared" si="3"/>
        <v>0.14482518252192098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1579</v>
      </c>
      <c r="H37" s="451">
        <f t="shared" si="2"/>
        <v>0.15157914946721704</v>
      </c>
      <c r="I37" s="767"/>
      <c r="J37" s="767"/>
      <c r="K37" s="767"/>
      <c r="L37" s="650">
        <f t="shared" si="3"/>
        <v>0.14482518252192098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1579</v>
      </c>
      <c r="H38" s="451">
        <f t="shared" si="2"/>
        <v>0.15157914946721704</v>
      </c>
      <c r="I38" s="767"/>
      <c r="J38" s="767"/>
      <c r="K38" s="767"/>
      <c r="L38" s="650">
        <f t="shared" si="3"/>
        <v>0.14482518252192098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1579</v>
      </c>
      <c r="H39" s="451">
        <f t="shared" si="2"/>
        <v>0.15157914946721704</v>
      </c>
      <c r="I39" s="767"/>
      <c r="J39" s="767"/>
      <c r="K39" s="767"/>
      <c r="L39" s="650">
        <f t="shared" si="3"/>
        <v>0.14482518252192098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1579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1579</v>
      </c>
      <c r="E41" s="389">
        <f>E40</f>
        <v>0</v>
      </c>
      <c r="F41" s="449"/>
      <c r="G41" s="389">
        <f>D41-E41</f>
        <v>1579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685" priority="34" operator="between">
      <formula>3.5</formula>
      <formula>6</formula>
    </cfRule>
    <cfRule type="cellIs" dxfId="7684" priority="35" operator="lessThan">
      <formula>3.5</formula>
    </cfRule>
    <cfRule type="cellIs" dxfId="7683" priority="36" operator="greaterThan">
      <formula>6</formula>
    </cfRule>
  </conditionalFormatting>
  <conditionalFormatting sqref="H9:H12 H24:H37 H14:H17 H19:H22 H39">
    <cfRule type="cellIs" dxfId="7682" priority="31" operator="between">
      <formula>3.5</formula>
      <formula>6</formula>
    </cfRule>
    <cfRule type="cellIs" dxfId="7681" priority="32" operator="lessThan">
      <formula>3.5</formula>
    </cfRule>
    <cfRule type="cellIs" dxfId="7680" priority="33" operator="greaterThan">
      <formula>6</formula>
    </cfRule>
  </conditionalFormatting>
  <conditionalFormatting sqref="H23">
    <cfRule type="cellIs" dxfId="7679" priority="28" operator="between">
      <formula>3.5</formula>
      <formula>6</formula>
    </cfRule>
    <cfRule type="cellIs" dxfId="7678" priority="29" operator="lessThan">
      <formula>3.5</formula>
    </cfRule>
    <cfRule type="cellIs" dxfId="7677" priority="30" operator="greaterThan">
      <formula>6</formula>
    </cfRule>
  </conditionalFormatting>
  <conditionalFormatting sqref="H13">
    <cfRule type="cellIs" dxfId="7676" priority="25" operator="between">
      <formula>3.5</formula>
      <formula>6</formula>
    </cfRule>
    <cfRule type="cellIs" dxfId="7675" priority="26" operator="lessThan">
      <formula>3.5</formula>
    </cfRule>
    <cfRule type="cellIs" dxfId="7674" priority="27" operator="greaterThan">
      <formula>6</formula>
    </cfRule>
  </conditionalFormatting>
  <conditionalFormatting sqref="H18">
    <cfRule type="cellIs" dxfId="7673" priority="22" operator="between">
      <formula>3.5</formula>
      <formula>6</formula>
    </cfRule>
    <cfRule type="cellIs" dxfId="7672" priority="23" operator="lessThan">
      <formula>3.5</formula>
    </cfRule>
    <cfRule type="cellIs" dxfId="7671" priority="24" operator="greaterThan">
      <formula>6</formula>
    </cfRule>
  </conditionalFormatting>
  <conditionalFormatting sqref="H9:H39">
    <cfRule type="cellIs" dxfId="7670" priority="19" operator="between">
      <formula>3.5</formula>
      <formula>6</formula>
    </cfRule>
    <cfRule type="cellIs" dxfId="7669" priority="20" operator="lessThan">
      <formula>3.5</formula>
    </cfRule>
    <cfRule type="cellIs" dxfId="7668" priority="21" operator="greaterThan">
      <formula>6</formula>
    </cfRule>
  </conditionalFormatting>
  <conditionalFormatting sqref="H9:H39">
    <cfRule type="cellIs" dxfId="7667" priority="16" operator="between">
      <formula>3.5</formula>
      <formula>6</formula>
    </cfRule>
    <cfRule type="cellIs" dxfId="7666" priority="17" operator="lessThan">
      <formula>3.5</formula>
    </cfRule>
    <cfRule type="cellIs" dxfId="7665" priority="18" operator="greaterThan">
      <formula>6</formula>
    </cfRule>
  </conditionalFormatting>
  <conditionalFormatting sqref="H9:H39">
    <cfRule type="cellIs" dxfId="7664" priority="13" operator="between">
      <formula>3.5</formula>
      <formula>6</formula>
    </cfRule>
    <cfRule type="cellIs" dxfId="7663" priority="14" operator="lessThan">
      <formula>3.5</formula>
    </cfRule>
    <cfRule type="cellIs" dxfId="7662" priority="15" operator="greaterThan">
      <formula>6</formula>
    </cfRule>
  </conditionalFormatting>
  <conditionalFormatting sqref="H9:H39">
    <cfRule type="cellIs" dxfId="7661" priority="10" operator="between">
      <formula>3.5</formula>
      <formula>6</formula>
    </cfRule>
    <cfRule type="cellIs" dxfId="7660" priority="11" operator="lessThan">
      <formula>3.5</formula>
    </cfRule>
    <cfRule type="cellIs" dxfId="7659" priority="12" operator="greaterThan">
      <formula>6</formula>
    </cfRule>
  </conditionalFormatting>
  <conditionalFormatting sqref="H9:H39">
    <cfRule type="cellIs" dxfId="7658" priority="7" operator="between">
      <formula>3.5</formula>
      <formula>6</formula>
    </cfRule>
    <cfRule type="cellIs" dxfId="7657" priority="8" operator="lessThan">
      <formula>3.5</formula>
    </cfRule>
    <cfRule type="cellIs" dxfId="7656" priority="9" operator="greaterThan">
      <formula>6</formula>
    </cfRule>
  </conditionalFormatting>
  <conditionalFormatting sqref="H9:H39">
    <cfRule type="cellIs" dxfId="7655" priority="4" operator="between">
      <formula>3.5</formula>
      <formula>6</formula>
    </cfRule>
    <cfRule type="cellIs" dxfId="7654" priority="5" operator="lessThan">
      <formula>3.5</formula>
    </cfRule>
    <cfRule type="cellIs" dxfId="7653" priority="6" operator="greaterThan">
      <formula>6</formula>
    </cfRule>
  </conditionalFormatting>
  <conditionalFormatting sqref="H9:H39">
    <cfRule type="cellIs" dxfId="7652" priority="1" operator="between">
      <formula>3.5</formula>
      <formula>6</formula>
    </cfRule>
    <cfRule type="cellIs" dxfId="7651" priority="2" operator="lessThan">
      <formula>3.5</formula>
    </cfRule>
    <cfRule type="cellIs" dxfId="765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AA49"/>
  <sheetViews>
    <sheetView zoomScale="90" zoomScaleNormal="90" workbookViewId="0">
      <pane ySplit="8" topLeftCell="A9" activePane="bottomLeft" state="frozen"/>
      <selection pane="bottomLeft" activeCell="D24" sqref="D24:D29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823"/>
      <c r="K3" s="823"/>
      <c r="L3" s="1121"/>
      <c r="N3" s="442"/>
      <c r="O3" s="442"/>
      <c r="P3" s="442"/>
    </row>
    <row r="4" spans="1:27" s="828" customFormat="1" ht="12" customHeight="1">
      <c r="A4" s="1648" t="s">
        <v>33</v>
      </c>
      <c r="B4" s="1648"/>
      <c r="C4" s="548" t="s">
        <v>384</v>
      </c>
      <c r="E4" s="549" t="s">
        <v>228</v>
      </c>
      <c r="F4" s="549" t="s">
        <v>235</v>
      </c>
      <c r="G4" s="550" t="s">
        <v>114</v>
      </c>
      <c r="H4" s="551" t="s">
        <v>475</v>
      </c>
      <c r="L4" s="1122"/>
      <c r="M4" s="143"/>
    </row>
    <row r="5" spans="1:27" s="828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143"/>
    </row>
    <row r="6" spans="1:27" s="828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825" t="s">
        <v>2</v>
      </c>
      <c r="B7" s="827" t="s">
        <v>1</v>
      </c>
      <c r="C7" s="827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824" t="s">
        <v>30</v>
      </c>
      <c r="I7" s="697" t="s">
        <v>341</v>
      </c>
      <c r="J7" s="697" t="s">
        <v>244</v>
      </c>
      <c r="K7" s="697" t="s">
        <v>344</v>
      </c>
      <c r="L7" s="1124" t="s">
        <v>821</v>
      </c>
      <c r="M7" s="143"/>
    </row>
    <row r="8" spans="1:27" s="305" customFormat="1" ht="11.25" customHeight="1">
      <c r="A8" s="1650" t="s">
        <v>3</v>
      </c>
      <c r="B8" s="1651"/>
      <c r="C8" s="1652"/>
      <c r="D8" s="771">
        <f>G8</f>
        <v>1200</v>
      </c>
      <c r="E8" s="771">
        <f>E40</f>
        <v>0</v>
      </c>
      <c r="F8" s="771"/>
      <c r="G8" s="774">
        <v>1200</v>
      </c>
      <c r="H8" s="450"/>
      <c r="I8" s="772"/>
      <c r="J8" s="772"/>
      <c r="K8" s="772"/>
      <c r="L8" s="772"/>
      <c r="M8" s="143">
        <v>10902.8</v>
      </c>
    </row>
    <row r="9" spans="1:27" s="305" customFormat="1" ht="11.25" customHeight="1">
      <c r="A9" s="826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1200</v>
      </c>
      <c r="H9" s="451">
        <f>G9/10417</f>
        <v>0.11519631371796102</v>
      </c>
      <c r="I9" s="767"/>
      <c r="J9" s="767"/>
      <c r="K9" s="767"/>
      <c r="L9" s="767"/>
      <c r="M9" s="650">
        <f>G9/$M$8</f>
        <v>0.11006346993432881</v>
      </c>
    </row>
    <row r="10" spans="1:27" s="333" customFormat="1" ht="11.25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1200</v>
      </c>
      <c r="H10" s="451">
        <f t="shared" ref="H10:H39" si="2">G10/10417</f>
        <v>0.11519631371796102</v>
      </c>
      <c r="I10" s="767"/>
      <c r="J10" s="767"/>
      <c r="K10" s="767"/>
      <c r="L10" s="767"/>
      <c r="M10" s="650">
        <f t="shared" ref="M10:M39" si="3">G10/$M$8</f>
        <v>0.11006346993432881</v>
      </c>
    </row>
    <row r="11" spans="1:27" s="333" customFormat="1" ht="11.25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1200</v>
      </c>
      <c r="H11" s="451">
        <f t="shared" si="2"/>
        <v>0.11519631371796102</v>
      </c>
      <c r="I11" s="767"/>
      <c r="J11" s="767"/>
      <c r="K11" s="767"/>
      <c r="L11" s="767"/>
      <c r="M11" s="650">
        <f t="shared" si="3"/>
        <v>0.11006346993432881</v>
      </c>
    </row>
    <row r="12" spans="1:27" s="367" customFormat="1" ht="11.25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1200</v>
      </c>
      <c r="H12" s="451">
        <f t="shared" si="2"/>
        <v>0.11519631371796102</v>
      </c>
      <c r="I12" s="767"/>
      <c r="J12" s="767"/>
      <c r="K12" s="767"/>
      <c r="L12" s="767"/>
      <c r="M12" s="650">
        <f t="shared" si="3"/>
        <v>0.11006346993432881</v>
      </c>
    </row>
    <row r="13" spans="1:27" s="367" customFormat="1" ht="11.25" customHeight="1">
      <c r="A13" s="425">
        <v>5</v>
      </c>
      <c r="B13" s="365">
        <f>'FRIT HGE91-FHG'!B13</f>
        <v>46239</v>
      </c>
      <c r="C13" s="331" t="s">
        <v>348</v>
      </c>
      <c r="D13" s="768"/>
      <c r="E13" s="396">
        <f t="shared" si="1"/>
        <v>0</v>
      </c>
      <c r="F13" s="396">
        <f t="shared" si="4"/>
        <v>10902.777777777777</v>
      </c>
      <c r="G13" s="769">
        <f t="shared" si="0"/>
        <v>1200</v>
      </c>
      <c r="H13" s="451">
        <f t="shared" si="2"/>
        <v>0.11519631371796102</v>
      </c>
      <c r="I13" s="767"/>
      <c r="J13" s="767"/>
      <c r="K13" s="767"/>
      <c r="L13" s="767"/>
      <c r="M13" s="650">
        <f t="shared" si="3"/>
        <v>0.11006346993432881</v>
      </c>
    </row>
    <row r="14" spans="1:27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1"/>
        <v>0</v>
      </c>
      <c r="F14" s="396">
        <f t="shared" si="4"/>
        <v>10902.777777777777</v>
      </c>
      <c r="G14" s="396">
        <f t="shared" si="0"/>
        <v>1200</v>
      </c>
      <c r="H14" s="451">
        <f t="shared" si="2"/>
        <v>0.11519631371796102</v>
      </c>
      <c r="I14" s="767"/>
      <c r="J14" s="767"/>
      <c r="K14" s="767"/>
      <c r="L14" s="767"/>
      <c r="M14" s="650">
        <f t="shared" si="3"/>
        <v>0.11006346993432881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1"/>
        <v>0</v>
      </c>
      <c r="F15" s="396">
        <f t="shared" si="4"/>
        <v>10902.777777777777</v>
      </c>
      <c r="G15" s="396">
        <f t="shared" si="0"/>
        <v>1200</v>
      </c>
      <c r="H15" s="451">
        <f t="shared" si="2"/>
        <v>0.11519631371796102</v>
      </c>
      <c r="I15" s="767"/>
      <c r="J15" s="767"/>
      <c r="K15" s="767"/>
      <c r="L15" s="767"/>
      <c r="M15" s="650">
        <f t="shared" si="3"/>
        <v>0.11006346993432881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1"/>
        <v>0</v>
      </c>
      <c r="F16" s="396">
        <f t="shared" si="4"/>
        <v>10902.777777777777</v>
      </c>
      <c r="G16" s="396">
        <f t="shared" si="0"/>
        <v>1200</v>
      </c>
      <c r="H16" s="451">
        <f t="shared" si="2"/>
        <v>0.11519631371796102</v>
      </c>
      <c r="I16" s="767"/>
      <c r="J16" s="767"/>
      <c r="K16" s="767"/>
      <c r="L16" s="767"/>
      <c r="M16" s="650">
        <f t="shared" si="3"/>
        <v>0.11006346993432881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1"/>
        <v>0</v>
      </c>
      <c r="F17" s="396">
        <f t="shared" si="4"/>
        <v>10902.777777777777</v>
      </c>
      <c r="G17" s="396">
        <f t="shared" si="0"/>
        <v>1200</v>
      </c>
      <c r="H17" s="451">
        <f t="shared" si="2"/>
        <v>0.11519631371796102</v>
      </c>
      <c r="I17" s="767"/>
      <c r="J17" s="767"/>
      <c r="K17" s="767"/>
      <c r="L17" s="767"/>
      <c r="M17" s="650">
        <f t="shared" si="3"/>
        <v>0.11006346993432881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1"/>
        <v>0</v>
      </c>
      <c r="F18" s="396">
        <f t="shared" si="4"/>
        <v>10902.777777777777</v>
      </c>
      <c r="G18" s="769">
        <f t="shared" si="0"/>
        <v>1200</v>
      </c>
      <c r="H18" s="451">
        <f t="shared" si="2"/>
        <v>0.11519631371796102</v>
      </c>
      <c r="I18" s="767"/>
      <c r="J18" s="767"/>
      <c r="K18" s="767"/>
      <c r="L18" s="767"/>
      <c r="M18" s="650">
        <f t="shared" si="3"/>
        <v>0.11006346993432881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1"/>
        <v>0</v>
      </c>
      <c r="F19" s="396">
        <f t="shared" si="4"/>
        <v>10902.777777777777</v>
      </c>
      <c r="G19" s="396">
        <f t="shared" si="0"/>
        <v>1200</v>
      </c>
      <c r="H19" s="451">
        <f t="shared" si="2"/>
        <v>0.11519631371796102</v>
      </c>
      <c r="I19" s="767"/>
      <c r="J19" s="767"/>
      <c r="K19" s="767"/>
      <c r="L19" s="767"/>
      <c r="M19" s="650">
        <f t="shared" si="3"/>
        <v>0.11006346993432881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1"/>
        <v>0</v>
      </c>
      <c r="F20" s="396">
        <f t="shared" si="4"/>
        <v>10902.777777777777</v>
      </c>
      <c r="G20" s="396">
        <f t="shared" si="0"/>
        <v>1200</v>
      </c>
      <c r="H20" s="451">
        <f t="shared" si="2"/>
        <v>0.11519631371796102</v>
      </c>
      <c r="I20" s="767"/>
      <c r="J20" s="767"/>
      <c r="K20" s="767"/>
      <c r="L20" s="767"/>
      <c r="M20" s="650">
        <f t="shared" si="3"/>
        <v>0.11006346993432881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1"/>
        <v>0</v>
      </c>
      <c r="F21" s="396">
        <f t="shared" si="4"/>
        <v>10902.777777777777</v>
      </c>
      <c r="G21" s="396">
        <f t="shared" si="0"/>
        <v>1200</v>
      </c>
      <c r="H21" s="451">
        <f t="shared" si="2"/>
        <v>0.11519631371796102</v>
      </c>
      <c r="I21" s="767"/>
      <c r="J21" s="767"/>
      <c r="K21" s="767"/>
      <c r="L21" s="767"/>
      <c r="M21" s="650">
        <f t="shared" si="3"/>
        <v>0.11006346993432881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1"/>
        <v>0</v>
      </c>
      <c r="F22" s="396">
        <f t="shared" si="4"/>
        <v>10902.777777777777</v>
      </c>
      <c r="G22" s="396">
        <f t="shared" si="0"/>
        <v>1200</v>
      </c>
      <c r="H22" s="451">
        <f t="shared" si="2"/>
        <v>0.11519631371796102</v>
      </c>
      <c r="I22" s="767"/>
      <c r="J22" s="767"/>
      <c r="K22" s="767"/>
      <c r="L22" s="767"/>
      <c r="M22" s="650">
        <f t="shared" si="3"/>
        <v>0.11006346993432881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1"/>
        <v>0</v>
      </c>
      <c r="F23" s="396">
        <f t="shared" si="4"/>
        <v>10902.777777777777</v>
      </c>
      <c r="G23" s="769">
        <f t="shared" si="0"/>
        <v>1200</v>
      </c>
      <c r="H23" s="451">
        <f t="shared" si="2"/>
        <v>0.11519631371796102</v>
      </c>
      <c r="I23" s="767"/>
      <c r="J23" s="767"/>
      <c r="K23" s="767"/>
      <c r="L23" s="767"/>
      <c r="M23" s="650">
        <f t="shared" si="3"/>
        <v>0.11006346993432881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1"/>
        <v>0</v>
      </c>
      <c r="F24" s="396">
        <f t="shared" si="4"/>
        <v>10902.777777777777</v>
      </c>
      <c r="G24" s="396">
        <f t="shared" si="0"/>
        <v>1200</v>
      </c>
      <c r="H24" s="451">
        <f t="shared" si="2"/>
        <v>0.11519631371796102</v>
      </c>
      <c r="I24" s="767"/>
      <c r="J24" s="767"/>
      <c r="K24" s="767"/>
      <c r="L24" s="767"/>
      <c r="M24" s="650">
        <f t="shared" si="3"/>
        <v>0.11006346993432881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1"/>
        <v>0</v>
      </c>
      <c r="F25" s="396">
        <f t="shared" si="4"/>
        <v>10902.777777777777</v>
      </c>
      <c r="G25" s="396">
        <f t="shared" si="0"/>
        <v>1200</v>
      </c>
      <c r="H25" s="451">
        <f t="shared" si="2"/>
        <v>0.11519631371796102</v>
      </c>
      <c r="I25" s="767"/>
      <c r="J25" s="767"/>
      <c r="K25" s="767"/>
      <c r="L25" s="767"/>
      <c r="M25" s="650">
        <f t="shared" si="3"/>
        <v>0.11006346993432881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1"/>
        <v>0</v>
      </c>
      <c r="F26" s="396">
        <f t="shared" si="4"/>
        <v>10902.777777777777</v>
      </c>
      <c r="G26" s="396">
        <f t="shared" si="0"/>
        <v>1200</v>
      </c>
      <c r="H26" s="451">
        <f t="shared" si="2"/>
        <v>0.11519631371796102</v>
      </c>
      <c r="I26" s="767"/>
      <c r="J26" s="767"/>
      <c r="K26" s="767"/>
      <c r="L26" s="767"/>
      <c r="M26" s="650">
        <f t="shared" si="3"/>
        <v>0.11006346993432881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1"/>
        <v>0</v>
      </c>
      <c r="F27" s="396">
        <f t="shared" si="4"/>
        <v>10902.777777777777</v>
      </c>
      <c r="G27" s="396">
        <f t="shared" si="0"/>
        <v>1200</v>
      </c>
      <c r="H27" s="451">
        <f t="shared" si="2"/>
        <v>0.11519631371796102</v>
      </c>
      <c r="I27" s="767"/>
      <c r="J27" s="767"/>
      <c r="K27" s="767"/>
      <c r="L27" s="767"/>
      <c r="M27" s="650">
        <f t="shared" si="3"/>
        <v>0.11006346993432881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1"/>
        <v>0</v>
      </c>
      <c r="F28" s="396">
        <f t="shared" si="4"/>
        <v>10902.777777777777</v>
      </c>
      <c r="G28" s="769">
        <f t="shared" si="0"/>
        <v>1200</v>
      </c>
      <c r="H28" s="451">
        <f t="shared" si="2"/>
        <v>0.11519631371796102</v>
      </c>
      <c r="I28" s="767"/>
      <c r="J28" s="767"/>
      <c r="K28" s="767"/>
      <c r="L28" s="767"/>
      <c r="M28" s="650">
        <f t="shared" si="3"/>
        <v>0.11006346993432881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1"/>
        <v>0</v>
      </c>
      <c r="F29" s="396">
        <f t="shared" si="4"/>
        <v>10902.777777777777</v>
      </c>
      <c r="G29" s="393">
        <f t="shared" si="0"/>
        <v>1200</v>
      </c>
      <c r="H29" s="451">
        <f t="shared" si="2"/>
        <v>0.11519631371796102</v>
      </c>
      <c r="I29" s="767"/>
      <c r="J29" s="767"/>
      <c r="K29" s="767"/>
      <c r="L29" s="767"/>
      <c r="M29" s="650">
        <f t="shared" si="3"/>
        <v>0.11006346993432881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1"/>
        <v>0</v>
      </c>
      <c r="F30" s="396">
        <f t="shared" si="4"/>
        <v>10902.777777777777</v>
      </c>
      <c r="G30" s="393">
        <f t="shared" si="0"/>
        <v>1200</v>
      </c>
      <c r="H30" s="451">
        <f t="shared" si="2"/>
        <v>0.11519631371796102</v>
      </c>
      <c r="I30" s="767"/>
      <c r="J30" s="767"/>
      <c r="K30" s="767"/>
      <c r="L30" s="767"/>
      <c r="M30" s="650">
        <f t="shared" si="3"/>
        <v>0.11006346993432881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0"/>
        <v>1200</v>
      </c>
      <c r="H31" s="451">
        <f t="shared" si="2"/>
        <v>0.11519631371796102</v>
      </c>
      <c r="I31" s="767"/>
      <c r="J31" s="767"/>
      <c r="K31" s="767"/>
      <c r="L31" s="767"/>
      <c r="M31" s="650">
        <f t="shared" si="3"/>
        <v>0.11006346993432881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0"/>
        <v>1200</v>
      </c>
      <c r="H32" s="451">
        <f t="shared" si="2"/>
        <v>0.11519631371796102</v>
      </c>
      <c r="I32" s="767"/>
      <c r="J32" s="767"/>
      <c r="K32" s="767"/>
      <c r="L32" s="767"/>
      <c r="M32" s="650">
        <f t="shared" si="3"/>
        <v>0.11006346993432881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0"/>
        <v>1200</v>
      </c>
      <c r="H33" s="451">
        <f t="shared" si="2"/>
        <v>0.11519631371796102</v>
      </c>
      <c r="I33" s="767"/>
      <c r="J33" s="767"/>
      <c r="K33" s="767"/>
      <c r="L33" s="767"/>
      <c r="M33" s="650">
        <f t="shared" si="3"/>
        <v>0.11006346993432881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1200</v>
      </c>
      <c r="H34" s="451">
        <f t="shared" si="2"/>
        <v>0.11519631371796102</v>
      </c>
      <c r="I34" s="767"/>
      <c r="J34" s="767"/>
      <c r="K34" s="767"/>
      <c r="L34" s="767"/>
      <c r="M34" s="650">
        <f t="shared" si="3"/>
        <v>0.11006346993432881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1200</v>
      </c>
      <c r="H35" s="451">
        <f t="shared" si="2"/>
        <v>0.11519631371796102</v>
      </c>
      <c r="I35" s="767"/>
      <c r="J35" s="767"/>
      <c r="K35" s="767"/>
      <c r="L35" s="767"/>
      <c r="M35" s="650">
        <f t="shared" si="3"/>
        <v>0.11006346993432881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1200</v>
      </c>
      <c r="H36" s="451">
        <f t="shared" si="2"/>
        <v>0.11519631371796102</v>
      </c>
      <c r="I36" s="767"/>
      <c r="J36" s="767"/>
      <c r="K36" s="767"/>
      <c r="L36" s="767"/>
      <c r="M36" s="650">
        <f t="shared" si="3"/>
        <v>0.11006346993432881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1200</v>
      </c>
      <c r="H37" s="451">
        <f t="shared" si="2"/>
        <v>0.11519631371796102</v>
      </c>
      <c r="I37" s="767"/>
      <c r="J37" s="767"/>
      <c r="K37" s="767"/>
      <c r="L37" s="767"/>
      <c r="M37" s="650">
        <f t="shared" si="3"/>
        <v>0.11006346993432881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1200</v>
      </c>
      <c r="H38" s="451">
        <f t="shared" si="2"/>
        <v>0.11519631371796102</v>
      </c>
      <c r="I38" s="767"/>
      <c r="J38" s="767"/>
      <c r="K38" s="767"/>
      <c r="L38" s="767"/>
      <c r="M38" s="650">
        <f t="shared" si="3"/>
        <v>0.11006346993432881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1200</v>
      </c>
      <c r="H39" s="451">
        <f t="shared" si="2"/>
        <v>0.11519631371796102</v>
      </c>
      <c r="I39" s="767"/>
      <c r="J39" s="767"/>
      <c r="K39" s="767"/>
      <c r="L39" s="767"/>
      <c r="M39" s="650">
        <f t="shared" si="3"/>
        <v>0.11006346993432881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1200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1200</v>
      </c>
      <c r="E41" s="389">
        <f>E40</f>
        <v>0</v>
      </c>
      <c r="F41" s="449"/>
      <c r="G41" s="389">
        <f>D41-E41</f>
        <v>1200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649" priority="34" operator="between">
      <formula>3.5</formula>
      <formula>6</formula>
    </cfRule>
    <cfRule type="cellIs" dxfId="7648" priority="35" operator="lessThan">
      <formula>3.5</formula>
    </cfRule>
    <cfRule type="cellIs" dxfId="7647" priority="36" operator="greaterThan">
      <formula>6</formula>
    </cfRule>
  </conditionalFormatting>
  <conditionalFormatting sqref="H9:H12 H24:H37 H14:H17 H19:H22 H39">
    <cfRule type="cellIs" dxfId="7646" priority="31" operator="between">
      <formula>3.5</formula>
      <formula>6</formula>
    </cfRule>
    <cfRule type="cellIs" dxfId="7645" priority="32" operator="lessThan">
      <formula>3.5</formula>
    </cfRule>
    <cfRule type="cellIs" dxfId="7644" priority="33" operator="greaterThan">
      <formula>6</formula>
    </cfRule>
  </conditionalFormatting>
  <conditionalFormatting sqref="H23">
    <cfRule type="cellIs" dxfId="7643" priority="28" operator="between">
      <formula>3.5</formula>
      <formula>6</formula>
    </cfRule>
    <cfRule type="cellIs" dxfId="7642" priority="29" operator="lessThan">
      <formula>3.5</formula>
    </cfRule>
    <cfRule type="cellIs" dxfId="7641" priority="30" operator="greaterThan">
      <formula>6</formula>
    </cfRule>
  </conditionalFormatting>
  <conditionalFormatting sqref="H13">
    <cfRule type="cellIs" dxfId="7640" priority="25" operator="between">
      <formula>3.5</formula>
      <formula>6</formula>
    </cfRule>
    <cfRule type="cellIs" dxfId="7639" priority="26" operator="lessThan">
      <formula>3.5</formula>
    </cfRule>
    <cfRule type="cellIs" dxfId="7638" priority="27" operator="greaterThan">
      <formula>6</formula>
    </cfRule>
  </conditionalFormatting>
  <conditionalFormatting sqref="H18">
    <cfRule type="cellIs" dxfId="7637" priority="22" operator="between">
      <formula>3.5</formula>
      <formula>6</formula>
    </cfRule>
    <cfRule type="cellIs" dxfId="7636" priority="23" operator="lessThan">
      <formula>3.5</formula>
    </cfRule>
    <cfRule type="cellIs" dxfId="7635" priority="24" operator="greaterThan">
      <formula>6</formula>
    </cfRule>
  </conditionalFormatting>
  <conditionalFormatting sqref="H9:H39">
    <cfRule type="cellIs" dxfId="7634" priority="19" operator="between">
      <formula>3.5</formula>
      <formula>6</formula>
    </cfRule>
    <cfRule type="cellIs" dxfId="7633" priority="20" operator="lessThan">
      <formula>3.5</formula>
    </cfRule>
    <cfRule type="cellIs" dxfId="7632" priority="21" operator="greaterThan">
      <formula>6</formula>
    </cfRule>
  </conditionalFormatting>
  <conditionalFormatting sqref="H9:H39">
    <cfRule type="cellIs" dxfId="7631" priority="16" operator="between">
      <formula>3.5</formula>
      <formula>6</formula>
    </cfRule>
    <cfRule type="cellIs" dxfId="7630" priority="17" operator="lessThan">
      <formula>3.5</formula>
    </cfRule>
    <cfRule type="cellIs" dxfId="7629" priority="18" operator="greaterThan">
      <formula>6</formula>
    </cfRule>
  </conditionalFormatting>
  <conditionalFormatting sqref="H9:H39">
    <cfRule type="cellIs" dxfId="7628" priority="13" operator="between">
      <formula>3.5</formula>
      <formula>6</formula>
    </cfRule>
    <cfRule type="cellIs" dxfId="7627" priority="14" operator="lessThan">
      <formula>3.5</formula>
    </cfRule>
    <cfRule type="cellIs" dxfId="7626" priority="15" operator="greaterThan">
      <formula>6</formula>
    </cfRule>
  </conditionalFormatting>
  <conditionalFormatting sqref="H9:H39">
    <cfRule type="cellIs" dxfId="7625" priority="10" operator="between">
      <formula>3.5</formula>
      <formula>6</formula>
    </cfRule>
    <cfRule type="cellIs" dxfId="7624" priority="11" operator="lessThan">
      <formula>3.5</formula>
    </cfRule>
    <cfRule type="cellIs" dxfId="7623" priority="12" operator="greaterThan">
      <formula>6</formula>
    </cfRule>
  </conditionalFormatting>
  <conditionalFormatting sqref="H9:H39">
    <cfRule type="cellIs" dxfId="7622" priority="7" operator="between">
      <formula>3.5</formula>
      <formula>6</formula>
    </cfRule>
    <cfRule type="cellIs" dxfId="7621" priority="8" operator="lessThan">
      <formula>3.5</formula>
    </cfRule>
    <cfRule type="cellIs" dxfId="7620" priority="9" operator="greaterThan">
      <formula>6</formula>
    </cfRule>
  </conditionalFormatting>
  <conditionalFormatting sqref="H9:H39">
    <cfRule type="cellIs" dxfId="7619" priority="4" operator="between">
      <formula>3.5</formula>
      <formula>6</formula>
    </cfRule>
    <cfRule type="cellIs" dxfId="7618" priority="5" operator="lessThan">
      <formula>3.5</formula>
    </cfRule>
    <cfRule type="cellIs" dxfId="7617" priority="6" operator="greaterThan">
      <formula>6</formula>
    </cfRule>
  </conditionalFormatting>
  <conditionalFormatting sqref="H9:H39">
    <cfRule type="cellIs" dxfId="7616" priority="1" operator="between">
      <formula>3.5</formula>
      <formula>6</formula>
    </cfRule>
    <cfRule type="cellIs" dxfId="7615" priority="2" operator="lessThan">
      <formula>3.5</formula>
    </cfRule>
    <cfRule type="cellIs" dxfId="761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Z49"/>
  <sheetViews>
    <sheetView zoomScale="90" zoomScaleNormal="90" workbookViewId="0">
      <pane ySplit="8" topLeftCell="A18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955"/>
      <c r="K3" s="955"/>
      <c r="M3" s="442"/>
      <c r="N3" s="442"/>
      <c r="O3" s="442"/>
    </row>
    <row r="4" spans="1:26" s="960" customFormat="1" ht="12" customHeight="1">
      <c r="A4" s="1648" t="s">
        <v>33</v>
      </c>
      <c r="B4" s="1648"/>
      <c r="C4" s="548" t="s">
        <v>384</v>
      </c>
      <c r="E4" s="549" t="s">
        <v>228</v>
      </c>
      <c r="F4" s="549" t="s">
        <v>235</v>
      </c>
      <c r="G4" s="550" t="s">
        <v>114</v>
      </c>
      <c r="H4" s="551" t="s">
        <v>761</v>
      </c>
      <c r="L4" s="143"/>
    </row>
    <row r="5" spans="1:26" s="960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960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957" t="s">
        <v>2</v>
      </c>
      <c r="B7" s="959" t="s">
        <v>1</v>
      </c>
      <c r="C7" s="959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956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958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67"/>
      <c r="J9" s="767"/>
      <c r="K9" s="767"/>
      <c r="L9" s="650">
        <f>G9/$L$8</f>
        <v>0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67"/>
      <c r="J10" s="767"/>
      <c r="K10" s="767"/>
      <c r="L10" s="650">
        <f t="shared" ref="L10:L39" si="3">G10/$L$8</f>
        <v>0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67"/>
      <c r="J11" s="767"/>
      <c r="K11" s="767"/>
      <c r="L11" s="650">
        <f t="shared" si="3"/>
        <v>0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67"/>
      <c r="J12" s="767"/>
      <c r="K12" s="767"/>
      <c r="L12" s="650">
        <f t="shared" si="3"/>
        <v>0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348</v>
      </c>
      <c r="D13" s="768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67"/>
      <c r="J13" s="767"/>
      <c r="K13" s="767"/>
      <c r="L13" s="650">
        <f t="shared" si="3"/>
        <v>0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67"/>
      <c r="J14" s="767"/>
      <c r="K14" s="767"/>
      <c r="L14" s="650">
        <f t="shared" si="3"/>
        <v>0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67"/>
      <c r="J15" s="767"/>
      <c r="K15" s="767"/>
      <c r="L15" s="650">
        <f t="shared" si="3"/>
        <v>0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67"/>
      <c r="J16" s="767"/>
      <c r="K16" s="767"/>
      <c r="L16" s="650">
        <f t="shared" si="3"/>
        <v>0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67"/>
      <c r="J17" s="767"/>
      <c r="K17" s="767"/>
      <c r="L17" s="650">
        <f t="shared" si="3"/>
        <v>0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67"/>
      <c r="J18" s="767"/>
      <c r="K18" s="767"/>
      <c r="L18" s="650">
        <f t="shared" si="3"/>
        <v>0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67"/>
      <c r="J19" s="767"/>
      <c r="K19" s="767"/>
      <c r="L19" s="650">
        <f t="shared" si="3"/>
        <v>0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67"/>
      <c r="J20" s="767"/>
      <c r="K20" s="767"/>
      <c r="L20" s="650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67"/>
      <c r="J21" s="767"/>
      <c r="K21" s="767"/>
      <c r="L21" s="650">
        <f t="shared" si="3"/>
        <v>0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67"/>
      <c r="J22" s="767"/>
      <c r="K22" s="767"/>
      <c r="L22" s="650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67"/>
      <c r="J23" s="767"/>
      <c r="K23" s="767"/>
      <c r="L23" s="650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67"/>
      <c r="J24" s="767"/>
      <c r="K24" s="767"/>
      <c r="L24" s="650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67"/>
      <c r="J25" s="767"/>
      <c r="K25" s="767"/>
      <c r="L25" s="650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67"/>
      <c r="J26" s="767"/>
      <c r="K26" s="767"/>
      <c r="L26" s="650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67"/>
      <c r="J27" s="767"/>
      <c r="K27" s="767"/>
      <c r="L27" s="650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67"/>
      <c r="J28" s="767"/>
      <c r="K28" s="767"/>
      <c r="L28" s="650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67"/>
      <c r="J29" s="767"/>
      <c r="K29" s="767"/>
      <c r="L29" s="650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67"/>
      <c r="J30" s="767"/>
      <c r="K30" s="767"/>
      <c r="L30" s="650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67"/>
      <c r="J31" s="767"/>
      <c r="K31" s="767"/>
      <c r="L31" s="650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67"/>
      <c r="J32" s="767"/>
      <c r="K32" s="767"/>
      <c r="L32" s="650">
        <f t="shared" si="3"/>
        <v>0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67"/>
      <c r="J33" s="767"/>
      <c r="K33" s="767"/>
      <c r="L33" s="650">
        <f t="shared" si="3"/>
        <v>0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67"/>
      <c r="J34" s="767"/>
      <c r="K34" s="767"/>
      <c r="L34" s="650">
        <f t="shared" si="3"/>
        <v>0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67"/>
      <c r="J35" s="767"/>
      <c r="K35" s="767"/>
      <c r="L35" s="650">
        <f t="shared" si="3"/>
        <v>0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67"/>
      <c r="J36" s="767"/>
      <c r="K36" s="767"/>
      <c r="L36" s="650">
        <f t="shared" si="3"/>
        <v>0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67"/>
      <c r="J37" s="767"/>
      <c r="K37" s="767"/>
      <c r="L37" s="650">
        <f t="shared" si="3"/>
        <v>0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67"/>
      <c r="J38" s="767"/>
      <c r="K38" s="767"/>
      <c r="L38" s="650">
        <f t="shared" si="3"/>
        <v>0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67"/>
      <c r="J39" s="767"/>
      <c r="K39" s="767"/>
      <c r="L39" s="650">
        <f t="shared" si="3"/>
        <v>0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613" priority="34" operator="between">
      <formula>3.5</formula>
      <formula>6</formula>
    </cfRule>
    <cfRule type="cellIs" dxfId="7612" priority="35" operator="lessThan">
      <formula>3.5</formula>
    </cfRule>
    <cfRule type="cellIs" dxfId="7611" priority="36" operator="greaterThan">
      <formula>6</formula>
    </cfRule>
  </conditionalFormatting>
  <conditionalFormatting sqref="H9:H12 H24:H37 H14:H17 H19:H22 H39">
    <cfRule type="cellIs" dxfId="7610" priority="31" operator="between">
      <formula>3.5</formula>
      <formula>6</formula>
    </cfRule>
    <cfRule type="cellIs" dxfId="7609" priority="32" operator="lessThan">
      <formula>3.5</formula>
    </cfRule>
    <cfRule type="cellIs" dxfId="7608" priority="33" operator="greaterThan">
      <formula>6</formula>
    </cfRule>
  </conditionalFormatting>
  <conditionalFormatting sqref="H23">
    <cfRule type="cellIs" dxfId="7607" priority="28" operator="between">
      <formula>3.5</formula>
      <formula>6</formula>
    </cfRule>
    <cfRule type="cellIs" dxfId="7606" priority="29" operator="lessThan">
      <formula>3.5</formula>
    </cfRule>
    <cfRule type="cellIs" dxfId="7605" priority="30" operator="greaterThan">
      <formula>6</formula>
    </cfRule>
  </conditionalFormatting>
  <conditionalFormatting sqref="H13">
    <cfRule type="cellIs" dxfId="7604" priority="25" operator="between">
      <formula>3.5</formula>
      <formula>6</formula>
    </cfRule>
    <cfRule type="cellIs" dxfId="7603" priority="26" operator="lessThan">
      <formula>3.5</formula>
    </cfRule>
    <cfRule type="cellIs" dxfId="7602" priority="27" operator="greaterThan">
      <formula>6</formula>
    </cfRule>
  </conditionalFormatting>
  <conditionalFormatting sqref="H18">
    <cfRule type="cellIs" dxfId="7601" priority="22" operator="between">
      <formula>3.5</formula>
      <formula>6</formula>
    </cfRule>
    <cfRule type="cellIs" dxfId="7600" priority="23" operator="lessThan">
      <formula>3.5</formula>
    </cfRule>
    <cfRule type="cellIs" dxfId="7599" priority="24" operator="greaterThan">
      <formula>6</formula>
    </cfRule>
  </conditionalFormatting>
  <conditionalFormatting sqref="H9:H39">
    <cfRule type="cellIs" dxfId="7598" priority="19" operator="between">
      <formula>3.5</formula>
      <formula>6</formula>
    </cfRule>
    <cfRule type="cellIs" dxfId="7597" priority="20" operator="lessThan">
      <formula>3.5</formula>
    </cfRule>
    <cfRule type="cellIs" dxfId="7596" priority="21" operator="greaterThan">
      <formula>6</formula>
    </cfRule>
  </conditionalFormatting>
  <conditionalFormatting sqref="H9:H39">
    <cfRule type="cellIs" dxfId="7595" priority="16" operator="between">
      <formula>3.5</formula>
      <formula>6</formula>
    </cfRule>
    <cfRule type="cellIs" dxfId="7594" priority="17" operator="lessThan">
      <formula>3.5</formula>
    </cfRule>
    <cfRule type="cellIs" dxfId="7593" priority="18" operator="greaterThan">
      <formula>6</formula>
    </cfRule>
  </conditionalFormatting>
  <conditionalFormatting sqref="H9:H39">
    <cfRule type="cellIs" dxfId="7592" priority="13" operator="between">
      <formula>3.5</formula>
      <formula>6</formula>
    </cfRule>
    <cfRule type="cellIs" dxfId="7591" priority="14" operator="lessThan">
      <formula>3.5</formula>
    </cfRule>
    <cfRule type="cellIs" dxfId="7590" priority="15" operator="greaterThan">
      <formula>6</formula>
    </cfRule>
  </conditionalFormatting>
  <conditionalFormatting sqref="H9:H39">
    <cfRule type="cellIs" dxfId="7589" priority="10" operator="between">
      <formula>3.5</formula>
      <formula>6</formula>
    </cfRule>
    <cfRule type="cellIs" dxfId="7588" priority="11" operator="lessThan">
      <formula>3.5</formula>
    </cfRule>
    <cfRule type="cellIs" dxfId="7587" priority="12" operator="greaterThan">
      <formula>6</formula>
    </cfRule>
  </conditionalFormatting>
  <conditionalFormatting sqref="H9:H39">
    <cfRule type="cellIs" dxfId="7586" priority="7" operator="between">
      <formula>3.5</formula>
      <formula>6</formula>
    </cfRule>
    <cfRule type="cellIs" dxfId="7585" priority="8" operator="lessThan">
      <formula>3.5</formula>
    </cfRule>
    <cfRule type="cellIs" dxfId="7584" priority="9" operator="greaterThan">
      <formula>6</formula>
    </cfRule>
  </conditionalFormatting>
  <conditionalFormatting sqref="H9:H39">
    <cfRule type="cellIs" dxfId="7583" priority="4" operator="between">
      <formula>3.5</formula>
      <formula>6</formula>
    </cfRule>
    <cfRule type="cellIs" dxfId="7582" priority="5" operator="lessThan">
      <formula>3.5</formula>
    </cfRule>
    <cfRule type="cellIs" dxfId="7581" priority="6" operator="greaterThan">
      <formula>6</formula>
    </cfRule>
  </conditionalFormatting>
  <conditionalFormatting sqref="H9:H39">
    <cfRule type="cellIs" dxfId="7580" priority="1" operator="between">
      <formula>3.5</formula>
      <formula>6</formula>
    </cfRule>
    <cfRule type="cellIs" dxfId="7579" priority="2" operator="lessThan">
      <formula>3.5</formula>
    </cfRule>
    <cfRule type="cellIs" dxfId="757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Z49"/>
  <sheetViews>
    <sheetView zoomScale="90" zoomScaleNormal="90" workbookViewId="0">
      <pane ySplit="8" topLeftCell="A18" activePane="bottomLeft" state="frozen"/>
      <selection pane="bottomLeft" activeCell="K10" sqref="K10:K14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81"/>
      <c r="K3" s="1181"/>
      <c r="M3" s="442"/>
      <c r="N3" s="442"/>
      <c r="O3" s="442"/>
    </row>
    <row r="4" spans="1:26" s="1186" customFormat="1" ht="12" customHeight="1">
      <c r="A4" s="1648" t="s">
        <v>33</v>
      </c>
      <c r="B4" s="1648"/>
      <c r="C4" s="551" t="str">
        <f>H4</f>
        <v>GREEN ERA nâu 40x80-HA</v>
      </c>
      <c r="E4" s="549" t="s">
        <v>228</v>
      </c>
      <c r="F4" s="549" t="s">
        <v>235</v>
      </c>
      <c r="G4" s="550" t="s">
        <v>114</v>
      </c>
      <c r="H4" s="551" t="s">
        <v>976</v>
      </c>
      <c r="L4" s="143"/>
    </row>
    <row r="5" spans="1:26" s="118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18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183" t="s">
        <v>2</v>
      </c>
      <c r="B7" s="1185" t="s">
        <v>1</v>
      </c>
      <c r="C7" s="1185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82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1184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67"/>
      <c r="J9" s="767"/>
      <c r="K9" s="767"/>
      <c r="L9" s="650">
        <f>G9/$L$8</f>
        <v>0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67"/>
      <c r="J10" s="767"/>
      <c r="K10" s="767"/>
      <c r="L10" s="650">
        <f t="shared" ref="L10:L39" si="3">G10/$L$8</f>
        <v>0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67"/>
      <c r="J11" s="767"/>
      <c r="K11" s="767"/>
      <c r="L11" s="650">
        <f t="shared" si="3"/>
        <v>0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67"/>
      <c r="J12" s="767"/>
      <c r="K12" s="767"/>
      <c r="L12" s="650">
        <f t="shared" si="3"/>
        <v>0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67"/>
      <c r="J13" s="767"/>
      <c r="K13" s="767"/>
      <c r="L13" s="650">
        <f t="shared" si="3"/>
        <v>0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67"/>
      <c r="J14" s="767"/>
      <c r="K14" s="767"/>
      <c r="L14" s="650">
        <f t="shared" si="3"/>
        <v>0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67"/>
      <c r="J15" s="767"/>
      <c r="K15" s="767"/>
      <c r="L15" s="650">
        <f t="shared" si="3"/>
        <v>0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67"/>
      <c r="J16" s="767"/>
      <c r="K16" s="767"/>
      <c r="L16" s="650">
        <f t="shared" si="3"/>
        <v>0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67"/>
      <c r="J17" s="767"/>
      <c r="K17" s="767"/>
      <c r="L17" s="650">
        <f t="shared" si="3"/>
        <v>0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67"/>
      <c r="J18" s="767"/>
      <c r="K18" s="767"/>
      <c r="L18" s="650">
        <f t="shared" si="3"/>
        <v>0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67"/>
      <c r="J19" s="767"/>
      <c r="K19" s="767"/>
      <c r="L19" s="650">
        <f t="shared" si="3"/>
        <v>0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67"/>
      <c r="J20" s="767"/>
      <c r="K20" s="767"/>
      <c r="L20" s="650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67"/>
      <c r="J21" s="767"/>
      <c r="K21" s="767"/>
      <c r="L21" s="650">
        <f t="shared" si="3"/>
        <v>0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67"/>
      <c r="J22" s="767"/>
      <c r="K22" s="767"/>
      <c r="L22" s="650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67"/>
      <c r="J23" s="767"/>
      <c r="K23" s="767"/>
      <c r="L23" s="650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67"/>
      <c r="J24" s="767"/>
      <c r="K24" s="767"/>
      <c r="L24" s="650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67"/>
      <c r="J25" s="767"/>
      <c r="K25" s="767"/>
      <c r="L25" s="650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67"/>
      <c r="J26" s="767"/>
      <c r="K26" s="767"/>
      <c r="L26" s="650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67"/>
      <c r="J27" s="767"/>
      <c r="K27" s="767"/>
      <c r="L27" s="650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67"/>
      <c r="J28" s="767"/>
      <c r="K28" s="767"/>
      <c r="L28" s="650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67"/>
      <c r="J29" s="767"/>
      <c r="K29" s="767"/>
      <c r="L29" s="650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67"/>
      <c r="J30" s="767"/>
      <c r="K30" s="767"/>
      <c r="L30" s="650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67"/>
      <c r="J31" s="767"/>
      <c r="K31" s="767"/>
      <c r="L31" s="650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67"/>
      <c r="J32" s="767"/>
      <c r="K32" s="767"/>
      <c r="L32" s="650">
        <f t="shared" si="3"/>
        <v>0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67"/>
      <c r="J33" s="767"/>
      <c r="K33" s="767"/>
      <c r="L33" s="650">
        <f t="shared" si="3"/>
        <v>0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67"/>
      <c r="J34" s="767"/>
      <c r="K34" s="767"/>
      <c r="L34" s="650">
        <f t="shared" si="3"/>
        <v>0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67"/>
      <c r="J35" s="767"/>
      <c r="K35" s="767"/>
      <c r="L35" s="650">
        <f t="shared" si="3"/>
        <v>0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67"/>
      <c r="J36" s="767"/>
      <c r="K36" s="767"/>
      <c r="L36" s="650">
        <f t="shared" si="3"/>
        <v>0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67"/>
      <c r="J37" s="767"/>
      <c r="K37" s="767"/>
      <c r="L37" s="650">
        <f t="shared" si="3"/>
        <v>0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67"/>
      <c r="J38" s="767"/>
      <c r="K38" s="767"/>
      <c r="L38" s="650">
        <f t="shared" si="3"/>
        <v>0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67"/>
      <c r="J39" s="767"/>
      <c r="K39" s="767"/>
      <c r="L39" s="650">
        <f t="shared" si="3"/>
        <v>0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577" priority="34" operator="between">
      <formula>3.5</formula>
      <formula>6</formula>
    </cfRule>
    <cfRule type="cellIs" dxfId="7576" priority="35" operator="lessThan">
      <formula>3.5</formula>
    </cfRule>
    <cfRule type="cellIs" dxfId="7575" priority="36" operator="greaterThan">
      <formula>6</formula>
    </cfRule>
  </conditionalFormatting>
  <conditionalFormatting sqref="H9:H12 H24:H37 H14:H17 H19:H22 H39">
    <cfRule type="cellIs" dxfId="7574" priority="31" operator="between">
      <formula>3.5</formula>
      <formula>6</formula>
    </cfRule>
    <cfRule type="cellIs" dxfId="7573" priority="32" operator="lessThan">
      <formula>3.5</formula>
    </cfRule>
    <cfRule type="cellIs" dxfId="7572" priority="33" operator="greaterThan">
      <formula>6</formula>
    </cfRule>
  </conditionalFormatting>
  <conditionalFormatting sqref="H23">
    <cfRule type="cellIs" dxfId="7571" priority="28" operator="between">
      <formula>3.5</formula>
      <formula>6</formula>
    </cfRule>
    <cfRule type="cellIs" dxfId="7570" priority="29" operator="lessThan">
      <formula>3.5</formula>
    </cfRule>
    <cfRule type="cellIs" dxfId="7569" priority="30" operator="greaterThan">
      <formula>6</formula>
    </cfRule>
  </conditionalFormatting>
  <conditionalFormatting sqref="H13">
    <cfRule type="cellIs" dxfId="7568" priority="25" operator="between">
      <formula>3.5</formula>
      <formula>6</formula>
    </cfRule>
    <cfRule type="cellIs" dxfId="7567" priority="26" operator="lessThan">
      <formula>3.5</formula>
    </cfRule>
    <cfRule type="cellIs" dxfId="7566" priority="27" operator="greaterThan">
      <formula>6</formula>
    </cfRule>
  </conditionalFormatting>
  <conditionalFormatting sqref="H18">
    <cfRule type="cellIs" dxfId="7565" priority="22" operator="between">
      <formula>3.5</formula>
      <formula>6</formula>
    </cfRule>
    <cfRule type="cellIs" dxfId="7564" priority="23" operator="lessThan">
      <formula>3.5</formula>
    </cfRule>
    <cfRule type="cellIs" dxfId="7563" priority="24" operator="greaterThan">
      <formula>6</formula>
    </cfRule>
  </conditionalFormatting>
  <conditionalFormatting sqref="H9:H39">
    <cfRule type="cellIs" dxfId="7562" priority="19" operator="between">
      <formula>3.5</formula>
      <formula>6</formula>
    </cfRule>
    <cfRule type="cellIs" dxfId="7561" priority="20" operator="lessThan">
      <formula>3.5</formula>
    </cfRule>
    <cfRule type="cellIs" dxfId="7560" priority="21" operator="greaterThan">
      <formula>6</formula>
    </cfRule>
  </conditionalFormatting>
  <conditionalFormatting sqref="H9:H39">
    <cfRule type="cellIs" dxfId="7559" priority="16" operator="between">
      <formula>3.5</formula>
      <formula>6</formula>
    </cfRule>
    <cfRule type="cellIs" dxfId="7558" priority="17" operator="lessThan">
      <formula>3.5</formula>
    </cfRule>
    <cfRule type="cellIs" dxfId="7557" priority="18" operator="greaterThan">
      <formula>6</formula>
    </cfRule>
  </conditionalFormatting>
  <conditionalFormatting sqref="H9:H39">
    <cfRule type="cellIs" dxfId="7556" priority="13" operator="between">
      <formula>3.5</formula>
      <formula>6</formula>
    </cfRule>
    <cfRule type="cellIs" dxfId="7555" priority="14" operator="lessThan">
      <formula>3.5</formula>
    </cfRule>
    <cfRule type="cellIs" dxfId="7554" priority="15" operator="greaterThan">
      <formula>6</formula>
    </cfRule>
  </conditionalFormatting>
  <conditionalFormatting sqref="H9:H39">
    <cfRule type="cellIs" dxfId="7553" priority="10" operator="between">
      <formula>3.5</formula>
      <formula>6</formula>
    </cfRule>
    <cfRule type="cellIs" dxfId="7552" priority="11" operator="lessThan">
      <formula>3.5</formula>
    </cfRule>
    <cfRule type="cellIs" dxfId="7551" priority="12" operator="greaterThan">
      <formula>6</formula>
    </cfRule>
  </conditionalFormatting>
  <conditionalFormatting sqref="H9:H39">
    <cfRule type="cellIs" dxfId="7550" priority="7" operator="between">
      <formula>3.5</formula>
      <formula>6</formula>
    </cfRule>
    <cfRule type="cellIs" dxfId="7549" priority="8" operator="lessThan">
      <formula>3.5</formula>
    </cfRule>
    <cfRule type="cellIs" dxfId="7548" priority="9" operator="greaterThan">
      <formula>6</formula>
    </cfRule>
  </conditionalFormatting>
  <conditionalFormatting sqref="H9:H39">
    <cfRule type="cellIs" dxfId="7547" priority="4" operator="between">
      <formula>3.5</formula>
      <formula>6</formula>
    </cfRule>
    <cfRule type="cellIs" dxfId="7546" priority="5" operator="lessThan">
      <formula>3.5</formula>
    </cfRule>
    <cfRule type="cellIs" dxfId="7545" priority="6" operator="greaterThan">
      <formula>6</formula>
    </cfRule>
  </conditionalFormatting>
  <conditionalFormatting sqref="H9:H39">
    <cfRule type="cellIs" dxfId="7544" priority="1" operator="between">
      <formula>3.5</formula>
      <formula>6</formula>
    </cfRule>
    <cfRule type="cellIs" dxfId="7543" priority="2" operator="lessThan">
      <formula>3.5</formula>
    </cfRule>
    <cfRule type="cellIs" dxfId="754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Z49"/>
  <sheetViews>
    <sheetView zoomScale="90" zoomScaleNormal="90" workbookViewId="0">
      <pane ySplit="8" topLeftCell="A18" activePane="bottomLeft" state="frozen"/>
      <selection pane="bottomLeft" activeCell="J34" sqref="J34:J38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72"/>
      <c r="K3" s="1272"/>
      <c r="M3" s="442"/>
      <c r="N3" s="442"/>
      <c r="O3" s="442"/>
    </row>
    <row r="4" spans="1:26" s="1277" customFormat="1" ht="12" customHeight="1">
      <c r="A4" s="1648" t="s">
        <v>33</v>
      </c>
      <c r="B4" s="1648"/>
      <c r="C4" s="551" t="str">
        <f>H4</f>
        <v>GREEN ERA nâu 40x80 5V-HA</v>
      </c>
      <c r="E4" s="549" t="s">
        <v>228</v>
      </c>
      <c r="F4" s="549" t="s">
        <v>235</v>
      </c>
      <c r="G4" s="550" t="s">
        <v>114</v>
      </c>
      <c r="H4" s="551" t="s">
        <v>1084</v>
      </c>
      <c r="L4" s="143"/>
    </row>
    <row r="5" spans="1:26" s="127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277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274" t="s">
        <v>2</v>
      </c>
      <c r="B7" s="1276" t="s">
        <v>1</v>
      </c>
      <c r="C7" s="127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73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1.25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1.25" customHeight="1">
      <c r="A9" s="1275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67"/>
      <c r="J9" s="767"/>
      <c r="K9" s="767"/>
      <c r="L9" s="650">
        <f>G9/$L$8</f>
        <v>0</v>
      </c>
    </row>
    <row r="10" spans="1:26" s="333" customFormat="1" ht="11.25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67"/>
      <c r="J10" s="767"/>
      <c r="K10" s="767"/>
      <c r="L10" s="650">
        <f t="shared" ref="L10:L39" si="3">G10/$L$8</f>
        <v>0</v>
      </c>
    </row>
    <row r="11" spans="1:26" s="333" customFormat="1" ht="11.25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67"/>
      <c r="J11" s="767"/>
      <c r="K11" s="767"/>
      <c r="L11" s="650">
        <f t="shared" si="3"/>
        <v>0</v>
      </c>
    </row>
    <row r="12" spans="1:26" s="367" customFormat="1" ht="11.25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67"/>
      <c r="J12" s="767"/>
      <c r="K12" s="767"/>
      <c r="L12" s="650">
        <f t="shared" si="3"/>
        <v>0</v>
      </c>
    </row>
    <row r="13" spans="1:26" s="367" customFormat="1" ht="11.25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67"/>
      <c r="J13" s="767"/>
      <c r="K13" s="767"/>
      <c r="L13" s="650">
        <f t="shared" si="3"/>
        <v>0</v>
      </c>
    </row>
    <row r="14" spans="1:26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67"/>
      <c r="J14" s="767"/>
      <c r="K14" s="767"/>
      <c r="L14" s="650">
        <f t="shared" si="3"/>
        <v>0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67"/>
      <c r="J15" s="767"/>
      <c r="K15" s="767"/>
      <c r="L15" s="650">
        <f t="shared" si="3"/>
        <v>0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67"/>
      <c r="J16" s="767"/>
      <c r="K16" s="767"/>
      <c r="L16" s="650">
        <f t="shared" si="3"/>
        <v>0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67"/>
      <c r="J17" s="767"/>
      <c r="K17" s="767"/>
      <c r="L17" s="650">
        <f t="shared" si="3"/>
        <v>0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67"/>
      <c r="J18" s="767"/>
      <c r="K18" s="767"/>
      <c r="L18" s="650">
        <f t="shared" si="3"/>
        <v>0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67"/>
      <c r="J19" s="767"/>
      <c r="K19" s="767"/>
      <c r="L19" s="650">
        <f t="shared" si="3"/>
        <v>0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67"/>
      <c r="J20" s="767"/>
      <c r="K20" s="767"/>
      <c r="L20" s="650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67"/>
      <c r="J21" s="767"/>
      <c r="K21" s="767"/>
      <c r="L21" s="650">
        <f t="shared" si="3"/>
        <v>0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67"/>
      <c r="J22" s="767"/>
      <c r="K22" s="767"/>
      <c r="L22" s="650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67"/>
      <c r="J23" s="767"/>
      <c r="K23" s="767"/>
      <c r="L23" s="650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67"/>
      <c r="J24" s="767"/>
      <c r="K24" s="767"/>
      <c r="L24" s="650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67"/>
      <c r="J25" s="767"/>
      <c r="K25" s="767"/>
      <c r="L25" s="650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67"/>
      <c r="J26" s="767"/>
      <c r="K26" s="767"/>
      <c r="L26" s="650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67"/>
      <c r="J27" s="767"/>
      <c r="K27" s="767"/>
      <c r="L27" s="650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67"/>
      <c r="J28" s="767"/>
      <c r="K28" s="767"/>
      <c r="L28" s="650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67"/>
      <c r="J29" s="767"/>
      <c r="K29" s="767"/>
      <c r="L29" s="650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67"/>
      <c r="J30" s="767"/>
      <c r="K30" s="767"/>
      <c r="L30" s="650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67"/>
      <c r="J31" s="767"/>
      <c r="K31" s="767"/>
      <c r="L31" s="650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67"/>
      <c r="J32" s="767"/>
      <c r="K32" s="767"/>
      <c r="L32" s="650">
        <f t="shared" si="3"/>
        <v>0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67"/>
      <c r="J33" s="767"/>
      <c r="K33" s="767"/>
      <c r="L33" s="650">
        <f t="shared" si="3"/>
        <v>0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67"/>
      <c r="J34" s="767"/>
      <c r="K34" s="767"/>
      <c r="L34" s="650">
        <f t="shared" si="3"/>
        <v>0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67"/>
      <c r="J35" s="767"/>
      <c r="K35" s="767"/>
      <c r="L35" s="650">
        <f t="shared" si="3"/>
        <v>0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67"/>
      <c r="J36" s="767"/>
      <c r="K36" s="767"/>
      <c r="L36" s="650">
        <f t="shared" si="3"/>
        <v>0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67"/>
      <c r="J37" s="767"/>
      <c r="K37" s="767"/>
      <c r="L37" s="650">
        <f t="shared" si="3"/>
        <v>0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67"/>
      <c r="J38" s="767"/>
      <c r="K38" s="767"/>
      <c r="L38" s="650">
        <f t="shared" si="3"/>
        <v>0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67"/>
      <c r="J39" s="767"/>
      <c r="K39" s="767"/>
      <c r="L39" s="650">
        <f t="shared" si="3"/>
        <v>0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541" priority="34" operator="between">
      <formula>3.5</formula>
      <formula>6</formula>
    </cfRule>
    <cfRule type="cellIs" dxfId="7540" priority="35" operator="lessThan">
      <formula>3.5</formula>
    </cfRule>
    <cfRule type="cellIs" dxfId="7539" priority="36" operator="greaterThan">
      <formula>6</formula>
    </cfRule>
  </conditionalFormatting>
  <conditionalFormatting sqref="H9:H12 H24:H37 H14:H17 H19:H22 H39">
    <cfRule type="cellIs" dxfId="7538" priority="31" operator="between">
      <formula>3.5</formula>
      <formula>6</formula>
    </cfRule>
    <cfRule type="cellIs" dxfId="7537" priority="32" operator="lessThan">
      <formula>3.5</formula>
    </cfRule>
    <cfRule type="cellIs" dxfId="7536" priority="33" operator="greaterThan">
      <formula>6</formula>
    </cfRule>
  </conditionalFormatting>
  <conditionalFormatting sqref="H23">
    <cfRule type="cellIs" dxfId="7535" priority="28" operator="between">
      <formula>3.5</formula>
      <formula>6</formula>
    </cfRule>
    <cfRule type="cellIs" dxfId="7534" priority="29" operator="lessThan">
      <formula>3.5</formula>
    </cfRule>
    <cfRule type="cellIs" dxfId="7533" priority="30" operator="greaterThan">
      <formula>6</formula>
    </cfRule>
  </conditionalFormatting>
  <conditionalFormatting sqref="H13">
    <cfRule type="cellIs" dxfId="7532" priority="25" operator="between">
      <formula>3.5</formula>
      <formula>6</formula>
    </cfRule>
    <cfRule type="cellIs" dxfId="7531" priority="26" operator="lessThan">
      <formula>3.5</formula>
    </cfRule>
    <cfRule type="cellIs" dxfId="7530" priority="27" operator="greaterThan">
      <formula>6</formula>
    </cfRule>
  </conditionalFormatting>
  <conditionalFormatting sqref="H18">
    <cfRule type="cellIs" dxfId="7529" priority="22" operator="between">
      <formula>3.5</formula>
      <formula>6</formula>
    </cfRule>
    <cfRule type="cellIs" dxfId="7528" priority="23" operator="lessThan">
      <formula>3.5</formula>
    </cfRule>
    <cfRule type="cellIs" dxfId="7527" priority="24" operator="greaterThan">
      <formula>6</formula>
    </cfRule>
  </conditionalFormatting>
  <conditionalFormatting sqref="H9:H39">
    <cfRule type="cellIs" dxfId="7526" priority="19" operator="between">
      <formula>3.5</formula>
      <formula>6</formula>
    </cfRule>
    <cfRule type="cellIs" dxfId="7525" priority="20" operator="lessThan">
      <formula>3.5</formula>
    </cfRule>
    <cfRule type="cellIs" dxfId="7524" priority="21" operator="greaterThan">
      <formula>6</formula>
    </cfRule>
  </conditionalFormatting>
  <conditionalFormatting sqref="H9:H39">
    <cfRule type="cellIs" dxfId="7523" priority="16" operator="between">
      <formula>3.5</formula>
      <formula>6</formula>
    </cfRule>
    <cfRule type="cellIs" dxfId="7522" priority="17" operator="lessThan">
      <formula>3.5</formula>
    </cfRule>
    <cfRule type="cellIs" dxfId="7521" priority="18" operator="greaterThan">
      <formula>6</formula>
    </cfRule>
  </conditionalFormatting>
  <conditionalFormatting sqref="H9:H39">
    <cfRule type="cellIs" dxfId="7520" priority="13" operator="between">
      <formula>3.5</formula>
      <formula>6</formula>
    </cfRule>
    <cfRule type="cellIs" dxfId="7519" priority="14" operator="lessThan">
      <formula>3.5</formula>
    </cfRule>
    <cfRule type="cellIs" dxfId="7518" priority="15" operator="greaterThan">
      <formula>6</formula>
    </cfRule>
  </conditionalFormatting>
  <conditionalFormatting sqref="H9:H39">
    <cfRule type="cellIs" dxfId="7517" priority="10" operator="between">
      <formula>3.5</formula>
      <formula>6</formula>
    </cfRule>
    <cfRule type="cellIs" dxfId="7516" priority="11" operator="lessThan">
      <formula>3.5</formula>
    </cfRule>
    <cfRule type="cellIs" dxfId="7515" priority="12" operator="greaterThan">
      <formula>6</formula>
    </cfRule>
  </conditionalFormatting>
  <conditionalFormatting sqref="H9:H39">
    <cfRule type="cellIs" dxfId="7514" priority="7" operator="between">
      <formula>3.5</formula>
      <formula>6</formula>
    </cfRule>
    <cfRule type="cellIs" dxfId="7513" priority="8" operator="lessThan">
      <formula>3.5</formula>
    </cfRule>
    <cfRule type="cellIs" dxfId="7512" priority="9" operator="greaterThan">
      <formula>6</formula>
    </cfRule>
  </conditionalFormatting>
  <conditionalFormatting sqref="H9:H39">
    <cfRule type="cellIs" dxfId="7511" priority="4" operator="between">
      <formula>3.5</formula>
      <formula>6</formula>
    </cfRule>
    <cfRule type="cellIs" dxfId="7510" priority="5" operator="lessThan">
      <formula>3.5</formula>
    </cfRule>
    <cfRule type="cellIs" dxfId="7509" priority="6" operator="greaterThan">
      <formula>6</formula>
    </cfRule>
  </conditionalFormatting>
  <conditionalFormatting sqref="H9:H39">
    <cfRule type="cellIs" dxfId="7508" priority="1" operator="between">
      <formula>3.5</formula>
      <formula>6</formula>
    </cfRule>
    <cfRule type="cellIs" dxfId="7507" priority="2" operator="lessThan">
      <formula>3.5</formula>
    </cfRule>
    <cfRule type="cellIs" dxfId="750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Z49"/>
  <sheetViews>
    <sheetView zoomScale="90" zoomScaleNormal="90" workbookViewId="0">
      <pane ySplit="8" topLeftCell="A15" activePane="bottomLeft" state="frozen"/>
      <selection pane="bottomLeft" activeCell="G8" sqref="G8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408</v>
      </c>
      <c r="E4" s="549" t="s">
        <v>228</v>
      </c>
      <c r="F4" s="549" t="s">
        <v>235</v>
      </c>
      <c r="G4" s="550" t="s">
        <v>114</v>
      </c>
      <c r="H4" s="551" t="s">
        <v>392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2" customHeight="1">
      <c r="A8" s="1650" t="s">
        <v>3</v>
      </c>
      <c r="B8" s="1651"/>
      <c r="C8" s="1652"/>
      <c r="D8" s="771">
        <f>G8</f>
        <v>6700</v>
      </c>
      <c r="E8" s="771">
        <f>E40</f>
        <v>0</v>
      </c>
      <c r="F8" s="771"/>
      <c r="G8" s="774">
        <v>6700</v>
      </c>
      <c r="H8" s="450"/>
      <c r="I8" s="772"/>
      <c r="J8" s="772"/>
      <c r="K8" s="772"/>
      <c r="L8" s="143">
        <v>10902.8</v>
      </c>
    </row>
    <row r="9" spans="1:26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6700</v>
      </c>
      <c r="H9" s="451">
        <f>G9/10417</f>
        <v>0.64317941825861569</v>
      </c>
      <c r="I9" s="767"/>
      <c r="J9" s="767"/>
      <c r="K9" s="767"/>
      <c r="L9" s="650">
        <f>G9/$L$8</f>
        <v>0.61452104046666911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6700</v>
      </c>
      <c r="H10" s="451">
        <f t="shared" ref="H10:H39" si="2">G10/10417</f>
        <v>0.64317941825861569</v>
      </c>
      <c r="I10" s="767"/>
      <c r="J10" s="767"/>
      <c r="K10" s="767"/>
      <c r="L10" s="650">
        <f t="shared" ref="L10:L39" si="3">G10/$L$8</f>
        <v>0.61452104046666911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6700</v>
      </c>
      <c r="H11" s="451">
        <f t="shared" si="2"/>
        <v>0.64317941825861569</v>
      </c>
      <c r="I11" s="767"/>
      <c r="J11" s="767"/>
      <c r="K11" s="767"/>
      <c r="L11" s="650">
        <f t="shared" si="3"/>
        <v>0.61452104046666911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6700</v>
      </c>
      <c r="H12" s="451">
        <f t="shared" si="2"/>
        <v>0.64317941825861569</v>
      </c>
      <c r="I12" s="767"/>
      <c r="J12" s="767"/>
      <c r="K12" s="767"/>
      <c r="L12" s="650">
        <f t="shared" si="3"/>
        <v>0.61452104046666911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768"/>
      <c r="E13" s="396">
        <f t="shared" si="1"/>
        <v>0</v>
      </c>
      <c r="F13" s="396">
        <f t="shared" si="4"/>
        <v>10902.777777777777</v>
      </c>
      <c r="G13" s="769">
        <f t="shared" si="0"/>
        <v>6700</v>
      </c>
      <c r="H13" s="451">
        <f t="shared" si="2"/>
        <v>0.64317941825861569</v>
      </c>
      <c r="I13" s="767"/>
      <c r="J13" s="767"/>
      <c r="K13" s="767"/>
      <c r="L13" s="650">
        <f t="shared" si="3"/>
        <v>0.61452104046666911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1"/>
        <v>0</v>
      </c>
      <c r="F14" s="396">
        <f t="shared" si="4"/>
        <v>10902.777777777777</v>
      </c>
      <c r="G14" s="396">
        <f t="shared" si="0"/>
        <v>6700</v>
      </c>
      <c r="H14" s="451">
        <f t="shared" si="2"/>
        <v>0.64317941825861569</v>
      </c>
      <c r="I14" s="767"/>
      <c r="J14" s="767"/>
      <c r="K14" s="767"/>
      <c r="L14" s="650">
        <f t="shared" si="3"/>
        <v>0.61452104046666911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1"/>
        <v>0</v>
      </c>
      <c r="F15" s="396">
        <f t="shared" si="4"/>
        <v>10902.777777777777</v>
      </c>
      <c r="G15" s="396">
        <f t="shared" si="0"/>
        <v>6700</v>
      </c>
      <c r="H15" s="451">
        <f t="shared" si="2"/>
        <v>0.64317941825861569</v>
      </c>
      <c r="I15" s="767"/>
      <c r="J15" s="767"/>
      <c r="K15" s="767"/>
      <c r="L15" s="650">
        <f t="shared" si="3"/>
        <v>0.61452104046666911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1"/>
        <v>0</v>
      </c>
      <c r="F16" s="396">
        <f t="shared" si="4"/>
        <v>10902.777777777777</v>
      </c>
      <c r="G16" s="396">
        <f t="shared" si="0"/>
        <v>6700</v>
      </c>
      <c r="H16" s="451">
        <f t="shared" si="2"/>
        <v>0.64317941825861569</v>
      </c>
      <c r="I16" s="767"/>
      <c r="J16" s="767"/>
      <c r="K16" s="767"/>
      <c r="L16" s="650">
        <f t="shared" si="3"/>
        <v>0.61452104046666911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1"/>
        <v>0</v>
      </c>
      <c r="F17" s="396">
        <f t="shared" si="4"/>
        <v>10902.777777777777</v>
      </c>
      <c r="G17" s="396">
        <f t="shared" si="0"/>
        <v>6700</v>
      </c>
      <c r="H17" s="451">
        <f t="shared" si="2"/>
        <v>0.64317941825861569</v>
      </c>
      <c r="I17" s="767"/>
      <c r="J17" s="767"/>
      <c r="K17" s="767"/>
      <c r="L17" s="650">
        <f t="shared" si="3"/>
        <v>0.61452104046666911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1"/>
        <v>0</v>
      </c>
      <c r="F18" s="396">
        <f t="shared" si="4"/>
        <v>10902.777777777777</v>
      </c>
      <c r="G18" s="769">
        <f t="shared" si="0"/>
        <v>6700</v>
      </c>
      <c r="H18" s="451">
        <f t="shared" si="2"/>
        <v>0.64317941825861569</v>
      </c>
      <c r="I18" s="767"/>
      <c r="J18" s="767"/>
      <c r="K18" s="767"/>
      <c r="L18" s="650">
        <f t="shared" si="3"/>
        <v>0.61452104046666911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1"/>
        <v>0</v>
      </c>
      <c r="F19" s="396">
        <f t="shared" si="4"/>
        <v>10902.777777777777</v>
      </c>
      <c r="G19" s="396">
        <f t="shared" si="0"/>
        <v>6700</v>
      </c>
      <c r="H19" s="451">
        <f t="shared" si="2"/>
        <v>0.64317941825861569</v>
      </c>
      <c r="I19" s="767"/>
      <c r="J19" s="767"/>
      <c r="K19" s="767"/>
      <c r="L19" s="650">
        <f t="shared" si="3"/>
        <v>0.61452104046666911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1"/>
        <v>0</v>
      </c>
      <c r="F20" s="396">
        <f t="shared" si="4"/>
        <v>10902.777777777777</v>
      </c>
      <c r="G20" s="396">
        <f t="shared" si="0"/>
        <v>6700</v>
      </c>
      <c r="H20" s="451">
        <f t="shared" si="2"/>
        <v>0.64317941825861569</v>
      </c>
      <c r="I20" s="767"/>
      <c r="J20" s="767"/>
      <c r="K20" s="767"/>
      <c r="L20" s="650">
        <f t="shared" si="3"/>
        <v>0.61452104046666911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1"/>
        <v>0</v>
      </c>
      <c r="F21" s="396">
        <f t="shared" si="4"/>
        <v>10902.777777777777</v>
      </c>
      <c r="G21" s="396">
        <f t="shared" si="0"/>
        <v>6700</v>
      </c>
      <c r="H21" s="451">
        <f t="shared" si="2"/>
        <v>0.64317941825861569</v>
      </c>
      <c r="I21" s="767"/>
      <c r="J21" s="767"/>
      <c r="K21" s="767"/>
      <c r="L21" s="650">
        <f t="shared" si="3"/>
        <v>0.61452104046666911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1"/>
        <v>0</v>
      </c>
      <c r="F22" s="396">
        <f t="shared" si="4"/>
        <v>10902.777777777777</v>
      </c>
      <c r="G22" s="396">
        <f t="shared" si="0"/>
        <v>6700</v>
      </c>
      <c r="H22" s="451">
        <f t="shared" si="2"/>
        <v>0.64317941825861569</v>
      </c>
      <c r="I22" s="767"/>
      <c r="J22" s="767"/>
      <c r="K22" s="767"/>
      <c r="L22" s="650">
        <f t="shared" si="3"/>
        <v>0.61452104046666911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1"/>
        <v>0</v>
      </c>
      <c r="F23" s="396">
        <f t="shared" si="4"/>
        <v>10902.777777777777</v>
      </c>
      <c r="G23" s="769">
        <f t="shared" si="0"/>
        <v>6700</v>
      </c>
      <c r="H23" s="451">
        <f t="shared" si="2"/>
        <v>0.64317941825861569</v>
      </c>
      <c r="I23" s="767"/>
      <c r="J23" s="767"/>
      <c r="K23" s="767"/>
      <c r="L23" s="650">
        <f t="shared" si="3"/>
        <v>0.61452104046666911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1"/>
        <v>0</v>
      </c>
      <c r="F24" s="396">
        <f t="shared" si="4"/>
        <v>10902.777777777777</v>
      </c>
      <c r="G24" s="396">
        <f t="shared" si="0"/>
        <v>6700</v>
      </c>
      <c r="H24" s="451">
        <f t="shared" si="2"/>
        <v>0.64317941825861569</v>
      </c>
      <c r="I24" s="767"/>
      <c r="J24" s="767"/>
      <c r="K24" s="767"/>
      <c r="L24" s="650">
        <f t="shared" si="3"/>
        <v>0.61452104046666911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1"/>
        <v>0</v>
      </c>
      <c r="F25" s="396">
        <f t="shared" si="4"/>
        <v>10902.777777777777</v>
      </c>
      <c r="G25" s="396">
        <f t="shared" si="0"/>
        <v>6700</v>
      </c>
      <c r="H25" s="451">
        <f t="shared" si="2"/>
        <v>0.64317941825861569</v>
      </c>
      <c r="I25" s="767"/>
      <c r="J25" s="767"/>
      <c r="K25" s="767"/>
      <c r="L25" s="650">
        <f t="shared" si="3"/>
        <v>0.61452104046666911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1"/>
        <v>0</v>
      </c>
      <c r="F26" s="396">
        <f t="shared" si="4"/>
        <v>10902.777777777777</v>
      </c>
      <c r="G26" s="396">
        <f t="shared" si="0"/>
        <v>6700</v>
      </c>
      <c r="H26" s="451">
        <f t="shared" si="2"/>
        <v>0.64317941825861569</v>
      </c>
      <c r="I26" s="767"/>
      <c r="J26" s="767"/>
      <c r="K26" s="767"/>
      <c r="L26" s="650">
        <f t="shared" si="3"/>
        <v>0.61452104046666911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1"/>
        <v>0</v>
      </c>
      <c r="F27" s="396">
        <f t="shared" si="4"/>
        <v>10902.777777777777</v>
      </c>
      <c r="G27" s="396">
        <f t="shared" si="0"/>
        <v>6700</v>
      </c>
      <c r="H27" s="451">
        <f t="shared" si="2"/>
        <v>0.64317941825861569</v>
      </c>
      <c r="I27" s="767"/>
      <c r="J27" s="767"/>
      <c r="K27" s="767"/>
      <c r="L27" s="650">
        <f t="shared" si="3"/>
        <v>0.61452104046666911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1"/>
        <v>0</v>
      </c>
      <c r="F28" s="396">
        <f t="shared" si="4"/>
        <v>10902.777777777777</v>
      </c>
      <c r="G28" s="769">
        <f t="shared" si="0"/>
        <v>6700</v>
      </c>
      <c r="H28" s="451">
        <f t="shared" si="2"/>
        <v>0.64317941825861569</v>
      </c>
      <c r="I28" s="767"/>
      <c r="J28" s="767"/>
      <c r="K28" s="767"/>
      <c r="L28" s="650">
        <f t="shared" si="3"/>
        <v>0.61452104046666911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1"/>
        <v>0</v>
      </c>
      <c r="F29" s="396">
        <f t="shared" si="4"/>
        <v>10902.777777777777</v>
      </c>
      <c r="G29" s="393">
        <f t="shared" si="0"/>
        <v>6700</v>
      </c>
      <c r="H29" s="451">
        <f t="shared" si="2"/>
        <v>0.64317941825861569</v>
      </c>
      <c r="I29" s="767"/>
      <c r="J29" s="767"/>
      <c r="K29" s="767"/>
      <c r="L29" s="650">
        <f t="shared" si="3"/>
        <v>0.61452104046666911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1"/>
        <v>0</v>
      </c>
      <c r="F30" s="396">
        <f t="shared" si="4"/>
        <v>10902.777777777777</v>
      </c>
      <c r="G30" s="393">
        <f t="shared" si="0"/>
        <v>6700</v>
      </c>
      <c r="H30" s="451">
        <f t="shared" si="2"/>
        <v>0.64317941825861569</v>
      </c>
      <c r="I30" s="767"/>
      <c r="J30" s="767"/>
      <c r="K30" s="767"/>
      <c r="L30" s="650">
        <f t="shared" si="3"/>
        <v>0.61452104046666911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1"/>
        <v>0</v>
      </c>
      <c r="F31" s="396">
        <f t="shared" si="4"/>
        <v>10902.777777777777</v>
      </c>
      <c r="G31" s="393">
        <f t="shared" si="0"/>
        <v>6700</v>
      </c>
      <c r="H31" s="451">
        <f t="shared" si="2"/>
        <v>0.64317941825861569</v>
      </c>
      <c r="I31" s="767"/>
      <c r="J31" s="767"/>
      <c r="K31" s="767"/>
      <c r="L31" s="650">
        <f t="shared" si="3"/>
        <v>0.61452104046666911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1"/>
        <v>0</v>
      </c>
      <c r="F32" s="396">
        <f t="shared" si="4"/>
        <v>10902.777777777777</v>
      </c>
      <c r="G32" s="393">
        <f t="shared" si="0"/>
        <v>6700</v>
      </c>
      <c r="H32" s="451">
        <f t="shared" si="2"/>
        <v>0.64317941825861569</v>
      </c>
      <c r="I32" s="767"/>
      <c r="J32" s="767"/>
      <c r="K32" s="767"/>
      <c r="L32" s="650">
        <f t="shared" si="3"/>
        <v>0.61452104046666911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1"/>
        <v>0</v>
      </c>
      <c r="F33" s="396">
        <f t="shared" si="4"/>
        <v>10902.777777777777</v>
      </c>
      <c r="G33" s="770">
        <f t="shared" si="0"/>
        <v>6700</v>
      </c>
      <c r="H33" s="451">
        <f t="shared" si="2"/>
        <v>0.64317941825861569</v>
      </c>
      <c r="I33" s="767"/>
      <c r="J33" s="767"/>
      <c r="K33" s="767"/>
      <c r="L33" s="650">
        <f t="shared" si="3"/>
        <v>0.61452104046666911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1"/>
        <v>0</v>
      </c>
      <c r="F34" s="396">
        <f t="shared" si="4"/>
        <v>10902.777777777777</v>
      </c>
      <c r="G34" s="396">
        <f t="shared" si="0"/>
        <v>6700</v>
      </c>
      <c r="H34" s="451">
        <f t="shared" si="2"/>
        <v>0.64317941825861569</v>
      </c>
      <c r="I34" s="767"/>
      <c r="J34" s="767"/>
      <c r="K34" s="767"/>
      <c r="L34" s="650">
        <f t="shared" si="3"/>
        <v>0.61452104046666911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1"/>
        <v>0</v>
      </c>
      <c r="F35" s="396">
        <f t="shared" si="4"/>
        <v>10902.777777777777</v>
      </c>
      <c r="G35" s="396">
        <f t="shared" si="0"/>
        <v>6700</v>
      </c>
      <c r="H35" s="451">
        <f t="shared" si="2"/>
        <v>0.64317941825861569</v>
      </c>
      <c r="I35" s="767"/>
      <c r="J35" s="767"/>
      <c r="K35" s="767"/>
      <c r="L35" s="650">
        <f t="shared" si="3"/>
        <v>0.61452104046666911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1"/>
        <v>0</v>
      </c>
      <c r="F36" s="396">
        <f t="shared" si="4"/>
        <v>10902.777777777777</v>
      </c>
      <c r="G36" s="396">
        <f t="shared" si="0"/>
        <v>6700</v>
      </c>
      <c r="H36" s="451">
        <f t="shared" si="2"/>
        <v>0.64317941825861569</v>
      </c>
      <c r="I36" s="767"/>
      <c r="J36" s="767"/>
      <c r="K36" s="767"/>
      <c r="L36" s="650">
        <f t="shared" si="3"/>
        <v>0.61452104046666911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1"/>
        <v>0</v>
      </c>
      <c r="F37" s="396">
        <f t="shared" si="4"/>
        <v>10902.777777777777</v>
      </c>
      <c r="G37" s="396">
        <f t="shared" si="0"/>
        <v>6700</v>
      </c>
      <c r="H37" s="451">
        <f t="shared" si="2"/>
        <v>0.64317941825861569</v>
      </c>
      <c r="I37" s="767"/>
      <c r="J37" s="767"/>
      <c r="K37" s="767"/>
      <c r="L37" s="650">
        <f t="shared" si="3"/>
        <v>0.61452104046666911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1"/>
        <v>0</v>
      </c>
      <c r="F38" s="396">
        <f t="shared" si="4"/>
        <v>10902.777777777777</v>
      </c>
      <c r="G38" s="769">
        <f>G37+D38-E38</f>
        <v>6700</v>
      </c>
      <c r="H38" s="451">
        <f t="shared" si="2"/>
        <v>0.64317941825861569</v>
      </c>
      <c r="I38" s="767"/>
      <c r="J38" s="767"/>
      <c r="K38" s="767"/>
      <c r="L38" s="650">
        <f t="shared" si="3"/>
        <v>0.61452104046666911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6700</v>
      </c>
      <c r="H39" s="451">
        <f t="shared" si="2"/>
        <v>0.64317941825861569</v>
      </c>
      <c r="I39" s="767"/>
      <c r="J39" s="767"/>
      <c r="K39" s="767"/>
      <c r="L39" s="650">
        <f t="shared" si="3"/>
        <v>0.61452104046666911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6700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6700</v>
      </c>
      <c r="E41" s="389">
        <f>E40</f>
        <v>0</v>
      </c>
      <c r="F41" s="449"/>
      <c r="G41" s="389">
        <f>D41-E41</f>
        <v>6700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505" priority="34" operator="between">
      <formula>3.5</formula>
      <formula>6</formula>
    </cfRule>
    <cfRule type="cellIs" dxfId="7504" priority="35" operator="lessThan">
      <formula>3.5</formula>
    </cfRule>
    <cfRule type="cellIs" dxfId="7503" priority="36" operator="greaterThan">
      <formula>6</formula>
    </cfRule>
  </conditionalFormatting>
  <conditionalFormatting sqref="H9:H12 H24:H37 H14:H17 H19:H22 H39">
    <cfRule type="cellIs" dxfId="7502" priority="31" operator="between">
      <formula>3.5</formula>
      <formula>6</formula>
    </cfRule>
    <cfRule type="cellIs" dxfId="7501" priority="32" operator="lessThan">
      <formula>3.5</formula>
    </cfRule>
    <cfRule type="cellIs" dxfId="7500" priority="33" operator="greaterThan">
      <formula>6</formula>
    </cfRule>
  </conditionalFormatting>
  <conditionalFormatting sqref="H23">
    <cfRule type="cellIs" dxfId="7499" priority="28" operator="between">
      <formula>3.5</formula>
      <formula>6</formula>
    </cfRule>
    <cfRule type="cellIs" dxfId="7498" priority="29" operator="lessThan">
      <formula>3.5</formula>
    </cfRule>
    <cfRule type="cellIs" dxfId="7497" priority="30" operator="greaterThan">
      <formula>6</formula>
    </cfRule>
  </conditionalFormatting>
  <conditionalFormatting sqref="H13">
    <cfRule type="cellIs" dxfId="7496" priority="25" operator="between">
      <formula>3.5</formula>
      <formula>6</formula>
    </cfRule>
    <cfRule type="cellIs" dxfId="7495" priority="26" operator="lessThan">
      <formula>3.5</formula>
    </cfRule>
    <cfRule type="cellIs" dxfId="7494" priority="27" operator="greaterThan">
      <formula>6</formula>
    </cfRule>
  </conditionalFormatting>
  <conditionalFormatting sqref="H18">
    <cfRule type="cellIs" dxfId="7493" priority="22" operator="between">
      <formula>3.5</formula>
      <formula>6</formula>
    </cfRule>
    <cfRule type="cellIs" dxfId="7492" priority="23" operator="lessThan">
      <formula>3.5</formula>
    </cfRule>
    <cfRule type="cellIs" dxfId="7491" priority="24" operator="greaterThan">
      <formula>6</formula>
    </cfRule>
  </conditionalFormatting>
  <conditionalFormatting sqref="H9:H39">
    <cfRule type="cellIs" dxfId="7490" priority="19" operator="between">
      <formula>3.5</formula>
      <formula>6</formula>
    </cfRule>
    <cfRule type="cellIs" dxfId="7489" priority="20" operator="lessThan">
      <formula>3.5</formula>
    </cfRule>
    <cfRule type="cellIs" dxfId="7488" priority="21" operator="greaterThan">
      <formula>6</formula>
    </cfRule>
  </conditionalFormatting>
  <conditionalFormatting sqref="H9:H39">
    <cfRule type="cellIs" dxfId="7487" priority="16" operator="between">
      <formula>3.5</formula>
      <formula>6</formula>
    </cfRule>
    <cfRule type="cellIs" dxfId="7486" priority="17" operator="lessThan">
      <formula>3.5</formula>
    </cfRule>
    <cfRule type="cellIs" dxfId="7485" priority="18" operator="greaterThan">
      <formula>6</formula>
    </cfRule>
  </conditionalFormatting>
  <conditionalFormatting sqref="H9:H39">
    <cfRule type="cellIs" dxfId="7484" priority="13" operator="between">
      <formula>3.5</formula>
      <formula>6</formula>
    </cfRule>
    <cfRule type="cellIs" dxfId="7483" priority="14" operator="lessThan">
      <formula>3.5</formula>
    </cfRule>
    <cfRule type="cellIs" dxfId="7482" priority="15" operator="greaterThan">
      <formula>6</formula>
    </cfRule>
  </conditionalFormatting>
  <conditionalFormatting sqref="H9:H39">
    <cfRule type="cellIs" dxfId="7481" priority="10" operator="between">
      <formula>3.5</formula>
      <formula>6</formula>
    </cfRule>
    <cfRule type="cellIs" dxfId="7480" priority="11" operator="lessThan">
      <formula>3.5</formula>
    </cfRule>
    <cfRule type="cellIs" dxfId="7479" priority="12" operator="greaterThan">
      <formula>6</formula>
    </cfRule>
  </conditionalFormatting>
  <conditionalFormatting sqref="H9:H39">
    <cfRule type="cellIs" dxfId="7478" priority="7" operator="between">
      <formula>3.5</formula>
      <formula>6</formula>
    </cfRule>
    <cfRule type="cellIs" dxfId="7477" priority="8" operator="lessThan">
      <formula>3.5</formula>
    </cfRule>
    <cfRule type="cellIs" dxfId="7476" priority="9" operator="greaterThan">
      <formula>6</formula>
    </cfRule>
  </conditionalFormatting>
  <conditionalFormatting sqref="H9:H39">
    <cfRule type="cellIs" dxfId="7475" priority="4" operator="between">
      <formula>3.5</formula>
      <formula>6</formula>
    </cfRule>
    <cfRule type="cellIs" dxfId="7474" priority="5" operator="lessThan">
      <formula>3.5</formula>
    </cfRule>
    <cfRule type="cellIs" dxfId="7473" priority="6" operator="greaterThan">
      <formula>6</formula>
    </cfRule>
  </conditionalFormatting>
  <conditionalFormatting sqref="H9:H39">
    <cfRule type="cellIs" dxfId="7472" priority="1" operator="between">
      <formula>3.5</formula>
      <formula>6</formula>
    </cfRule>
    <cfRule type="cellIs" dxfId="7471" priority="2" operator="lessThan">
      <formula>3.5</formula>
    </cfRule>
    <cfRule type="cellIs" dxfId="747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C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4" width="14.28515625" style="42" customWidth="1"/>
    <col min="15" max="15" width="11.5703125" style="143" bestFit="1" customWidth="1"/>
    <col min="16" max="18" width="7.5703125" style="42" customWidth="1"/>
    <col min="19" max="16384" width="9.28515625" style="42"/>
  </cols>
  <sheetData>
    <row r="1" spans="1:29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3"/>
      <c r="S1" s="323"/>
      <c r="T1" s="324"/>
      <c r="U1" s="324"/>
      <c r="V1" s="324"/>
      <c r="W1" s="324"/>
      <c r="X1" s="324"/>
      <c r="Y1" s="324"/>
      <c r="Z1" s="324"/>
      <c r="AA1" s="324"/>
      <c r="AB1" s="324"/>
      <c r="AC1" s="324"/>
    </row>
    <row r="2" spans="1:29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O2" s="323"/>
      <c r="P2" s="142"/>
      <c r="S2" s="323"/>
      <c r="T2" s="324"/>
      <c r="U2" s="324"/>
      <c r="V2" s="324"/>
      <c r="W2" s="324"/>
      <c r="X2" s="324"/>
      <c r="Y2" s="324"/>
      <c r="Z2" s="324"/>
      <c r="AA2" s="324"/>
      <c r="AB2" s="324"/>
    </row>
    <row r="3" spans="1:29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95"/>
      <c r="K3" s="1297"/>
      <c r="L3" s="795"/>
      <c r="M3" s="971"/>
      <c r="N3" s="971"/>
      <c r="P3" s="442"/>
      <c r="Q3" s="442"/>
      <c r="R3" s="442"/>
    </row>
    <row r="4" spans="1:29" s="800" customFormat="1" ht="12" customHeight="1">
      <c r="A4" s="1648" t="s">
        <v>33</v>
      </c>
      <c r="B4" s="1648"/>
      <c r="C4" s="548" t="s">
        <v>408</v>
      </c>
      <c r="E4" s="549" t="s">
        <v>228</v>
      </c>
      <c r="F4" s="549" t="s">
        <v>235</v>
      </c>
      <c r="G4" s="550" t="s">
        <v>114</v>
      </c>
      <c r="H4" s="551" t="s">
        <v>456</v>
      </c>
      <c r="K4" s="1298"/>
      <c r="M4" s="972"/>
      <c r="N4" s="972"/>
      <c r="O4" s="143"/>
    </row>
    <row r="5" spans="1:29" s="800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324"/>
      <c r="N5" s="324"/>
      <c r="O5" s="143"/>
    </row>
    <row r="6" spans="1:29" s="800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324"/>
      <c r="N6" s="324"/>
      <c r="O6" s="442"/>
    </row>
    <row r="7" spans="1:29" s="305" customFormat="1" ht="28.5" customHeight="1">
      <c r="A7" s="797" t="s">
        <v>2</v>
      </c>
      <c r="B7" s="799" t="s">
        <v>1</v>
      </c>
      <c r="C7" s="799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96" t="s">
        <v>30</v>
      </c>
      <c r="I7" s="697" t="s">
        <v>341</v>
      </c>
      <c r="J7" s="697" t="s">
        <v>244</v>
      </c>
      <c r="K7" s="697" t="s">
        <v>1118</v>
      </c>
      <c r="L7" s="697" t="s">
        <v>821</v>
      </c>
      <c r="M7" s="1649" t="s">
        <v>771</v>
      </c>
      <c r="N7" s="1649" t="s">
        <v>772</v>
      </c>
      <c r="O7" s="143"/>
    </row>
    <row r="8" spans="1:29" s="305" customFormat="1" ht="12" customHeight="1">
      <c r="A8" s="1650" t="s">
        <v>3</v>
      </c>
      <c r="B8" s="1651"/>
      <c r="C8" s="1652"/>
      <c r="D8" s="771">
        <f>G8</f>
        <v>5792</v>
      </c>
      <c r="E8" s="771">
        <f>E40</f>
        <v>1050</v>
      </c>
      <c r="F8" s="771"/>
      <c r="G8" s="774">
        <v>5792</v>
      </c>
      <c r="H8" s="450"/>
      <c r="I8" s="772"/>
      <c r="J8" s="772"/>
      <c r="K8" s="772"/>
      <c r="L8" s="772"/>
      <c r="M8" s="1649"/>
      <c r="N8" s="1649"/>
      <c r="O8" s="143">
        <v>10902.8</v>
      </c>
    </row>
    <row r="9" spans="1:29" s="305" customFormat="1" ht="12" customHeight="1">
      <c r="A9" s="798">
        <v>1</v>
      </c>
      <c r="B9" s="365">
        <f>'FRIT HGE91-FHG'!B9</f>
        <v>46235</v>
      </c>
      <c r="C9" s="331" t="s">
        <v>285</v>
      </c>
      <c r="D9" s="396">
        <f>M9+N9</f>
        <v>0</v>
      </c>
      <c r="E9" s="396">
        <f>I9+J9+L9+K9</f>
        <v>0</v>
      </c>
      <c r="F9" s="396">
        <f>15700/1.44</f>
        <v>10902.777777777777</v>
      </c>
      <c r="G9" s="396">
        <f t="shared" ref="G9:G39" si="0">G8+D9-E9</f>
        <v>5792</v>
      </c>
      <c r="H9" s="451">
        <f>G9/10417</f>
        <v>0.55601420754535857</v>
      </c>
      <c r="I9" s="772"/>
      <c r="J9" s="772"/>
      <c r="K9" s="772"/>
      <c r="L9" s="772"/>
      <c r="M9" s="970"/>
      <c r="N9" s="970"/>
      <c r="O9" s="650">
        <f>G9/$O$8</f>
        <v>0.5312396815496937</v>
      </c>
    </row>
    <row r="10" spans="1:29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>
        <f t="shared" ref="D10:D39" si="1">M10+N10</f>
        <v>0</v>
      </c>
      <c r="E10" s="396">
        <f t="shared" ref="E10:E39" si="2">I10+J10+L10+K10</f>
        <v>0</v>
      </c>
      <c r="F10" s="396">
        <f>$F$9</f>
        <v>10902.777777777777</v>
      </c>
      <c r="G10" s="396">
        <f t="shared" si="0"/>
        <v>5792</v>
      </c>
      <c r="H10" s="451">
        <f t="shared" ref="H10:H39" si="3">G10/10417</f>
        <v>0.55601420754535857</v>
      </c>
      <c r="I10" s="772"/>
      <c r="J10" s="772"/>
      <c r="K10" s="772"/>
      <c r="L10" s="772"/>
      <c r="M10" s="970"/>
      <c r="N10" s="970"/>
      <c r="O10" s="650">
        <f t="shared" ref="O10:O39" si="4">G10/$O$8</f>
        <v>0.5312396815496937</v>
      </c>
    </row>
    <row r="11" spans="1:29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5792</v>
      </c>
      <c r="H11" s="451">
        <f t="shared" si="3"/>
        <v>0.55601420754535857</v>
      </c>
      <c r="I11" s="772"/>
      <c r="J11" s="772"/>
      <c r="K11" s="772"/>
      <c r="L11" s="772"/>
      <c r="M11" s="970"/>
      <c r="N11" s="970"/>
      <c r="O11" s="650">
        <f t="shared" si="4"/>
        <v>0.5312396815496937</v>
      </c>
    </row>
    <row r="12" spans="1:29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>
        <f t="shared" si="1"/>
        <v>0</v>
      </c>
      <c r="E12" s="396">
        <f t="shared" si="2"/>
        <v>0</v>
      </c>
      <c r="F12" s="396">
        <f t="shared" ref="F12:F38" si="5">$F$9</f>
        <v>10902.777777777777</v>
      </c>
      <c r="G12" s="396">
        <f t="shared" si="0"/>
        <v>5792</v>
      </c>
      <c r="H12" s="451">
        <f t="shared" si="3"/>
        <v>0.55601420754535857</v>
      </c>
      <c r="I12" s="772"/>
      <c r="J12" s="772"/>
      <c r="K12" s="772"/>
      <c r="L12" s="772"/>
      <c r="M12" s="970"/>
      <c r="N12" s="970"/>
      <c r="O12" s="650">
        <f t="shared" si="4"/>
        <v>0.5312396815496937</v>
      </c>
    </row>
    <row r="13" spans="1:29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5792</v>
      </c>
      <c r="H13" s="451">
        <f t="shared" si="3"/>
        <v>0.55601420754535857</v>
      </c>
      <c r="I13" s="772"/>
      <c r="J13" s="772"/>
      <c r="K13" s="772"/>
      <c r="L13" s="772"/>
      <c r="M13" s="970"/>
      <c r="N13" s="970"/>
      <c r="O13" s="650">
        <f t="shared" si="4"/>
        <v>0.5312396815496937</v>
      </c>
    </row>
    <row r="14" spans="1:29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1"/>
        <v>4810</v>
      </c>
      <c r="E14" s="396">
        <f t="shared" si="2"/>
        <v>0</v>
      </c>
      <c r="F14" s="396">
        <f t="shared" si="5"/>
        <v>10902.777777777777</v>
      </c>
      <c r="G14" s="396">
        <f t="shared" si="0"/>
        <v>10602</v>
      </c>
      <c r="H14" s="451">
        <f t="shared" si="3"/>
        <v>1.0177594316981857</v>
      </c>
      <c r="I14" s="772"/>
      <c r="J14" s="772"/>
      <c r="K14" s="772"/>
      <c r="L14" s="772"/>
      <c r="M14" s="970"/>
      <c r="N14" s="970">
        <v>4810</v>
      </c>
      <c r="O14" s="650">
        <f t="shared" si="4"/>
        <v>0.97241075686979495</v>
      </c>
    </row>
    <row r="15" spans="1:29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10602</v>
      </c>
      <c r="H15" s="451">
        <f t="shared" si="3"/>
        <v>1.0177594316981857</v>
      </c>
      <c r="I15" s="772"/>
      <c r="J15" s="772"/>
      <c r="K15" s="772"/>
      <c r="L15" s="772"/>
      <c r="M15" s="970"/>
      <c r="N15" s="970"/>
      <c r="O15" s="650">
        <f t="shared" si="4"/>
        <v>0.97241075686979495</v>
      </c>
    </row>
    <row r="16" spans="1:29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10602</v>
      </c>
      <c r="H16" s="451">
        <f t="shared" si="3"/>
        <v>1.0177594316981857</v>
      </c>
      <c r="I16" s="772"/>
      <c r="J16" s="772"/>
      <c r="K16" s="772"/>
      <c r="L16" s="772"/>
      <c r="M16" s="970"/>
      <c r="N16" s="970"/>
      <c r="O16" s="650">
        <f t="shared" si="4"/>
        <v>0.97241075686979495</v>
      </c>
    </row>
    <row r="17" spans="1:15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10602</v>
      </c>
      <c r="H17" s="451">
        <f t="shared" si="3"/>
        <v>1.0177594316981857</v>
      </c>
      <c r="I17" s="772"/>
      <c r="J17" s="772"/>
      <c r="K17" s="772"/>
      <c r="L17" s="772"/>
      <c r="M17" s="970"/>
      <c r="N17" s="970"/>
      <c r="O17" s="650">
        <f t="shared" si="4"/>
        <v>0.97241075686979495</v>
      </c>
    </row>
    <row r="18" spans="1:15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10602</v>
      </c>
      <c r="H18" s="451">
        <f t="shared" si="3"/>
        <v>1.0177594316981857</v>
      </c>
      <c r="I18" s="772"/>
      <c r="J18" s="772"/>
      <c r="K18" s="772"/>
      <c r="L18" s="772"/>
      <c r="M18" s="970"/>
      <c r="N18" s="970"/>
      <c r="O18" s="650">
        <f t="shared" si="4"/>
        <v>0.97241075686979495</v>
      </c>
    </row>
    <row r="19" spans="1:15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10602</v>
      </c>
      <c r="H19" s="451">
        <f t="shared" si="3"/>
        <v>1.0177594316981857</v>
      </c>
      <c r="I19" s="772"/>
      <c r="J19" s="772"/>
      <c r="K19" s="772"/>
      <c r="L19" s="772"/>
      <c r="M19" s="970"/>
      <c r="N19" s="970"/>
      <c r="O19" s="650">
        <f t="shared" si="4"/>
        <v>0.97241075686979495</v>
      </c>
    </row>
    <row r="20" spans="1:15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10602</v>
      </c>
      <c r="H20" s="451">
        <f t="shared" si="3"/>
        <v>1.0177594316981857</v>
      </c>
      <c r="I20" s="772"/>
      <c r="J20" s="772"/>
      <c r="K20" s="772"/>
      <c r="L20" s="772"/>
      <c r="M20" s="970"/>
      <c r="N20" s="970"/>
      <c r="O20" s="650">
        <f t="shared" si="4"/>
        <v>0.97241075686979495</v>
      </c>
    </row>
    <row r="21" spans="1:15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1050</v>
      </c>
      <c r="F21" s="396">
        <f t="shared" si="5"/>
        <v>10902.777777777777</v>
      </c>
      <c r="G21" s="396">
        <f t="shared" si="0"/>
        <v>9552</v>
      </c>
      <c r="H21" s="451">
        <f t="shared" si="3"/>
        <v>0.91696265719496972</v>
      </c>
      <c r="I21" s="772">
        <v>1050</v>
      </c>
      <c r="J21" s="772"/>
      <c r="K21" s="772"/>
      <c r="L21" s="772"/>
      <c r="M21" s="970"/>
      <c r="N21" s="970"/>
      <c r="O21" s="650">
        <f t="shared" si="4"/>
        <v>0.87610522067725727</v>
      </c>
    </row>
    <row r="22" spans="1:15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9552</v>
      </c>
      <c r="H22" s="451">
        <f t="shared" si="3"/>
        <v>0.91696265719496972</v>
      </c>
      <c r="I22" s="772"/>
      <c r="J22" s="772"/>
      <c r="K22" s="772"/>
      <c r="L22" s="772"/>
      <c r="M22" s="970"/>
      <c r="N22" s="970"/>
      <c r="O22" s="650">
        <f t="shared" si="4"/>
        <v>0.87610522067725727</v>
      </c>
    </row>
    <row r="23" spans="1:15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9552</v>
      </c>
      <c r="H23" s="451">
        <f t="shared" si="3"/>
        <v>0.91696265719496972</v>
      </c>
      <c r="I23" s="772"/>
      <c r="J23" s="772"/>
      <c r="K23" s="772"/>
      <c r="L23" s="772"/>
      <c r="M23" s="970"/>
      <c r="N23" s="970"/>
      <c r="O23" s="650">
        <f t="shared" si="4"/>
        <v>0.87610522067725727</v>
      </c>
    </row>
    <row r="24" spans="1:15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9552</v>
      </c>
      <c r="H24" s="451">
        <f t="shared" si="3"/>
        <v>0.91696265719496972</v>
      </c>
      <c r="I24" s="772"/>
      <c r="J24" s="772"/>
      <c r="K24" s="772"/>
      <c r="L24" s="772"/>
      <c r="M24" s="970"/>
      <c r="N24" s="970"/>
      <c r="O24" s="650">
        <f t="shared" si="4"/>
        <v>0.87610522067725727</v>
      </c>
    </row>
    <row r="25" spans="1:15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9552</v>
      </c>
      <c r="H25" s="451">
        <f t="shared" si="3"/>
        <v>0.91696265719496972</v>
      </c>
      <c r="I25" s="772"/>
      <c r="J25" s="772"/>
      <c r="K25" s="772"/>
      <c r="L25" s="772"/>
      <c r="M25" s="970"/>
      <c r="N25" s="970"/>
      <c r="O25" s="650">
        <f t="shared" si="4"/>
        <v>0.87610522067725727</v>
      </c>
    </row>
    <row r="26" spans="1:15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9552</v>
      </c>
      <c r="H26" s="451">
        <f t="shared" si="3"/>
        <v>0.91696265719496972</v>
      </c>
      <c r="I26" s="772"/>
      <c r="J26" s="772"/>
      <c r="K26" s="772"/>
      <c r="L26" s="772"/>
      <c r="M26" s="970"/>
      <c r="N26" s="970"/>
      <c r="O26" s="650">
        <f t="shared" si="4"/>
        <v>0.87610522067725727</v>
      </c>
    </row>
    <row r="27" spans="1:15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9552</v>
      </c>
      <c r="H27" s="451">
        <f t="shared" si="3"/>
        <v>0.91696265719496972</v>
      </c>
      <c r="I27" s="772"/>
      <c r="J27" s="772"/>
      <c r="K27" s="772"/>
      <c r="L27" s="772"/>
      <c r="M27" s="970"/>
      <c r="N27" s="970"/>
      <c r="O27" s="650">
        <f t="shared" si="4"/>
        <v>0.87610522067725727</v>
      </c>
    </row>
    <row r="28" spans="1:15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9552</v>
      </c>
      <c r="H28" s="451">
        <f t="shared" si="3"/>
        <v>0.91696265719496972</v>
      </c>
      <c r="I28" s="772"/>
      <c r="J28" s="772"/>
      <c r="K28" s="772"/>
      <c r="L28" s="772"/>
      <c r="M28" s="970"/>
      <c r="N28" s="970"/>
      <c r="O28" s="650">
        <f t="shared" si="4"/>
        <v>0.87610522067725727</v>
      </c>
    </row>
    <row r="29" spans="1:15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9552</v>
      </c>
      <c r="H29" s="451">
        <f t="shared" si="3"/>
        <v>0.91696265719496972</v>
      </c>
      <c r="I29" s="772"/>
      <c r="J29" s="772"/>
      <c r="K29" s="772"/>
      <c r="L29" s="772"/>
      <c r="M29" s="970"/>
      <c r="N29" s="970"/>
      <c r="O29" s="650">
        <f t="shared" si="4"/>
        <v>0.87610522067725727</v>
      </c>
    </row>
    <row r="30" spans="1:15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9552</v>
      </c>
      <c r="H30" s="451">
        <f t="shared" si="3"/>
        <v>0.91696265719496972</v>
      </c>
      <c r="I30" s="772"/>
      <c r="J30" s="772"/>
      <c r="K30" s="772"/>
      <c r="L30" s="772"/>
      <c r="M30" s="970"/>
      <c r="N30" s="970"/>
      <c r="O30" s="650">
        <f t="shared" si="4"/>
        <v>0.87610522067725727</v>
      </c>
    </row>
    <row r="31" spans="1:15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9552</v>
      </c>
      <c r="H31" s="451">
        <f t="shared" si="3"/>
        <v>0.91696265719496972</v>
      </c>
      <c r="I31" s="772"/>
      <c r="J31" s="772"/>
      <c r="K31" s="772"/>
      <c r="L31" s="772"/>
      <c r="M31" s="970"/>
      <c r="N31" s="970"/>
      <c r="O31" s="650">
        <f t="shared" si="4"/>
        <v>0.87610522067725727</v>
      </c>
    </row>
    <row r="32" spans="1:15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9552</v>
      </c>
      <c r="H32" s="451">
        <f t="shared" si="3"/>
        <v>0.91696265719496972</v>
      </c>
      <c r="I32" s="772"/>
      <c r="J32" s="772"/>
      <c r="K32" s="772"/>
      <c r="L32" s="772"/>
      <c r="M32" s="970"/>
      <c r="N32" s="970"/>
      <c r="O32" s="650">
        <f t="shared" si="4"/>
        <v>0.87610522067725727</v>
      </c>
    </row>
    <row r="33" spans="1:16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9552</v>
      </c>
      <c r="H33" s="451">
        <f t="shared" si="3"/>
        <v>0.91696265719496972</v>
      </c>
      <c r="I33" s="772"/>
      <c r="J33" s="772"/>
      <c r="K33" s="772"/>
      <c r="L33" s="772"/>
      <c r="M33" s="970"/>
      <c r="N33" s="970"/>
      <c r="O33" s="650">
        <f t="shared" si="4"/>
        <v>0.87610522067725727</v>
      </c>
    </row>
    <row r="34" spans="1:16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9552</v>
      </c>
      <c r="H34" s="451">
        <f t="shared" si="3"/>
        <v>0.91696265719496972</v>
      </c>
      <c r="I34" s="772"/>
      <c r="J34" s="772"/>
      <c r="K34" s="772"/>
      <c r="L34" s="772"/>
      <c r="M34" s="970"/>
      <c r="N34" s="970"/>
      <c r="O34" s="650">
        <f t="shared" si="4"/>
        <v>0.87610522067725727</v>
      </c>
    </row>
    <row r="35" spans="1:16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9552</v>
      </c>
      <c r="H35" s="451">
        <f t="shared" si="3"/>
        <v>0.91696265719496972</v>
      </c>
      <c r="I35" s="772"/>
      <c r="J35" s="772"/>
      <c r="K35" s="772"/>
      <c r="L35" s="772"/>
      <c r="M35" s="970"/>
      <c r="N35" s="970"/>
      <c r="O35" s="650">
        <f t="shared" si="4"/>
        <v>0.87610522067725727</v>
      </c>
    </row>
    <row r="36" spans="1:16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9552</v>
      </c>
      <c r="H36" s="451">
        <f t="shared" si="3"/>
        <v>0.91696265719496972</v>
      </c>
      <c r="I36" s="772"/>
      <c r="J36" s="772"/>
      <c r="K36" s="772"/>
      <c r="L36" s="772"/>
      <c r="M36" s="970"/>
      <c r="N36" s="970"/>
      <c r="O36" s="650">
        <f t="shared" si="4"/>
        <v>0.87610522067725727</v>
      </c>
    </row>
    <row r="37" spans="1:16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9552</v>
      </c>
      <c r="H37" s="451">
        <f t="shared" si="3"/>
        <v>0.91696265719496972</v>
      </c>
      <c r="I37" s="772"/>
      <c r="J37" s="772"/>
      <c r="K37" s="772"/>
      <c r="L37" s="772"/>
      <c r="M37" s="970"/>
      <c r="N37" s="970"/>
      <c r="O37" s="650">
        <f t="shared" si="4"/>
        <v>0.87610522067725727</v>
      </c>
    </row>
    <row r="38" spans="1:16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9552</v>
      </c>
      <c r="H38" s="451">
        <f t="shared" si="3"/>
        <v>0.91696265719496972</v>
      </c>
      <c r="I38" s="772"/>
      <c r="J38" s="772"/>
      <c r="K38" s="772"/>
      <c r="L38" s="772"/>
      <c r="M38" s="970"/>
      <c r="N38" s="970"/>
      <c r="O38" s="650">
        <f t="shared" si="4"/>
        <v>0.87610522067725727</v>
      </c>
    </row>
    <row r="39" spans="1:16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>SUM($E$8:E39)/A39</f>
        <v>67.741935483870961</v>
      </c>
      <c r="G39" s="396">
        <f t="shared" si="0"/>
        <v>9552</v>
      </c>
      <c r="H39" s="451">
        <f t="shared" si="3"/>
        <v>0.91696265719496972</v>
      </c>
      <c r="I39" s="772"/>
      <c r="J39" s="772"/>
      <c r="K39" s="772"/>
      <c r="L39" s="772"/>
      <c r="M39" s="970"/>
      <c r="N39" s="970"/>
      <c r="O39" s="650">
        <f t="shared" si="4"/>
        <v>0.87610522067725727</v>
      </c>
    </row>
    <row r="40" spans="1:16" s="374" customFormat="1" ht="11.25" customHeight="1">
      <c r="A40" s="1647" t="s">
        <v>29</v>
      </c>
      <c r="B40" s="1647"/>
      <c r="C40" s="1647"/>
      <c r="D40" s="448">
        <f>SUM(D9:D39)</f>
        <v>4810</v>
      </c>
      <c r="E40" s="389">
        <f>SUM(E9:E39)</f>
        <v>1050</v>
      </c>
      <c r="F40" s="449"/>
      <c r="G40" s="389">
        <f>G39</f>
        <v>9552</v>
      </c>
      <c r="H40" s="309"/>
      <c r="I40" s="689">
        <f>SUM(I9:I39)</f>
        <v>1050</v>
      </c>
      <c r="J40" s="689">
        <f t="shared" ref="J40:L40" si="6">SUM(J9:J39)</f>
        <v>0</v>
      </c>
      <c r="K40" s="689">
        <f t="shared" si="6"/>
        <v>0</v>
      </c>
      <c r="L40" s="689">
        <f t="shared" si="6"/>
        <v>0</v>
      </c>
      <c r="M40" s="689">
        <f t="shared" ref="M40:N40" si="7">SUM(M9:M39)</f>
        <v>0</v>
      </c>
      <c r="N40" s="689">
        <f t="shared" si="7"/>
        <v>4810</v>
      </c>
    </row>
    <row r="41" spans="1:16" s="374" customFormat="1" ht="11.25" customHeight="1">
      <c r="A41" s="1647" t="s">
        <v>15</v>
      </c>
      <c r="B41" s="1647"/>
      <c r="C41" s="1647"/>
      <c r="D41" s="448">
        <f>D8+D40</f>
        <v>10602</v>
      </c>
      <c r="E41" s="389">
        <f>E40</f>
        <v>1050</v>
      </c>
      <c r="F41" s="449"/>
      <c r="G41" s="389">
        <f>D41-E41</f>
        <v>9552</v>
      </c>
      <c r="H41" s="309"/>
      <c r="I41" s="689"/>
      <c r="J41" s="689"/>
      <c r="K41" s="689"/>
      <c r="L41" s="689"/>
      <c r="M41" s="794"/>
      <c r="N41" s="794"/>
    </row>
    <row r="42" spans="1:16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  <c r="N42" s="343"/>
    </row>
    <row r="43" spans="1:16" s="324" customFormat="1" ht="12.75">
      <c r="D43" s="343"/>
      <c r="E43" s="343"/>
      <c r="F43" s="343"/>
      <c r="G43" s="343"/>
      <c r="H43" s="343"/>
      <c r="I43" s="343">
        <f>E40+'ESPANA 30x60-VH'!E40</f>
        <v>1050</v>
      </c>
      <c r="J43" s="343"/>
      <c r="K43" s="343"/>
      <c r="L43" s="343"/>
      <c r="M43" s="343"/>
      <c r="N43" s="343"/>
    </row>
    <row r="44" spans="1:16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</row>
    <row r="45" spans="1:16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  <c r="N45" s="343"/>
    </row>
    <row r="46" spans="1:16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  <c r="N46" s="343"/>
    </row>
    <row r="47" spans="1:16">
      <c r="P47" s="151"/>
    </row>
    <row r="48" spans="1:16">
      <c r="P48" s="151"/>
    </row>
    <row r="49" spans="16:16">
      <c r="P49" s="151"/>
    </row>
  </sheetData>
  <mergeCells count="7">
    <mergeCell ref="A40:C40"/>
    <mergeCell ref="A41:C41"/>
    <mergeCell ref="M7:M8"/>
    <mergeCell ref="N7:N8"/>
    <mergeCell ref="A3:I3"/>
    <mergeCell ref="A4:B4"/>
    <mergeCell ref="A8:C8"/>
  </mergeCells>
  <conditionalFormatting sqref="H38">
    <cfRule type="cellIs" dxfId="7469" priority="34" operator="between">
      <formula>3.5</formula>
      <formula>6</formula>
    </cfRule>
    <cfRule type="cellIs" dxfId="7468" priority="35" operator="lessThan">
      <formula>3.5</formula>
    </cfRule>
    <cfRule type="cellIs" dxfId="7467" priority="36" operator="greaterThan">
      <formula>6</formula>
    </cfRule>
  </conditionalFormatting>
  <conditionalFormatting sqref="H9:H12 H24:H37 H14:H17 H19:H22 H39">
    <cfRule type="cellIs" dxfId="7466" priority="31" operator="between">
      <formula>3.5</formula>
      <formula>6</formula>
    </cfRule>
    <cfRule type="cellIs" dxfId="7465" priority="32" operator="lessThan">
      <formula>3.5</formula>
    </cfRule>
    <cfRule type="cellIs" dxfId="7464" priority="33" operator="greaterThan">
      <formula>6</formula>
    </cfRule>
  </conditionalFormatting>
  <conditionalFormatting sqref="H23">
    <cfRule type="cellIs" dxfId="7463" priority="28" operator="between">
      <formula>3.5</formula>
      <formula>6</formula>
    </cfRule>
    <cfRule type="cellIs" dxfId="7462" priority="29" operator="lessThan">
      <formula>3.5</formula>
    </cfRule>
    <cfRule type="cellIs" dxfId="7461" priority="30" operator="greaterThan">
      <formula>6</formula>
    </cfRule>
  </conditionalFormatting>
  <conditionalFormatting sqref="H13">
    <cfRule type="cellIs" dxfId="7460" priority="25" operator="between">
      <formula>3.5</formula>
      <formula>6</formula>
    </cfRule>
    <cfRule type="cellIs" dxfId="7459" priority="26" operator="lessThan">
      <formula>3.5</formula>
    </cfRule>
    <cfRule type="cellIs" dxfId="7458" priority="27" operator="greaterThan">
      <formula>6</formula>
    </cfRule>
  </conditionalFormatting>
  <conditionalFormatting sqref="H18">
    <cfRule type="cellIs" dxfId="7457" priority="22" operator="between">
      <formula>3.5</formula>
      <formula>6</formula>
    </cfRule>
    <cfRule type="cellIs" dxfId="7456" priority="23" operator="lessThan">
      <formula>3.5</formula>
    </cfRule>
    <cfRule type="cellIs" dxfId="7455" priority="24" operator="greaterThan">
      <formula>6</formula>
    </cfRule>
  </conditionalFormatting>
  <conditionalFormatting sqref="H9:H39">
    <cfRule type="cellIs" dxfId="7454" priority="19" operator="between">
      <formula>3.5</formula>
      <formula>6</formula>
    </cfRule>
    <cfRule type="cellIs" dxfId="7453" priority="20" operator="lessThan">
      <formula>3.5</formula>
    </cfRule>
    <cfRule type="cellIs" dxfId="7452" priority="21" operator="greaterThan">
      <formula>6</formula>
    </cfRule>
  </conditionalFormatting>
  <conditionalFormatting sqref="H9:H39">
    <cfRule type="cellIs" dxfId="7451" priority="16" operator="between">
      <formula>3.5</formula>
      <formula>6</formula>
    </cfRule>
    <cfRule type="cellIs" dxfId="7450" priority="17" operator="lessThan">
      <formula>3.5</formula>
    </cfRule>
    <cfRule type="cellIs" dxfId="7449" priority="18" operator="greaterThan">
      <formula>6</formula>
    </cfRule>
  </conditionalFormatting>
  <conditionalFormatting sqref="H9:H39">
    <cfRule type="cellIs" dxfId="7448" priority="13" operator="between">
      <formula>3.5</formula>
      <formula>6</formula>
    </cfRule>
    <cfRule type="cellIs" dxfId="7447" priority="14" operator="lessThan">
      <formula>3.5</formula>
    </cfRule>
    <cfRule type="cellIs" dxfId="7446" priority="15" operator="greaterThan">
      <formula>6</formula>
    </cfRule>
  </conditionalFormatting>
  <conditionalFormatting sqref="H9:H39">
    <cfRule type="cellIs" dxfId="7445" priority="10" operator="between">
      <formula>3.5</formula>
      <formula>6</formula>
    </cfRule>
    <cfRule type="cellIs" dxfId="7444" priority="11" operator="lessThan">
      <formula>3.5</formula>
    </cfRule>
    <cfRule type="cellIs" dxfId="7443" priority="12" operator="greaterThan">
      <formula>6</formula>
    </cfRule>
  </conditionalFormatting>
  <conditionalFormatting sqref="H9:H39">
    <cfRule type="cellIs" dxfId="7442" priority="7" operator="between">
      <formula>3.5</formula>
      <formula>6</formula>
    </cfRule>
    <cfRule type="cellIs" dxfId="7441" priority="8" operator="lessThan">
      <formula>3.5</formula>
    </cfRule>
    <cfRule type="cellIs" dxfId="7440" priority="9" operator="greaterThan">
      <formula>6</formula>
    </cfRule>
  </conditionalFormatting>
  <conditionalFormatting sqref="H9:H39">
    <cfRule type="cellIs" dxfId="7439" priority="4" operator="between">
      <formula>3.5</formula>
      <formula>6</formula>
    </cfRule>
    <cfRule type="cellIs" dxfId="7438" priority="5" operator="lessThan">
      <formula>3.5</formula>
    </cfRule>
    <cfRule type="cellIs" dxfId="7437" priority="6" operator="greaterThan">
      <formula>6</formula>
    </cfRule>
  </conditionalFormatting>
  <conditionalFormatting sqref="H9:H39">
    <cfRule type="cellIs" dxfId="7436" priority="1" operator="between">
      <formula>3.5</formula>
      <formula>6</formula>
    </cfRule>
    <cfRule type="cellIs" dxfId="7435" priority="2" operator="lessThan">
      <formula>3.5</formula>
    </cfRule>
    <cfRule type="cellIs" dxfId="743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B49"/>
  <sheetViews>
    <sheetView zoomScale="90" zoomScaleNormal="90" workbookViewId="0">
      <pane ySplit="8" topLeftCell="A18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3" width="14.28515625" style="42" customWidth="1"/>
    <col min="14" max="14" width="11.5703125" style="143" bestFit="1" customWidth="1"/>
    <col min="15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98"/>
      <c r="K3" s="1098"/>
      <c r="L3" s="1098"/>
      <c r="M3" s="1098"/>
      <c r="O3" s="442"/>
      <c r="P3" s="442"/>
      <c r="Q3" s="442"/>
    </row>
    <row r="4" spans="1:28" s="1103" customFormat="1" ht="12" customHeight="1">
      <c r="A4" s="1648" t="s">
        <v>33</v>
      </c>
      <c r="B4" s="1648"/>
      <c r="C4" s="551" t="str">
        <f>H4</f>
        <v>HAVIRA 30x60-HA giấy nâu</v>
      </c>
      <c r="E4" s="549" t="s">
        <v>228</v>
      </c>
      <c r="F4" s="549" t="s">
        <v>235</v>
      </c>
      <c r="G4" s="550" t="s">
        <v>114</v>
      </c>
      <c r="H4" s="551" t="s">
        <v>891</v>
      </c>
      <c r="N4" s="143"/>
    </row>
    <row r="5" spans="1:28" s="1103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324"/>
      <c r="N5" s="143"/>
    </row>
    <row r="6" spans="1:28" s="1103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1100" t="s">
        <v>2</v>
      </c>
      <c r="B7" s="1102" t="s">
        <v>1</v>
      </c>
      <c r="C7" s="110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99" t="s">
        <v>30</v>
      </c>
      <c r="I7" s="697" t="s">
        <v>341</v>
      </c>
      <c r="J7" s="697" t="s">
        <v>244</v>
      </c>
      <c r="K7" s="697" t="s">
        <v>821</v>
      </c>
      <c r="L7" s="1649" t="s">
        <v>771</v>
      </c>
      <c r="M7" s="1649" t="s">
        <v>772</v>
      </c>
      <c r="N7" s="143"/>
    </row>
    <row r="8" spans="1:28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649"/>
      <c r="M8" s="1649"/>
      <c r="N8" s="143">
        <v>10902.8</v>
      </c>
    </row>
    <row r="9" spans="1:28" s="305" customFormat="1" ht="12" customHeight="1">
      <c r="A9" s="1101">
        <v>1</v>
      </c>
      <c r="B9" s="365">
        <f>'FRIT HGE91-FHG'!B9</f>
        <v>46235</v>
      </c>
      <c r="C9" s="331" t="s">
        <v>285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970"/>
      <c r="M9" s="970"/>
      <c r="N9" s="650">
        <f>G9/$N$8</f>
        <v>0</v>
      </c>
    </row>
    <row r="10" spans="1:28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>
        <f t="shared" ref="D10:D39" si="1">L10+M10</f>
        <v>0</v>
      </c>
      <c r="E10" s="396">
        <f t="shared" ref="E10:E39" si="2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3">G10/10417</f>
        <v>0</v>
      </c>
      <c r="I10" s="772"/>
      <c r="J10" s="772"/>
      <c r="K10" s="772"/>
      <c r="L10" s="970"/>
      <c r="M10" s="970"/>
      <c r="N10" s="650">
        <f t="shared" ref="N10:N39" si="4">G10/$N$8</f>
        <v>0</v>
      </c>
    </row>
    <row r="11" spans="1:28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0</v>
      </c>
      <c r="H11" s="451">
        <f t="shared" si="3"/>
        <v>0</v>
      </c>
      <c r="I11" s="772"/>
      <c r="J11" s="772"/>
      <c r="K11" s="772"/>
      <c r="L11" s="970"/>
      <c r="M11" s="970"/>
      <c r="N11" s="650">
        <f t="shared" si="4"/>
        <v>0</v>
      </c>
    </row>
    <row r="12" spans="1:28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>
        <f t="shared" si="1"/>
        <v>0</v>
      </c>
      <c r="E12" s="396">
        <f t="shared" si="2"/>
        <v>0</v>
      </c>
      <c r="F12" s="396">
        <f t="shared" ref="F12:F38" si="5">$F$9</f>
        <v>10902.777777777777</v>
      </c>
      <c r="G12" s="396">
        <f t="shared" si="0"/>
        <v>0</v>
      </c>
      <c r="H12" s="451">
        <f t="shared" si="3"/>
        <v>0</v>
      </c>
      <c r="I12" s="772"/>
      <c r="J12" s="772"/>
      <c r="K12" s="772"/>
      <c r="L12" s="970"/>
      <c r="M12" s="970"/>
      <c r="N12" s="650">
        <f t="shared" si="4"/>
        <v>0</v>
      </c>
    </row>
    <row r="13" spans="1:28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0</v>
      </c>
      <c r="H13" s="451">
        <f t="shared" si="3"/>
        <v>0</v>
      </c>
      <c r="I13" s="772"/>
      <c r="J13" s="772"/>
      <c r="K13" s="772"/>
      <c r="L13" s="970"/>
      <c r="M13" s="970"/>
      <c r="N13" s="650">
        <f t="shared" si="4"/>
        <v>0</v>
      </c>
    </row>
    <row r="14" spans="1:28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0</v>
      </c>
      <c r="H14" s="451">
        <f t="shared" si="3"/>
        <v>0</v>
      </c>
      <c r="I14" s="772"/>
      <c r="J14" s="772"/>
      <c r="K14" s="772"/>
      <c r="L14" s="970"/>
      <c r="M14" s="970"/>
      <c r="N14" s="650">
        <f t="shared" si="4"/>
        <v>0</v>
      </c>
    </row>
    <row r="15" spans="1:28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0</v>
      </c>
      <c r="H15" s="451">
        <f t="shared" si="3"/>
        <v>0</v>
      </c>
      <c r="I15" s="772"/>
      <c r="J15" s="772"/>
      <c r="K15" s="772"/>
      <c r="L15" s="970"/>
      <c r="M15" s="970"/>
      <c r="N15" s="650">
        <f t="shared" si="4"/>
        <v>0</v>
      </c>
    </row>
    <row r="16" spans="1:28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0</v>
      </c>
      <c r="H16" s="451">
        <f t="shared" si="3"/>
        <v>0</v>
      </c>
      <c r="I16" s="772"/>
      <c r="J16" s="772"/>
      <c r="K16" s="772"/>
      <c r="L16" s="970"/>
      <c r="M16" s="970"/>
      <c r="N16" s="650">
        <f t="shared" si="4"/>
        <v>0</v>
      </c>
    </row>
    <row r="17" spans="1:14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0</v>
      </c>
      <c r="H17" s="451">
        <f t="shared" si="3"/>
        <v>0</v>
      </c>
      <c r="I17" s="772"/>
      <c r="J17" s="772"/>
      <c r="K17" s="772"/>
      <c r="L17" s="970"/>
      <c r="M17" s="970"/>
      <c r="N17" s="650">
        <f t="shared" si="4"/>
        <v>0</v>
      </c>
    </row>
    <row r="18" spans="1:14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0</v>
      </c>
      <c r="H18" s="451">
        <f t="shared" si="3"/>
        <v>0</v>
      </c>
      <c r="I18" s="772"/>
      <c r="J18" s="772"/>
      <c r="K18" s="772"/>
      <c r="L18" s="970"/>
      <c r="M18" s="970"/>
      <c r="N18" s="650">
        <f t="shared" si="4"/>
        <v>0</v>
      </c>
    </row>
    <row r="19" spans="1:14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0</v>
      </c>
      <c r="H19" s="451">
        <f t="shared" si="3"/>
        <v>0</v>
      </c>
      <c r="I19" s="772"/>
      <c r="J19" s="772"/>
      <c r="K19" s="772"/>
      <c r="L19" s="970"/>
      <c r="M19" s="970"/>
      <c r="N19" s="650">
        <f t="shared" si="4"/>
        <v>0</v>
      </c>
    </row>
    <row r="20" spans="1:14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0</v>
      </c>
      <c r="H20" s="451">
        <f t="shared" si="3"/>
        <v>0</v>
      </c>
      <c r="I20" s="772"/>
      <c r="J20" s="772"/>
      <c r="K20" s="772"/>
      <c r="L20" s="970"/>
      <c r="M20" s="970"/>
      <c r="N20" s="650">
        <f t="shared" si="4"/>
        <v>0</v>
      </c>
    </row>
    <row r="21" spans="1:14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0</v>
      </c>
      <c r="H21" s="451">
        <f t="shared" si="3"/>
        <v>0</v>
      </c>
      <c r="I21" s="772"/>
      <c r="J21" s="772"/>
      <c r="K21" s="772"/>
      <c r="L21" s="970"/>
      <c r="M21" s="970"/>
      <c r="N21" s="650">
        <f t="shared" si="4"/>
        <v>0</v>
      </c>
    </row>
    <row r="22" spans="1:14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0</v>
      </c>
      <c r="H22" s="451">
        <f t="shared" si="3"/>
        <v>0</v>
      </c>
      <c r="I22" s="772"/>
      <c r="J22" s="772"/>
      <c r="K22" s="772"/>
      <c r="L22" s="970"/>
      <c r="M22" s="970"/>
      <c r="N22" s="650">
        <f t="shared" si="4"/>
        <v>0</v>
      </c>
    </row>
    <row r="23" spans="1:14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0</v>
      </c>
      <c r="H23" s="451">
        <f t="shared" si="3"/>
        <v>0</v>
      </c>
      <c r="I23" s="772"/>
      <c r="J23" s="772"/>
      <c r="K23" s="772"/>
      <c r="L23" s="970"/>
      <c r="M23" s="970"/>
      <c r="N23" s="650">
        <f t="shared" si="4"/>
        <v>0</v>
      </c>
    </row>
    <row r="24" spans="1:14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0</v>
      </c>
      <c r="H24" s="451">
        <f t="shared" si="3"/>
        <v>0</v>
      </c>
      <c r="I24" s="772"/>
      <c r="J24" s="772"/>
      <c r="K24" s="772"/>
      <c r="L24" s="970"/>
      <c r="M24" s="970"/>
      <c r="N24" s="650">
        <f t="shared" si="4"/>
        <v>0</v>
      </c>
    </row>
    <row r="25" spans="1:14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0</v>
      </c>
      <c r="H25" s="451">
        <f t="shared" si="3"/>
        <v>0</v>
      </c>
      <c r="I25" s="772"/>
      <c r="J25" s="772"/>
      <c r="K25" s="772"/>
      <c r="L25" s="970"/>
      <c r="M25" s="970"/>
      <c r="N25" s="650">
        <f t="shared" si="4"/>
        <v>0</v>
      </c>
    </row>
    <row r="26" spans="1:14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0</v>
      </c>
      <c r="H26" s="451">
        <f t="shared" si="3"/>
        <v>0</v>
      </c>
      <c r="I26" s="772"/>
      <c r="J26" s="772"/>
      <c r="K26" s="772"/>
      <c r="L26" s="970"/>
      <c r="M26" s="970"/>
      <c r="N26" s="650">
        <f t="shared" si="4"/>
        <v>0</v>
      </c>
    </row>
    <row r="27" spans="1:14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0</v>
      </c>
      <c r="H27" s="451">
        <f t="shared" si="3"/>
        <v>0</v>
      </c>
      <c r="I27" s="772"/>
      <c r="J27" s="772"/>
      <c r="K27" s="772"/>
      <c r="L27" s="970"/>
      <c r="M27" s="970"/>
      <c r="N27" s="650">
        <f t="shared" si="4"/>
        <v>0</v>
      </c>
    </row>
    <row r="28" spans="1:14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0</v>
      </c>
      <c r="H28" s="451">
        <f t="shared" si="3"/>
        <v>0</v>
      </c>
      <c r="I28" s="772"/>
      <c r="J28" s="772"/>
      <c r="K28" s="772"/>
      <c r="L28" s="970"/>
      <c r="M28" s="970"/>
      <c r="N28" s="650">
        <f t="shared" si="4"/>
        <v>0</v>
      </c>
    </row>
    <row r="29" spans="1:14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0</v>
      </c>
      <c r="H29" s="451">
        <f t="shared" si="3"/>
        <v>0</v>
      </c>
      <c r="I29" s="772"/>
      <c r="J29" s="772"/>
      <c r="K29" s="772"/>
      <c r="L29" s="970"/>
      <c r="M29" s="970"/>
      <c r="N29" s="650">
        <f t="shared" si="4"/>
        <v>0</v>
      </c>
    </row>
    <row r="30" spans="1:14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0</v>
      </c>
      <c r="H30" s="451">
        <f t="shared" si="3"/>
        <v>0</v>
      </c>
      <c r="I30" s="772"/>
      <c r="J30" s="772"/>
      <c r="K30" s="772"/>
      <c r="L30" s="970"/>
      <c r="M30" s="970"/>
      <c r="N30" s="650">
        <f t="shared" si="4"/>
        <v>0</v>
      </c>
    </row>
    <row r="31" spans="1:14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0</v>
      </c>
      <c r="H31" s="451">
        <f t="shared" si="3"/>
        <v>0</v>
      </c>
      <c r="I31" s="772"/>
      <c r="J31" s="772"/>
      <c r="K31" s="772"/>
      <c r="L31" s="970"/>
      <c r="M31" s="970"/>
      <c r="N31" s="650">
        <f t="shared" si="4"/>
        <v>0</v>
      </c>
    </row>
    <row r="32" spans="1:14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0</v>
      </c>
      <c r="H32" s="451">
        <f t="shared" si="3"/>
        <v>0</v>
      </c>
      <c r="I32" s="772"/>
      <c r="J32" s="772"/>
      <c r="K32" s="772"/>
      <c r="L32" s="970"/>
      <c r="M32" s="970"/>
      <c r="N32" s="650">
        <f t="shared" si="4"/>
        <v>0</v>
      </c>
    </row>
    <row r="33" spans="1:15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0</v>
      </c>
      <c r="H33" s="451">
        <f t="shared" si="3"/>
        <v>0</v>
      </c>
      <c r="I33" s="772"/>
      <c r="J33" s="772"/>
      <c r="K33" s="772"/>
      <c r="L33" s="970"/>
      <c r="M33" s="970"/>
      <c r="N33" s="650">
        <f t="shared" si="4"/>
        <v>0</v>
      </c>
    </row>
    <row r="34" spans="1:15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0</v>
      </c>
      <c r="H34" s="451">
        <f t="shared" si="3"/>
        <v>0</v>
      </c>
      <c r="I34" s="772"/>
      <c r="J34" s="772"/>
      <c r="K34" s="772"/>
      <c r="L34" s="970"/>
      <c r="M34" s="970"/>
      <c r="N34" s="650">
        <f t="shared" si="4"/>
        <v>0</v>
      </c>
    </row>
    <row r="35" spans="1:15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0</v>
      </c>
      <c r="H35" s="451">
        <f t="shared" si="3"/>
        <v>0</v>
      </c>
      <c r="I35" s="772"/>
      <c r="J35" s="772"/>
      <c r="K35" s="772"/>
      <c r="L35" s="970"/>
      <c r="M35" s="970"/>
      <c r="N35" s="650">
        <f t="shared" si="4"/>
        <v>0</v>
      </c>
    </row>
    <row r="36" spans="1:15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0</v>
      </c>
      <c r="H36" s="451">
        <f t="shared" si="3"/>
        <v>0</v>
      </c>
      <c r="I36" s="772"/>
      <c r="J36" s="772"/>
      <c r="K36" s="772"/>
      <c r="L36" s="970"/>
      <c r="M36" s="970"/>
      <c r="N36" s="650">
        <f t="shared" si="4"/>
        <v>0</v>
      </c>
    </row>
    <row r="37" spans="1:15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0</v>
      </c>
      <c r="H37" s="451">
        <f t="shared" si="3"/>
        <v>0</v>
      </c>
      <c r="I37" s="772"/>
      <c r="J37" s="772"/>
      <c r="K37" s="772"/>
      <c r="L37" s="970"/>
      <c r="M37" s="970"/>
      <c r="N37" s="650">
        <f t="shared" si="4"/>
        <v>0</v>
      </c>
    </row>
    <row r="38" spans="1:15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0</v>
      </c>
      <c r="H38" s="451">
        <f t="shared" si="3"/>
        <v>0</v>
      </c>
      <c r="I38" s="772"/>
      <c r="J38" s="772"/>
      <c r="K38" s="772"/>
      <c r="L38" s="970"/>
      <c r="M38" s="970"/>
      <c r="N38" s="650">
        <f t="shared" si="4"/>
        <v>0</v>
      </c>
    </row>
    <row r="39" spans="1:15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>SUM($E$8:E39)/A39</f>
        <v>0</v>
      </c>
      <c r="G39" s="396">
        <f t="shared" si="0"/>
        <v>0</v>
      </c>
      <c r="H39" s="451">
        <f t="shared" si="3"/>
        <v>0</v>
      </c>
      <c r="I39" s="772"/>
      <c r="J39" s="772"/>
      <c r="K39" s="772"/>
      <c r="L39" s="970"/>
      <c r="M39" s="970"/>
      <c r="N39" s="650">
        <f t="shared" si="4"/>
        <v>0</v>
      </c>
    </row>
    <row r="40" spans="1:15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M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</row>
    <row r="41" spans="1:15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794"/>
      <c r="M41" s="794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A41:C41"/>
    <mergeCell ref="A3:I3"/>
    <mergeCell ref="A4:B4"/>
    <mergeCell ref="L7:L8"/>
    <mergeCell ref="M7:M8"/>
    <mergeCell ref="A8:C8"/>
    <mergeCell ref="A40:C40"/>
  </mergeCells>
  <conditionalFormatting sqref="H38">
    <cfRule type="cellIs" dxfId="7433" priority="34" operator="between">
      <formula>3.5</formula>
      <formula>6</formula>
    </cfRule>
    <cfRule type="cellIs" dxfId="7432" priority="35" operator="lessThan">
      <formula>3.5</formula>
    </cfRule>
    <cfRule type="cellIs" dxfId="7431" priority="36" operator="greaterThan">
      <formula>6</formula>
    </cfRule>
  </conditionalFormatting>
  <conditionalFormatting sqref="H9:H12 H24:H37 H14:H17 H19:H22 H39">
    <cfRule type="cellIs" dxfId="7430" priority="31" operator="between">
      <formula>3.5</formula>
      <formula>6</formula>
    </cfRule>
    <cfRule type="cellIs" dxfId="7429" priority="32" operator="lessThan">
      <formula>3.5</formula>
    </cfRule>
    <cfRule type="cellIs" dxfId="7428" priority="33" operator="greaterThan">
      <formula>6</formula>
    </cfRule>
  </conditionalFormatting>
  <conditionalFormatting sqref="H23">
    <cfRule type="cellIs" dxfId="7427" priority="28" operator="between">
      <formula>3.5</formula>
      <formula>6</formula>
    </cfRule>
    <cfRule type="cellIs" dxfId="7426" priority="29" operator="lessThan">
      <formula>3.5</formula>
    </cfRule>
    <cfRule type="cellIs" dxfId="7425" priority="30" operator="greaterThan">
      <formula>6</formula>
    </cfRule>
  </conditionalFormatting>
  <conditionalFormatting sqref="H13">
    <cfRule type="cellIs" dxfId="7424" priority="25" operator="between">
      <formula>3.5</formula>
      <formula>6</formula>
    </cfRule>
    <cfRule type="cellIs" dxfId="7423" priority="26" operator="lessThan">
      <formula>3.5</formula>
    </cfRule>
    <cfRule type="cellIs" dxfId="7422" priority="27" operator="greaterThan">
      <formula>6</formula>
    </cfRule>
  </conditionalFormatting>
  <conditionalFormatting sqref="H18">
    <cfRule type="cellIs" dxfId="7421" priority="22" operator="between">
      <formula>3.5</formula>
      <formula>6</formula>
    </cfRule>
    <cfRule type="cellIs" dxfId="7420" priority="23" operator="lessThan">
      <formula>3.5</formula>
    </cfRule>
    <cfRule type="cellIs" dxfId="7419" priority="24" operator="greaterThan">
      <formula>6</formula>
    </cfRule>
  </conditionalFormatting>
  <conditionalFormatting sqref="H9:H39">
    <cfRule type="cellIs" dxfId="7418" priority="19" operator="between">
      <formula>3.5</formula>
      <formula>6</formula>
    </cfRule>
    <cfRule type="cellIs" dxfId="7417" priority="20" operator="lessThan">
      <formula>3.5</formula>
    </cfRule>
    <cfRule type="cellIs" dxfId="7416" priority="21" operator="greaterThan">
      <formula>6</formula>
    </cfRule>
  </conditionalFormatting>
  <conditionalFormatting sqref="H9:H39">
    <cfRule type="cellIs" dxfId="7415" priority="16" operator="between">
      <formula>3.5</formula>
      <formula>6</formula>
    </cfRule>
    <cfRule type="cellIs" dxfId="7414" priority="17" operator="lessThan">
      <formula>3.5</formula>
    </cfRule>
    <cfRule type="cellIs" dxfId="7413" priority="18" operator="greaterThan">
      <formula>6</formula>
    </cfRule>
  </conditionalFormatting>
  <conditionalFormatting sqref="H9:H39">
    <cfRule type="cellIs" dxfId="7412" priority="13" operator="between">
      <formula>3.5</formula>
      <formula>6</formula>
    </cfRule>
    <cfRule type="cellIs" dxfId="7411" priority="14" operator="lessThan">
      <formula>3.5</formula>
    </cfRule>
    <cfRule type="cellIs" dxfId="7410" priority="15" operator="greaterThan">
      <formula>6</formula>
    </cfRule>
  </conditionalFormatting>
  <conditionalFormatting sqref="H9:H39">
    <cfRule type="cellIs" dxfId="7409" priority="10" operator="between">
      <formula>3.5</formula>
      <formula>6</formula>
    </cfRule>
    <cfRule type="cellIs" dxfId="7408" priority="11" operator="lessThan">
      <formula>3.5</formula>
    </cfRule>
    <cfRule type="cellIs" dxfId="7407" priority="12" operator="greaterThan">
      <formula>6</formula>
    </cfRule>
  </conditionalFormatting>
  <conditionalFormatting sqref="H9:H39">
    <cfRule type="cellIs" dxfId="7406" priority="7" operator="between">
      <formula>3.5</formula>
      <formula>6</formula>
    </cfRule>
    <cfRule type="cellIs" dxfId="7405" priority="8" operator="lessThan">
      <formula>3.5</formula>
    </cfRule>
    <cfRule type="cellIs" dxfId="7404" priority="9" operator="greaterThan">
      <formula>6</formula>
    </cfRule>
  </conditionalFormatting>
  <conditionalFormatting sqref="H9:H39">
    <cfRule type="cellIs" dxfId="7403" priority="4" operator="between">
      <formula>3.5</formula>
      <formula>6</formula>
    </cfRule>
    <cfRule type="cellIs" dxfId="7402" priority="5" operator="lessThan">
      <formula>3.5</formula>
    </cfRule>
    <cfRule type="cellIs" dxfId="7401" priority="6" operator="greaterThan">
      <formula>6</formula>
    </cfRule>
  </conditionalFormatting>
  <conditionalFormatting sqref="H9:H39">
    <cfRule type="cellIs" dxfId="7400" priority="1" operator="between">
      <formula>3.5</formula>
      <formula>6</formula>
    </cfRule>
    <cfRule type="cellIs" dxfId="7399" priority="2" operator="lessThan">
      <formula>3.5</formula>
    </cfRule>
    <cfRule type="cellIs" dxfId="739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B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3" width="14.28515625" style="42" customWidth="1"/>
    <col min="14" max="14" width="11.5703125" style="143" bestFit="1" customWidth="1"/>
    <col min="15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42"/>
      <c r="K3" s="1042"/>
      <c r="L3" s="1042"/>
      <c r="M3" s="1042"/>
      <c r="O3" s="442"/>
      <c r="P3" s="442"/>
      <c r="Q3" s="442"/>
    </row>
    <row r="4" spans="1:28" s="1047" customFormat="1" ht="12" customHeight="1">
      <c r="A4" s="1648" t="s">
        <v>33</v>
      </c>
      <c r="B4" s="1648"/>
      <c r="C4" s="551" t="str">
        <f>H4</f>
        <v>HAVIRA 50*50-HA giấy nâu</v>
      </c>
      <c r="E4" s="549" t="s">
        <v>228</v>
      </c>
      <c r="F4" s="549" t="s">
        <v>235</v>
      </c>
      <c r="G4" s="550" t="s">
        <v>114</v>
      </c>
      <c r="H4" s="551" t="s">
        <v>870</v>
      </c>
      <c r="N4" s="143"/>
    </row>
    <row r="5" spans="1:28" s="104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324"/>
      <c r="N5" s="143"/>
    </row>
    <row r="6" spans="1:28" s="1047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1044" t="s">
        <v>2</v>
      </c>
      <c r="B7" s="1046" t="s">
        <v>1</v>
      </c>
      <c r="C7" s="104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43" t="s">
        <v>30</v>
      </c>
      <c r="I7" s="697" t="s">
        <v>341</v>
      </c>
      <c r="J7" s="697" t="s">
        <v>244</v>
      </c>
      <c r="K7" s="697" t="s">
        <v>821</v>
      </c>
      <c r="L7" s="1649" t="s">
        <v>771</v>
      </c>
      <c r="M7" s="1649" t="s">
        <v>772</v>
      </c>
      <c r="N7" s="143"/>
    </row>
    <row r="8" spans="1:28" s="305" customFormat="1" ht="12" customHeight="1">
      <c r="A8" s="1650" t="s">
        <v>3</v>
      </c>
      <c r="B8" s="1651"/>
      <c r="C8" s="1652"/>
      <c r="D8" s="771">
        <f>G8</f>
        <v>4329</v>
      </c>
      <c r="E8" s="771">
        <f>E40</f>
        <v>16150</v>
      </c>
      <c r="F8" s="771"/>
      <c r="G8" s="774">
        <v>4329</v>
      </c>
      <c r="H8" s="450"/>
      <c r="I8" s="772"/>
      <c r="J8" s="772"/>
      <c r="K8" s="772"/>
      <c r="L8" s="1649"/>
      <c r="M8" s="1649"/>
      <c r="N8" s="143">
        <v>10902.8</v>
      </c>
    </row>
    <row r="9" spans="1:28" s="305" customFormat="1" ht="12" customHeight="1">
      <c r="A9" s="1045">
        <v>1</v>
      </c>
      <c r="B9" s="365">
        <f>'FRIT HGE91-FHG'!B9</f>
        <v>46235</v>
      </c>
      <c r="C9" s="331" t="s">
        <v>285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 t="shared" ref="G9:G39" si="0">G8+D9-E9</f>
        <v>4329</v>
      </c>
      <c r="H9" s="451">
        <f>G9/10417</f>
        <v>0.4155707017375444</v>
      </c>
      <c r="I9" s="772"/>
      <c r="J9" s="772"/>
      <c r="K9" s="772"/>
      <c r="L9" s="970"/>
      <c r="M9" s="970"/>
      <c r="N9" s="650">
        <f>G9/$N$8</f>
        <v>0.39705396778809116</v>
      </c>
    </row>
    <row r="10" spans="1:28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>
        <f t="shared" ref="D10:D39" si="1">L10+M10</f>
        <v>0</v>
      </c>
      <c r="E10" s="396">
        <f t="shared" ref="E10:E39" si="2">I10+J10+K10</f>
        <v>0</v>
      </c>
      <c r="F10" s="396">
        <f>$F$9</f>
        <v>10902.777777777777</v>
      </c>
      <c r="G10" s="396">
        <f t="shared" si="0"/>
        <v>4329</v>
      </c>
      <c r="H10" s="451">
        <f t="shared" ref="H10:H39" si="3">G10/10417</f>
        <v>0.4155707017375444</v>
      </c>
      <c r="I10" s="772"/>
      <c r="J10" s="772"/>
      <c r="K10" s="772"/>
      <c r="L10" s="970"/>
      <c r="M10" s="970"/>
      <c r="N10" s="650">
        <f t="shared" ref="N10:N39" si="4">G10/$N$8</f>
        <v>0.39705396778809116</v>
      </c>
    </row>
    <row r="11" spans="1:28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>
        <f t="shared" si="1"/>
        <v>0</v>
      </c>
      <c r="E11" s="396">
        <f>I11+J11+K11</f>
        <v>0</v>
      </c>
      <c r="F11" s="396">
        <f>$F$9</f>
        <v>10902.777777777777</v>
      </c>
      <c r="G11" s="396">
        <f t="shared" si="0"/>
        <v>4329</v>
      </c>
      <c r="H11" s="451">
        <f t="shared" si="3"/>
        <v>0.4155707017375444</v>
      </c>
      <c r="I11" s="772"/>
      <c r="J11" s="772"/>
      <c r="K11" s="772"/>
      <c r="L11" s="970"/>
      <c r="M11" s="970"/>
      <c r="N11" s="650">
        <f t="shared" si="4"/>
        <v>0.39705396778809116</v>
      </c>
    </row>
    <row r="12" spans="1:28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>
        <f t="shared" si="1"/>
        <v>0</v>
      </c>
      <c r="E12" s="396">
        <f>I12+J12+K12</f>
        <v>0</v>
      </c>
      <c r="F12" s="396">
        <f t="shared" ref="F12:F38" si="5">$F$9</f>
        <v>10902.777777777777</v>
      </c>
      <c r="G12" s="396">
        <f t="shared" si="0"/>
        <v>4329</v>
      </c>
      <c r="H12" s="451">
        <f t="shared" si="3"/>
        <v>0.4155707017375444</v>
      </c>
      <c r="I12" s="772"/>
      <c r="J12" s="772"/>
      <c r="K12" s="772"/>
      <c r="L12" s="970"/>
      <c r="M12" s="970"/>
      <c r="N12" s="650">
        <f t="shared" si="4"/>
        <v>0.39705396778809116</v>
      </c>
    </row>
    <row r="13" spans="1:28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>
        <f t="shared" si="1"/>
        <v>3550</v>
      </c>
      <c r="E13" s="396">
        <f t="shared" si="2"/>
        <v>5000</v>
      </c>
      <c r="F13" s="396">
        <f t="shared" si="5"/>
        <v>10902.777777777777</v>
      </c>
      <c r="G13" s="769">
        <f t="shared" si="0"/>
        <v>2879</v>
      </c>
      <c r="H13" s="451">
        <f t="shared" si="3"/>
        <v>0.27637515599500817</v>
      </c>
      <c r="I13" s="772"/>
      <c r="J13" s="772">
        <v>5000</v>
      </c>
      <c r="K13" s="772"/>
      <c r="L13" s="970"/>
      <c r="M13" s="970">
        <v>3550</v>
      </c>
      <c r="N13" s="650">
        <f t="shared" si="4"/>
        <v>0.26406060828411054</v>
      </c>
    </row>
    <row r="14" spans="1:28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2879</v>
      </c>
      <c r="H14" s="451">
        <f t="shared" si="3"/>
        <v>0.27637515599500817</v>
      </c>
      <c r="I14" s="772"/>
      <c r="J14" s="772"/>
      <c r="K14" s="772"/>
      <c r="L14" s="970"/>
      <c r="M14" s="970"/>
      <c r="N14" s="650">
        <f t="shared" si="4"/>
        <v>0.26406060828411054</v>
      </c>
    </row>
    <row r="15" spans="1:28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f t="shared" si="1"/>
        <v>4690</v>
      </c>
      <c r="E15" s="396">
        <f t="shared" si="2"/>
        <v>0</v>
      </c>
      <c r="F15" s="396">
        <f t="shared" si="5"/>
        <v>10902.777777777777</v>
      </c>
      <c r="G15" s="396">
        <f t="shared" si="0"/>
        <v>7569</v>
      </c>
      <c r="H15" s="451">
        <f t="shared" si="3"/>
        <v>0.7266007487760392</v>
      </c>
      <c r="I15" s="772"/>
      <c r="J15" s="772"/>
      <c r="K15" s="772"/>
      <c r="L15" s="970"/>
      <c r="M15" s="970">
        <v>4690</v>
      </c>
      <c r="N15" s="650">
        <f t="shared" si="4"/>
        <v>0.6942253366107789</v>
      </c>
    </row>
    <row r="16" spans="1:28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>
        <f t="shared" si="1"/>
        <v>3600</v>
      </c>
      <c r="E16" s="396">
        <f t="shared" si="2"/>
        <v>0</v>
      </c>
      <c r="F16" s="396">
        <f t="shared" si="5"/>
        <v>10902.777777777777</v>
      </c>
      <c r="G16" s="396">
        <f t="shared" si="0"/>
        <v>11169</v>
      </c>
      <c r="H16" s="451">
        <f t="shared" si="3"/>
        <v>1.0721896899299221</v>
      </c>
      <c r="I16" s="772"/>
      <c r="J16" s="772"/>
      <c r="K16" s="772"/>
      <c r="L16" s="970"/>
      <c r="M16" s="970">
        <v>3600</v>
      </c>
      <c r="N16" s="650">
        <f t="shared" si="4"/>
        <v>1.0244157464137653</v>
      </c>
    </row>
    <row r="17" spans="1:14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11169</v>
      </c>
      <c r="H17" s="451">
        <f t="shared" si="3"/>
        <v>1.0721896899299221</v>
      </c>
      <c r="I17" s="772"/>
      <c r="J17" s="772"/>
      <c r="K17" s="772"/>
      <c r="L17" s="970"/>
      <c r="M17" s="970"/>
      <c r="N17" s="650">
        <f t="shared" si="4"/>
        <v>1.0244157464137653</v>
      </c>
    </row>
    <row r="18" spans="1:14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>
        <f t="shared" si="1"/>
        <v>0</v>
      </c>
      <c r="E18" s="396">
        <f t="shared" si="2"/>
        <v>8000</v>
      </c>
      <c r="F18" s="396">
        <f t="shared" si="5"/>
        <v>10902.777777777777</v>
      </c>
      <c r="G18" s="769">
        <f t="shared" si="0"/>
        <v>3169</v>
      </c>
      <c r="H18" s="451">
        <f t="shared" si="3"/>
        <v>0.30421426514351541</v>
      </c>
      <c r="I18" s="772"/>
      <c r="J18" s="772">
        <v>8000</v>
      </c>
      <c r="K18" s="772"/>
      <c r="L18" s="970"/>
      <c r="M18" s="970"/>
      <c r="N18" s="650">
        <f t="shared" si="4"/>
        <v>0.29065928018490667</v>
      </c>
    </row>
    <row r="19" spans="1:14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3169</v>
      </c>
      <c r="H19" s="451">
        <f t="shared" si="3"/>
        <v>0.30421426514351541</v>
      </c>
      <c r="I19" s="772"/>
      <c r="J19" s="772"/>
      <c r="K19" s="772"/>
      <c r="L19" s="970"/>
      <c r="M19" s="970"/>
      <c r="N19" s="650">
        <f t="shared" si="4"/>
        <v>0.29065928018490667</v>
      </c>
    </row>
    <row r="20" spans="1:14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1590</v>
      </c>
      <c r="E20" s="396">
        <f t="shared" si="2"/>
        <v>3150</v>
      </c>
      <c r="F20" s="396">
        <f t="shared" si="5"/>
        <v>10902.777777777777</v>
      </c>
      <c r="G20" s="396">
        <f t="shared" si="0"/>
        <v>1609</v>
      </c>
      <c r="H20" s="451">
        <f t="shared" si="3"/>
        <v>0.15445905731016607</v>
      </c>
      <c r="I20" s="772"/>
      <c r="J20" s="772">
        <v>3150</v>
      </c>
      <c r="K20" s="772"/>
      <c r="L20" s="970"/>
      <c r="M20" s="970">
        <v>1590</v>
      </c>
      <c r="N20" s="650">
        <f t="shared" si="4"/>
        <v>0.14757676927027921</v>
      </c>
    </row>
    <row r="21" spans="1:14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1609</v>
      </c>
      <c r="H21" s="451">
        <f t="shared" si="3"/>
        <v>0.15445905731016607</v>
      </c>
      <c r="I21" s="772"/>
      <c r="J21" s="772"/>
      <c r="K21" s="772"/>
      <c r="L21" s="970"/>
      <c r="M21" s="970"/>
      <c r="N21" s="650">
        <f t="shared" si="4"/>
        <v>0.14757676927027921</v>
      </c>
    </row>
    <row r="22" spans="1:14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1609</v>
      </c>
      <c r="H22" s="451">
        <f t="shared" si="3"/>
        <v>0.15445905731016607</v>
      </c>
      <c r="I22" s="772"/>
      <c r="J22" s="772"/>
      <c r="K22" s="772"/>
      <c r="L22" s="970"/>
      <c r="M22" s="970"/>
      <c r="N22" s="650">
        <f t="shared" si="4"/>
        <v>0.14757676927027921</v>
      </c>
    </row>
    <row r="23" spans="1:14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1609</v>
      </c>
      <c r="H23" s="451">
        <f t="shared" si="3"/>
        <v>0.15445905731016607</v>
      </c>
      <c r="I23" s="772"/>
      <c r="J23" s="772"/>
      <c r="K23" s="772"/>
      <c r="L23" s="970"/>
      <c r="M23" s="970"/>
      <c r="N23" s="650">
        <f t="shared" si="4"/>
        <v>0.14757676927027921</v>
      </c>
    </row>
    <row r="24" spans="1:14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1609</v>
      </c>
      <c r="H24" s="451">
        <f t="shared" si="3"/>
        <v>0.15445905731016607</v>
      </c>
      <c r="I24" s="772"/>
      <c r="J24" s="772"/>
      <c r="K24" s="772"/>
      <c r="L24" s="970"/>
      <c r="M24" s="970"/>
      <c r="N24" s="650">
        <f t="shared" si="4"/>
        <v>0.14757676927027921</v>
      </c>
    </row>
    <row r="25" spans="1:14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1609</v>
      </c>
      <c r="H25" s="451">
        <f t="shared" si="3"/>
        <v>0.15445905731016607</v>
      </c>
      <c r="I25" s="772"/>
      <c r="J25" s="772"/>
      <c r="K25" s="772"/>
      <c r="L25" s="970"/>
      <c r="M25" s="970"/>
      <c r="N25" s="650">
        <f t="shared" si="4"/>
        <v>0.14757676927027921</v>
      </c>
    </row>
    <row r="26" spans="1:14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1609</v>
      </c>
      <c r="H26" s="451">
        <f t="shared" si="3"/>
        <v>0.15445905731016607</v>
      </c>
      <c r="I26" s="772"/>
      <c r="J26" s="772"/>
      <c r="K26" s="772"/>
      <c r="L26" s="970"/>
      <c r="M26" s="970"/>
      <c r="N26" s="650">
        <f t="shared" si="4"/>
        <v>0.14757676927027921</v>
      </c>
    </row>
    <row r="27" spans="1:14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1609</v>
      </c>
      <c r="H27" s="451">
        <f t="shared" si="3"/>
        <v>0.15445905731016607</v>
      </c>
      <c r="I27" s="772"/>
      <c r="J27" s="772"/>
      <c r="K27" s="772"/>
      <c r="L27" s="970"/>
      <c r="M27" s="970"/>
      <c r="N27" s="650">
        <f t="shared" si="4"/>
        <v>0.14757676927027921</v>
      </c>
    </row>
    <row r="28" spans="1:14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1609</v>
      </c>
      <c r="H28" s="451">
        <f t="shared" si="3"/>
        <v>0.15445905731016607</v>
      </c>
      <c r="I28" s="772"/>
      <c r="J28" s="772"/>
      <c r="K28" s="772"/>
      <c r="L28" s="970"/>
      <c r="M28" s="970"/>
      <c r="N28" s="650">
        <f t="shared" si="4"/>
        <v>0.14757676927027921</v>
      </c>
    </row>
    <row r="29" spans="1:14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1609</v>
      </c>
      <c r="H29" s="451">
        <f t="shared" si="3"/>
        <v>0.15445905731016607</v>
      </c>
      <c r="I29" s="772"/>
      <c r="J29" s="772"/>
      <c r="K29" s="772"/>
      <c r="L29" s="970"/>
      <c r="M29" s="970"/>
      <c r="N29" s="650">
        <f t="shared" si="4"/>
        <v>0.14757676927027921</v>
      </c>
    </row>
    <row r="30" spans="1:14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1609</v>
      </c>
      <c r="H30" s="451">
        <f t="shared" si="3"/>
        <v>0.15445905731016607</v>
      </c>
      <c r="I30" s="772"/>
      <c r="J30" s="772"/>
      <c r="K30" s="772"/>
      <c r="L30" s="970"/>
      <c r="M30" s="970"/>
      <c r="N30" s="650">
        <f t="shared" si="4"/>
        <v>0.14757676927027921</v>
      </c>
    </row>
    <row r="31" spans="1:14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1609</v>
      </c>
      <c r="H31" s="451">
        <f t="shared" si="3"/>
        <v>0.15445905731016607</v>
      </c>
      <c r="I31" s="772"/>
      <c r="J31" s="772"/>
      <c r="K31" s="772"/>
      <c r="L31" s="970"/>
      <c r="M31" s="970"/>
      <c r="N31" s="650">
        <f t="shared" si="4"/>
        <v>0.14757676927027921</v>
      </c>
    </row>
    <row r="32" spans="1:14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1609</v>
      </c>
      <c r="H32" s="451">
        <f t="shared" si="3"/>
        <v>0.15445905731016607</v>
      </c>
      <c r="I32" s="772"/>
      <c r="J32" s="772"/>
      <c r="K32" s="772"/>
      <c r="L32" s="970"/>
      <c r="M32" s="970"/>
      <c r="N32" s="650">
        <f t="shared" si="4"/>
        <v>0.14757676927027921</v>
      </c>
    </row>
    <row r="33" spans="1:15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1609</v>
      </c>
      <c r="H33" s="451">
        <f t="shared" si="3"/>
        <v>0.15445905731016607</v>
      </c>
      <c r="I33" s="772"/>
      <c r="J33" s="772"/>
      <c r="K33" s="772"/>
      <c r="L33" s="970"/>
      <c r="M33" s="970"/>
      <c r="N33" s="650">
        <f t="shared" si="4"/>
        <v>0.14757676927027921</v>
      </c>
    </row>
    <row r="34" spans="1:15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1609</v>
      </c>
      <c r="H34" s="451">
        <f t="shared" si="3"/>
        <v>0.15445905731016607</v>
      </c>
      <c r="I34" s="772"/>
      <c r="J34" s="772"/>
      <c r="K34" s="772"/>
      <c r="L34" s="970"/>
      <c r="M34" s="970"/>
      <c r="N34" s="650">
        <f t="shared" si="4"/>
        <v>0.14757676927027921</v>
      </c>
    </row>
    <row r="35" spans="1:15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1609</v>
      </c>
      <c r="H35" s="451">
        <f t="shared" si="3"/>
        <v>0.15445905731016607</v>
      </c>
      <c r="I35" s="772"/>
      <c r="J35" s="772"/>
      <c r="K35" s="772"/>
      <c r="L35" s="970"/>
      <c r="M35" s="970"/>
      <c r="N35" s="650">
        <f t="shared" si="4"/>
        <v>0.14757676927027921</v>
      </c>
    </row>
    <row r="36" spans="1:15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1609</v>
      </c>
      <c r="H36" s="451">
        <f t="shared" si="3"/>
        <v>0.15445905731016607</v>
      </c>
      <c r="I36" s="772"/>
      <c r="J36" s="772"/>
      <c r="K36" s="772"/>
      <c r="L36" s="970"/>
      <c r="M36" s="970"/>
      <c r="N36" s="650">
        <f t="shared" si="4"/>
        <v>0.14757676927027921</v>
      </c>
    </row>
    <row r="37" spans="1:15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1609</v>
      </c>
      <c r="H37" s="451">
        <f t="shared" si="3"/>
        <v>0.15445905731016607</v>
      </c>
      <c r="I37" s="772"/>
      <c r="J37" s="772"/>
      <c r="K37" s="772"/>
      <c r="L37" s="970"/>
      <c r="M37" s="970"/>
      <c r="N37" s="650">
        <f t="shared" si="4"/>
        <v>0.14757676927027921</v>
      </c>
    </row>
    <row r="38" spans="1:15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1609</v>
      </c>
      <c r="H38" s="451">
        <f t="shared" si="3"/>
        <v>0.15445905731016607</v>
      </c>
      <c r="I38" s="772"/>
      <c r="J38" s="772"/>
      <c r="K38" s="772"/>
      <c r="L38" s="970"/>
      <c r="M38" s="970"/>
      <c r="N38" s="650">
        <f t="shared" si="4"/>
        <v>0.14757676927027921</v>
      </c>
    </row>
    <row r="39" spans="1:15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>SUM($E$8:E39)/A39</f>
        <v>1041.9354838709678</v>
      </c>
      <c r="G39" s="396">
        <f t="shared" si="0"/>
        <v>1609</v>
      </c>
      <c r="H39" s="451">
        <f t="shared" si="3"/>
        <v>0.15445905731016607</v>
      </c>
      <c r="I39" s="772"/>
      <c r="J39" s="772"/>
      <c r="K39" s="772"/>
      <c r="L39" s="970"/>
      <c r="M39" s="970"/>
      <c r="N39" s="650">
        <f t="shared" si="4"/>
        <v>0.14757676927027921</v>
      </c>
    </row>
    <row r="40" spans="1:15" s="374" customFormat="1" ht="11.25" customHeight="1">
      <c r="A40" s="1647" t="s">
        <v>29</v>
      </c>
      <c r="B40" s="1647"/>
      <c r="C40" s="1647"/>
      <c r="D40" s="448">
        <f>SUM(D9:D39)</f>
        <v>13430</v>
      </c>
      <c r="E40" s="389">
        <f>SUM(E9:E39)</f>
        <v>16150</v>
      </c>
      <c r="F40" s="449"/>
      <c r="G40" s="389">
        <f>G39</f>
        <v>1609</v>
      </c>
      <c r="H40" s="309"/>
      <c r="I40" s="689">
        <f>SUM(I9:I39)</f>
        <v>0</v>
      </c>
      <c r="J40" s="689">
        <f t="shared" ref="J40:M40" si="6">SUM(J9:J39)</f>
        <v>16150</v>
      </c>
      <c r="K40" s="689">
        <f t="shared" si="6"/>
        <v>0</v>
      </c>
      <c r="L40" s="689">
        <f t="shared" si="6"/>
        <v>0</v>
      </c>
      <c r="M40" s="689">
        <f t="shared" si="6"/>
        <v>13430</v>
      </c>
    </row>
    <row r="41" spans="1:15" s="374" customFormat="1" ht="11.25" customHeight="1">
      <c r="A41" s="1647" t="s">
        <v>15</v>
      </c>
      <c r="B41" s="1647"/>
      <c r="C41" s="1647"/>
      <c r="D41" s="448">
        <f>D8+D40</f>
        <v>17759</v>
      </c>
      <c r="E41" s="389">
        <f>E40</f>
        <v>16150</v>
      </c>
      <c r="F41" s="449"/>
      <c r="G41" s="389">
        <f>D41-E41</f>
        <v>1609</v>
      </c>
      <c r="H41" s="309"/>
      <c r="I41" s="689"/>
      <c r="J41" s="689"/>
      <c r="K41" s="689"/>
      <c r="L41" s="794"/>
      <c r="M41" s="794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>
        <f>E40+'ESPANA 30x60-VH'!E40</f>
        <v>16150</v>
      </c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A41:C41"/>
    <mergeCell ref="A3:I3"/>
    <mergeCell ref="A4:B4"/>
    <mergeCell ref="L7:L8"/>
    <mergeCell ref="M7:M8"/>
    <mergeCell ref="A8:C8"/>
    <mergeCell ref="A40:C40"/>
  </mergeCells>
  <conditionalFormatting sqref="H38">
    <cfRule type="cellIs" dxfId="7397" priority="34" operator="between">
      <formula>3.5</formula>
      <formula>6</formula>
    </cfRule>
    <cfRule type="cellIs" dxfId="7396" priority="35" operator="lessThan">
      <formula>3.5</formula>
    </cfRule>
    <cfRule type="cellIs" dxfId="7395" priority="36" operator="greaterThan">
      <formula>6</formula>
    </cfRule>
  </conditionalFormatting>
  <conditionalFormatting sqref="H9:H12 H24:H37 H14:H17 H19:H22 H39">
    <cfRule type="cellIs" dxfId="7394" priority="31" operator="between">
      <formula>3.5</formula>
      <formula>6</formula>
    </cfRule>
    <cfRule type="cellIs" dxfId="7393" priority="32" operator="lessThan">
      <formula>3.5</formula>
    </cfRule>
    <cfRule type="cellIs" dxfId="7392" priority="33" operator="greaterThan">
      <formula>6</formula>
    </cfRule>
  </conditionalFormatting>
  <conditionalFormatting sqref="H23">
    <cfRule type="cellIs" dxfId="7391" priority="28" operator="between">
      <formula>3.5</formula>
      <formula>6</formula>
    </cfRule>
    <cfRule type="cellIs" dxfId="7390" priority="29" operator="lessThan">
      <formula>3.5</formula>
    </cfRule>
    <cfRule type="cellIs" dxfId="7389" priority="30" operator="greaterThan">
      <formula>6</formula>
    </cfRule>
  </conditionalFormatting>
  <conditionalFormatting sqref="H13">
    <cfRule type="cellIs" dxfId="7388" priority="25" operator="between">
      <formula>3.5</formula>
      <formula>6</formula>
    </cfRule>
    <cfRule type="cellIs" dxfId="7387" priority="26" operator="lessThan">
      <formula>3.5</formula>
    </cfRule>
    <cfRule type="cellIs" dxfId="7386" priority="27" operator="greaterThan">
      <formula>6</formula>
    </cfRule>
  </conditionalFormatting>
  <conditionalFormatting sqref="H18">
    <cfRule type="cellIs" dxfId="7385" priority="22" operator="between">
      <formula>3.5</formula>
      <formula>6</formula>
    </cfRule>
    <cfRule type="cellIs" dxfId="7384" priority="23" operator="lessThan">
      <formula>3.5</formula>
    </cfRule>
    <cfRule type="cellIs" dxfId="7383" priority="24" operator="greaterThan">
      <formula>6</formula>
    </cfRule>
  </conditionalFormatting>
  <conditionalFormatting sqref="H9:H39">
    <cfRule type="cellIs" dxfId="7382" priority="19" operator="between">
      <formula>3.5</formula>
      <formula>6</formula>
    </cfRule>
    <cfRule type="cellIs" dxfId="7381" priority="20" operator="lessThan">
      <formula>3.5</formula>
    </cfRule>
    <cfRule type="cellIs" dxfId="7380" priority="21" operator="greaterThan">
      <formula>6</formula>
    </cfRule>
  </conditionalFormatting>
  <conditionalFormatting sqref="H9:H39">
    <cfRule type="cellIs" dxfId="7379" priority="16" operator="between">
      <formula>3.5</formula>
      <formula>6</formula>
    </cfRule>
    <cfRule type="cellIs" dxfId="7378" priority="17" operator="lessThan">
      <formula>3.5</formula>
    </cfRule>
    <cfRule type="cellIs" dxfId="7377" priority="18" operator="greaterThan">
      <formula>6</formula>
    </cfRule>
  </conditionalFormatting>
  <conditionalFormatting sqref="H9:H39">
    <cfRule type="cellIs" dxfId="7376" priority="13" operator="between">
      <formula>3.5</formula>
      <formula>6</formula>
    </cfRule>
    <cfRule type="cellIs" dxfId="7375" priority="14" operator="lessThan">
      <formula>3.5</formula>
    </cfRule>
    <cfRule type="cellIs" dxfId="7374" priority="15" operator="greaterThan">
      <formula>6</formula>
    </cfRule>
  </conditionalFormatting>
  <conditionalFormatting sqref="H9:H39">
    <cfRule type="cellIs" dxfId="7373" priority="10" operator="between">
      <formula>3.5</formula>
      <formula>6</formula>
    </cfRule>
    <cfRule type="cellIs" dxfId="7372" priority="11" operator="lessThan">
      <formula>3.5</formula>
    </cfRule>
    <cfRule type="cellIs" dxfId="7371" priority="12" operator="greaterThan">
      <formula>6</formula>
    </cfRule>
  </conditionalFormatting>
  <conditionalFormatting sqref="H9:H39">
    <cfRule type="cellIs" dxfId="7370" priority="7" operator="between">
      <formula>3.5</formula>
      <formula>6</formula>
    </cfRule>
    <cfRule type="cellIs" dxfId="7369" priority="8" operator="lessThan">
      <formula>3.5</formula>
    </cfRule>
    <cfRule type="cellIs" dxfId="7368" priority="9" operator="greaterThan">
      <formula>6</formula>
    </cfRule>
  </conditionalFormatting>
  <conditionalFormatting sqref="H9:H39">
    <cfRule type="cellIs" dxfId="7367" priority="4" operator="between">
      <formula>3.5</formula>
      <formula>6</formula>
    </cfRule>
    <cfRule type="cellIs" dxfId="7366" priority="5" operator="lessThan">
      <formula>3.5</formula>
    </cfRule>
    <cfRule type="cellIs" dxfId="7365" priority="6" operator="greaterThan">
      <formula>6</formula>
    </cfRule>
  </conditionalFormatting>
  <conditionalFormatting sqref="H9:H39">
    <cfRule type="cellIs" dxfId="7364" priority="1" operator="between">
      <formula>3.5</formula>
      <formula>6</formula>
    </cfRule>
    <cfRule type="cellIs" dxfId="7363" priority="2" operator="lessThan">
      <formula>3.5</formula>
    </cfRule>
    <cfRule type="cellIs" dxfId="736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B49"/>
  <sheetViews>
    <sheetView zoomScale="90" zoomScaleNormal="90" workbookViewId="0">
      <pane ySplit="8" topLeftCell="A18" activePane="bottomLeft" state="frozen"/>
      <selection pane="bottomLeft" activeCell="K29" sqref="K29:K33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3" width="14.28515625" style="42" customWidth="1"/>
    <col min="14" max="14" width="11.5703125" style="143" bestFit="1" customWidth="1"/>
    <col min="15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41"/>
      <c r="K3" s="1141"/>
      <c r="L3" s="1141"/>
      <c r="M3" s="1141"/>
      <c r="O3" s="442"/>
      <c r="P3" s="442"/>
      <c r="Q3" s="442"/>
    </row>
    <row r="4" spans="1:28" s="1146" customFormat="1" ht="12" customHeight="1">
      <c r="A4" s="1648" t="s">
        <v>33</v>
      </c>
      <c r="B4" s="1648"/>
      <c r="C4" s="551" t="str">
        <f>H4</f>
        <v>HAVIRA 60*60-HA giấy nâu</v>
      </c>
      <c r="E4" s="549" t="s">
        <v>228</v>
      </c>
      <c r="F4" s="549" t="s">
        <v>235</v>
      </c>
      <c r="G4" s="550" t="s">
        <v>114</v>
      </c>
      <c r="H4" s="551" t="s">
        <v>936</v>
      </c>
      <c r="N4" s="143"/>
    </row>
    <row r="5" spans="1:28" s="114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324"/>
      <c r="N5" s="143"/>
    </row>
    <row r="6" spans="1:28" s="114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1143" t="s">
        <v>2</v>
      </c>
      <c r="B7" s="1145" t="s">
        <v>1</v>
      </c>
      <c r="C7" s="1145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42" t="s">
        <v>30</v>
      </c>
      <c r="I7" s="697" t="s">
        <v>341</v>
      </c>
      <c r="J7" s="697" t="s">
        <v>244</v>
      </c>
      <c r="K7" s="697" t="s">
        <v>821</v>
      </c>
      <c r="L7" s="1649" t="s">
        <v>771</v>
      </c>
      <c r="M7" s="1649" t="s">
        <v>772</v>
      </c>
      <c r="N7" s="143"/>
    </row>
    <row r="8" spans="1:28" s="305" customFormat="1" ht="12" customHeight="1">
      <c r="A8" s="1650" t="s">
        <v>3</v>
      </c>
      <c r="B8" s="1651"/>
      <c r="C8" s="1652"/>
      <c r="D8" s="771">
        <f>G8</f>
        <v>960</v>
      </c>
      <c r="E8" s="771">
        <f>E40</f>
        <v>0</v>
      </c>
      <c r="F8" s="771"/>
      <c r="G8" s="774">
        <v>960</v>
      </c>
      <c r="H8" s="450"/>
      <c r="I8" s="772"/>
      <c r="J8" s="772"/>
      <c r="K8" s="772"/>
      <c r="L8" s="1649"/>
      <c r="M8" s="1649"/>
      <c r="N8" s="143">
        <v>10902.8</v>
      </c>
    </row>
    <row r="9" spans="1:28" s="305" customFormat="1" ht="12" customHeight="1">
      <c r="A9" s="1144">
        <v>1</v>
      </c>
      <c r="B9" s="365">
        <f>'FRIT HGE91-FHG'!B9</f>
        <v>46235</v>
      </c>
      <c r="C9" s="331" t="s">
        <v>285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 t="shared" ref="G9:G39" si="0">G8+D9-E9</f>
        <v>960</v>
      </c>
      <c r="H9" s="451">
        <f>G9/10417</f>
        <v>9.2157050974368826E-2</v>
      </c>
      <c r="I9" s="772"/>
      <c r="J9" s="772"/>
      <c r="K9" s="772"/>
      <c r="L9" s="970"/>
      <c r="M9" s="970"/>
      <c r="N9" s="650">
        <f>G9/$N$8</f>
        <v>8.8050775947463036E-2</v>
      </c>
    </row>
    <row r="10" spans="1:28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>
        <f t="shared" ref="D10:D39" si="1">L10+M10</f>
        <v>0</v>
      </c>
      <c r="E10" s="396">
        <f t="shared" ref="E10:E39" si="2">I10+J10+K10</f>
        <v>0</v>
      </c>
      <c r="F10" s="396">
        <f>$F$9</f>
        <v>10902.777777777777</v>
      </c>
      <c r="G10" s="396">
        <f t="shared" si="0"/>
        <v>960</v>
      </c>
      <c r="H10" s="451">
        <f t="shared" ref="H10:H39" si="3">G10/10417</f>
        <v>9.2157050974368826E-2</v>
      </c>
      <c r="I10" s="772"/>
      <c r="J10" s="772"/>
      <c r="K10" s="772"/>
      <c r="L10" s="970"/>
      <c r="M10" s="970"/>
      <c r="N10" s="650">
        <f t="shared" ref="N10:N39" si="4">G10/$N$8</f>
        <v>8.8050775947463036E-2</v>
      </c>
    </row>
    <row r="11" spans="1:28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960</v>
      </c>
      <c r="H11" s="451">
        <f t="shared" si="3"/>
        <v>9.2157050974368826E-2</v>
      </c>
      <c r="I11" s="772"/>
      <c r="J11" s="772"/>
      <c r="K11" s="772"/>
      <c r="L11" s="970"/>
      <c r="M11" s="970"/>
      <c r="N11" s="650">
        <f t="shared" si="4"/>
        <v>8.8050775947463036E-2</v>
      </c>
    </row>
    <row r="12" spans="1:28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>
        <f t="shared" si="1"/>
        <v>0</v>
      </c>
      <c r="E12" s="396">
        <f t="shared" si="2"/>
        <v>0</v>
      </c>
      <c r="F12" s="396">
        <f t="shared" ref="F12:F38" si="5">$F$9</f>
        <v>10902.777777777777</v>
      </c>
      <c r="G12" s="396">
        <f t="shared" si="0"/>
        <v>960</v>
      </c>
      <c r="H12" s="451">
        <f t="shared" si="3"/>
        <v>9.2157050974368826E-2</v>
      </c>
      <c r="I12" s="772"/>
      <c r="J12" s="772"/>
      <c r="K12" s="772"/>
      <c r="L12" s="970"/>
      <c r="M12" s="970"/>
      <c r="N12" s="650">
        <f t="shared" si="4"/>
        <v>8.8050775947463036E-2</v>
      </c>
    </row>
    <row r="13" spans="1:28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960</v>
      </c>
      <c r="H13" s="451">
        <f t="shared" si="3"/>
        <v>9.2157050974368826E-2</v>
      </c>
      <c r="I13" s="772"/>
      <c r="J13" s="772"/>
      <c r="K13" s="772"/>
      <c r="L13" s="970"/>
      <c r="M13" s="970"/>
      <c r="N13" s="650">
        <f t="shared" si="4"/>
        <v>8.8050775947463036E-2</v>
      </c>
    </row>
    <row r="14" spans="1:28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960</v>
      </c>
      <c r="H14" s="451">
        <f t="shared" si="3"/>
        <v>9.2157050974368826E-2</v>
      </c>
      <c r="I14" s="772"/>
      <c r="J14" s="772"/>
      <c r="K14" s="772"/>
      <c r="L14" s="970"/>
      <c r="M14" s="970"/>
      <c r="N14" s="650">
        <f t="shared" si="4"/>
        <v>8.8050775947463036E-2</v>
      </c>
    </row>
    <row r="15" spans="1:28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960</v>
      </c>
      <c r="H15" s="451">
        <f t="shared" si="3"/>
        <v>9.2157050974368826E-2</v>
      </c>
      <c r="I15" s="772"/>
      <c r="J15" s="772"/>
      <c r="K15" s="772"/>
      <c r="L15" s="970"/>
      <c r="M15" s="970"/>
      <c r="N15" s="650">
        <f t="shared" si="4"/>
        <v>8.8050775947463036E-2</v>
      </c>
    </row>
    <row r="16" spans="1:28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960</v>
      </c>
      <c r="H16" s="451">
        <f t="shared" si="3"/>
        <v>9.2157050974368826E-2</v>
      </c>
      <c r="I16" s="772"/>
      <c r="J16" s="772"/>
      <c r="K16" s="772"/>
      <c r="L16" s="970"/>
      <c r="M16" s="970"/>
      <c r="N16" s="650">
        <f t="shared" si="4"/>
        <v>8.8050775947463036E-2</v>
      </c>
    </row>
    <row r="17" spans="1:14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960</v>
      </c>
      <c r="H17" s="451">
        <f t="shared" si="3"/>
        <v>9.2157050974368826E-2</v>
      </c>
      <c r="I17" s="772"/>
      <c r="J17" s="772"/>
      <c r="K17" s="772"/>
      <c r="L17" s="970"/>
      <c r="M17" s="970"/>
      <c r="N17" s="650">
        <f t="shared" si="4"/>
        <v>8.8050775947463036E-2</v>
      </c>
    </row>
    <row r="18" spans="1:14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960</v>
      </c>
      <c r="H18" s="451">
        <f t="shared" si="3"/>
        <v>9.2157050974368826E-2</v>
      </c>
      <c r="I18" s="772"/>
      <c r="J18" s="772"/>
      <c r="K18" s="772"/>
      <c r="L18" s="970"/>
      <c r="M18" s="970"/>
      <c r="N18" s="650">
        <f t="shared" si="4"/>
        <v>8.8050775947463036E-2</v>
      </c>
    </row>
    <row r="19" spans="1:14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960</v>
      </c>
      <c r="H19" s="451">
        <f t="shared" si="3"/>
        <v>9.2157050974368826E-2</v>
      </c>
      <c r="I19" s="772"/>
      <c r="J19" s="772"/>
      <c r="K19" s="772"/>
      <c r="L19" s="970"/>
      <c r="M19" s="970"/>
      <c r="N19" s="650">
        <f t="shared" si="4"/>
        <v>8.8050775947463036E-2</v>
      </c>
    </row>
    <row r="20" spans="1:14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960</v>
      </c>
      <c r="H20" s="451">
        <f t="shared" si="3"/>
        <v>9.2157050974368826E-2</v>
      </c>
      <c r="I20" s="772"/>
      <c r="J20" s="772"/>
      <c r="K20" s="772"/>
      <c r="L20" s="970"/>
      <c r="M20" s="970"/>
      <c r="N20" s="650">
        <f t="shared" si="4"/>
        <v>8.8050775947463036E-2</v>
      </c>
    </row>
    <row r="21" spans="1:14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960</v>
      </c>
      <c r="H21" s="451">
        <f t="shared" si="3"/>
        <v>9.2157050974368826E-2</v>
      </c>
      <c r="I21" s="772"/>
      <c r="J21" s="772"/>
      <c r="K21" s="772"/>
      <c r="L21" s="970"/>
      <c r="M21" s="970"/>
      <c r="N21" s="650">
        <f t="shared" si="4"/>
        <v>8.8050775947463036E-2</v>
      </c>
    </row>
    <row r="22" spans="1:14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960</v>
      </c>
      <c r="H22" s="451">
        <f t="shared" si="3"/>
        <v>9.2157050974368826E-2</v>
      </c>
      <c r="I22" s="772"/>
      <c r="J22" s="772"/>
      <c r="K22" s="772"/>
      <c r="L22" s="970"/>
      <c r="M22" s="970"/>
      <c r="N22" s="650">
        <f t="shared" si="4"/>
        <v>8.8050775947463036E-2</v>
      </c>
    </row>
    <row r="23" spans="1:14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960</v>
      </c>
      <c r="H23" s="451">
        <f t="shared" si="3"/>
        <v>9.2157050974368826E-2</v>
      </c>
      <c r="I23" s="772"/>
      <c r="J23" s="772"/>
      <c r="K23" s="772"/>
      <c r="L23" s="970"/>
      <c r="M23" s="970"/>
      <c r="N23" s="650">
        <f t="shared" si="4"/>
        <v>8.8050775947463036E-2</v>
      </c>
    </row>
    <row r="24" spans="1:14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960</v>
      </c>
      <c r="H24" s="451">
        <f t="shared" si="3"/>
        <v>9.2157050974368826E-2</v>
      </c>
      <c r="I24" s="772"/>
      <c r="J24" s="772"/>
      <c r="K24" s="772"/>
      <c r="L24" s="970"/>
      <c r="M24" s="970"/>
      <c r="N24" s="650">
        <f t="shared" si="4"/>
        <v>8.8050775947463036E-2</v>
      </c>
    </row>
    <row r="25" spans="1:14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960</v>
      </c>
      <c r="H25" s="451">
        <f t="shared" si="3"/>
        <v>9.2157050974368826E-2</v>
      </c>
      <c r="I25" s="772"/>
      <c r="J25" s="772"/>
      <c r="K25" s="772"/>
      <c r="L25" s="970"/>
      <c r="M25" s="970"/>
      <c r="N25" s="650">
        <f t="shared" si="4"/>
        <v>8.8050775947463036E-2</v>
      </c>
    </row>
    <row r="26" spans="1:14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960</v>
      </c>
      <c r="H26" s="451">
        <f t="shared" si="3"/>
        <v>9.2157050974368826E-2</v>
      </c>
      <c r="I26" s="772"/>
      <c r="J26" s="772"/>
      <c r="K26" s="772"/>
      <c r="L26" s="970"/>
      <c r="M26" s="970"/>
      <c r="N26" s="650">
        <f t="shared" si="4"/>
        <v>8.8050775947463036E-2</v>
      </c>
    </row>
    <row r="27" spans="1:14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960</v>
      </c>
      <c r="H27" s="451">
        <f t="shared" si="3"/>
        <v>9.2157050974368826E-2</v>
      </c>
      <c r="I27" s="772"/>
      <c r="J27" s="772"/>
      <c r="K27" s="772"/>
      <c r="L27" s="970"/>
      <c r="M27" s="970"/>
      <c r="N27" s="650">
        <f t="shared" si="4"/>
        <v>8.8050775947463036E-2</v>
      </c>
    </row>
    <row r="28" spans="1:14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960</v>
      </c>
      <c r="H28" s="451">
        <f t="shared" si="3"/>
        <v>9.2157050974368826E-2</v>
      </c>
      <c r="I28" s="772"/>
      <c r="J28" s="772"/>
      <c r="K28" s="772"/>
      <c r="L28" s="970"/>
      <c r="M28" s="970"/>
      <c r="N28" s="650">
        <f t="shared" si="4"/>
        <v>8.8050775947463036E-2</v>
      </c>
    </row>
    <row r="29" spans="1:14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960</v>
      </c>
      <c r="H29" s="451">
        <f t="shared" si="3"/>
        <v>9.2157050974368826E-2</v>
      </c>
      <c r="I29" s="772"/>
      <c r="J29" s="772"/>
      <c r="K29" s="772"/>
      <c r="L29" s="970"/>
      <c r="M29" s="970"/>
      <c r="N29" s="650">
        <f t="shared" si="4"/>
        <v>8.8050775947463036E-2</v>
      </c>
    </row>
    <row r="30" spans="1:14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960</v>
      </c>
      <c r="H30" s="451">
        <f t="shared" si="3"/>
        <v>9.2157050974368826E-2</v>
      </c>
      <c r="I30" s="772"/>
      <c r="J30" s="772"/>
      <c r="K30" s="772"/>
      <c r="L30" s="970"/>
      <c r="M30" s="970"/>
      <c r="N30" s="650">
        <f t="shared" si="4"/>
        <v>8.8050775947463036E-2</v>
      </c>
    </row>
    <row r="31" spans="1:14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960</v>
      </c>
      <c r="H31" s="451">
        <f t="shared" si="3"/>
        <v>9.2157050974368826E-2</v>
      </c>
      <c r="I31" s="772"/>
      <c r="J31" s="772"/>
      <c r="K31" s="772"/>
      <c r="L31" s="970"/>
      <c r="M31" s="970"/>
      <c r="N31" s="650">
        <f t="shared" si="4"/>
        <v>8.8050775947463036E-2</v>
      </c>
    </row>
    <row r="32" spans="1:14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960</v>
      </c>
      <c r="H32" s="451">
        <f t="shared" si="3"/>
        <v>9.2157050974368826E-2</v>
      </c>
      <c r="I32" s="772"/>
      <c r="J32" s="772"/>
      <c r="K32" s="772"/>
      <c r="L32" s="970"/>
      <c r="M32" s="970"/>
      <c r="N32" s="650">
        <f t="shared" si="4"/>
        <v>8.8050775947463036E-2</v>
      </c>
    </row>
    <row r="33" spans="1:15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960</v>
      </c>
      <c r="H33" s="451">
        <f t="shared" si="3"/>
        <v>9.2157050974368826E-2</v>
      </c>
      <c r="I33" s="772"/>
      <c r="J33" s="772"/>
      <c r="K33" s="772"/>
      <c r="L33" s="970"/>
      <c r="M33" s="970"/>
      <c r="N33" s="650">
        <f t="shared" si="4"/>
        <v>8.8050775947463036E-2</v>
      </c>
    </row>
    <row r="34" spans="1:15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960</v>
      </c>
      <c r="H34" s="451">
        <f t="shared" si="3"/>
        <v>9.2157050974368826E-2</v>
      </c>
      <c r="I34" s="772"/>
      <c r="J34" s="772"/>
      <c r="K34" s="772"/>
      <c r="L34" s="970"/>
      <c r="M34" s="970"/>
      <c r="N34" s="650">
        <f t="shared" si="4"/>
        <v>8.8050775947463036E-2</v>
      </c>
    </row>
    <row r="35" spans="1:15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960</v>
      </c>
      <c r="H35" s="451">
        <f t="shared" si="3"/>
        <v>9.2157050974368826E-2</v>
      </c>
      <c r="I35" s="772"/>
      <c r="J35" s="772"/>
      <c r="K35" s="772"/>
      <c r="L35" s="970"/>
      <c r="M35" s="970"/>
      <c r="N35" s="650">
        <f t="shared" si="4"/>
        <v>8.8050775947463036E-2</v>
      </c>
    </row>
    <row r="36" spans="1:15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960</v>
      </c>
      <c r="H36" s="451">
        <f t="shared" si="3"/>
        <v>9.2157050974368826E-2</v>
      </c>
      <c r="I36" s="772"/>
      <c r="J36" s="772"/>
      <c r="K36" s="772"/>
      <c r="L36" s="970"/>
      <c r="M36" s="970"/>
      <c r="N36" s="650">
        <f t="shared" si="4"/>
        <v>8.8050775947463036E-2</v>
      </c>
    </row>
    <row r="37" spans="1:15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960</v>
      </c>
      <c r="H37" s="451">
        <f t="shared" si="3"/>
        <v>9.2157050974368826E-2</v>
      </c>
      <c r="I37" s="772"/>
      <c r="J37" s="772"/>
      <c r="K37" s="772"/>
      <c r="L37" s="970"/>
      <c r="M37" s="970"/>
      <c r="N37" s="650">
        <f t="shared" si="4"/>
        <v>8.8050775947463036E-2</v>
      </c>
    </row>
    <row r="38" spans="1:15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960</v>
      </c>
      <c r="H38" s="451">
        <f t="shared" si="3"/>
        <v>9.2157050974368826E-2</v>
      </c>
      <c r="I38" s="772"/>
      <c r="J38" s="772"/>
      <c r="K38" s="772"/>
      <c r="L38" s="970"/>
      <c r="M38" s="970"/>
      <c r="N38" s="650">
        <f t="shared" si="4"/>
        <v>8.8050775947463036E-2</v>
      </c>
    </row>
    <row r="39" spans="1:15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>SUM($E$8:E39)/A39</f>
        <v>0</v>
      </c>
      <c r="G39" s="396">
        <f t="shared" si="0"/>
        <v>960</v>
      </c>
      <c r="H39" s="451">
        <f t="shared" si="3"/>
        <v>9.2157050974368826E-2</v>
      </c>
      <c r="I39" s="772"/>
      <c r="J39" s="772"/>
      <c r="K39" s="772"/>
      <c r="L39" s="970"/>
      <c r="M39" s="970"/>
      <c r="N39" s="650">
        <f t="shared" si="4"/>
        <v>8.8050775947463036E-2</v>
      </c>
    </row>
    <row r="40" spans="1:15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960</v>
      </c>
      <c r="H40" s="309"/>
      <c r="I40" s="689">
        <f>SUM(I9:I39)</f>
        <v>0</v>
      </c>
      <c r="J40" s="689">
        <f t="shared" ref="J40:M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</row>
    <row r="41" spans="1:15" s="374" customFormat="1" ht="11.25" customHeight="1">
      <c r="A41" s="1647" t="s">
        <v>15</v>
      </c>
      <c r="B41" s="1647"/>
      <c r="C41" s="1647"/>
      <c r="D41" s="448">
        <f>D8+D40</f>
        <v>960</v>
      </c>
      <c r="E41" s="389">
        <f>E40</f>
        <v>0</v>
      </c>
      <c r="F41" s="449"/>
      <c r="G41" s="389">
        <f>D41-E41</f>
        <v>960</v>
      </c>
      <c r="H41" s="309"/>
      <c r="I41" s="689"/>
      <c r="J41" s="689"/>
      <c r="K41" s="689"/>
      <c r="L41" s="794"/>
      <c r="M41" s="794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A41:C41"/>
    <mergeCell ref="A3:I3"/>
    <mergeCell ref="A4:B4"/>
    <mergeCell ref="L7:L8"/>
    <mergeCell ref="M7:M8"/>
    <mergeCell ref="A8:C8"/>
    <mergeCell ref="A40:C40"/>
  </mergeCells>
  <conditionalFormatting sqref="H38">
    <cfRule type="cellIs" dxfId="7361" priority="34" operator="between">
      <formula>3.5</formula>
      <formula>6</formula>
    </cfRule>
    <cfRule type="cellIs" dxfId="7360" priority="35" operator="lessThan">
      <formula>3.5</formula>
    </cfRule>
    <cfRule type="cellIs" dxfId="7359" priority="36" operator="greaterThan">
      <formula>6</formula>
    </cfRule>
  </conditionalFormatting>
  <conditionalFormatting sqref="H9:H12 H24:H37 H14:H17 H19:H22 H39">
    <cfRule type="cellIs" dxfId="7358" priority="31" operator="between">
      <formula>3.5</formula>
      <formula>6</formula>
    </cfRule>
    <cfRule type="cellIs" dxfId="7357" priority="32" operator="lessThan">
      <formula>3.5</formula>
    </cfRule>
    <cfRule type="cellIs" dxfId="7356" priority="33" operator="greaterThan">
      <formula>6</formula>
    </cfRule>
  </conditionalFormatting>
  <conditionalFormatting sqref="H23">
    <cfRule type="cellIs" dxfId="7355" priority="28" operator="between">
      <formula>3.5</formula>
      <formula>6</formula>
    </cfRule>
    <cfRule type="cellIs" dxfId="7354" priority="29" operator="lessThan">
      <formula>3.5</formula>
    </cfRule>
    <cfRule type="cellIs" dxfId="7353" priority="30" operator="greaterThan">
      <formula>6</formula>
    </cfRule>
  </conditionalFormatting>
  <conditionalFormatting sqref="H13">
    <cfRule type="cellIs" dxfId="7352" priority="25" operator="between">
      <formula>3.5</formula>
      <formula>6</formula>
    </cfRule>
    <cfRule type="cellIs" dxfId="7351" priority="26" operator="lessThan">
      <formula>3.5</formula>
    </cfRule>
    <cfRule type="cellIs" dxfId="7350" priority="27" operator="greaterThan">
      <formula>6</formula>
    </cfRule>
  </conditionalFormatting>
  <conditionalFormatting sqref="H18">
    <cfRule type="cellIs" dxfId="7349" priority="22" operator="between">
      <formula>3.5</formula>
      <formula>6</formula>
    </cfRule>
    <cfRule type="cellIs" dxfId="7348" priority="23" operator="lessThan">
      <formula>3.5</formula>
    </cfRule>
    <cfRule type="cellIs" dxfId="7347" priority="24" operator="greaterThan">
      <formula>6</formula>
    </cfRule>
  </conditionalFormatting>
  <conditionalFormatting sqref="H9:H39">
    <cfRule type="cellIs" dxfId="7346" priority="19" operator="between">
      <formula>3.5</formula>
      <formula>6</formula>
    </cfRule>
    <cfRule type="cellIs" dxfId="7345" priority="20" operator="lessThan">
      <formula>3.5</formula>
    </cfRule>
    <cfRule type="cellIs" dxfId="7344" priority="21" operator="greaterThan">
      <formula>6</formula>
    </cfRule>
  </conditionalFormatting>
  <conditionalFormatting sqref="H9:H39">
    <cfRule type="cellIs" dxfId="7343" priority="16" operator="between">
      <formula>3.5</formula>
      <formula>6</formula>
    </cfRule>
    <cfRule type="cellIs" dxfId="7342" priority="17" operator="lessThan">
      <formula>3.5</formula>
    </cfRule>
    <cfRule type="cellIs" dxfId="7341" priority="18" operator="greaterThan">
      <formula>6</formula>
    </cfRule>
  </conditionalFormatting>
  <conditionalFormatting sqref="H9:H39">
    <cfRule type="cellIs" dxfId="7340" priority="13" operator="between">
      <formula>3.5</formula>
      <formula>6</formula>
    </cfRule>
    <cfRule type="cellIs" dxfId="7339" priority="14" operator="lessThan">
      <formula>3.5</formula>
    </cfRule>
    <cfRule type="cellIs" dxfId="7338" priority="15" operator="greaterThan">
      <formula>6</formula>
    </cfRule>
  </conditionalFormatting>
  <conditionalFormatting sqref="H9:H39">
    <cfRule type="cellIs" dxfId="7337" priority="10" operator="between">
      <formula>3.5</formula>
      <formula>6</formula>
    </cfRule>
    <cfRule type="cellIs" dxfId="7336" priority="11" operator="lessThan">
      <formula>3.5</formula>
    </cfRule>
    <cfRule type="cellIs" dxfId="7335" priority="12" operator="greaterThan">
      <formula>6</formula>
    </cfRule>
  </conditionalFormatting>
  <conditionalFormatting sqref="H9:H39">
    <cfRule type="cellIs" dxfId="7334" priority="7" operator="between">
      <formula>3.5</formula>
      <formula>6</formula>
    </cfRule>
    <cfRule type="cellIs" dxfId="7333" priority="8" operator="lessThan">
      <formula>3.5</formula>
    </cfRule>
    <cfRule type="cellIs" dxfId="7332" priority="9" operator="greaterThan">
      <formula>6</formula>
    </cfRule>
  </conditionalFormatting>
  <conditionalFormatting sqref="H9:H39">
    <cfRule type="cellIs" dxfId="7331" priority="4" operator="between">
      <formula>3.5</formula>
      <formula>6</formula>
    </cfRule>
    <cfRule type="cellIs" dxfId="7330" priority="5" operator="lessThan">
      <formula>3.5</formula>
    </cfRule>
    <cfRule type="cellIs" dxfId="7329" priority="6" operator="greaterThan">
      <formula>6</formula>
    </cfRule>
  </conditionalFormatting>
  <conditionalFormatting sqref="H9:H39">
    <cfRule type="cellIs" dxfId="7328" priority="1" operator="between">
      <formula>3.5</formula>
      <formula>6</formula>
    </cfRule>
    <cfRule type="cellIs" dxfId="7327" priority="2" operator="lessThan">
      <formula>3.5</formula>
    </cfRule>
    <cfRule type="cellIs" dxfId="732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B49"/>
  <sheetViews>
    <sheetView zoomScale="90" zoomScaleNormal="90" workbookViewId="0">
      <pane ySplit="8" topLeftCell="A15" activePane="bottomLeft" state="frozen"/>
      <selection pane="bottomLeft" activeCell="J17" sqref="J17:J22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3" width="14.28515625" style="42" customWidth="1"/>
    <col min="14" max="14" width="11.5703125" style="143" bestFit="1" customWidth="1"/>
    <col min="15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64"/>
      <c r="K3" s="1264"/>
      <c r="L3" s="1264"/>
      <c r="M3" s="1264"/>
      <c r="O3" s="442"/>
      <c r="P3" s="442"/>
      <c r="Q3" s="442"/>
    </row>
    <row r="4" spans="1:28" s="1269" customFormat="1" ht="12" customHeight="1">
      <c r="A4" s="1648" t="s">
        <v>33</v>
      </c>
      <c r="B4" s="1648"/>
      <c r="C4" s="551" t="str">
        <f>H4</f>
        <v>HAVIRA 60x60 5V nâu</v>
      </c>
      <c r="E4" s="549" t="s">
        <v>228</v>
      </c>
      <c r="F4" s="549" t="s">
        <v>235</v>
      </c>
      <c r="G4" s="550" t="s">
        <v>114</v>
      </c>
      <c r="H4" s="551" t="s">
        <v>1063</v>
      </c>
      <c r="N4" s="143"/>
    </row>
    <row r="5" spans="1:28" s="126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324"/>
      <c r="N5" s="143"/>
    </row>
    <row r="6" spans="1:28" s="1269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1266" t="s">
        <v>2</v>
      </c>
      <c r="B7" s="1268" t="s">
        <v>1</v>
      </c>
      <c r="C7" s="126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65" t="s">
        <v>30</v>
      </c>
      <c r="I7" s="697" t="s">
        <v>341</v>
      </c>
      <c r="J7" s="697" t="s">
        <v>244</v>
      </c>
      <c r="K7" s="697" t="s">
        <v>344</v>
      </c>
      <c r="L7" s="1649" t="s">
        <v>771</v>
      </c>
      <c r="M7" s="1649" t="s">
        <v>772</v>
      </c>
      <c r="N7" s="143"/>
    </row>
    <row r="8" spans="1:28" s="305" customFormat="1" ht="12" customHeight="1">
      <c r="A8" s="1650" t="s">
        <v>3</v>
      </c>
      <c r="B8" s="1651"/>
      <c r="C8" s="1652"/>
      <c r="D8" s="771">
        <f>G8</f>
        <v>550</v>
      </c>
      <c r="E8" s="771">
        <f>E40</f>
        <v>0</v>
      </c>
      <c r="F8" s="771"/>
      <c r="G8" s="774">
        <v>550</v>
      </c>
      <c r="H8" s="450"/>
      <c r="I8" s="772"/>
      <c r="J8" s="772"/>
      <c r="K8" s="772"/>
      <c r="L8" s="1649"/>
      <c r="M8" s="1649"/>
      <c r="N8" s="143">
        <v>10902.8</v>
      </c>
    </row>
    <row r="9" spans="1:28" s="305" customFormat="1" ht="12" customHeight="1">
      <c r="A9" s="1267">
        <v>1</v>
      </c>
      <c r="B9" s="365">
        <f>'FRIT HGE91-FHG'!B9</f>
        <v>46235</v>
      </c>
      <c r="C9" s="331" t="s">
        <v>285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 t="shared" ref="G9:G39" si="0">G8+D9-E9</f>
        <v>550</v>
      </c>
      <c r="H9" s="451">
        <f>G9/10417</f>
        <v>5.2798310454065467E-2</v>
      </c>
      <c r="I9" s="772"/>
      <c r="J9" s="772"/>
      <c r="K9" s="772"/>
      <c r="L9" s="970"/>
      <c r="M9" s="970"/>
      <c r="N9" s="650">
        <f>G9/$N$8</f>
        <v>5.0445757053234036E-2</v>
      </c>
    </row>
    <row r="10" spans="1:28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>
        <f t="shared" ref="D10:D39" si="1">L10+M10</f>
        <v>0</v>
      </c>
      <c r="E10" s="396">
        <f t="shared" ref="E10:E39" si="2">I10+J10+K10</f>
        <v>0</v>
      </c>
      <c r="F10" s="396">
        <f>$F$9</f>
        <v>10902.777777777777</v>
      </c>
      <c r="G10" s="396">
        <f t="shared" si="0"/>
        <v>550</v>
      </c>
      <c r="H10" s="451">
        <f t="shared" ref="H10:H39" si="3">G10/10417</f>
        <v>5.2798310454065467E-2</v>
      </c>
      <c r="I10" s="772"/>
      <c r="J10" s="772"/>
      <c r="K10" s="772"/>
      <c r="L10" s="970"/>
      <c r="M10" s="970"/>
      <c r="N10" s="650">
        <f t="shared" ref="N10:N39" si="4">G10/$N$8</f>
        <v>5.0445757053234036E-2</v>
      </c>
    </row>
    <row r="11" spans="1:28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550</v>
      </c>
      <c r="H11" s="451">
        <f t="shared" si="3"/>
        <v>5.2798310454065467E-2</v>
      </c>
      <c r="I11" s="772"/>
      <c r="J11" s="772"/>
      <c r="K11" s="772"/>
      <c r="L11" s="970"/>
      <c r="M11" s="970"/>
      <c r="N11" s="650">
        <f t="shared" si="4"/>
        <v>5.0445757053234036E-2</v>
      </c>
    </row>
    <row r="12" spans="1:28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>
        <f t="shared" si="1"/>
        <v>0</v>
      </c>
      <c r="E12" s="396">
        <f t="shared" si="2"/>
        <v>0</v>
      </c>
      <c r="F12" s="396">
        <f t="shared" ref="F12:F38" si="5">$F$9</f>
        <v>10902.777777777777</v>
      </c>
      <c r="G12" s="396">
        <f t="shared" si="0"/>
        <v>550</v>
      </c>
      <c r="H12" s="451">
        <f t="shared" si="3"/>
        <v>5.2798310454065467E-2</v>
      </c>
      <c r="I12" s="772"/>
      <c r="J12" s="772"/>
      <c r="K12" s="772"/>
      <c r="L12" s="970"/>
      <c r="M12" s="970"/>
      <c r="N12" s="650">
        <f t="shared" si="4"/>
        <v>5.0445757053234036E-2</v>
      </c>
    </row>
    <row r="13" spans="1:28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550</v>
      </c>
      <c r="H13" s="451">
        <f t="shared" si="3"/>
        <v>5.2798310454065467E-2</v>
      </c>
      <c r="I13" s="772"/>
      <c r="J13" s="772"/>
      <c r="K13" s="772"/>
      <c r="L13" s="970"/>
      <c r="M13" s="970"/>
      <c r="N13" s="650">
        <f t="shared" si="4"/>
        <v>5.0445757053234036E-2</v>
      </c>
    </row>
    <row r="14" spans="1:28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550</v>
      </c>
      <c r="H14" s="451">
        <f t="shared" si="3"/>
        <v>5.2798310454065467E-2</v>
      </c>
      <c r="I14" s="772"/>
      <c r="J14" s="772"/>
      <c r="K14" s="772"/>
      <c r="L14" s="970"/>
      <c r="M14" s="970"/>
      <c r="N14" s="650">
        <f t="shared" si="4"/>
        <v>5.0445757053234036E-2</v>
      </c>
    </row>
    <row r="15" spans="1:28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550</v>
      </c>
      <c r="H15" s="451">
        <f t="shared" si="3"/>
        <v>5.2798310454065467E-2</v>
      </c>
      <c r="I15" s="772"/>
      <c r="J15" s="772"/>
      <c r="K15" s="772"/>
      <c r="L15" s="970"/>
      <c r="M15" s="970"/>
      <c r="N15" s="650">
        <f t="shared" si="4"/>
        <v>5.0445757053234036E-2</v>
      </c>
    </row>
    <row r="16" spans="1:28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550</v>
      </c>
      <c r="H16" s="451">
        <f t="shared" si="3"/>
        <v>5.2798310454065467E-2</v>
      </c>
      <c r="I16" s="772"/>
      <c r="J16" s="772"/>
      <c r="K16" s="772"/>
      <c r="L16" s="970"/>
      <c r="M16" s="970"/>
      <c r="N16" s="650">
        <f t="shared" si="4"/>
        <v>5.0445757053234036E-2</v>
      </c>
    </row>
    <row r="17" spans="1:14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550</v>
      </c>
      <c r="H17" s="451">
        <f t="shared" si="3"/>
        <v>5.2798310454065467E-2</v>
      </c>
      <c r="I17" s="772"/>
      <c r="J17" s="772"/>
      <c r="K17" s="772"/>
      <c r="L17" s="970"/>
      <c r="M17" s="970"/>
      <c r="N17" s="650">
        <f t="shared" si="4"/>
        <v>5.0445757053234036E-2</v>
      </c>
    </row>
    <row r="18" spans="1:14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550</v>
      </c>
      <c r="H18" s="451">
        <f t="shared" si="3"/>
        <v>5.2798310454065467E-2</v>
      </c>
      <c r="I18" s="772"/>
      <c r="J18" s="772"/>
      <c r="K18" s="772"/>
      <c r="L18" s="970"/>
      <c r="M18" s="970"/>
      <c r="N18" s="650">
        <f t="shared" si="4"/>
        <v>5.0445757053234036E-2</v>
      </c>
    </row>
    <row r="19" spans="1:14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550</v>
      </c>
      <c r="H19" s="451">
        <f t="shared" si="3"/>
        <v>5.2798310454065467E-2</v>
      </c>
      <c r="I19" s="772"/>
      <c r="J19" s="772"/>
      <c r="K19" s="772"/>
      <c r="L19" s="970"/>
      <c r="M19" s="970"/>
      <c r="N19" s="650">
        <f t="shared" si="4"/>
        <v>5.0445757053234036E-2</v>
      </c>
    </row>
    <row r="20" spans="1:14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550</v>
      </c>
      <c r="H20" s="451">
        <f t="shared" si="3"/>
        <v>5.2798310454065467E-2</v>
      </c>
      <c r="I20" s="772"/>
      <c r="J20" s="772"/>
      <c r="K20" s="772"/>
      <c r="L20" s="970"/>
      <c r="M20" s="970"/>
      <c r="N20" s="650">
        <f t="shared" si="4"/>
        <v>5.0445757053234036E-2</v>
      </c>
    </row>
    <row r="21" spans="1:14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550</v>
      </c>
      <c r="H21" s="451">
        <f t="shared" si="3"/>
        <v>5.2798310454065467E-2</v>
      </c>
      <c r="I21" s="772"/>
      <c r="J21" s="772"/>
      <c r="K21" s="772"/>
      <c r="L21" s="970"/>
      <c r="M21" s="970"/>
      <c r="N21" s="650">
        <f t="shared" si="4"/>
        <v>5.0445757053234036E-2</v>
      </c>
    </row>
    <row r="22" spans="1:14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550</v>
      </c>
      <c r="H22" s="451">
        <f t="shared" si="3"/>
        <v>5.2798310454065467E-2</v>
      </c>
      <c r="I22" s="772"/>
      <c r="J22" s="772"/>
      <c r="K22" s="772"/>
      <c r="L22" s="970"/>
      <c r="M22" s="970"/>
      <c r="N22" s="650">
        <f t="shared" si="4"/>
        <v>5.0445757053234036E-2</v>
      </c>
    </row>
    <row r="23" spans="1:14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550</v>
      </c>
      <c r="H23" s="451">
        <f t="shared" si="3"/>
        <v>5.2798310454065467E-2</v>
      </c>
      <c r="I23" s="772"/>
      <c r="J23" s="772"/>
      <c r="K23" s="772"/>
      <c r="L23" s="970"/>
      <c r="M23" s="970"/>
      <c r="N23" s="650">
        <f t="shared" si="4"/>
        <v>5.0445757053234036E-2</v>
      </c>
    </row>
    <row r="24" spans="1:14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550</v>
      </c>
      <c r="H24" s="451">
        <f t="shared" si="3"/>
        <v>5.2798310454065467E-2</v>
      </c>
      <c r="I24" s="772"/>
      <c r="J24" s="772"/>
      <c r="K24" s="772"/>
      <c r="L24" s="970"/>
      <c r="M24" s="970"/>
      <c r="N24" s="650">
        <f t="shared" si="4"/>
        <v>5.0445757053234036E-2</v>
      </c>
    </row>
    <row r="25" spans="1:14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550</v>
      </c>
      <c r="H25" s="451">
        <f t="shared" si="3"/>
        <v>5.2798310454065467E-2</v>
      </c>
      <c r="I25" s="772"/>
      <c r="J25" s="772"/>
      <c r="K25" s="772"/>
      <c r="L25" s="970"/>
      <c r="M25" s="970"/>
      <c r="N25" s="650">
        <f t="shared" si="4"/>
        <v>5.0445757053234036E-2</v>
      </c>
    </row>
    <row r="26" spans="1:14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550</v>
      </c>
      <c r="H26" s="451">
        <f t="shared" si="3"/>
        <v>5.2798310454065467E-2</v>
      </c>
      <c r="I26" s="772"/>
      <c r="J26" s="772"/>
      <c r="K26" s="772"/>
      <c r="L26" s="970"/>
      <c r="M26" s="970"/>
      <c r="N26" s="650">
        <f t="shared" si="4"/>
        <v>5.0445757053234036E-2</v>
      </c>
    </row>
    <row r="27" spans="1:14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550</v>
      </c>
      <c r="H27" s="451">
        <f t="shared" si="3"/>
        <v>5.2798310454065467E-2</v>
      </c>
      <c r="I27" s="772"/>
      <c r="J27" s="772"/>
      <c r="K27" s="772"/>
      <c r="L27" s="970"/>
      <c r="M27" s="970"/>
      <c r="N27" s="650">
        <f t="shared" si="4"/>
        <v>5.0445757053234036E-2</v>
      </c>
    </row>
    <row r="28" spans="1:14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550</v>
      </c>
      <c r="H28" s="451">
        <f t="shared" si="3"/>
        <v>5.2798310454065467E-2</v>
      </c>
      <c r="I28" s="772"/>
      <c r="J28" s="772"/>
      <c r="K28" s="772"/>
      <c r="L28" s="970"/>
      <c r="M28" s="970"/>
      <c r="N28" s="650">
        <f t="shared" si="4"/>
        <v>5.0445757053234036E-2</v>
      </c>
    </row>
    <row r="29" spans="1:14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550</v>
      </c>
      <c r="H29" s="451">
        <f t="shared" si="3"/>
        <v>5.2798310454065467E-2</v>
      </c>
      <c r="I29" s="772"/>
      <c r="J29" s="772"/>
      <c r="K29" s="772"/>
      <c r="L29" s="970"/>
      <c r="M29" s="970"/>
      <c r="N29" s="650">
        <f t="shared" si="4"/>
        <v>5.0445757053234036E-2</v>
      </c>
    </row>
    <row r="30" spans="1:14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550</v>
      </c>
      <c r="H30" s="451">
        <f t="shared" si="3"/>
        <v>5.2798310454065467E-2</v>
      </c>
      <c r="I30" s="772"/>
      <c r="J30" s="772"/>
      <c r="K30" s="772"/>
      <c r="L30" s="970"/>
      <c r="M30" s="970"/>
      <c r="N30" s="650">
        <f t="shared" si="4"/>
        <v>5.0445757053234036E-2</v>
      </c>
    </row>
    <row r="31" spans="1:14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550</v>
      </c>
      <c r="H31" s="451">
        <f t="shared" si="3"/>
        <v>5.2798310454065467E-2</v>
      </c>
      <c r="I31" s="772"/>
      <c r="J31" s="772"/>
      <c r="K31" s="772"/>
      <c r="L31" s="970"/>
      <c r="M31" s="970"/>
      <c r="N31" s="650">
        <f t="shared" si="4"/>
        <v>5.0445757053234036E-2</v>
      </c>
    </row>
    <row r="32" spans="1:14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550</v>
      </c>
      <c r="H32" s="451">
        <f t="shared" si="3"/>
        <v>5.2798310454065467E-2</v>
      </c>
      <c r="I32" s="772"/>
      <c r="J32" s="772"/>
      <c r="K32" s="772"/>
      <c r="L32" s="970"/>
      <c r="M32" s="970"/>
      <c r="N32" s="650">
        <f t="shared" si="4"/>
        <v>5.0445757053234036E-2</v>
      </c>
    </row>
    <row r="33" spans="1:15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550</v>
      </c>
      <c r="H33" s="451">
        <f t="shared" si="3"/>
        <v>5.2798310454065467E-2</v>
      </c>
      <c r="I33" s="772"/>
      <c r="J33" s="772"/>
      <c r="K33" s="772"/>
      <c r="L33" s="970"/>
      <c r="M33" s="970"/>
      <c r="N33" s="650">
        <f t="shared" si="4"/>
        <v>5.0445757053234036E-2</v>
      </c>
    </row>
    <row r="34" spans="1:15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550</v>
      </c>
      <c r="H34" s="451">
        <f t="shared" si="3"/>
        <v>5.2798310454065467E-2</v>
      </c>
      <c r="I34" s="772"/>
      <c r="J34" s="772"/>
      <c r="K34" s="772"/>
      <c r="L34" s="970"/>
      <c r="M34" s="970"/>
      <c r="N34" s="650">
        <f t="shared" si="4"/>
        <v>5.0445757053234036E-2</v>
      </c>
    </row>
    <row r="35" spans="1:15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550</v>
      </c>
      <c r="H35" s="451">
        <f t="shared" si="3"/>
        <v>5.2798310454065467E-2</v>
      </c>
      <c r="I35" s="772"/>
      <c r="J35" s="772"/>
      <c r="K35" s="772"/>
      <c r="L35" s="970"/>
      <c r="M35" s="970"/>
      <c r="N35" s="650">
        <f t="shared" si="4"/>
        <v>5.0445757053234036E-2</v>
      </c>
    </row>
    <row r="36" spans="1:15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550</v>
      </c>
      <c r="H36" s="451">
        <f t="shared" si="3"/>
        <v>5.2798310454065467E-2</v>
      </c>
      <c r="I36" s="772"/>
      <c r="J36" s="772"/>
      <c r="K36" s="772"/>
      <c r="L36" s="970"/>
      <c r="M36" s="970"/>
      <c r="N36" s="650">
        <f t="shared" si="4"/>
        <v>5.0445757053234036E-2</v>
      </c>
    </row>
    <row r="37" spans="1:15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550</v>
      </c>
      <c r="H37" s="451">
        <f t="shared" si="3"/>
        <v>5.2798310454065467E-2</v>
      </c>
      <c r="I37" s="772"/>
      <c r="J37" s="772"/>
      <c r="K37" s="772"/>
      <c r="L37" s="970"/>
      <c r="M37" s="970"/>
      <c r="N37" s="650">
        <f t="shared" si="4"/>
        <v>5.0445757053234036E-2</v>
      </c>
    </row>
    <row r="38" spans="1:15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550</v>
      </c>
      <c r="H38" s="451">
        <f t="shared" si="3"/>
        <v>5.2798310454065467E-2</v>
      </c>
      <c r="I38" s="772"/>
      <c r="J38" s="772"/>
      <c r="K38" s="772"/>
      <c r="L38" s="970"/>
      <c r="M38" s="970"/>
      <c r="N38" s="650">
        <f t="shared" si="4"/>
        <v>5.0445757053234036E-2</v>
      </c>
    </row>
    <row r="39" spans="1:15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>SUM($E$8:E39)/A39</f>
        <v>0</v>
      </c>
      <c r="G39" s="396">
        <f t="shared" si="0"/>
        <v>550</v>
      </c>
      <c r="H39" s="451">
        <f t="shared" si="3"/>
        <v>5.2798310454065467E-2</v>
      </c>
      <c r="I39" s="772"/>
      <c r="J39" s="772"/>
      <c r="K39" s="772"/>
      <c r="L39" s="970"/>
      <c r="M39" s="970"/>
      <c r="N39" s="650">
        <f t="shared" si="4"/>
        <v>5.0445757053234036E-2</v>
      </c>
    </row>
    <row r="40" spans="1:15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550</v>
      </c>
      <c r="H40" s="309"/>
      <c r="I40" s="689">
        <f>SUM(I9:I39)</f>
        <v>0</v>
      </c>
      <c r="J40" s="689">
        <f t="shared" ref="J40:M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</row>
    <row r="41" spans="1:15" s="374" customFormat="1" ht="11.25" customHeight="1">
      <c r="A41" s="1647" t="s">
        <v>15</v>
      </c>
      <c r="B41" s="1647"/>
      <c r="C41" s="1647"/>
      <c r="D41" s="448">
        <f>D8+D40</f>
        <v>550</v>
      </c>
      <c r="E41" s="389">
        <f>E40</f>
        <v>0</v>
      </c>
      <c r="F41" s="449"/>
      <c r="G41" s="389">
        <f>D41-E41</f>
        <v>550</v>
      </c>
      <c r="H41" s="309"/>
      <c r="I41" s="689"/>
      <c r="J41" s="689"/>
      <c r="K41" s="689"/>
      <c r="L41" s="794"/>
      <c r="M41" s="794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A41:C41"/>
    <mergeCell ref="A3:I3"/>
    <mergeCell ref="A4:B4"/>
    <mergeCell ref="L7:L8"/>
    <mergeCell ref="M7:M8"/>
    <mergeCell ref="A8:C8"/>
    <mergeCell ref="A40:C40"/>
  </mergeCells>
  <conditionalFormatting sqref="H38">
    <cfRule type="cellIs" dxfId="7325" priority="34" operator="between">
      <formula>3.5</formula>
      <formula>6</formula>
    </cfRule>
    <cfRule type="cellIs" dxfId="7324" priority="35" operator="lessThan">
      <formula>3.5</formula>
    </cfRule>
    <cfRule type="cellIs" dxfId="7323" priority="36" operator="greaterThan">
      <formula>6</formula>
    </cfRule>
  </conditionalFormatting>
  <conditionalFormatting sqref="H9:H12 H24:H37 H14:H17 H19:H22 H39">
    <cfRule type="cellIs" dxfId="7322" priority="31" operator="between">
      <formula>3.5</formula>
      <formula>6</formula>
    </cfRule>
    <cfRule type="cellIs" dxfId="7321" priority="32" operator="lessThan">
      <formula>3.5</formula>
    </cfRule>
    <cfRule type="cellIs" dxfId="7320" priority="33" operator="greaterThan">
      <formula>6</formula>
    </cfRule>
  </conditionalFormatting>
  <conditionalFormatting sqref="H23">
    <cfRule type="cellIs" dxfId="7319" priority="28" operator="between">
      <formula>3.5</formula>
      <formula>6</formula>
    </cfRule>
    <cfRule type="cellIs" dxfId="7318" priority="29" operator="lessThan">
      <formula>3.5</formula>
    </cfRule>
    <cfRule type="cellIs" dxfId="7317" priority="30" operator="greaterThan">
      <formula>6</formula>
    </cfRule>
  </conditionalFormatting>
  <conditionalFormatting sqref="H13">
    <cfRule type="cellIs" dxfId="7316" priority="25" operator="between">
      <formula>3.5</formula>
      <formula>6</formula>
    </cfRule>
    <cfRule type="cellIs" dxfId="7315" priority="26" operator="lessThan">
      <formula>3.5</formula>
    </cfRule>
    <cfRule type="cellIs" dxfId="7314" priority="27" operator="greaterThan">
      <formula>6</formula>
    </cfRule>
  </conditionalFormatting>
  <conditionalFormatting sqref="H18">
    <cfRule type="cellIs" dxfId="7313" priority="22" operator="between">
      <formula>3.5</formula>
      <formula>6</formula>
    </cfRule>
    <cfRule type="cellIs" dxfId="7312" priority="23" operator="lessThan">
      <formula>3.5</formula>
    </cfRule>
    <cfRule type="cellIs" dxfId="7311" priority="24" operator="greaterThan">
      <formula>6</formula>
    </cfRule>
  </conditionalFormatting>
  <conditionalFormatting sqref="H9:H39">
    <cfRule type="cellIs" dxfId="7310" priority="19" operator="between">
      <formula>3.5</formula>
      <formula>6</formula>
    </cfRule>
    <cfRule type="cellIs" dxfId="7309" priority="20" operator="lessThan">
      <formula>3.5</formula>
    </cfRule>
    <cfRule type="cellIs" dxfId="7308" priority="21" operator="greaterThan">
      <formula>6</formula>
    </cfRule>
  </conditionalFormatting>
  <conditionalFormatting sqref="H9:H39">
    <cfRule type="cellIs" dxfId="7307" priority="16" operator="between">
      <formula>3.5</formula>
      <formula>6</formula>
    </cfRule>
    <cfRule type="cellIs" dxfId="7306" priority="17" operator="lessThan">
      <formula>3.5</formula>
    </cfRule>
    <cfRule type="cellIs" dxfId="7305" priority="18" operator="greaterThan">
      <formula>6</formula>
    </cfRule>
  </conditionalFormatting>
  <conditionalFormatting sqref="H9:H39">
    <cfRule type="cellIs" dxfId="7304" priority="13" operator="between">
      <formula>3.5</formula>
      <formula>6</formula>
    </cfRule>
    <cfRule type="cellIs" dxfId="7303" priority="14" operator="lessThan">
      <formula>3.5</formula>
    </cfRule>
    <cfRule type="cellIs" dxfId="7302" priority="15" operator="greaterThan">
      <formula>6</formula>
    </cfRule>
  </conditionalFormatting>
  <conditionalFormatting sqref="H9:H39">
    <cfRule type="cellIs" dxfId="7301" priority="10" operator="between">
      <formula>3.5</formula>
      <formula>6</formula>
    </cfRule>
    <cfRule type="cellIs" dxfId="7300" priority="11" operator="lessThan">
      <formula>3.5</formula>
    </cfRule>
    <cfRule type="cellIs" dxfId="7299" priority="12" operator="greaterThan">
      <formula>6</formula>
    </cfRule>
  </conditionalFormatting>
  <conditionalFormatting sqref="H9:H39">
    <cfRule type="cellIs" dxfId="7298" priority="7" operator="between">
      <formula>3.5</formula>
      <formula>6</formula>
    </cfRule>
    <cfRule type="cellIs" dxfId="7297" priority="8" operator="lessThan">
      <formula>3.5</formula>
    </cfRule>
    <cfRule type="cellIs" dxfId="7296" priority="9" operator="greaterThan">
      <formula>6</formula>
    </cfRule>
  </conditionalFormatting>
  <conditionalFormatting sqref="H9:H39">
    <cfRule type="cellIs" dxfId="7295" priority="4" operator="between">
      <formula>3.5</formula>
      <formula>6</formula>
    </cfRule>
    <cfRule type="cellIs" dxfId="7294" priority="5" operator="lessThan">
      <formula>3.5</formula>
    </cfRule>
    <cfRule type="cellIs" dxfId="7293" priority="6" operator="greaterThan">
      <formula>6</formula>
    </cfRule>
  </conditionalFormatting>
  <conditionalFormatting sqref="H9:H39">
    <cfRule type="cellIs" dxfId="7292" priority="1" operator="between">
      <formula>3.5</formula>
      <formula>6</formula>
    </cfRule>
    <cfRule type="cellIs" dxfId="7291" priority="2" operator="lessThan">
      <formula>3.5</formula>
    </cfRule>
    <cfRule type="cellIs" dxfId="729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B49"/>
  <sheetViews>
    <sheetView zoomScale="90" zoomScaleNormal="90" workbookViewId="0">
      <pane ySplit="8" topLeftCell="A12" activePane="bottomLeft" state="frozen"/>
      <selection pane="bottomLeft" activeCell="I10" sqref="I10:K39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3" width="14.28515625" style="42" customWidth="1"/>
    <col min="14" max="14" width="11.5703125" style="143" bestFit="1" customWidth="1"/>
    <col min="15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93"/>
      <c r="K3" s="1193"/>
      <c r="L3" s="1193"/>
      <c r="M3" s="1193"/>
      <c r="O3" s="442"/>
      <c r="P3" s="442"/>
      <c r="Q3" s="442"/>
    </row>
    <row r="4" spans="1:28" s="1198" customFormat="1" ht="12" customHeight="1">
      <c r="A4" s="1648" t="s">
        <v>33</v>
      </c>
      <c r="B4" s="1648"/>
      <c r="C4" s="551" t="str">
        <f>H4</f>
        <v>HAVIRA 40*80-HA giấy nâu</v>
      </c>
      <c r="E4" s="549" t="s">
        <v>228</v>
      </c>
      <c r="F4" s="549" t="s">
        <v>235</v>
      </c>
      <c r="G4" s="550" t="s">
        <v>114</v>
      </c>
      <c r="H4" s="551" t="s">
        <v>994</v>
      </c>
      <c r="N4" s="143"/>
    </row>
    <row r="5" spans="1:28" s="1198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324"/>
      <c r="N5" s="143"/>
    </row>
    <row r="6" spans="1:28" s="1198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1195" t="s">
        <v>2</v>
      </c>
      <c r="B7" s="1197" t="s">
        <v>1</v>
      </c>
      <c r="C7" s="1197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94" t="s">
        <v>30</v>
      </c>
      <c r="I7" s="697" t="s">
        <v>341</v>
      </c>
      <c r="J7" s="697" t="s">
        <v>244</v>
      </c>
      <c r="K7" s="697" t="s">
        <v>821</v>
      </c>
      <c r="L7" s="1649" t="s">
        <v>771</v>
      </c>
      <c r="M7" s="1649" t="s">
        <v>772</v>
      </c>
      <c r="N7" s="143"/>
    </row>
    <row r="8" spans="1:28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649"/>
      <c r="M8" s="1649"/>
      <c r="N8" s="143">
        <v>10902.8</v>
      </c>
    </row>
    <row r="9" spans="1:28" s="305" customFormat="1" ht="12" customHeight="1">
      <c r="A9" s="1196">
        <v>1</v>
      </c>
      <c r="B9" s="365">
        <f>'FRIT HGE91-FHG'!B9</f>
        <v>46235</v>
      </c>
      <c r="C9" s="331" t="s">
        <v>285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970"/>
      <c r="M9" s="970"/>
      <c r="N9" s="650">
        <f>G9/$N$8</f>
        <v>0</v>
      </c>
    </row>
    <row r="10" spans="1:28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>
        <f t="shared" ref="D10:D39" si="1">L10+M10</f>
        <v>0</v>
      </c>
      <c r="E10" s="396">
        <f t="shared" ref="E10:E39" si="2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3">G10/10417</f>
        <v>0</v>
      </c>
      <c r="I10" s="772"/>
      <c r="J10" s="772"/>
      <c r="K10" s="772"/>
      <c r="L10" s="970"/>
      <c r="M10" s="970"/>
      <c r="N10" s="650">
        <f t="shared" ref="N10:N39" si="4">G10/$N$8</f>
        <v>0</v>
      </c>
    </row>
    <row r="11" spans="1:28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0</v>
      </c>
      <c r="H11" s="451">
        <f t="shared" si="3"/>
        <v>0</v>
      </c>
      <c r="I11" s="772"/>
      <c r="J11" s="772"/>
      <c r="K11" s="772"/>
      <c r="L11" s="970"/>
      <c r="M11" s="970"/>
      <c r="N11" s="650">
        <f t="shared" si="4"/>
        <v>0</v>
      </c>
    </row>
    <row r="12" spans="1:28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>
        <f t="shared" si="1"/>
        <v>0</v>
      </c>
      <c r="E12" s="396">
        <f t="shared" si="2"/>
        <v>0</v>
      </c>
      <c r="F12" s="396">
        <f t="shared" ref="F12:F38" si="5">$F$9</f>
        <v>10902.777777777777</v>
      </c>
      <c r="G12" s="396">
        <f t="shared" si="0"/>
        <v>0</v>
      </c>
      <c r="H12" s="451">
        <f t="shared" si="3"/>
        <v>0</v>
      </c>
      <c r="I12" s="772"/>
      <c r="J12" s="772"/>
      <c r="K12" s="772"/>
      <c r="L12" s="970"/>
      <c r="M12" s="970"/>
      <c r="N12" s="650">
        <f t="shared" si="4"/>
        <v>0</v>
      </c>
    </row>
    <row r="13" spans="1:28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0</v>
      </c>
      <c r="H13" s="451">
        <f t="shared" si="3"/>
        <v>0</v>
      </c>
      <c r="I13" s="772"/>
      <c r="J13" s="772"/>
      <c r="K13" s="772"/>
      <c r="L13" s="970"/>
      <c r="M13" s="970"/>
      <c r="N13" s="650">
        <f t="shared" si="4"/>
        <v>0</v>
      </c>
    </row>
    <row r="14" spans="1:28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0</v>
      </c>
      <c r="H14" s="451">
        <f t="shared" si="3"/>
        <v>0</v>
      </c>
      <c r="I14" s="772"/>
      <c r="J14" s="772"/>
      <c r="K14" s="772"/>
      <c r="L14" s="970"/>
      <c r="M14" s="970"/>
      <c r="N14" s="650">
        <f t="shared" si="4"/>
        <v>0</v>
      </c>
    </row>
    <row r="15" spans="1:28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0</v>
      </c>
      <c r="H15" s="451">
        <f t="shared" si="3"/>
        <v>0</v>
      </c>
      <c r="I15" s="772"/>
      <c r="J15" s="772"/>
      <c r="K15" s="772"/>
      <c r="L15" s="970"/>
      <c r="M15" s="970"/>
      <c r="N15" s="650">
        <f t="shared" si="4"/>
        <v>0</v>
      </c>
    </row>
    <row r="16" spans="1:28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0</v>
      </c>
      <c r="H16" s="451">
        <f t="shared" si="3"/>
        <v>0</v>
      </c>
      <c r="I16" s="772"/>
      <c r="J16" s="772"/>
      <c r="K16" s="772"/>
      <c r="L16" s="970"/>
      <c r="M16" s="970"/>
      <c r="N16" s="650">
        <f t="shared" si="4"/>
        <v>0</v>
      </c>
    </row>
    <row r="17" spans="1:14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0</v>
      </c>
      <c r="H17" s="451">
        <f t="shared" si="3"/>
        <v>0</v>
      </c>
      <c r="I17" s="772"/>
      <c r="J17" s="772"/>
      <c r="K17" s="772"/>
      <c r="L17" s="970"/>
      <c r="M17" s="970"/>
      <c r="N17" s="650">
        <f t="shared" si="4"/>
        <v>0</v>
      </c>
    </row>
    <row r="18" spans="1:14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0</v>
      </c>
      <c r="H18" s="451">
        <f t="shared" si="3"/>
        <v>0</v>
      </c>
      <c r="I18" s="772"/>
      <c r="J18" s="772"/>
      <c r="K18" s="772"/>
      <c r="L18" s="970"/>
      <c r="M18" s="970"/>
      <c r="N18" s="650">
        <f t="shared" si="4"/>
        <v>0</v>
      </c>
    </row>
    <row r="19" spans="1:14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0</v>
      </c>
      <c r="H19" s="451">
        <f t="shared" si="3"/>
        <v>0</v>
      </c>
      <c r="I19" s="772"/>
      <c r="J19" s="772"/>
      <c r="K19" s="772"/>
      <c r="L19" s="970"/>
      <c r="M19" s="970"/>
      <c r="N19" s="650">
        <f t="shared" si="4"/>
        <v>0</v>
      </c>
    </row>
    <row r="20" spans="1:14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0</v>
      </c>
      <c r="H20" s="451">
        <f t="shared" si="3"/>
        <v>0</v>
      </c>
      <c r="I20" s="772"/>
      <c r="J20" s="772"/>
      <c r="K20" s="772"/>
      <c r="L20" s="970"/>
      <c r="M20" s="970"/>
      <c r="N20" s="650">
        <f t="shared" si="4"/>
        <v>0</v>
      </c>
    </row>
    <row r="21" spans="1:14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0</v>
      </c>
      <c r="H21" s="451">
        <f t="shared" si="3"/>
        <v>0</v>
      </c>
      <c r="I21" s="772"/>
      <c r="J21" s="772"/>
      <c r="K21" s="772"/>
      <c r="L21" s="970"/>
      <c r="M21" s="970"/>
      <c r="N21" s="650">
        <f t="shared" si="4"/>
        <v>0</v>
      </c>
    </row>
    <row r="22" spans="1:14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0</v>
      </c>
      <c r="H22" s="451">
        <f t="shared" si="3"/>
        <v>0</v>
      </c>
      <c r="I22" s="772"/>
      <c r="J22" s="772"/>
      <c r="K22" s="772"/>
      <c r="L22" s="970"/>
      <c r="M22" s="970"/>
      <c r="N22" s="650">
        <f t="shared" si="4"/>
        <v>0</v>
      </c>
    </row>
    <row r="23" spans="1:14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0</v>
      </c>
      <c r="H23" s="451">
        <f t="shared" si="3"/>
        <v>0</v>
      </c>
      <c r="I23" s="772"/>
      <c r="J23" s="772"/>
      <c r="K23" s="772"/>
      <c r="L23" s="970"/>
      <c r="M23" s="970"/>
      <c r="N23" s="650">
        <f t="shared" si="4"/>
        <v>0</v>
      </c>
    </row>
    <row r="24" spans="1:14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0</v>
      </c>
      <c r="H24" s="451">
        <f t="shared" si="3"/>
        <v>0</v>
      </c>
      <c r="I24" s="772"/>
      <c r="J24" s="772"/>
      <c r="K24" s="772"/>
      <c r="L24" s="970"/>
      <c r="M24" s="970"/>
      <c r="N24" s="650">
        <f t="shared" si="4"/>
        <v>0</v>
      </c>
    </row>
    <row r="25" spans="1:14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0</v>
      </c>
      <c r="H25" s="451">
        <f t="shared" si="3"/>
        <v>0</v>
      </c>
      <c r="I25" s="772"/>
      <c r="J25" s="772"/>
      <c r="K25" s="772"/>
      <c r="L25" s="970"/>
      <c r="M25" s="970"/>
      <c r="N25" s="650">
        <f t="shared" si="4"/>
        <v>0</v>
      </c>
    </row>
    <row r="26" spans="1:14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0</v>
      </c>
      <c r="H26" s="451">
        <f t="shared" si="3"/>
        <v>0</v>
      </c>
      <c r="I26" s="772"/>
      <c r="J26" s="772"/>
      <c r="K26" s="772"/>
      <c r="L26" s="970"/>
      <c r="M26" s="970"/>
      <c r="N26" s="650">
        <f t="shared" si="4"/>
        <v>0</v>
      </c>
    </row>
    <row r="27" spans="1:14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0</v>
      </c>
      <c r="H27" s="451">
        <f t="shared" si="3"/>
        <v>0</v>
      </c>
      <c r="I27" s="772"/>
      <c r="J27" s="772"/>
      <c r="K27" s="772"/>
      <c r="L27" s="970"/>
      <c r="M27" s="970"/>
      <c r="N27" s="650">
        <f t="shared" si="4"/>
        <v>0</v>
      </c>
    </row>
    <row r="28" spans="1:14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0</v>
      </c>
      <c r="H28" s="451">
        <f t="shared" si="3"/>
        <v>0</v>
      </c>
      <c r="I28" s="772"/>
      <c r="J28" s="772"/>
      <c r="K28" s="772"/>
      <c r="L28" s="970"/>
      <c r="M28" s="970"/>
      <c r="N28" s="650">
        <f t="shared" si="4"/>
        <v>0</v>
      </c>
    </row>
    <row r="29" spans="1:14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0</v>
      </c>
      <c r="H29" s="451">
        <f t="shared" si="3"/>
        <v>0</v>
      </c>
      <c r="I29" s="772"/>
      <c r="J29" s="772"/>
      <c r="K29" s="772"/>
      <c r="L29" s="970"/>
      <c r="M29" s="970"/>
      <c r="N29" s="650">
        <f t="shared" si="4"/>
        <v>0</v>
      </c>
    </row>
    <row r="30" spans="1:14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0</v>
      </c>
      <c r="H30" s="451">
        <f t="shared" si="3"/>
        <v>0</v>
      </c>
      <c r="I30" s="772"/>
      <c r="J30" s="772"/>
      <c r="K30" s="772"/>
      <c r="L30" s="970"/>
      <c r="M30" s="970"/>
      <c r="N30" s="650">
        <f t="shared" si="4"/>
        <v>0</v>
      </c>
    </row>
    <row r="31" spans="1:14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0</v>
      </c>
      <c r="H31" s="451">
        <f t="shared" si="3"/>
        <v>0</v>
      </c>
      <c r="I31" s="772"/>
      <c r="J31" s="772"/>
      <c r="K31" s="772"/>
      <c r="L31" s="970"/>
      <c r="M31" s="970"/>
      <c r="N31" s="650">
        <f t="shared" si="4"/>
        <v>0</v>
      </c>
    </row>
    <row r="32" spans="1:14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0</v>
      </c>
      <c r="H32" s="451">
        <f t="shared" si="3"/>
        <v>0</v>
      </c>
      <c r="I32" s="772"/>
      <c r="J32" s="772"/>
      <c r="K32" s="772"/>
      <c r="L32" s="970"/>
      <c r="M32" s="970"/>
      <c r="N32" s="650">
        <f t="shared" si="4"/>
        <v>0</v>
      </c>
    </row>
    <row r="33" spans="1:15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0</v>
      </c>
      <c r="H33" s="451">
        <f t="shared" si="3"/>
        <v>0</v>
      </c>
      <c r="I33" s="772"/>
      <c r="J33" s="772"/>
      <c r="K33" s="772"/>
      <c r="L33" s="970"/>
      <c r="M33" s="970"/>
      <c r="N33" s="650">
        <f t="shared" si="4"/>
        <v>0</v>
      </c>
    </row>
    <row r="34" spans="1:15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0</v>
      </c>
      <c r="H34" s="451">
        <f t="shared" si="3"/>
        <v>0</v>
      </c>
      <c r="I34" s="772"/>
      <c r="J34" s="772"/>
      <c r="K34" s="772"/>
      <c r="L34" s="970"/>
      <c r="M34" s="970"/>
      <c r="N34" s="650">
        <f t="shared" si="4"/>
        <v>0</v>
      </c>
    </row>
    <row r="35" spans="1:15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0</v>
      </c>
      <c r="H35" s="451">
        <f t="shared" si="3"/>
        <v>0</v>
      </c>
      <c r="I35" s="772"/>
      <c r="J35" s="772"/>
      <c r="K35" s="772"/>
      <c r="L35" s="970"/>
      <c r="M35" s="970"/>
      <c r="N35" s="650">
        <f t="shared" si="4"/>
        <v>0</v>
      </c>
    </row>
    <row r="36" spans="1:15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0</v>
      </c>
      <c r="H36" s="451">
        <f t="shared" si="3"/>
        <v>0</v>
      </c>
      <c r="I36" s="772"/>
      <c r="J36" s="772"/>
      <c r="K36" s="772"/>
      <c r="L36" s="970"/>
      <c r="M36" s="970"/>
      <c r="N36" s="650">
        <f t="shared" si="4"/>
        <v>0</v>
      </c>
    </row>
    <row r="37" spans="1:15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0</v>
      </c>
      <c r="H37" s="451">
        <f t="shared" si="3"/>
        <v>0</v>
      </c>
      <c r="I37" s="772"/>
      <c r="J37" s="772"/>
      <c r="K37" s="772"/>
      <c r="L37" s="970"/>
      <c r="M37" s="970"/>
      <c r="N37" s="650">
        <f t="shared" si="4"/>
        <v>0</v>
      </c>
    </row>
    <row r="38" spans="1:15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0</v>
      </c>
      <c r="H38" s="451">
        <f t="shared" si="3"/>
        <v>0</v>
      </c>
      <c r="I38" s="772"/>
      <c r="J38" s="772"/>
      <c r="K38" s="772"/>
      <c r="L38" s="970"/>
      <c r="M38" s="970"/>
      <c r="N38" s="650">
        <f t="shared" si="4"/>
        <v>0</v>
      </c>
    </row>
    <row r="39" spans="1:15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>SUM($E$8:E39)/A39</f>
        <v>0</v>
      </c>
      <c r="G39" s="396">
        <f t="shared" si="0"/>
        <v>0</v>
      </c>
      <c r="H39" s="451">
        <f t="shared" si="3"/>
        <v>0</v>
      </c>
      <c r="I39" s="772"/>
      <c r="J39" s="772"/>
      <c r="K39" s="772"/>
      <c r="L39" s="970"/>
      <c r="M39" s="970"/>
      <c r="N39" s="650">
        <f t="shared" si="4"/>
        <v>0</v>
      </c>
    </row>
    <row r="40" spans="1:15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M40" si="6">SUM(J9:J39)</f>
        <v>0</v>
      </c>
      <c r="K40" s="689">
        <f t="shared" si="6"/>
        <v>0</v>
      </c>
      <c r="L40" s="689">
        <f t="shared" si="6"/>
        <v>0</v>
      </c>
      <c r="M40" s="689">
        <f t="shared" si="6"/>
        <v>0</v>
      </c>
    </row>
    <row r="41" spans="1:15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794"/>
      <c r="M41" s="794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A41:C41"/>
    <mergeCell ref="A3:I3"/>
    <mergeCell ref="A4:B4"/>
    <mergeCell ref="L7:L8"/>
    <mergeCell ref="M7:M8"/>
    <mergeCell ref="A8:C8"/>
    <mergeCell ref="A40:C40"/>
  </mergeCells>
  <conditionalFormatting sqref="H38">
    <cfRule type="cellIs" dxfId="7289" priority="34" operator="between">
      <formula>3.5</formula>
      <formula>6</formula>
    </cfRule>
    <cfRule type="cellIs" dxfId="7288" priority="35" operator="lessThan">
      <formula>3.5</formula>
    </cfRule>
    <cfRule type="cellIs" dxfId="7287" priority="36" operator="greaterThan">
      <formula>6</formula>
    </cfRule>
  </conditionalFormatting>
  <conditionalFormatting sqref="H9:H12 H24:H37 H14:H17 H19:H22 H39">
    <cfRule type="cellIs" dxfId="7286" priority="31" operator="between">
      <formula>3.5</formula>
      <formula>6</formula>
    </cfRule>
    <cfRule type="cellIs" dxfId="7285" priority="32" operator="lessThan">
      <formula>3.5</formula>
    </cfRule>
    <cfRule type="cellIs" dxfId="7284" priority="33" operator="greaterThan">
      <formula>6</formula>
    </cfRule>
  </conditionalFormatting>
  <conditionalFormatting sqref="H23">
    <cfRule type="cellIs" dxfId="7283" priority="28" operator="between">
      <formula>3.5</formula>
      <formula>6</formula>
    </cfRule>
    <cfRule type="cellIs" dxfId="7282" priority="29" operator="lessThan">
      <formula>3.5</formula>
    </cfRule>
    <cfRule type="cellIs" dxfId="7281" priority="30" operator="greaterThan">
      <formula>6</formula>
    </cfRule>
  </conditionalFormatting>
  <conditionalFormatting sqref="H13">
    <cfRule type="cellIs" dxfId="7280" priority="25" operator="between">
      <formula>3.5</formula>
      <formula>6</formula>
    </cfRule>
    <cfRule type="cellIs" dxfId="7279" priority="26" operator="lessThan">
      <formula>3.5</formula>
    </cfRule>
    <cfRule type="cellIs" dxfId="7278" priority="27" operator="greaterThan">
      <formula>6</formula>
    </cfRule>
  </conditionalFormatting>
  <conditionalFormatting sqref="H18">
    <cfRule type="cellIs" dxfId="7277" priority="22" operator="between">
      <formula>3.5</formula>
      <formula>6</formula>
    </cfRule>
    <cfRule type="cellIs" dxfId="7276" priority="23" operator="lessThan">
      <formula>3.5</formula>
    </cfRule>
    <cfRule type="cellIs" dxfId="7275" priority="24" operator="greaterThan">
      <formula>6</formula>
    </cfRule>
  </conditionalFormatting>
  <conditionalFormatting sqref="H9:H39">
    <cfRule type="cellIs" dxfId="7274" priority="19" operator="between">
      <formula>3.5</formula>
      <formula>6</formula>
    </cfRule>
    <cfRule type="cellIs" dxfId="7273" priority="20" operator="lessThan">
      <formula>3.5</formula>
    </cfRule>
    <cfRule type="cellIs" dxfId="7272" priority="21" operator="greaterThan">
      <formula>6</formula>
    </cfRule>
  </conditionalFormatting>
  <conditionalFormatting sqref="H9:H39">
    <cfRule type="cellIs" dxfId="7271" priority="16" operator="between">
      <formula>3.5</formula>
      <formula>6</formula>
    </cfRule>
    <cfRule type="cellIs" dxfId="7270" priority="17" operator="lessThan">
      <formula>3.5</formula>
    </cfRule>
    <cfRule type="cellIs" dxfId="7269" priority="18" operator="greaterThan">
      <formula>6</formula>
    </cfRule>
  </conditionalFormatting>
  <conditionalFormatting sqref="H9:H39">
    <cfRule type="cellIs" dxfId="7268" priority="13" operator="between">
      <formula>3.5</formula>
      <formula>6</formula>
    </cfRule>
    <cfRule type="cellIs" dxfId="7267" priority="14" operator="lessThan">
      <formula>3.5</formula>
    </cfRule>
    <cfRule type="cellIs" dxfId="7266" priority="15" operator="greaterThan">
      <formula>6</formula>
    </cfRule>
  </conditionalFormatting>
  <conditionalFormatting sqref="H9:H39">
    <cfRule type="cellIs" dxfId="7265" priority="10" operator="between">
      <formula>3.5</formula>
      <formula>6</formula>
    </cfRule>
    <cfRule type="cellIs" dxfId="7264" priority="11" operator="lessThan">
      <formula>3.5</formula>
    </cfRule>
    <cfRule type="cellIs" dxfId="7263" priority="12" operator="greaterThan">
      <formula>6</formula>
    </cfRule>
  </conditionalFormatting>
  <conditionalFormatting sqref="H9:H39">
    <cfRule type="cellIs" dxfId="7262" priority="7" operator="between">
      <formula>3.5</formula>
      <formula>6</formula>
    </cfRule>
    <cfRule type="cellIs" dxfId="7261" priority="8" operator="lessThan">
      <formula>3.5</formula>
    </cfRule>
    <cfRule type="cellIs" dxfId="7260" priority="9" operator="greaterThan">
      <formula>6</formula>
    </cfRule>
  </conditionalFormatting>
  <conditionalFormatting sqref="H9:H39">
    <cfRule type="cellIs" dxfId="7259" priority="4" operator="between">
      <formula>3.5</formula>
      <formula>6</formula>
    </cfRule>
    <cfRule type="cellIs" dxfId="7258" priority="5" operator="lessThan">
      <formula>3.5</formula>
    </cfRule>
    <cfRule type="cellIs" dxfId="7257" priority="6" operator="greaterThan">
      <formula>6</formula>
    </cfRule>
  </conditionalFormatting>
  <conditionalFormatting sqref="H9:H39">
    <cfRule type="cellIs" dxfId="7256" priority="1" operator="between">
      <formula>3.5</formula>
      <formula>6</formula>
    </cfRule>
    <cfRule type="cellIs" dxfId="7255" priority="2" operator="lessThan">
      <formula>3.5</formula>
    </cfRule>
    <cfRule type="cellIs" dxfId="725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AB49"/>
  <sheetViews>
    <sheetView tabSelected="1" zoomScale="90" zoomScaleNormal="90" workbookViewId="0">
      <pane ySplit="8" topLeftCell="A12" activePane="bottomLeft" state="frozen"/>
      <selection pane="bottomLeft" activeCell="M27" sqref="M27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3" width="14.28515625" style="42" customWidth="1"/>
    <col min="14" max="14" width="11.5703125" style="143" bestFit="1" customWidth="1"/>
    <col min="15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78"/>
      <c r="K3" s="1278"/>
      <c r="L3" s="1278"/>
      <c r="M3" s="1278"/>
      <c r="O3" s="442"/>
      <c r="P3" s="442"/>
      <c r="Q3" s="442"/>
    </row>
    <row r="4" spans="1:28" s="1283" customFormat="1" ht="12" customHeight="1">
      <c r="A4" s="1648" t="s">
        <v>33</v>
      </c>
      <c r="B4" s="1648"/>
      <c r="C4" s="551" t="str">
        <f>H4</f>
        <v>HAVIRA 40*80 5V-HA giấy nâu</v>
      </c>
      <c r="E4" s="549" t="s">
        <v>228</v>
      </c>
      <c r="F4" s="549" t="s">
        <v>235</v>
      </c>
      <c r="G4" s="550" t="s">
        <v>114</v>
      </c>
      <c r="H4" s="551" t="s">
        <v>1090</v>
      </c>
      <c r="N4" s="143"/>
    </row>
    <row r="5" spans="1:28" s="1283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324"/>
      <c r="N5" s="143"/>
    </row>
    <row r="6" spans="1:28" s="1283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1280" t="s">
        <v>2</v>
      </c>
      <c r="B7" s="1282" t="s">
        <v>1</v>
      </c>
      <c r="C7" s="128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79" t="s">
        <v>30</v>
      </c>
      <c r="I7" s="697" t="s">
        <v>341</v>
      </c>
      <c r="J7" s="697" t="s">
        <v>244</v>
      </c>
      <c r="K7" s="697" t="s">
        <v>344</v>
      </c>
      <c r="L7" s="1649" t="s">
        <v>771</v>
      </c>
      <c r="M7" s="1649" t="s">
        <v>772</v>
      </c>
      <c r="N7" s="143"/>
    </row>
    <row r="8" spans="1:28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5000</v>
      </c>
      <c r="F8" s="771"/>
      <c r="G8" s="774">
        <v>0</v>
      </c>
      <c r="H8" s="450"/>
      <c r="I8" s="772"/>
      <c r="J8" s="772"/>
      <c r="K8" s="772"/>
      <c r="L8" s="1649"/>
      <c r="M8" s="1649"/>
      <c r="N8" s="143">
        <v>10902.8</v>
      </c>
    </row>
    <row r="9" spans="1:28" s="305" customFormat="1" ht="12" customHeight="1">
      <c r="A9" s="1281">
        <v>1</v>
      </c>
      <c r="B9" s="365">
        <f>'FRIT HGE91-FHG'!B9</f>
        <v>46235</v>
      </c>
      <c r="C9" s="331" t="s">
        <v>285</v>
      </c>
      <c r="D9" s="1451">
        <f>L9+M9</f>
        <v>0</v>
      </c>
      <c r="E9" s="1451">
        <f>I9+J9+K9</f>
        <v>0</v>
      </c>
      <c r="F9" s="1451">
        <f>15700/1.44</f>
        <v>10902.777777777777</v>
      </c>
      <c r="G9" s="1451">
        <f t="shared" ref="G9:G39" si="0">G8+D9-E9</f>
        <v>0</v>
      </c>
      <c r="H9" s="1452">
        <f>G9/10417</f>
        <v>0</v>
      </c>
      <c r="I9" s="772"/>
      <c r="J9" s="772"/>
      <c r="K9" s="772"/>
      <c r="L9" s="970"/>
      <c r="M9" s="970"/>
      <c r="N9" s="650">
        <f>G9/$N$8</f>
        <v>0</v>
      </c>
    </row>
    <row r="10" spans="1:28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1451">
        <f t="shared" ref="D10:D39" si="1">L10+M10</f>
        <v>0</v>
      </c>
      <c r="E10" s="1451">
        <f t="shared" ref="E10:E39" si="2">I10+J10+K10</f>
        <v>0</v>
      </c>
      <c r="F10" s="1451">
        <f>$F$9</f>
        <v>10902.777777777777</v>
      </c>
      <c r="G10" s="1451">
        <f t="shared" si="0"/>
        <v>0</v>
      </c>
      <c r="H10" s="1452">
        <f t="shared" ref="H10:H39" si="3">G10/10417</f>
        <v>0</v>
      </c>
      <c r="I10" s="772"/>
      <c r="J10" s="772"/>
      <c r="K10" s="772"/>
      <c r="L10" s="970"/>
      <c r="M10" s="970"/>
      <c r="N10" s="650">
        <f t="shared" ref="N10:N39" si="4">G10/$N$8</f>
        <v>0</v>
      </c>
    </row>
    <row r="11" spans="1:28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1451">
        <f t="shared" si="1"/>
        <v>0</v>
      </c>
      <c r="E11" s="1451">
        <f t="shared" si="2"/>
        <v>0</v>
      </c>
      <c r="F11" s="1451">
        <f>$F$9</f>
        <v>10902.777777777777</v>
      </c>
      <c r="G11" s="1451">
        <f t="shared" si="0"/>
        <v>0</v>
      </c>
      <c r="H11" s="1452">
        <f t="shared" si="3"/>
        <v>0</v>
      </c>
      <c r="I11" s="772"/>
      <c r="J11" s="772"/>
      <c r="K11" s="772"/>
      <c r="L11" s="970"/>
      <c r="M11" s="970"/>
      <c r="N11" s="650">
        <f t="shared" si="4"/>
        <v>0</v>
      </c>
    </row>
    <row r="12" spans="1:28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1451">
        <f t="shared" si="1"/>
        <v>0</v>
      </c>
      <c r="E12" s="1451">
        <f t="shared" si="2"/>
        <v>0</v>
      </c>
      <c r="F12" s="1451">
        <f t="shared" ref="F12:F38" si="5">$F$9</f>
        <v>10902.777777777777</v>
      </c>
      <c r="G12" s="1451">
        <f t="shared" si="0"/>
        <v>0</v>
      </c>
      <c r="H12" s="1452">
        <f t="shared" si="3"/>
        <v>0</v>
      </c>
      <c r="I12" s="772"/>
      <c r="J12" s="772"/>
      <c r="K12" s="772"/>
      <c r="L12" s="970"/>
      <c r="M12" s="970"/>
      <c r="N12" s="650">
        <f t="shared" si="4"/>
        <v>0</v>
      </c>
    </row>
    <row r="13" spans="1:28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1451">
        <f t="shared" si="1"/>
        <v>0</v>
      </c>
      <c r="E13" s="1451">
        <f t="shared" si="2"/>
        <v>0</v>
      </c>
      <c r="F13" s="1451">
        <f t="shared" si="5"/>
        <v>10902.777777777777</v>
      </c>
      <c r="G13" s="1453">
        <f t="shared" si="0"/>
        <v>0</v>
      </c>
      <c r="H13" s="1452">
        <f t="shared" si="3"/>
        <v>0</v>
      </c>
      <c r="I13" s="772"/>
      <c r="J13" s="772"/>
      <c r="K13" s="772"/>
      <c r="L13" s="970"/>
      <c r="M13" s="970"/>
      <c r="N13" s="650">
        <f t="shared" si="4"/>
        <v>0</v>
      </c>
    </row>
    <row r="14" spans="1:28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1451">
        <f t="shared" si="1"/>
        <v>0</v>
      </c>
      <c r="E14" s="1451">
        <f t="shared" si="2"/>
        <v>0</v>
      </c>
      <c r="F14" s="1451">
        <f t="shared" si="5"/>
        <v>10902.777777777777</v>
      </c>
      <c r="G14" s="1451">
        <f t="shared" si="0"/>
        <v>0</v>
      </c>
      <c r="H14" s="1452">
        <f t="shared" si="3"/>
        <v>0</v>
      </c>
      <c r="I14" s="772"/>
      <c r="J14" s="772"/>
      <c r="K14" s="772"/>
      <c r="L14" s="970"/>
      <c r="M14" s="970"/>
      <c r="N14" s="650">
        <f t="shared" si="4"/>
        <v>0</v>
      </c>
    </row>
    <row r="15" spans="1:28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1451">
        <f t="shared" si="1"/>
        <v>0</v>
      </c>
      <c r="E15" s="1451">
        <f t="shared" si="2"/>
        <v>0</v>
      </c>
      <c r="F15" s="1451">
        <f t="shared" si="5"/>
        <v>10902.777777777777</v>
      </c>
      <c r="G15" s="1451">
        <f t="shared" si="0"/>
        <v>0</v>
      </c>
      <c r="H15" s="1452">
        <f t="shared" si="3"/>
        <v>0</v>
      </c>
      <c r="I15" s="772"/>
      <c r="J15" s="772"/>
      <c r="K15" s="772"/>
      <c r="L15" s="970"/>
      <c r="M15" s="970"/>
      <c r="N15" s="650">
        <f t="shared" si="4"/>
        <v>0</v>
      </c>
    </row>
    <row r="16" spans="1:28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1451">
        <f t="shared" si="1"/>
        <v>0</v>
      </c>
      <c r="E16" s="1451">
        <f t="shared" si="2"/>
        <v>0</v>
      </c>
      <c r="F16" s="1451">
        <f t="shared" si="5"/>
        <v>10902.777777777777</v>
      </c>
      <c r="G16" s="1451">
        <f t="shared" si="0"/>
        <v>0</v>
      </c>
      <c r="H16" s="1452">
        <f t="shared" si="3"/>
        <v>0</v>
      </c>
      <c r="I16" s="772"/>
      <c r="J16" s="772"/>
      <c r="K16" s="772"/>
      <c r="L16" s="970"/>
      <c r="M16" s="970"/>
      <c r="N16" s="650">
        <f t="shared" si="4"/>
        <v>0</v>
      </c>
    </row>
    <row r="17" spans="1:14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1451">
        <f t="shared" si="1"/>
        <v>0</v>
      </c>
      <c r="E17" s="1451">
        <f t="shared" si="2"/>
        <v>0</v>
      </c>
      <c r="F17" s="1451">
        <f t="shared" si="5"/>
        <v>10902.777777777777</v>
      </c>
      <c r="G17" s="1451">
        <f t="shared" si="0"/>
        <v>0</v>
      </c>
      <c r="H17" s="1452">
        <f t="shared" si="3"/>
        <v>0</v>
      </c>
      <c r="I17" s="772"/>
      <c r="J17" s="772"/>
      <c r="K17" s="772"/>
      <c r="L17" s="970"/>
      <c r="M17" s="970"/>
      <c r="N17" s="650">
        <f t="shared" si="4"/>
        <v>0</v>
      </c>
    </row>
    <row r="18" spans="1:14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1451">
        <f t="shared" si="1"/>
        <v>0</v>
      </c>
      <c r="E18" s="1451">
        <f t="shared" si="2"/>
        <v>0</v>
      </c>
      <c r="F18" s="1451">
        <f t="shared" si="5"/>
        <v>10902.777777777777</v>
      </c>
      <c r="G18" s="1453">
        <f t="shared" si="0"/>
        <v>0</v>
      </c>
      <c r="H18" s="1452">
        <f t="shared" si="3"/>
        <v>0</v>
      </c>
      <c r="I18" s="772"/>
      <c r="J18" s="772"/>
      <c r="K18" s="772"/>
      <c r="L18" s="970"/>
      <c r="M18" s="970"/>
      <c r="N18" s="650">
        <f t="shared" si="4"/>
        <v>0</v>
      </c>
    </row>
    <row r="19" spans="1:14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1451">
        <f t="shared" si="1"/>
        <v>0</v>
      </c>
      <c r="E19" s="1451">
        <f t="shared" si="2"/>
        <v>0</v>
      </c>
      <c r="F19" s="1451">
        <f t="shared" si="5"/>
        <v>10902.777777777777</v>
      </c>
      <c r="G19" s="1451">
        <f t="shared" si="0"/>
        <v>0</v>
      </c>
      <c r="H19" s="1452">
        <f t="shared" si="3"/>
        <v>0</v>
      </c>
      <c r="I19" s="772"/>
      <c r="J19" s="772"/>
      <c r="K19" s="772"/>
      <c r="L19" s="970"/>
      <c r="M19" s="970"/>
      <c r="N19" s="650">
        <f t="shared" si="4"/>
        <v>0</v>
      </c>
    </row>
    <row r="20" spans="1:14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1451">
        <f t="shared" si="1"/>
        <v>0</v>
      </c>
      <c r="E20" s="1451">
        <f t="shared" si="2"/>
        <v>0</v>
      </c>
      <c r="F20" s="1451">
        <f t="shared" si="5"/>
        <v>10902.777777777777</v>
      </c>
      <c r="G20" s="1451">
        <f t="shared" si="0"/>
        <v>0</v>
      </c>
      <c r="H20" s="1452">
        <f t="shared" si="3"/>
        <v>0</v>
      </c>
      <c r="I20" s="772"/>
      <c r="J20" s="772"/>
      <c r="K20" s="772"/>
      <c r="L20" s="970"/>
      <c r="M20" s="970"/>
      <c r="N20" s="650">
        <f t="shared" si="4"/>
        <v>0</v>
      </c>
    </row>
    <row r="21" spans="1:14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1451">
        <f t="shared" si="1"/>
        <v>0</v>
      </c>
      <c r="E21" s="1451">
        <f t="shared" si="2"/>
        <v>0</v>
      </c>
      <c r="F21" s="1451">
        <f t="shared" si="5"/>
        <v>10902.777777777777</v>
      </c>
      <c r="G21" s="1451">
        <f t="shared" si="0"/>
        <v>0</v>
      </c>
      <c r="H21" s="1452">
        <f t="shared" si="3"/>
        <v>0</v>
      </c>
      <c r="I21" s="772"/>
      <c r="J21" s="772"/>
      <c r="K21" s="772"/>
      <c r="L21" s="970"/>
      <c r="M21" s="970"/>
      <c r="N21" s="650">
        <f t="shared" si="4"/>
        <v>0</v>
      </c>
    </row>
    <row r="22" spans="1:14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1451">
        <f t="shared" si="1"/>
        <v>5400</v>
      </c>
      <c r="E22" s="1451">
        <f t="shared" si="2"/>
        <v>0</v>
      </c>
      <c r="F22" s="1451">
        <f t="shared" si="5"/>
        <v>10902.777777777777</v>
      </c>
      <c r="G22" s="1451">
        <f t="shared" si="0"/>
        <v>5400</v>
      </c>
      <c r="H22" s="1452">
        <f t="shared" si="3"/>
        <v>0.51838341173082458</v>
      </c>
      <c r="I22" s="772"/>
      <c r="J22" s="772"/>
      <c r="K22" s="772"/>
      <c r="L22" s="970"/>
      <c r="M22" s="970">
        <v>5400</v>
      </c>
      <c r="N22" s="650">
        <f t="shared" si="4"/>
        <v>0.49528561470447963</v>
      </c>
    </row>
    <row r="23" spans="1:14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1451">
        <f t="shared" si="1"/>
        <v>0</v>
      </c>
      <c r="E23" s="1451">
        <f t="shared" si="2"/>
        <v>5000</v>
      </c>
      <c r="F23" s="1451">
        <f t="shared" si="5"/>
        <v>10902.777777777777</v>
      </c>
      <c r="G23" s="1453">
        <f t="shared" si="0"/>
        <v>400</v>
      </c>
      <c r="H23" s="1452">
        <f t="shared" si="3"/>
        <v>3.839877123932034E-2</v>
      </c>
      <c r="I23" s="772"/>
      <c r="J23" s="772">
        <v>5000</v>
      </c>
      <c r="K23" s="772"/>
      <c r="L23" s="970"/>
      <c r="M23" s="970"/>
      <c r="N23" s="650">
        <f t="shared" si="4"/>
        <v>3.6687823311442935E-2</v>
      </c>
    </row>
    <row r="24" spans="1:14" s="367" customFormat="1" ht="15">
      <c r="A24" s="330">
        <v>16</v>
      </c>
      <c r="B24" s="365">
        <f>'FRIT HGE91-FHG'!B24</f>
        <v>46250</v>
      </c>
      <c r="C24" s="331" t="s">
        <v>285</v>
      </c>
      <c r="D24" s="1451">
        <f t="shared" si="1"/>
        <v>0</v>
      </c>
      <c r="E24" s="1451">
        <f t="shared" si="2"/>
        <v>0</v>
      </c>
      <c r="F24" s="1451">
        <f t="shared" si="5"/>
        <v>10902.777777777777</v>
      </c>
      <c r="G24" s="1451">
        <f t="shared" si="0"/>
        <v>400</v>
      </c>
      <c r="H24" s="1452">
        <f t="shared" si="3"/>
        <v>3.839877123932034E-2</v>
      </c>
      <c r="I24" s="772"/>
      <c r="J24" s="772"/>
      <c r="K24" s="772"/>
      <c r="L24" s="970"/>
      <c r="M24" s="970"/>
      <c r="N24" s="650">
        <f t="shared" si="4"/>
        <v>3.6687823311442935E-2</v>
      </c>
    </row>
    <row r="25" spans="1:14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1451">
        <f t="shared" si="1"/>
        <v>4500</v>
      </c>
      <c r="E25" s="1451">
        <f t="shared" si="2"/>
        <v>0</v>
      </c>
      <c r="F25" s="1451">
        <f t="shared" si="5"/>
        <v>10902.777777777777</v>
      </c>
      <c r="G25" s="1451">
        <f t="shared" si="0"/>
        <v>4900</v>
      </c>
      <c r="H25" s="1452">
        <f t="shared" si="3"/>
        <v>0.47038494768167416</v>
      </c>
      <c r="I25" s="772"/>
      <c r="J25" s="772"/>
      <c r="K25" s="772"/>
      <c r="L25" s="970"/>
      <c r="M25" s="970">
        <v>4500</v>
      </c>
      <c r="N25" s="650">
        <f t="shared" si="4"/>
        <v>0.44942583556517596</v>
      </c>
    </row>
    <row r="26" spans="1:14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1451">
        <f t="shared" si="1"/>
        <v>5150</v>
      </c>
      <c r="E26" s="1451">
        <f t="shared" si="2"/>
        <v>0</v>
      </c>
      <c r="F26" s="1451">
        <f t="shared" si="5"/>
        <v>10902.777777777777</v>
      </c>
      <c r="G26" s="1451">
        <f t="shared" si="0"/>
        <v>10050</v>
      </c>
      <c r="H26" s="1452">
        <f t="shared" si="3"/>
        <v>0.96476912738792364</v>
      </c>
      <c r="I26" s="772"/>
      <c r="J26" s="772"/>
      <c r="K26" s="772"/>
      <c r="L26" s="970"/>
      <c r="M26" s="970">
        <v>5150</v>
      </c>
      <c r="N26" s="650">
        <f t="shared" si="4"/>
        <v>0.92178156070000372</v>
      </c>
    </row>
    <row r="27" spans="1:14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1451">
        <f t="shared" si="1"/>
        <v>0</v>
      </c>
      <c r="E27" s="1451">
        <f t="shared" si="2"/>
        <v>0</v>
      </c>
      <c r="F27" s="1451">
        <f t="shared" si="5"/>
        <v>10902.777777777777</v>
      </c>
      <c r="G27" s="1451">
        <f t="shared" si="0"/>
        <v>10050</v>
      </c>
      <c r="H27" s="1452">
        <f t="shared" si="3"/>
        <v>0.96476912738792364</v>
      </c>
      <c r="I27" s="772"/>
      <c r="J27" s="772"/>
      <c r="K27" s="772"/>
      <c r="L27" s="970"/>
      <c r="M27" s="970"/>
      <c r="N27" s="650">
        <f t="shared" si="4"/>
        <v>0.92178156070000372</v>
      </c>
    </row>
    <row r="28" spans="1:14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1451">
        <f t="shared" si="1"/>
        <v>0</v>
      </c>
      <c r="E28" s="1451">
        <f t="shared" si="2"/>
        <v>0</v>
      </c>
      <c r="F28" s="1451">
        <f t="shared" si="5"/>
        <v>10902.777777777777</v>
      </c>
      <c r="G28" s="1453">
        <f t="shared" si="0"/>
        <v>10050</v>
      </c>
      <c r="H28" s="1452">
        <f t="shared" si="3"/>
        <v>0.96476912738792364</v>
      </c>
      <c r="I28" s="772"/>
      <c r="J28" s="772"/>
      <c r="K28" s="772"/>
      <c r="L28" s="970"/>
      <c r="M28" s="970"/>
      <c r="N28" s="650">
        <f t="shared" si="4"/>
        <v>0.92178156070000372</v>
      </c>
    </row>
    <row r="29" spans="1:14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1451">
        <f t="shared" si="1"/>
        <v>0</v>
      </c>
      <c r="E29" s="1451">
        <f t="shared" si="2"/>
        <v>0</v>
      </c>
      <c r="F29" s="1451">
        <f t="shared" si="5"/>
        <v>10902.777777777777</v>
      </c>
      <c r="G29" s="1454">
        <f t="shared" si="0"/>
        <v>10050</v>
      </c>
      <c r="H29" s="1452">
        <f t="shared" si="3"/>
        <v>0.96476912738792364</v>
      </c>
      <c r="I29" s="772"/>
      <c r="J29" s="772"/>
      <c r="K29" s="772"/>
      <c r="L29" s="970"/>
      <c r="M29" s="970"/>
      <c r="N29" s="650">
        <f t="shared" si="4"/>
        <v>0.92178156070000372</v>
      </c>
    </row>
    <row r="30" spans="1:14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1451">
        <f t="shared" si="1"/>
        <v>0</v>
      </c>
      <c r="E30" s="1451">
        <f t="shared" si="2"/>
        <v>0</v>
      </c>
      <c r="F30" s="1451">
        <f t="shared" si="5"/>
        <v>10902.777777777777</v>
      </c>
      <c r="G30" s="1454">
        <f t="shared" si="0"/>
        <v>10050</v>
      </c>
      <c r="H30" s="1452">
        <f t="shared" si="3"/>
        <v>0.96476912738792364</v>
      </c>
      <c r="I30" s="772"/>
      <c r="J30" s="772"/>
      <c r="K30" s="772"/>
      <c r="L30" s="970"/>
      <c r="M30" s="970"/>
      <c r="N30" s="650">
        <f t="shared" si="4"/>
        <v>0.92178156070000372</v>
      </c>
    </row>
    <row r="31" spans="1:14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1451">
        <f t="shared" si="1"/>
        <v>0</v>
      </c>
      <c r="E31" s="1451">
        <f t="shared" si="2"/>
        <v>0</v>
      </c>
      <c r="F31" s="1451">
        <f t="shared" si="5"/>
        <v>10902.777777777777</v>
      </c>
      <c r="G31" s="1454">
        <f t="shared" si="0"/>
        <v>10050</v>
      </c>
      <c r="H31" s="1452">
        <f t="shared" si="3"/>
        <v>0.96476912738792364</v>
      </c>
      <c r="I31" s="772"/>
      <c r="J31" s="772"/>
      <c r="K31" s="772"/>
      <c r="L31" s="970"/>
      <c r="M31" s="970"/>
      <c r="N31" s="650">
        <f t="shared" si="4"/>
        <v>0.92178156070000372</v>
      </c>
    </row>
    <row r="32" spans="1:14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1451">
        <f t="shared" si="1"/>
        <v>0</v>
      </c>
      <c r="E32" s="1451">
        <f t="shared" si="2"/>
        <v>0</v>
      </c>
      <c r="F32" s="1451">
        <f t="shared" si="5"/>
        <v>10902.777777777777</v>
      </c>
      <c r="G32" s="1454">
        <f t="shared" si="0"/>
        <v>10050</v>
      </c>
      <c r="H32" s="1452">
        <f t="shared" si="3"/>
        <v>0.96476912738792364</v>
      </c>
      <c r="I32" s="772"/>
      <c r="J32" s="772"/>
      <c r="K32" s="772"/>
      <c r="L32" s="970"/>
      <c r="M32" s="970"/>
      <c r="N32" s="650">
        <f t="shared" si="4"/>
        <v>0.92178156070000372</v>
      </c>
    </row>
    <row r="33" spans="1:15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1451">
        <f t="shared" si="1"/>
        <v>0</v>
      </c>
      <c r="E33" s="1451">
        <f t="shared" si="2"/>
        <v>0</v>
      </c>
      <c r="F33" s="1451">
        <f t="shared" si="5"/>
        <v>10902.777777777777</v>
      </c>
      <c r="G33" s="1455">
        <f t="shared" si="0"/>
        <v>10050</v>
      </c>
      <c r="H33" s="1452">
        <f t="shared" si="3"/>
        <v>0.96476912738792364</v>
      </c>
      <c r="I33" s="772"/>
      <c r="J33" s="772"/>
      <c r="K33" s="772"/>
      <c r="L33" s="970"/>
      <c r="M33" s="970"/>
      <c r="N33" s="650">
        <f t="shared" si="4"/>
        <v>0.92178156070000372</v>
      </c>
    </row>
    <row r="34" spans="1:15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1451">
        <f t="shared" si="1"/>
        <v>0</v>
      </c>
      <c r="E34" s="1451">
        <f t="shared" si="2"/>
        <v>0</v>
      </c>
      <c r="F34" s="1451">
        <f t="shared" si="5"/>
        <v>10902.777777777777</v>
      </c>
      <c r="G34" s="1451">
        <f t="shared" si="0"/>
        <v>10050</v>
      </c>
      <c r="H34" s="1452">
        <f t="shared" si="3"/>
        <v>0.96476912738792364</v>
      </c>
      <c r="I34" s="772"/>
      <c r="J34" s="772"/>
      <c r="K34" s="772"/>
      <c r="L34" s="970"/>
      <c r="M34" s="970"/>
      <c r="N34" s="650">
        <f t="shared" si="4"/>
        <v>0.92178156070000372</v>
      </c>
    </row>
    <row r="35" spans="1:15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1451">
        <f t="shared" si="1"/>
        <v>0</v>
      </c>
      <c r="E35" s="1451">
        <f t="shared" si="2"/>
        <v>0</v>
      </c>
      <c r="F35" s="1451">
        <f t="shared" si="5"/>
        <v>10902.777777777777</v>
      </c>
      <c r="G35" s="1451">
        <f t="shared" si="0"/>
        <v>10050</v>
      </c>
      <c r="H35" s="1452">
        <f t="shared" si="3"/>
        <v>0.96476912738792364</v>
      </c>
      <c r="I35" s="772"/>
      <c r="J35" s="772"/>
      <c r="K35" s="772"/>
      <c r="L35" s="970"/>
      <c r="M35" s="970"/>
      <c r="N35" s="650">
        <f t="shared" si="4"/>
        <v>0.92178156070000372</v>
      </c>
    </row>
    <row r="36" spans="1:15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1451">
        <f t="shared" si="1"/>
        <v>0</v>
      </c>
      <c r="E36" s="1451">
        <f t="shared" si="2"/>
        <v>0</v>
      </c>
      <c r="F36" s="1451">
        <f t="shared" si="5"/>
        <v>10902.777777777777</v>
      </c>
      <c r="G36" s="1451">
        <f t="shared" si="0"/>
        <v>10050</v>
      </c>
      <c r="H36" s="1452">
        <f t="shared" si="3"/>
        <v>0.96476912738792364</v>
      </c>
      <c r="I36" s="772"/>
      <c r="J36" s="772"/>
      <c r="K36" s="772"/>
      <c r="L36" s="970"/>
      <c r="M36" s="970"/>
      <c r="N36" s="650">
        <f t="shared" si="4"/>
        <v>0.92178156070000372</v>
      </c>
    </row>
    <row r="37" spans="1:15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51">
        <f t="shared" si="1"/>
        <v>0</v>
      </c>
      <c r="E37" s="1451">
        <f t="shared" si="2"/>
        <v>0</v>
      </c>
      <c r="F37" s="1451">
        <f t="shared" si="5"/>
        <v>10902.777777777777</v>
      </c>
      <c r="G37" s="1451">
        <f t="shared" si="0"/>
        <v>10050</v>
      </c>
      <c r="H37" s="1452">
        <f t="shared" si="3"/>
        <v>0.96476912738792364</v>
      </c>
      <c r="I37" s="772"/>
      <c r="J37" s="772"/>
      <c r="K37" s="772"/>
      <c r="L37" s="970"/>
      <c r="M37" s="970"/>
      <c r="N37" s="650">
        <f t="shared" si="4"/>
        <v>0.92178156070000372</v>
      </c>
    </row>
    <row r="38" spans="1:15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1">
        <f t="shared" si="1"/>
        <v>0</v>
      </c>
      <c r="E38" s="1451">
        <f t="shared" si="2"/>
        <v>0</v>
      </c>
      <c r="F38" s="1451">
        <f t="shared" si="5"/>
        <v>10902.777777777777</v>
      </c>
      <c r="G38" s="1453">
        <f>G37+D38-E38</f>
        <v>10050</v>
      </c>
      <c r="H38" s="1452">
        <f t="shared" si="3"/>
        <v>0.96476912738792364</v>
      </c>
      <c r="I38" s="772"/>
      <c r="J38" s="772"/>
      <c r="K38" s="772"/>
      <c r="L38" s="970"/>
      <c r="M38" s="970"/>
      <c r="N38" s="650">
        <f t="shared" si="4"/>
        <v>0.92178156070000372</v>
      </c>
    </row>
    <row r="39" spans="1:15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51">
        <f t="shared" si="1"/>
        <v>0</v>
      </c>
      <c r="E39" s="1451">
        <f t="shared" si="2"/>
        <v>0</v>
      </c>
      <c r="F39" s="1451">
        <f>SUM($E$8:E39)/A39</f>
        <v>322.58064516129031</v>
      </c>
      <c r="G39" s="1451">
        <f t="shared" si="0"/>
        <v>10050</v>
      </c>
      <c r="H39" s="1452">
        <f t="shared" si="3"/>
        <v>0.96476912738792364</v>
      </c>
      <c r="I39" s="772"/>
      <c r="J39" s="772"/>
      <c r="K39" s="772"/>
      <c r="L39" s="970"/>
      <c r="M39" s="970"/>
      <c r="N39" s="650">
        <f t="shared" si="4"/>
        <v>0.92178156070000372</v>
      </c>
    </row>
    <row r="40" spans="1:15" s="374" customFormat="1" ht="11.25" customHeight="1">
      <c r="A40" s="1647" t="s">
        <v>29</v>
      </c>
      <c r="B40" s="1647"/>
      <c r="C40" s="1647"/>
      <c r="D40" s="448">
        <f>SUM(D9:D39)</f>
        <v>15050</v>
      </c>
      <c r="E40" s="389">
        <f>SUM(E9:E39)</f>
        <v>5000</v>
      </c>
      <c r="F40" s="449"/>
      <c r="G40" s="389">
        <f>G39</f>
        <v>10050</v>
      </c>
      <c r="H40" s="309"/>
      <c r="I40" s="689">
        <f>SUM(I9:I39)</f>
        <v>0</v>
      </c>
      <c r="J40" s="689">
        <f t="shared" ref="J40:M40" si="6">SUM(J9:J39)</f>
        <v>5000</v>
      </c>
      <c r="K40" s="689">
        <f t="shared" si="6"/>
        <v>0</v>
      </c>
      <c r="L40" s="689">
        <f t="shared" si="6"/>
        <v>0</v>
      </c>
      <c r="M40" s="689">
        <f t="shared" si="6"/>
        <v>15050</v>
      </c>
    </row>
    <row r="41" spans="1:15" s="374" customFormat="1" ht="11.25" customHeight="1">
      <c r="A41" s="1647" t="s">
        <v>15</v>
      </c>
      <c r="B41" s="1647"/>
      <c r="C41" s="1647"/>
      <c r="D41" s="448">
        <f>D8+D40</f>
        <v>15050</v>
      </c>
      <c r="E41" s="389">
        <f>E40</f>
        <v>5000</v>
      </c>
      <c r="F41" s="449"/>
      <c r="G41" s="389">
        <f>D41-E41</f>
        <v>10050</v>
      </c>
      <c r="H41" s="309"/>
      <c r="I41" s="689"/>
      <c r="J41" s="689"/>
      <c r="K41" s="689"/>
      <c r="L41" s="794"/>
      <c r="M41" s="794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>
        <f>E40+'ESPANA 30x60-VH'!E40</f>
        <v>5000</v>
      </c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A41:C41"/>
    <mergeCell ref="A3:I3"/>
    <mergeCell ref="A4:B4"/>
    <mergeCell ref="L7:L8"/>
    <mergeCell ref="M7:M8"/>
    <mergeCell ref="A8:C8"/>
    <mergeCell ref="A40:C40"/>
  </mergeCells>
  <conditionalFormatting sqref="H38">
    <cfRule type="cellIs" dxfId="7253" priority="34" operator="between">
      <formula>3.5</formula>
      <formula>6</formula>
    </cfRule>
    <cfRule type="cellIs" dxfId="7252" priority="35" operator="lessThan">
      <formula>3.5</formula>
    </cfRule>
    <cfRule type="cellIs" dxfId="7251" priority="36" operator="greaterThan">
      <formula>6</formula>
    </cfRule>
  </conditionalFormatting>
  <conditionalFormatting sqref="H9:H12 H24:H37 H14:H17 H19:H22 H39">
    <cfRule type="cellIs" dxfId="7250" priority="31" operator="between">
      <formula>3.5</formula>
      <formula>6</formula>
    </cfRule>
    <cfRule type="cellIs" dxfId="7249" priority="32" operator="lessThan">
      <formula>3.5</formula>
    </cfRule>
    <cfRule type="cellIs" dxfId="7248" priority="33" operator="greaterThan">
      <formula>6</formula>
    </cfRule>
  </conditionalFormatting>
  <conditionalFormatting sqref="H23">
    <cfRule type="cellIs" dxfId="7247" priority="28" operator="between">
      <formula>3.5</formula>
      <formula>6</formula>
    </cfRule>
    <cfRule type="cellIs" dxfId="7246" priority="29" operator="lessThan">
      <formula>3.5</formula>
    </cfRule>
    <cfRule type="cellIs" dxfId="7245" priority="30" operator="greaterThan">
      <formula>6</formula>
    </cfRule>
  </conditionalFormatting>
  <conditionalFormatting sqref="H13">
    <cfRule type="cellIs" dxfId="7244" priority="25" operator="between">
      <formula>3.5</formula>
      <formula>6</formula>
    </cfRule>
    <cfRule type="cellIs" dxfId="7243" priority="26" operator="lessThan">
      <formula>3.5</formula>
    </cfRule>
    <cfRule type="cellIs" dxfId="7242" priority="27" operator="greaterThan">
      <formula>6</formula>
    </cfRule>
  </conditionalFormatting>
  <conditionalFormatting sqref="H18">
    <cfRule type="cellIs" dxfId="7241" priority="22" operator="between">
      <formula>3.5</formula>
      <formula>6</formula>
    </cfRule>
    <cfRule type="cellIs" dxfId="7240" priority="23" operator="lessThan">
      <formula>3.5</formula>
    </cfRule>
    <cfRule type="cellIs" dxfId="7239" priority="24" operator="greaterThan">
      <formula>6</formula>
    </cfRule>
  </conditionalFormatting>
  <conditionalFormatting sqref="H9:H39">
    <cfRule type="cellIs" dxfId="7238" priority="19" operator="between">
      <formula>3.5</formula>
      <formula>6</formula>
    </cfRule>
    <cfRule type="cellIs" dxfId="7237" priority="20" operator="lessThan">
      <formula>3.5</formula>
    </cfRule>
    <cfRule type="cellIs" dxfId="7236" priority="21" operator="greaterThan">
      <formula>6</formula>
    </cfRule>
  </conditionalFormatting>
  <conditionalFormatting sqref="H9:H39">
    <cfRule type="cellIs" dxfId="7235" priority="16" operator="between">
      <formula>3.5</formula>
      <formula>6</formula>
    </cfRule>
    <cfRule type="cellIs" dxfId="7234" priority="17" operator="lessThan">
      <formula>3.5</formula>
    </cfRule>
    <cfRule type="cellIs" dxfId="7233" priority="18" operator="greaterThan">
      <formula>6</formula>
    </cfRule>
  </conditionalFormatting>
  <conditionalFormatting sqref="H9:H39">
    <cfRule type="cellIs" dxfId="7232" priority="13" operator="between">
      <formula>3.5</formula>
      <formula>6</formula>
    </cfRule>
    <cfRule type="cellIs" dxfId="7231" priority="14" operator="lessThan">
      <formula>3.5</formula>
    </cfRule>
    <cfRule type="cellIs" dxfId="7230" priority="15" operator="greaterThan">
      <formula>6</formula>
    </cfRule>
  </conditionalFormatting>
  <conditionalFormatting sqref="H9:H39">
    <cfRule type="cellIs" dxfId="7229" priority="10" operator="between">
      <formula>3.5</formula>
      <formula>6</formula>
    </cfRule>
    <cfRule type="cellIs" dxfId="7228" priority="11" operator="lessThan">
      <formula>3.5</formula>
    </cfRule>
    <cfRule type="cellIs" dxfId="7227" priority="12" operator="greaterThan">
      <formula>6</formula>
    </cfRule>
  </conditionalFormatting>
  <conditionalFormatting sqref="H9:H39">
    <cfRule type="cellIs" dxfId="7226" priority="7" operator="between">
      <formula>3.5</formula>
      <formula>6</formula>
    </cfRule>
    <cfRule type="cellIs" dxfId="7225" priority="8" operator="lessThan">
      <formula>3.5</formula>
    </cfRule>
    <cfRule type="cellIs" dxfId="7224" priority="9" operator="greaterThan">
      <formula>6</formula>
    </cfRule>
  </conditionalFormatting>
  <conditionalFormatting sqref="H9:H39">
    <cfRule type="cellIs" dxfId="7223" priority="4" operator="between">
      <formula>3.5</formula>
      <formula>6</formula>
    </cfRule>
    <cfRule type="cellIs" dxfId="7222" priority="5" operator="lessThan">
      <formula>3.5</formula>
    </cfRule>
    <cfRule type="cellIs" dxfId="7221" priority="6" operator="greaterThan">
      <formula>6</formula>
    </cfRule>
  </conditionalFormatting>
  <conditionalFormatting sqref="H9:H39">
    <cfRule type="cellIs" dxfId="7220" priority="1" operator="between">
      <formula>3.5</formula>
      <formula>6</formula>
    </cfRule>
    <cfRule type="cellIs" dxfId="7219" priority="2" operator="lessThan">
      <formula>3.5</formula>
    </cfRule>
    <cfRule type="cellIs" dxfId="721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B49"/>
  <sheetViews>
    <sheetView zoomScale="90" zoomScaleNormal="90" workbookViewId="0">
      <pane ySplit="8" topLeftCell="A27" activePane="bottomLeft" state="frozen"/>
      <selection pane="bottomLeft" activeCell="I9" sqref="I9:I17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3" width="14.7109375" style="42" customWidth="1"/>
    <col min="14" max="14" width="11.5703125" style="143" bestFit="1" customWidth="1"/>
    <col min="15" max="17" width="7.5703125" style="42" customWidth="1"/>
    <col min="18" max="16384" width="9.28515625" style="42"/>
  </cols>
  <sheetData>
    <row r="1" spans="1:2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R1" s="323"/>
      <c r="S1" s="324"/>
      <c r="T1" s="324"/>
      <c r="U1" s="324"/>
      <c r="V1" s="324"/>
      <c r="W1" s="324"/>
      <c r="X1" s="324"/>
      <c r="Y1" s="324"/>
      <c r="Z1" s="324"/>
      <c r="AA1" s="324"/>
      <c r="AB1" s="324"/>
    </row>
    <row r="2" spans="1:2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3"/>
      <c r="O2" s="142"/>
      <c r="R2" s="323"/>
      <c r="S2" s="324"/>
      <c r="T2" s="324"/>
      <c r="U2" s="324"/>
      <c r="V2" s="324"/>
      <c r="W2" s="324"/>
      <c r="X2" s="324"/>
      <c r="Y2" s="324"/>
      <c r="Z2" s="324"/>
      <c r="AA2" s="324"/>
    </row>
    <row r="3" spans="1:28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801"/>
      <c r="K3" s="801"/>
      <c r="L3" s="971"/>
      <c r="M3" s="971"/>
      <c r="O3" s="442"/>
      <c r="P3" s="442"/>
      <c r="Q3" s="442"/>
    </row>
    <row r="4" spans="1:28" s="806" customFormat="1" ht="12" customHeight="1">
      <c r="A4" s="1648" t="s">
        <v>33</v>
      </c>
      <c r="B4" s="1648"/>
      <c r="C4" s="548" t="s">
        <v>408</v>
      </c>
      <c r="E4" s="549" t="s">
        <v>228</v>
      </c>
      <c r="F4" s="549" t="s">
        <v>235</v>
      </c>
      <c r="G4" s="550" t="s">
        <v>114</v>
      </c>
      <c r="H4" s="551" t="s">
        <v>459</v>
      </c>
      <c r="L4" s="972"/>
      <c r="M4" s="972"/>
      <c r="N4" s="143"/>
    </row>
    <row r="5" spans="1:28" s="80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324"/>
      <c r="N5" s="143"/>
    </row>
    <row r="6" spans="1:28" s="80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324"/>
      <c r="N6" s="442"/>
    </row>
    <row r="7" spans="1:28" s="305" customFormat="1" ht="28.5" customHeight="1">
      <c r="A7" s="803" t="s">
        <v>2</v>
      </c>
      <c r="B7" s="805" t="s">
        <v>1</v>
      </c>
      <c r="C7" s="805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802" t="s">
        <v>30</v>
      </c>
      <c r="I7" s="697" t="s">
        <v>341</v>
      </c>
      <c r="J7" s="697" t="s">
        <v>244</v>
      </c>
      <c r="K7" s="697" t="s">
        <v>344</v>
      </c>
      <c r="L7" s="1649" t="s">
        <v>771</v>
      </c>
      <c r="M7" s="1649" t="s">
        <v>772</v>
      </c>
      <c r="N7" s="143"/>
    </row>
    <row r="8" spans="1:28" s="305" customFormat="1" ht="12" customHeight="1">
      <c r="A8" s="1650" t="s">
        <v>3</v>
      </c>
      <c r="B8" s="1651"/>
      <c r="C8" s="1652"/>
      <c r="D8" s="771">
        <f>G8</f>
        <v>2060</v>
      </c>
      <c r="E8" s="771">
        <f>E40</f>
        <v>0</v>
      </c>
      <c r="F8" s="771"/>
      <c r="G8" s="774">
        <v>2060</v>
      </c>
      <c r="H8" s="450"/>
      <c r="I8" s="772"/>
      <c r="J8" s="772"/>
      <c r="K8" s="772"/>
      <c r="L8" s="1649"/>
      <c r="M8" s="1649"/>
      <c r="N8" s="143">
        <v>10902.8</v>
      </c>
    </row>
    <row r="9" spans="1:28" s="305" customFormat="1" ht="12" customHeight="1">
      <c r="A9" s="804">
        <v>1</v>
      </c>
      <c r="B9" s="365">
        <f>'FRIT HGE91-FHG'!B9</f>
        <v>46235</v>
      </c>
      <c r="C9" s="331" t="s">
        <v>285</v>
      </c>
      <c r="D9" s="396">
        <f>L9+M9</f>
        <v>0</v>
      </c>
      <c r="E9" s="396">
        <f>I9+J9+K9</f>
        <v>0</v>
      </c>
      <c r="F9" s="396">
        <f>15700/1.44</f>
        <v>10902.777777777777</v>
      </c>
      <c r="G9" s="396">
        <f t="shared" ref="G9:G39" si="0">G8+D9-E9</f>
        <v>2060</v>
      </c>
      <c r="H9" s="451">
        <f>G9/10417</f>
        <v>0.19775367188249976</v>
      </c>
      <c r="I9" s="772"/>
      <c r="J9" s="772"/>
      <c r="K9" s="772"/>
      <c r="L9" s="970"/>
      <c r="M9" s="970"/>
      <c r="N9" s="650">
        <f>G9/$N$8</f>
        <v>0.18894229005393112</v>
      </c>
    </row>
    <row r="10" spans="1:28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>
        <f t="shared" ref="D10:D39" si="1">L10+M10</f>
        <v>0</v>
      </c>
      <c r="E10" s="396">
        <f t="shared" ref="E10:E39" si="2">I10+J10+K10</f>
        <v>0</v>
      </c>
      <c r="F10" s="396">
        <f>$F$9</f>
        <v>10902.777777777777</v>
      </c>
      <c r="G10" s="396">
        <f t="shared" si="0"/>
        <v>2060</v>
      </c>
      <c r="H10" s="451">
        <f t="shared" ref="H10:H39" si="3">G10/10417</f>
        <v>0.19775367188249976</v>
      </c>
      <c r="I10" s="772"/>
      <c r="J10" s="772"/>
      <c r="K10" s="772"/>
      <c r="L10" s="970"/>
      <c r="M10" s="970"/>
      <c r="N10" s="650">
        <f t="shared" ref="N10:N39" si="4">G10/$N$8</f>
        <v>0.18894229005393112</v>
      </c>
    </row>
    <row r="11" spans="1:28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>
        <f t="shared" si="1"/>
        <v>0</v>
      </c>
      <c r="E11" s="396">
        <f t="shared" si="2"/>
        <v>0</v>
      </c>
      <c r="F11" s="396">
        <f>$F$9</f>
        <v>10902.777777777777</v>
      </c>
      <c r="G11" s="396">
        <f t="shared" si="0"/>
        <v>2060</v>
      </c>
      <c r="H11" s="451">
        <f t="shared" si="3"/>
        <v>0.19775367188249976</v>
      </c>
      <c r="I11" s="772"/>
      <c r="J11" s="772"/>
      <c r="K11" s="772"/>
      <c r="L11" s="970"/>
      <c r="M11" s="970"/>
      <c r="N11" s="650">
        <f t="shared" si="4"/>
        <v>0.18894229005393112</v>
      </c>
    </row>
    <row r="12" spans="1:28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>
        <f t="shared" si="1"/>
        <v>0</v>
      </c>
      <c r="E12" s="396">
        <f t="shared" si="2"/>
        <v>0</v>
      </c>
      <c r="F12" s="396">
        <f t="shared" ref="F12:F38" si="5">$F$9</f>
        <v>10902.777777777777</v>
      </c>
      <c r="G12" s="396">
        <f t="shared" si="0"/>
        <v>2060</v>
      </c>
      <c r="H12" s="451">
        <f t="shared" si="3"/>
        <v>0.19775367188249976</v>
      </c>
      <c r="I12" s="772"/>
      <c r="J12" s="772"/>
      <c r="K12" s="772"/>
      <c r="L12" s="970"/>
      <c r="M12" s="970"/>
      <c r="N12" s="650">
        <f t="shared" si="4"/>
        <v>0.18894229005393112</v>
      </c>
    </row>
    <row r="13" spans="1:28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>
        <f t="shared" si="1"/>
        <v>0</v>
      </c>
      <c r="E13" s="396">
        <f t="shared" si="2"/>
        <v>0</v>
      </c>
      <c r="F13" s="396">
        <f t="shared" si="5"/>
        <v>10902.777777777777</v>
      </c>
      <c r="G13" s="769">
        <f t="shared" si="0"/>
        <v>2060</v>
      </c>
      <c r="H13" s="451">
        <f t="shared" si="3"/>
        <v>0.19775367188249976</v>
      </c>
      <c r="I13" s="772"/>
      <c r="J13" s="772"/>
      <c r="K13" s="772"/>
      <c r="L13" s="970"/>
      <c r="M13" s="970"/>
      <c r="N13" s="650">
        <f t="shared" si="4"/>
        <v>0.18894229005393112</v>
      </c>
    </row>
    <row r="14" spans="1:28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f t="shared" si="1"/>
        <v>0</v>
      </c>
      <c r="E14" s="396">
        <f t="shared" si="2"/>
        <v>0</v>
      </c>
      <c r="F14" s="396">
        <f t="shared" si="5"/>
        <v>10902.777777777777</v>
      </c>
      <c r="G14" s="396">
        <f t="shared" si="0"/>
        <v>2060</v>
      </c>
      <c r="H14" s="451">
        <f t="shared" si="3"/>
        <v>0.19775367188249976</v>
      </c>
      <c r="I14" s="772"/>
      <c r="J14" s="772"/>
      <c r="K14" s="772"/>
      <c r="L14" s="970"/>
      <c r="M14" s="970"/>
      <c r="N14" s="650">
        <f t="shared" si="4"/>
        <v>0.18894229005393112</v>
      </c>
    </row>
    <row r="15" spans="1:28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f t="shared" si="1"/>
        <v>0</v>
      </c>
      <c r="E15" s="396">
        <f t="shared" si="2"/>
        <v>0</v>
      </c>
      <c r="F15" s="396">
        <f t="shared" si="5"/>
        <v>10902.777777777777</v>
      </c>
      <c r="G15" s="396">
        <f t="shared" si="0"/>
        <v>2060</v>
      </c>
      <c r="H15" s="451">
        <f t="shared" si="3"/>
        <v>0.19775367188249976</v>
      </c>
      <c r="I15" s="772"/>
      <c r="J15" s="772"/>
      <c r="K15" s="772"/>
      <c r="L15" s="970"/>
      <c r="M15" s="970"/>
      <c r="N15" s="650">
        <f t="shared" si="4"/>
        <v>0.18894229005393112</v>
      </c>
    </row>
    <row r="16" spans="1:28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>
        <f t="shared" si="1"/>
        <v>0</v>
      </c>
      <c r="E16" s="396">
        <f t="shared" si="2"/>
        <v>0</v>
      </c>
      <c r="F16" s="396">
        <f t="shared" si="5"/>
        <v>10902.777777777777</v>
      </c>
      <c r="G16" s="396">
        <f t="shared" si="0"/>
        <v>2060</v>
      </c>
      <c r="H16" s="451">
        <f t="shared" si="3"/>
        <v>0.19775367188249976</v>
      </c>
      <c r="I16" s="772"/>
      <c r="J16" s="772"/>
      <c r="K16" s="772"/>
      <c r="L16" s="970"/>
      <c r="M16" s="970"/>
      <c r="N16" s="650">
        <f t="shared" si="4"/>
        <v>0.18894229005393112</v>
      </c>
    </row>
    <row r="17" spans="1:14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>
        <f t="shared" si="1"/>
        <v>0</v>
      </c>
      <c r="E17" s="396">
        <f t="shared" si="2"/>
        <v>0</v>
      </c>
      <c r="F17" s="396">
        <f t="shared" si="5"/>
        <v>10902.777777777777</v>
      </c>
      <c r="G17" s="396">
        <f t="shared" si="0"/>
        <v>2060</v>
      </c>
      <c r="H17" s="451">
        <f t="shared" si="3"/>
        <v>0.19775367188249976</v>
      </c>
      <c r="I17" s="772"/>
      <c r="J17" s="772"/>
      <c r="K17" s="772"/>
      <c r="L17" s="970"/>
      <c r="M17" s="970"/>
      <c r="N17" s="650">
        <f t="shared" si="4"/>
        <v>0.18894229005393112</v>
      </c>
    </row>
    <row r="18" spans="1:14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>
        <f t="shared" si="1"/>
        <v>0</v>
      </c>
      <c r="E18" s="396">
        <f t="shared" si="2"/>
        <v>0</v>
      </c>
      <c r="F18" s="396">
        <f t="shared" si="5"/>
        <v>10902.777777777777</v>
      </c>
      <c r="G18" s="769">
        <f t="shared" si="0"/>
        <v>2060</v>
      </c>
      <c r="H18" s="451">
        <f t="shared" si="3"/>
        <v>0.19775367188249976</v>
      </c>
      <c r="I18" s="772"/>
      <c r="J18" s="772"/>
      <c r="K18" s="772"/>
      <c r="L18" s="970"/>
      <c r="M18" s="970"/>
      <c r="N18" s="650">
        <f t="shared" si="4"/>
        <v>0.18894229005393112</v>
      </c>
    </row>
    <row r="19" spans="1:14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f t="shared" si="1"/>
        <v>0</v>
      </c>
      <c r="E19" s="396">
        <f t="shared" si="2"/>
        <v>0</v>
      </c>
      <c r="F19" s="396">
        <f t="shared" si="5"/>
        <v>10902.777777777777</v>
      </c>
      <c r="G19" s="396">
        <f t="shared" si="0"/>
        <v>2060</v>
      </c>
      <c r="H19" s="451">
        <f t="shared" si="3"/>
        <v>0.19775367188249976</v>
      </c>
      <c r="I19" s="772"/>
      <c r="J19" s="772"/>
      <c r="K19" s="772"/>
      <c r="L19" s="970"/>
      <c r="M19" s="970"/>
      <c r="N19" s="650">
        <f t="shared" si="4"/>
        <v>0.18894229005393112</v>
      </c>
    </row>
    <row r="20" spans="1:14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 t="shared" si="1"/>
        <v>0</v>
      </c>
      <c r="E20" s="396">
        <f t="shared" si="2"/>
        <v>0</v>
      </c>
      <c r="F20" s="396">
        <f t="shared" si="5"/>
        <v>10902.777777777777</v>
      </c>
      <c r="G20" s="396">
        <f t="shared" si="0"/>
        <v>2060</v>
      </c>
      <c r="H20" s="451">
        <f t="shared" si="3"/>
        <v>0.19775367188249976</v>
      </c>
      <c r="I20" s="772"/>
      <c r="J20" s="772"/>
      <c r="K20" s="772"/>
      <c r="L20" s="970"/>
      <c r="M20" s="970"/>
      <c r="N20" s="650">
        <f t="shared" si="4"/>
        <v>0.18894229005393112</v>
      </c>
    </row>
    <row r="21" spans="1:14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>
        <f t="shared" si="1"/>
        <v>0</v>
      </c>
      <c r="E21" s="396">
        <f t="shared" si="2"/>
        <v>0</v>
      </c>
      <c r="F21" s="396">
        <f t="shared" si="5"/>
        <v>10902.777777777777</v>
      </c>
      <c r="G21" s="396">
        <f t="shared" si="0"/>
        <v>2060</v>
      </c>
      <c r="H21" s="451">
        <f t="shared" si="3"/>
        <v>0.19775367188249976</v>
      </c>
      <c r="I21" s="772"/>
      <c r="J21" s="772"/>
      <c r="K21" s="772"/>
      <c r="L21" s="970"/>
      <c r="M21" s="970"/>
      <c r="N21" s="650">
        <f t="shared" si="4"/>
        <v>0.18894229005393112</v>
      </c>
    </row>
    <row r="22" spans="1:14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 t="shared" si="1"/>
        <v>0</v>
      </c>
      <c r="E22" s="396">
        <f t="shared" si="2"/>
        <v>0</v>
      </c>
      <c r="F22" s="396">
        <f t="shared" si="5"/>
        <v>10902.777777777777</v>
      </c>
      <c r="G22" s="396">
        <f t="shared" si="0"/>
        <v>2060</v>
      </c>
      <c r="H22" s="451">
        <f t="shared" si="3"/>
        <v>0.19775367188249976</v>
      </c>
      <c r="I22" s="772"/>
      <c r="J22" s="772"/>
      <c r="K22" s="772"/>
      <c r="L22" s="970"/>
      <c r="M22" s="970"/>
      <c r="N22" s="650">
        <f t="shared" si="4"/>
        <v>0.18894229005393112</v>
      </c>
    </row>
    <row r="23" spans="1:14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>
        <f t="shared" si="1"/>
        <v>0</v>
      </c>
      <c r="E23" s="396">
        <f t="shared" si="2"/>
        <v>0</v>
      </c>
      <c r="F23" s="396">
        <f t="shared" si="5"/>
        <v>10902.777777777777</v>
      </c>
      <c r="G23" s="769">
        <f t="shared" si="0"/>
        <v>2060</v>
      </c>
      <c r="H23" s="451">
        <f t="shared" si="3"/>
        <v>0.19775367188249976</v>
      </c>
      <c r="I23" s="772"/>
      <c r="J23" s="772"/>
      <c r="K23" s="772"/>
      <c r="L23" s="970"/>
      <c r="M23" s="970"/>
      <c r="N23" s="650">
        <f t="shared" si="4"/>
        <v>0.18894229005393112</v>
      </c>
    </row>
    <row r="24" spans="1:14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f t="shared" si="1"/>
        <v>0</v>
      </c>
      <c r="E24" s="396">
        <f t="shared" si="2"/>
        <v>0</v>
      </c>
      <c r="F24" s="396">
        <f t="shared" si="5"/>
        <v>10902.777777777777</v>
      </c>
      <c r="G24" s="396">
        <f t="shared" si="0"/>
        <v>2060</v>
      </c>
      <c r="H24" s="451">
        <f t="shared" si="3"/>
        <v>0.19775367188249976</v>
      </c>
      <c r="I24" s="772"/>
      <c r="J24" s="772"/>
      <c r="K24" s="772"/>
      <c r="L24" s="970"/>
      <c r="M24" s="970"/>
      <c r="N24" s="650">
        <f t="shared" si="4"/>
        <v>0.18894229005393112</v>
      </c>
    </row>
    <row r="25" spans="1:14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f t="shared" si="1"/>
        <v>0</v>
      </c>
      <c r="E25" s="396">
        <f t="shared" si="2"/>
        <v>0</v>
      </c>
      <c r="F25" s="396">
        <f t="shared" si="5"/>
        <v>10902.777777777777</v>
      </c>
      <c r="G25" s="396">
        <f t="shared" si="0"/>
        <v>2060</v>
      </c>
      <c r="H25" s="451">
        <f t="shared" si="3"/>
        <v>0.19775367188249976</v>
      </c>
      <c r="I25" s="772"/>
      <c r="J25" s="772"/>
      <c r="K25" s="772"/>
      <c r="L25" s="970"/>
      <c r="M25" s="970"/>
      <c r="N25" s="650">
        <f t="shared" si="4"/>
        <v>0.18894229005393112</v>
      </c>
    </row>
    <row r="26" spans="1:14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f t="shared" si="1"/>
        <v>0</v>
      </c>
      <c r="E26" s="396">
        <f t="shared" si="2"/>
        <v>0</v>
      </c>
      <c r="F26" s="396">
        <f t="shared" si="5"/>
        <v>10902.777777777777</v>
      </c>
      <c r="G26" s="396">
        <f t="shared" si="0"/>
        <v>2060</v>
      </c>
      <c r="H26" s="451">
        <f t="shared" si="3"/>
        <v>0.19775367188249976</v>
      </c>
      <c r="I26" s="772"/>
      <c r="J26" s="772"/>
      <c r="K26" s="772"/>
      <c r="L26" s="970"/>
      <c r="M26" s="970"/>
      <c r="N26" s="650">
        <f t="shared" si="4"/>
        <v>0.18894229005393112</v>
      </c>
    </row>
    <row r="27" spans="1:14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>
        <f t="shared" si="1"/>
        <v>0</v>
      </c>
      <c r="E27" s="396">
        <f t="shared" si="2"/>
        <v>0</v>
      </c>
      <c r="F27" s="396">
        <f t="shared" si="5"/>
        <v>10902.777777777777</v>
      </c>
      <c r="G27" s="396">
        <f t="shared" si="0"/>
        <v>2060</v>
      </c>
      <c r="H27" s="451">
        <f t="shared" si="3"/>
        <v>0.19775367188249976</v>
      </c>
      <c r="I27" s="772"/>
      <c r="J27" s="772"/>
      <c r="K27" s="772"/>
      <c r="L27" s="970"/>
      <c r="M27" s="970"/>
      <c r="N27" s="650">
        <f t="shared" si="4"/>
        <v>0.18894229005393112</v>
      </c>
    </row>
    <row r="28" spans="1:14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>
        <f t="shared" si="1"/>
        <v>0</v>
      </c>
      <c r="E28" s="396">
        <f t="shared" si="2"/>
        <v>0</v>
      </c>
      <c r="F28" s="396">
        <f t="shared" si="5"/>
        <v>10902.777777777777</v>
      </c>
      <c r="G28" s="769">
        <f t="shared" si="0"/>
        <v>2060</v>
      </c>
      <c r="H28" s="451">
        <f t="shared" si="3"/>
        <v>0.19775367188249976</v>
      </c>
      <c r="I28" s="772"/>
      <c r="J28" s="772"/>
      <c r="K28" s="772"/>
      <c r="L28" s="970"/>
      <c r="M28" s="970"/>
      <c r="N28" s="650">
        <f t="shared" si="4"/>
        <v>0.18894229005393112</v>
      </c>
    </row>
    <row r="29" spans="1:14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>
        <f t="shared" si="1"/>
        <v>0</v>
      </c>
      <c r="E29" s="396">
        <f t="shared" si="2"/>
        <v>0</v>
      </c>
      <c r="F29" s="396">
        <f t="shared" si="5"/>
        <v>10902.777777777777</v>
      </c>
      <c r="G29" s="393">
        <f t="shared" si="0"/>
        <v>2060</v>
      </c>
      <c r="H29" s="451">
        <f t="shared" si="3"/>
        <v>0.19775367188249976</v>
      </c>
      <c r="I29" s="772"/>
      <c r="J29" s="772"/>
      <c r="K29" s="772"/>
      <c r="L29" s="970"/>
      <c r="M29" s="970"/>
      <c r="N29" s="650">
        <f t="shared" si="4"/>
        <v>0.18894229005393112</v>
      </c>
    </row>
    <row r="30" spans="1:14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>
        <f t="shared" si="1"/>
        <v>0</v>
      </c>
      <c r="E30" s="396">
        <f t="shared" si="2"/>
        <v>0</v>
      </c>
      <c r="F30" s="396">
        <f t="shared" si="5"/>
        <v>10902.777777777777</v>
      </c>
      <c r="G30" s="393">
        <f t="shared" si="0"/>
        <v>2060</v>
      </c>
      <c r="H30" s="451">
        <f t="shared" si="3"/>
        <v>0.19775367188249976</v>
      </c>
      <c r="I30" s="772"/>
      <c r="J30" s="772"/>
      <c r="K30" s="772"/>
      <c r="L30" s="970"/>
      <c r="M30" s="970"/>
      <c r="N30" s="650">
        <f t="shared" si="4"/>
        <v>0.18894229005393112</v>
      </c>
    </row>
    <row r="31" spans="1:14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>
        <f t="shared" si="1"/>
        <v>0</v>
      </c>
      <c r="E31" s="396">
        <f t="shared" si="2"/>
        <v>0</v>
      </c>
      <c r="F31" s="396">
        <f t="shared" si="5"/>
        <v>10902.777777777777</v>
      </c>
      <c r="G31" s="393">
        <f t="shared" si="0"/>
        <v>2060</v>
      </c>
      <c r="H31" s="451">
        <f t="shared" si="3"/>
        <v>0.19775367188249976</v>
      </c>
      <c r="I31" s="772"/>
      <c r="J31" s="772"/>
      <c r="K31" s="772"/>
      <c r="L31" s="970"/>
      <c r="M31" s="970"/>
      <c r="N31" s="650">
        <f t="shared" si="4"/>
        <v>0.18894229005393112</v>
      </c>
    </row>
    <row r="32" spans="1:14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>
        <f t="shared" si="1"/>
        <v>0</v>
      </c>
      <c r="E32" s="396">
        <f t="shared" si="2"/>
        <v>0</v>
      </c>
      <c r="F32" s="396">
        <f t="shared" si="5"/>
        <v>10902.777777777777</v>
      </c>
      <c r="G32" s="393">
        <f t="shared" si="0"/>
        <v>2060</v>
      </c>
      <c r="H32" s="451">
        <f t="shared" si="3"/>
        <v>0.19775367188249976</v>
      </c>
      <c r="I32" s="772"/>
      <c r="J32" s="772"/>
      <c r="K32" s="772"/>
      <c r="L32" s="970"/>
      <c r="M32" s="970"/>
      <c r="N32" s="650">
        <f t="shared" si="4"/>
        <v>0.18894229005393112</v>
      </c>
    </row>
    <row r="33" spans="1:15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>
        <f t="shared" si="1"/>
        <v>0</v>
      </c>
      <c r="E33" s="396">
        <f t="shared" si="2"/>
        <v>0</v>
      </c>
      <c r="F33" s="396">
        <f t="shared" si="5"/>
        <v>10902.777777777777</v>
      </c>
      <c r="G33" s="770">
        <f t="shared" si="0"/>
        <v>2060</v>
      </c>
      <c r="H33" s="451">
        <f t="shared" si="3"/>
        <v>0.19775367188249976</v>
      </c>
      <c r="I33" s="772"/>
      <c r="J33" s="772"/>
      <c r="K33" s="772"/>
      <c r="L33" s="970"/>
      <c r="M33" s="970"/>
      <c r="N33" s="650">
        <f t="shared" si="4"/>
        <v>0.18894229005393112</v>
      </c>
    </row>
    <row r="34" spans="1:15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>
        <f t="shared" si="1"/>
        <v>0</v>
      </c>
      <c r="E34" s="396">
        <f t="shared" si="2"/>
        <v>0</v>
      </c>
      <c r="F34" s="396">
        <f t="shared" si="5"/>
        <v>10902.777777777777</v>
      </c>
      <c r="G34" s="396">
        <f t="shared" si="0"/>
        <v>2060</v>
      </c>
      <c r="H34" s="451">
        <f t="shared" si="3"/>
        <v>0.19775367188249976</v>
      </c>
      <c r="I34" s="772"/>
      <c r="J34" s="772"/>
      <c r="K34" s="772"/>
      <c r="L34" s="970"/>
      <c r="M34" s="970"/>
      <c r="N34" s="650">
        <f t="shared" si="4"/>
        <v>0.18894229005393112</v>
      </c>
    </row>
    <row r="35" spans="1:15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>
        <f t="shared" si="1"/>
        <v>0</v>
      </c>
      <c r="E35" s="396">
        <f t="shared" si="2"/>
        <v>0</v>
      </c>
      <c r="F35" s="396">
        <f t="shared" si="5"/>
        <v>10902.777777777777</v>
      </c>
      <c r="G35" s="396">
        <f t="shared" si="0"/>
        <v>2060</v>
      </c>
      <c r="H35" s="451">
        <f t="shared" si="3"/>
        <v>0.19775367188249976</v>
      </c>
      <c r="I35" s="772"/>
      <c r="J35" s="772"/>
      <c r="K35" s="772"/>
      <c r="L35" s="970"/>
      <c r="M35" s="970"/>
      <c r="N35" s="650">
        <f t="shared" si="4"/>
        <v>0.18894229005393112</v>
      </c>
    </row>
    <row r="36" spans="1:15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>
        <f t="shared" si="1"/>
        <v>0</v>
      </c>
      <c r="E36" s="396">
        <f t="shared" si="2"/>
        <v>0</v>
      </c>
      <c r="F36" s="396">
        <f t="shared" si="5"/>
        <v>10902.777777777777</v>
      </c>
      <c r="G36" s="396">
        <f t="shared" si="0"/>
        <v>2060</v>
      </c>
      <c r="H36" s="451">
        <f t="shared" si="3"/>
        <v>0.19775367188249976</v>
      </c>
      <c r="I36" s="772"/>
      <c r="J36" s="772"/>
      <c r="K36" s="772"/>
      <c r="L36" s="970"/>
      <c r="M36" s="970"/>
      <c r="N36" s="650">
        <f t="shared" si="4"/>
        <v>0.18894229005393112</v>
      </c>
    </row>
    <row r="37" spans="1:15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>
        <f t="shared" si="1"/>
        <v>0</v>
      </c>
      <c r="E37" s="396">
        <f t="shared" si="2"/>
        <v>0</v>
      </c>
      <c r="F37" s="396">
        <f t="shared" si="5"/>
        <v>10902.777777777777</v>
      </c>
      <c r="G37" s="396">
        <f t="shared" si="0"/>
        <v>2060</v>
      </c>
      <c r="H37" s="451">
        <f t="shared" si="3"/>
        <v>0.19775367188249976</v>
      </c>
      <c r="I37" s="772"/>
      <c r="J37" s="772"/>
      <c r="K37" s="772"/>
      <c r="L37" s="970"/>
      <c r="M37" s="970"/>
      <c r="N37" s="650">
        <f t="shared" si="4"/>
        <v>0.18894229005393112</v>
      </c>
    </row>
    <row r="38" spans="1:15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>
        <f t="shared" si="1"/>
        <v>0</v>
      </c>
      <c r="E38" s="396">
        <f t="shared" si="2"/>
        <v>0</v>
      </c>
      <c r="F38" s="396">
        <f t="shared" si="5"/>
        <v>10902.777777777777</v>
      </c>
      <c r="G38" s="769">
        <f>G37+D38-E38</f>
        <v>2060</v>
      </c>
      <c r="H38" s="451">
        <f t="shared" si="3"/>
        <v>0.19775367188249976</v>
      </c>
      <c r="I38" s="772"/>
      <c r="J38" s="772"/>
      <c r="K38" s="772"/>
      <c r="L38" s="970"/>
      <c r="M38" s="970"/>
      <c r="N38" s="650">
        <f t="shared" si="4"/>
        <v>0.18894229005393112</v>
      </c>
    </row>
    <row r="39" spans="1:15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>
        <f t="shared" si="1"/>
        <v>0</v>
      </c>
      <c r="E39" s="396">
        <f t="shared" si="2"/>
        <v>0</v>
      </c>
      <c r="F39" s="396">
        <f>SUM($E$8:E39)/A39</f>
        <v>0</v>
      </c>
      <c r="G39" s="396">
        <f t="shared" si="0"/>
        <v>2060</v>
      </c>
      <c r="H39" s="451">
        <f t="shared" si="3"/>
        <v>0.19775367188249976</v>
      </c>
      <c r="I39" s="772"/>
      <c r="J39" s="772"/>
      <c r="K39" s="772"/>
      <c r="L39" s="970"/>
      <c r="M39" s="970"/>
      <c r="N39" s="650">
        <f t="shared" si="4"/>
        <v>0.18894229005393112</v>
      </c>
    </row>
    <row r="40" spans="1:15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2060</v>
      </c>
      <c r="H40" s="309"/>
      <c r="I40" s="689">
        <f>SUM(I9:I39)</f>
        <v>0</v>
      </c>
      <c r="J40" s="689">
        <f t="shared" ref="J40:K40" si="6">SUM(J9:J39)</f>
        <v>0</v>
      </c>
      <c r="K40" s="689">
        <f t="shared" si="6"/>
        <v>0</v>
      </c>
      <c r="L40" s="689">
        <f t="shared" ref="L40:M40" si="7">SUM(L9:L39)</f>
        <v>0</v>
      </c>
      <c r="M40" s="689">
        <f t="shared" si="7"/>
        <v>0</v>
      </c>
    </row>
    <row r="41" spans="1:15" s="374" customFormat="1" ht="11.25" customHeight="1">
      <c r="A41" s="1647" t="s">
        <v>15</v>
      </c>
      <c r="B41" s="1647"/>
      <c r="C41" s="1647"/>
      <c r="D41" s="448">
        <f>D8+D40</f>
        <v>2060</v>
      </c>
      <c r="E41" s="389">
        <f>E40</f>
        <v>0</v>
      </c>
      <c r="F41" s="449"/>
      <c r="G41" s="389">
        <f>D41-E41</f>
        <v>2060</v>
      </c>
      <c r="H41" s="309"/>
      <c r="I41" s="689"/>
      <c r="J41" s="689"/>
      <c r="K41" s="689"/>
      <c r="L41" s="794"/>
      <c r="M41" s="794"/>
    </row>
    <row r="42" spans="1:15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  <c r="M42" s="343"/>
    </row>
    <row r="43" spans="1:15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  <c r="M43" s="343"/>
    </row>
    <row r="44" spans="1:15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5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5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  <c r="M46" s="343"/>
    </row>
    <row r="47" spans="1:15">
      <c r="O47" s="151"/>
    </row>
    <row r="48" spans="1:15">
      <c r="O48" s="151"/>
    </row>
    <row r="49" spans="15:15">
      <c r="O49" s="151"/>
    </row>
  </sheetData>
  <mergeCells count="7">
    <mergeCell ref="A40:C40"/>
    <mergeCell ref="A41:C41"/>
    <mergeCell ref="L7:L8"/>
    <mergeCell ref="M7:M8"/>
    <mergeCell ref="A3:I3"/>
    <mergeCell ref="A4:B4"/>
    <mergeCell ref="A8:C8"/>
  </mergeCells>
  <conditionalFormatting sqref="H38">
    <cfRule type="cellIs" dxfId="7217" priority="34" operator="between">
      <formula>3.5</formula>
      <formula>6</formula>
    </cfRule>
    <cfRule type="cellIs" dxfId="7216" priority="35" operator="lessThan">
      <formula>3.5</formula>
    </cfRule>
    <cfRule type="cellIs" dxfId="7215" priority="36" operator="greaterThan">
      <formula>6</formula>
    </cfRule>
  </conditionalFormatting>
  <conditionalFormatting sqref="H9:H12 H24:H37 H14:H17 H19:H22 H39">
    <cfRule type="cellIs" dxfId="7214" priority="31" operator="between">
      <formula>3.5</formula>
      <formula>6</formula>
    </cfRule>
    <cfRule type="cellIs" dxfId="7213" priority="32" operator="lessThan">
      <formula>3.5</formula>
    </cfRule>
    <cfRule type="cellIs" dxfId="7212" priority="33" operator="greaterThan">
      <formula>6</formula>
    </cfRule>
  </conditionalFormatting>
  <conditionalFormatting sqref="H23">
    <cfRule type="cellIs" dxfId="7211" priority="28" operator="between">
      <formula>3.5</formula>
      <formula>6</formula>
    </cfRule>
    <cfRule type="cellIs" dxfId="7210" priority="29" operator="lessThan">
      <formula>3.5</formula>
    </cfRule>
    <cfRule type="cellIs" dxfId="7209" priority="30" operator="greaterThan">
      <formula>6</formula>
    </cfRule>
  </conditionalFormatting>
  <conditionalFormatting sqref="H13">
    <cfRule type="cellIs" dxfId="7208" priority="25" operator="between">
      <formula>3.5</formula>
      <formula>6</formula>
    </cfRule>
    <cfRule type="cellIs" dxfId="7207" priority="26" operator="lessThan">
      <formula>3.5</formula>
    </cfRule>
    <cfRule type="cellIs" dxfId="7206" priority="27" operator="greaterThan">
      <formula>6</formula>
    </cfRule>
  </conditionalFormatting>
  <conditionalFormatting sqref="H18">
    <cfRule type="cellIs" dxfId="7205" priority="22" operator="between">
      <formula>3.5</formula>
      <formula>6</formula>
    </cfRule>
    <cfRule type="cellIs" dxfId="7204" priority="23" operator="lessThan">
      <formula>3.5</formula>
    </cfRule>
    <cfRule type="cellIs" dxfId="7203" priority="24" operator="greaterThan">
      <formula>6</formula>
    </cfRule>
  </conditionalFormatting>
  <conditionalFormatting sqref="H9:H39">
    <cfRule type="cellIs" dxfId="7202" priority="19" operator="between">
      <formula>3.5</formula>
      <formula>6</formula>
    </cfRule>
    <cfRule type="cellIs" dxfId="7201" priority="20" operator="lessThan">
      <formula>3.5</formula>
    </cfRule>
    <cfRule type="cellIs" dxfId="7200" priority="21" operator="greaterThan">
      <formula>6</formula>
    </cfRule>
  </conditionalFormatting>
  <conditionalFormatting sqref="H9:H39">
    <cfRule type="cellIs" dxfId="7199" priority="16" operator="between">
      <formula>3.5</formula>
      <formula>6</formula>
    </cfRule>
    <cfRule type="cellIs" dxfId="7198" priority="17" operator="lessThan">
      <formula>3.5</formula>
    </cfRule>
    <cfRule type="cellIs" dxfId="7197" priority="18" operator="greaterThan">
      <formula>6</formula>
    </cfRule>
  </conditionalFormatting>
  <conditionalFormatting sqref="H9:H39">
    <cfRule type="cellIs" dxfId="7196" priority="13" operator="between">
      <formula>3.5</formula>
      <formula>6</formula>
    </cfRule>
    <cfRule type="cellIs" dxfId="7195" priority="14" operator="lessThan">
      <formula>3.5</formula>
    </cfRule>
    <cfRule type="cellIs" dxfId="7194" priority="15" operator="greaterThan">
      <formula>6</formula>
    </cfRule>
  </conditionalFormatting>
  <conditionalFormatting sqref="H9:H39">
    <cfRule type="cellIs" dxfId="7193" priority="10" operator="between">
      <formula>3.5</formula>
      <formula>6</formula>
    </cfRule>
    <cfRule type="cellIs" dxfId="7192" priority="11" operator="lessThan">
      <formula>3.5</formula>
    </cfRule>
    <cfRule type="cellIs" dxfId="7191" priority="12" operator="greaterThan">
      <formula>6</formula>
    </cfRule>
  </conditionalFormatting>
  <conditionalFormatting sqref="H9:H39">
    <cfRule type="cellIs" dxfId="7190" priority="7" operator="between">
      <formula>3.5</formula>
      <formula>6</formula>
    </cfRule>
    <cfRule type="cellIs" dxfId="7189" priority="8" operator="lessThan">
      <formula>3.5</formula>
    </cfRule>
    <cfRule type="cellIs" dxfId="7188" priority="9" operator="greaterThan">
      <formula>6</formula>
    </cfRule>
  </conditionalFormatting>
  <conditionalFormatting sqref="H9:H39">
    <cfRule type="cellIs" dxfId="7187" priority="4" operator="between">
      <formula>3.5</formula>
      <formula>6</formula>
    </cfRule>
    <cfRule type="cellIs" dxfId="7186" priority="5" operator="lessThan">
      <formula>3.5</formula>
    </cfRule>
    <cfRule type="cellIs" dxfId="7185" priority="6" operator="greaterThan">
      <formula>6</formula>
    </cfRule>
  </conditionalFormatting>
  <conditionalFormatting sqref="H9:H39">
    <cfRule type="cellIs" dxfId="7184" priority="1" operator="between">
      <formula>3.5</formula>
      <formula>6</formula>
    </cfRule>
    <cfRule type="cellIs" dxfId="7183" priority="2" operator="lessThan">
      <formula>3.5</formula>
    </cfRule>
    <cfRule type="cellIs" dxfId="718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Z49"/>
  <sheetViews>
    <sheetView zoomScale="90" zoomScaleNormal="90" workbookViewId="0">
      <pane ySplit="8" topLeftCell="A9" activePane="bottomLeft" state="frozen"/>
      <selection activeCell="L8" sqref="L8"/>
      <selection pane="bottomLeft" activeCell="A24" sqref="A24:XFD24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942"/>
      <c r="K3" s="942"/>
      <c r="M3" s="442"/>
      <c r="N3" s="442"/>
      <c r="O3" s="442"/>
    </row>
    <row r="4" spans="1:26" s="947" customFormat="1" ht="12" customHeight="1">
      <c r="A4" s="1648" t="s">
        <v>33</v>
      </c>
      <c r="B4" s="1648"/>
      <c r="C4" s="548" t="s">
        <v>408</v>
      </c>
      <c r="E4" s="549" t="s">
        <v>228</v>
      </c>
      <c r="F4" s="549" t="s">
        <v>235</v>
      </c>
      <c r="G4" s="550" t="s">
        <v>114</v>
      </c>
      <c r="H4" s="551" t="s">
        <v>757</v>
      </c>
      <c r="L4" s="143"/>
    </row>
    <row r="5" spans="1:26" s="94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143"/>
    </row>
    <row r="6" spans="1:26" s="947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944" t="s">
        <v>2</v>
      </c>
      <c r="B7" s="946" t="s">
        <v>1</v>
      </c>
      <c r="C7" s="94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943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6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143">
        <v>10902.8</v>
      </c>
    </row>
    <row r="9" spans="1:26" s="305" customFormat="1" ht="12" customHeight="1">
      <c r="A9" s="945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650">
        <f>G9/$L$8</f>
        <v>0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650">
        <f t="shared" ref="L10:L39" si="3">G10/$L$8</f>
        <v>0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650">
        <f t="shared" si="3"/>
        <v>0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650">
        <f t="shared" si="3"/>
        <v>0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650">
        <f t="shared" si="3"/>
        <v>0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650">
        <f t="shared" si="3"/>
        <v>0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650">
        <f t="shared" si="3"/>
        <v>0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650">
        <f t="shared" si="3"/>
        <v>0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650">
        <f t="shared" si="3"/>
        <v>0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650">
        <f t="shared" si="3"/>
        <v>0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650">
        <f t="shared" si="3"/>
        <v>0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650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650">
        <f t="shared" si="3"/>
        <v>0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650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650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650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650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650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650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650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650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650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650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650">
        <f t="shared" si="3"/>
        <v>0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650">
        <f t="shared" si="3"/>
        <v>0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650">
        <f t="shared" si="3"/>
        <v>0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650">
        <f t="shared" si="3"/>
        <v>0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650">
        <f t="shared" si="3"/>
        <v>0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650">
        <f t="shared" si="3"/>
        <v>0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650">
        <f t="shared" si="3"/>
        <v>0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650">
        <f t="shared" si="3"/>
        <v>0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181" priority="34" operator="between">
      <formula>3.5</formula>
      <formula>6</formula>
    </cfRule>
    <cfRule type="cellIs" dxfId="7180" priority="35" operator="lessThan">
      <formula>3.5</formula>
    </cfRule>
    <cfRule type="cellIs" dxfId="7179" priority="36" operator="greaterThan">
      <formula>6</formula>
    </cfRule>
  </conditionalFormatting>
  <conditionalFormatting sqref="H9:H12 H24:H37 H14:H17 H19:H22 H39">
    <cfRule type="cellIs" dxfId="7178" priority="31" operator="between">
      <formula>3.5</formula>
      <formula>6</formula>
    </cfRule>
    <cfRule type="cellIs" dxfId="7177" priority="32" operator="lessThan">
      <formula>3.5</formula>
    </cfRule>
    <cfRule type="cellIs" dxfId="7176" priority="33" operator="greaterThan">
      <formula>6</formula>
    </cfRule>
  </conditionalFormatting>
  <conditionalFormatting sqref="H23">
    <cfRule type="cellIs" dxfId="7175" priority="28" operator="between">
      <formula>3.5</formula>
      <formula>6</formula>
    </cfRule>
    <cfRule type="cellIs" dxfId="7174" priority="29" operator="lessThan">
      <formula>3.5</formula>
    </cfRule>
    <cfRule type="cellIs" dxfId="7173" priority="30" operator="greaterThan">
      <formula>6</formula>
    </cfRule>
  </conditionalFormatting>
  <conditionalFormatting sqref="H13">
    <cfRule type="cellIs" dxfId="7172" priority="25" operator="between">
      <formula>3.5</formula>
      <formula>6</formula>
    </cfRule>
    <cfRule type="cellIs" dxfId="7171" priority="26" operator="lessThan">
      <formula>3.5</formula>
    </cfRule>
    <cfRule type="cellIs" dxfId="7170" priority="27" operator="greaterThan">
      <formula>6</formula>
    </cfRule>
  </conditionalFormatting>
  <conditionalFormatting sqref="H18">
    <cfRule type="cellIs" dxfId="7169" priority="22" operator="between">
      <formula>3.5</formula>
      <formula>6</formula>
    </cfRule>
    <cfRule type="cellIs" dxfId="7168" priority="23" operator="lessThan">
      <formula>3.5</formula>
    </cfRule>
    <cfRule type="cellIs" dxfId="7167" priority="24" operator="greaterThan">
      <formula>6</formula>
    </cfRule>
  </conditionalFormatting>
  <conditionalFormatting sqref="H9:H39">
    <cfRule type="cellIs" dxfId="7166" priority="19" operator="between">
      <formula>3.5</formula>
      <formula>6</formula>
    </cfRule>
    <cfRule type="cellIs" dxfId="7165" priority="20" operator="lessThan">
      <formula>3.5</formula>
    </cfRule>
    <cfRule type="cellIs" dxfId="7164" priority="21" operator="greaterThan">
      <formula>6</formula>
    </cfRule>
  </conditionalFormatting>
  <conditionalFormatting sqref="H9:H39">
    <cfRule type="cellIs" dxfId="7163" priority="16" operator="between">
      <formula>3.5</formula>
      <formula>6</formula>
    </cfRule>
    <cfRule type="cellIs" dxfId="7162" priority="17" operator="lessThan">
      <formula>3.5</formula>
    </cfRule>
    <cfRule type="cellIs" dxfId="7161" priority="18" operator="greaterThan">
      <formula>6</formula>
    </cfRule>
  </conditionalFormatting>
  <conditionalFormatting sqref="H9:H39">
    <cfRule type="cellIs" dxfId="7160" priority="13" operator="between">
      <formula>3.5</formula>
      <formula>6</formula>
    </cfRule>
    <cfRule type="cellIs" dxfId="7159" priority="14" operator="lessThan">
      <formula>3.5</formula>
    </cfRule>
    <cfRule type="cellIs" dxfId="7158" priority="15" operator="greaterThan">
      <formula>6</formula>
    </cfRule>
  </conditionalFormatting>
  <conditionalFormatting sqref="H9:H39">
    <cfRule type="cellIs" dxfId="7157" priority="10" operator="between">
      <formula>3.5</formula>
      <formula>6</formula>
    </cfRule>
    <cfRule type="cellIs" dxfId="7156" priority="11" operator="lessThan">
      <formula>3.5</formula>
    </cfRule>
    <cfRule type="cellIs" dxfId="7155" priority="12" operator="greaterThan">
      <formula>6</formula>
    </cfRule>
  </conditionalFormatting>
  <conditionalFormatting sqref="H9:H39">
    <cfRule type="cellIs" dxfId="7154" priority="7" operator="between">
      <formula>3.5</formula>
      <formula>6</formula>
    </cfRule>
    <cfRule type="cellIs" dxfId="7153" priority="8" operator="lessThan">
      <formula>3.5</formula>
    </cfRule>
    <cfRule type="cellIs" dxfId="7152" priority="9" operator="greaterThan">
      <formula>6</formula>
    </cfRule>
  </conditionalFormatting>
  <conditionalFormatting sqref="H9:H39">
    <cfRule type="cellIs" dxfId="7151" priority="4" operator="between">
      <formula>3.5</formula>
      <formula>6</formula>
    </cfRule>
    <cfRule type="cellIs" dxfId="7150" priority="5" operator="lessThan">
      <formula>3.5</formula>
    </cfRule>
    <cfRule type="cellIs" dxfId="7149" priority="6" operator="greaterThan">
      <formula>6</formula>
    </cfRule>
  </conditionalFormatting>
  <conditionalFormatting sqref="H9:H39">
    <cfRule type="cellIs" dxfId="7148" priority="1" operator="between">
      <formula>3.5</formula>
      <formula>6</formula>
    </cfRule>
    <cfRule type="cellIs" dxfId="7147" priority="2" operator="lessThan">
      <formula>3.5</formula>
    </cfRule>
    <cfRule type="cellIs" dxfId="714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A49"/>
  <sheetViews>
    <sheetView zoomScale="90" zoomScaleNormal="90" workbookViewId="0">
      <pane ySplit="8" topLeftCell="A15" activePane="bottomLeft" state="frozen"/>
      <selection activeCell="L8" sqref="L8"/>
      <selection pane="bottomLeft" activeCell="L22" sqref="L22:L27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080"/>
      <c r="K3" s="1080"/>
      <c r="L3" s="1121"/>
      <c r="N3" s="442"/>
      <c r="O3" s="442"/>
      <c r="P3" s="442"/>
    </row>
    <row r="4" spans="1:27" s="1085" customFormat="1" ht="12" customHeight="1">
      <c r="A4" s="1648" t="s">
        <v>33</v>
      </c>
      <c r="B4" s="1648"/>
      <c r="C4" s="548" t="s">
        <v>408</v>
      </c>
      <c r="E4" s="549" t="s">
        <v>228</v>
      </c>
      <c r="F4" s="549" t="s">
        <v>235</v>
      </c>
      <c r="G4" s="550" t="s">
        <v>114</v>
      </c>
      <c r="H4" s="551" t="s">
        <v>876</v>
      </c>
      <c r="L4" s="1122"/>
      <c r="M4" s="143"/>
    </row>
    <row r="5" spans="1:27" s="1085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085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082" t="s">
        <v>2</v>
      </c>
      <c r="B7" s="1084" t="s">
        <v>1</v>
      </c>
      <c r="C7" s="1084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081" t="s">
        <v>30</v>
      </c>
      <c r="I7" s="697" t="s">
        <v>341</v>
      </c>
      <c r="J7" s="697" t="s">
        <v>244</v>
      </c>
      <c r="K7" s="697" t="s">
        <v>344</v>
      </c>
      <c r="L7" s="697" t="s">
        <v>821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3590</v>
      </c>
      <c r="E8" s="771">
        <f>E40</f>
        <v>0</v>
      </c>
      <c r="F8" s="771"/>
      <c r="G8" s="774">
        <v>3590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083">
        <v>1</v>
      </c>
      <c r="B9" s="365">
        <f>'FRIT HGE91-FHG'!B9</f>
        <v>46235</v>
      </c>
      <c r="C9" s="331" t="s">
        <v>285</v>
      </c>
      <c r="D9" s="1451"/>
      <c r="E9" s="1451">
        <f>I9+J9+K9+L9</f>
        <v>0</v>
      </c>
      <c r="F9" s="1451">
        <f>15700/1.44</f>
        <v>10902.777777777777</v>
      </c>
      <c r="G9" s="1451">
        <f t="shared" ref="G9:G39" si="0">G8+D9-E9</f>
        <v>3590</v>
      </c>
      <c r="H9" s="1452">
        <f>G9/10417</f>
        <v>0.34462897187290009</v>
      </c>
      <c r="I9" s="772"/>
      <c r="J9" s="772"/>
      <c r="K9" s="772"/>
      <c r="L9" s="772"/>
      <c r="M9" s="650">
        <f>G9/$M$8</f>
        <v>0.32927321422020034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1451"/>
      <c r="E10" s="1451">
        <f t="shared" ref="E10:E39" si="1">I10+J10+K10+L10</f>
        <v>0</v>
      </c>
      <c r="F10" s="1451">
        <f>$F$9</f>
        <v>10902.777777777777</v>
      </c>
      <c r="G10" s="1451">
        <f t="shared" si="0"/>
        <v>3590</v>
      </c>
      <c r="H10" s="1452">
        <f t="shared" ref="H10:H39" si="2">G10/10417</f>
        <v>0.34462897187290009</v>
      </c>
      <c r="I10" s="772"/>
      <c r="J10" s="772"/>
      <c r="K10" s="772"/>
      <c r="L10" s="772"/>
      <c r="M10" s="650">
        <f t="shared" ref="M10:M39" si="3">G10/$M$8</f>
        <v>0.32927321422020034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1451"/>
      <c r="E11" s="1451">
        <f t="shared" si="1"/>
        <v>0</v>
      </c>
      <c r="F11" s="1451">
        <f>$F$9</f>
        <v>10902.777777777777</v>
      </c>
      <c r="G11" s="1451">
        <f t="shared" si="0"/>
        <v>3590</v>
      </c>
      <c r="H11" s="1452">
        <f t="shared" si="2"/>
        <v>0.34462897187290009</v>
      </c>
      <c r="I11" s="772"/>
      <c r="J11" s="772"/>
      <c r="K11" s="772"/>
      <c r="L11" s="772"/>
      <c r="M11" s="650">
        <f t="shared" si="3"/>
        <v>0.32927321422020034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1451"/>
      <c r="E12" s="1451">
        <f t="shared" si="1"/>
        <v>0</v>
      </c>
      <c r="F12" s="1451">
        <f t="shared" ref="F12:F38" si="4">$F$9</f>
        <v>10902.777777777777</v>
      </c>
      <c r="G12" s="1451">
        <f t="shared" si="0"/>
        <v>3590</v>
      </c>
      <c r="H12" s="1452">
        <f t="shared" si="2"/>
        <v>0.34462897187290009</v>
      </c>
      <c r="I12" s="772"/>
      <c r="J12" s="772"/>
      <c r="K12" s="772"/>
      <c r="L12" s="772"/>
      <c r="M12" s="650">
        <f t="shared" si="3"/>
        <v>0.32927321422020034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1451"/>
      <c r="E13" s="1451">
        <f t="shared" si="1"/>
        <v>0</v>
      </c>
      <c r="F13" s="1451">
        <f t="shared" si="4"/>
        <v>10902.777777777777</v>
      </c>
      <c r="G13" s="1453">
        <f t="shared" si="0"/>
        <v>3590</v>
      </c>
      <c r="H13" s="1452">
        <f t="shared" si="2"/>
        <v>0.34462897187290009</v>
      </c>
      <c r="I13" s="772"/>
      <c r="J13" s="772"/>
      <c r="K13" s="772"/>
      <c r="L13" s="772"/>
      <c r="M13" s="650">
        <f t="shared" si="3"/>
        <v>0.32927321422020034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1451"/>
      <c r="E14" s="1451">
        <f t="shared" si="1"/>
        <v>0</v>
      </c>
      <c r="F14" s="1451">
        <f t="shared" si="4"/>
        <v>10902.777777777777</v>
      </c>
      <c r="G14" s="1451">
        <f t="shared" si="0"/>
        <v>3590</v>
      </c>
      <c r="H14" s="1452">
        <f t="shared" si="2"/>
        <v>0.34462897187290009</v>
      </c>
      <c r="I14" s="772"/>
      <c r="J14" s="772"/>
      <c r="K14" s="772"/>
      <c r="L14" s="772"/>
      <c r="M14" s="650">
        <f t="shared" si="3"/>
        <v>0.32927321422020034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1451"/>
      <c r="E15" s="1451">
        <f t="shared" si="1"/>
        <v>0</v>
      </c>
      <c r="F15" s="1451">
        <f t="shared" si="4"/>
        <v>10902.777777777777</v>
      </c>
      <c r="G15" s="1451">
        <f t="shared" si="0"/>
        <v>3590</v>
      </c>
      <c r="H15" s="1452">
        <f t="shared" si="2"/>
        <v>0.34462897187290009</v>
      </c>
      <c r="I15" s="772"/>
      <c r="J15" s="772"/>
      <c r="K15" s="772"/>
      <c r="L15" s="772"/>
      <c r="M15" s="650">
        <f t="shared" si="3"/>
        <v>0.32927321422020034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1451"/>
      <c r="E16" s="1451">
        <f t="shared" si="1"/>
        <v>0</v>
      </c>
      <c r="F16" s="1451">
        <f t="shared" si="4"/>
        <v>10902.777777777777</v>
      </c>
      <c r="G16" s="1451">
        <f t="shared" si="0"/>
        <v>3590</v>
      </c>
      <c r="H16" s="1452">
        <f t="shared" si="2"/>
        <v>0.34462897187290009</v>
      </c>
      <c r="I16" s="772"/>
      <c r="J16" s="772"/>
      <c r="K16" s="772"/>
      <c r="L16" s="772"/>
      <c r="M16" s="650">
        <f t="shared" si="3"/>
        <v>0.32927321422020034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1451"/>
      <c r="E17" s="1451">
        <f t="shared" si="1"/>
        <v>0</v>
      </c>
      <c r="F17" s="1451">
        <f t="shared" si="4"/>
        <v>10902.777777777777</v>
      </c>
      <c r="G17" s="1451">
        <f t="shared" si="0"/>
        <v>3590</v>
      </c>
      <c r="H17" s="1452">
        <f t="shared" si="2"/>
        <v>0.34462897187290009</v>
      </c>
      <c r="I17" s="772"/>
      <c r="J17" s="772"/>
      <c r="K17" s="772"/>
      <c r="L17" s="772"/>
      <c r="M17" s="650">
        <f t="shared" si="3"/>
        <v>0.32927321422020034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1451"/>
      <c r="E18" s="1451">
        <f t="shared" si="1"/>
        <v>0</v>
      </c>
      <c r="F18" s="1451">
        <f t="shared" si="4"/>
        <v>10902.777777777777</v>
      </c>
      <c r="G18" s="1453">
        <f t="shared" si="0"/>
        <v>3590</v>
      </c>
      <c r="H18" s="1452">
        <f t="shared" si="2"/>
        <v>0.34462897187290009</v>
      </c>
      <c r="I18" s="772"/>
      <c r="J18" s="772"/>
      <c r="K18" s="772"/>
      <c r="L18" s="772"/>
      <c r="M18" s="650">
        <f t="shared" si="3"/>
        <v>0.32927321422020034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1451"/>
      <c r="E19" s="1451">
        <f t="shared" si="1"/>
        <v>0</v>
      </c>
      <c r="F19" s="1451">
        <f t="shared" si="4"/>
        <v>10902.777777777777</v>
      </c>
      <c r="G19" s="1451">
        <f t="shared" si="0"/>
        <v>3590</v>
      </c>
      <c r="H19" s="1452">
        <f t="shared" si="2"/>
        <v>0.34462897187290009</v>
      </c>
      <c r="I19" s="772"/>
      <c r="J19" s="772"/>
      <c r="K19" s="772"/>
      <c r="L19" s="772"/>
      <c r="M19" s="650">
        <f t="shared" si="3"/>
        <v>0.32927321422020034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1451"/>
      <c r="E20" s="1451">
        <f t="shared" si="1"/>
        <v>0</v>
      </c>
      <c r="F20" s="1451">
        <f t="shared" si="4"/>
        <v>10902.777777777777</v>
      </c>
      <c r="G20" s="1451">
        <f t="shared" si="0"/>
        <v>3590</v>
      </c>
      <c r="H20" s="1452">
        <f t="shared" si="2"/>
        <v>0.34462897187290009</v>
      </c>
      <c r="I20" s="772"/>
      <c r="J20" s="772"/>
      <c r="K20" s="772"/>
      <c r="L20" s="772"/>
      <c r="M20" s="650">
        <f t="shared" si="3"/>
        <v>0.32927321422020034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1451"/>
      <c r="E21" s="1451">
        <f t="shared" si="1"/>
        <v>0</v>
      </c>
      <c r="F21" s="1451">
        <f t="shared" si="4"/>
        <v>10902.777777777777</v>
      </c>
      <c r="G21" s="1451">
        <f t="shared" si="0"/>
        <v>3590</v>
      </c>
      <c r="H21" s="1452">
        <f t="shared" si="2"/>
        <v>0.34462897187290009</v>
      </c>
      <c r="I21" s="772"/>
      <c r="J21" s="772"/>
      <c r="K21" s="772"/>
      <c r="L21" s="772"/>
      <c r="M21" s="650">
        <f t="shared" si="3"/>
        <v>0.32927321422020034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1451"/>
      <c r="E22" s="1451">
        <f t="shared" si="1"/>
        <v>0</v>
      </c>
      <c r="F22" s="1451">
        <f t="shared" si="4"/>
        <v>10902.777777777777</v>
      </c>
      <c r="G22" s="1451">
        <f t="shared" si="0"/>
        <v>3590</v>
      </c>
      <c r="H22" s="1452">
        <f t="shared" si="2"/>
        <v>0.34462897187290009</v>
      </c>
      <c r="I22" s="772"/>
      <c r="J22" s="772"/>
      <c r="K22" s="772"/>
      <c r="L22" s="772"/>
      <c r="M22" s="650">
        <f t="shared" si="3"/>
        <v>0.32927321422020034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1451"/>
      <c r="E23" s="1451">
        <f t="shared" si="1"/>
        <v>0</v>
      </c>
      <c r="F23" s="1451">
        <f t="shared" si="4"/>
        <v>10902.777777777777</v>
      </c>
      <c r="G23" s="1453">
        <f t="shared" si="0"/>
        <v>3590</v>
      </c>
      <c r="H23" s="1452">
        <f t="shared" si="2"/>
        <v>0.34462897187290009</v>
      </c>
      <c r="I23" s="772"/>
      <c r="J23" s="772"/>
      <c r="K23" s="772"/>
      <c r="L23" s="772"/>
      <c r="M23" s="650">
        <f t="shared" si="3"/>
        <v>0.32927321422020034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1451"/>
      <c r="E24" s="1451">
        <f t="shared" si="1"/>
        <v>0</v>
      </c>
      <c r="F24" s="1451">
        <f t="shared" si="4"/>
        <v>10902.777777777777</v>
      </c>
      <c r="G24" s="1451">
        <f t="shared" si="0"/>
        <v>3590</v>
      </c>
      <c r="H24" s="1452">
        <f t="shared" si="2"/>
        <v>0.34462897187290009</v>
      </c>
      <c r="I24" s="772"/>
      <c r="J24" s="772"/>
      <c r="K24" s="772"/>
      <c r="L24" s="772"/>
      <c r="M24" s="650">
        <f t="shared" si="3"/>
        <v>0.32927321422020034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1451"/>
      <c r="E25" s="1451">
        <f t="shared" si="1"/>
        <v>0</v>
      </c>
      <c r="F25" s="1451">
        <f t="shared" si="4"/>
        <v>10902.777777777777</v>
      </c>
      <c r="G25" s="1451">
        <f t="shared" si="0"/>
        <v>3590</v>
      </c>
      <c r="H25" s="1452">
        <f t="shared" si="2"/>
        <v>0.34462897187290009</v>
      </c>
      <c r="I25" s="772"/>
      <c r="J25" s="772"/>
      <c r="K25" s="772"/>
      <c r="L25" s="772"/>
      <c r="M25" s="650">
        <f t="shared" si="3"/>
        <v>0.32927321422020034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1451"/>
      <c r="E26" s="1451">
        <f t="shared" si="1"/>
        <v>0</v>
      </c>
      <c r="F26" s="1451">
        <f t="shared" si="4"/>
        <v>10902.777777777777</v>
      </c>
      <c r="G26" s="1451">
        <f t="shared" si="0"/>
        <v>3590</v>
      </c>
      <c r="H26" s="1452">
        <f t="shared" si="2"/>
        <v>0.34462897187290009</v>
      </c>
      <c r="I26" s="772"/>
      <c r="J26" s="772"/>
      <c r="K26" s="772"/>
      <c r="L26" s="772"/>
      <c r="M26" s="650">
        <f t="shared" si="3"/>
        <v>0.32927321422020034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1451"/>
      <c r="E27" s="1451">
        <f t="shared" si="1"/>
        <v>0</v>
      </c>
      <c r="F27" s="1451">
        <f t="shared" si="4"/>
        <v>10902.777777777777</v>
      </c>
      <c r="G27" s="1451">
        <f t="shared" si="0"/>
        <v>3590</v>
      </c>
      <c r="H27" s="1452">
        <f t="shared" si="2"/>
        <v>0.34462897187290009</v>
      </c>
      <c r="I27" s="772"/>
      <c r="J27" s="772"/>
      <c r="K27" s="772"/>
      <c r="L27" s="772"/>
      <c r="M27" s="650">
        <f t="shared" si="3"/>
        <v>0.32927321422020034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1451"/>
      <c r="E28" s="1451">
        <f t="shared" si="1"/>
        <v>0</v>
      </c>
      <c r="F28" s="1451">
        <f t="shared" si="4"/>
        <v>10902.777777777777</v>
      </c>
      <c r="G28" s="1453">
        <f t="shared" si="0"/>
        <v>3590</v>
      </c>
      <c r="H28" s="1452">
        <f t="shared" si="2"/>
        <v>0.34462897187290009</v>
      </c>
      <c r="I28" s="772"/>
      <c r="J28" s="772"/>
      <c r="K28" s="772"/>
      <c r="L28" s="772"/>
      <c r="M28" s="650">
        <f t="shared" si="3"/>
        <v>0.32927321422020034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1451"/>
      <c r="E29" s="1451">
        <f t="shared" si="1"/>
        <v>0</v>
      </c>
      <c r="F29" s="1451">
        <f t="shared" si="4"/>
        <v>10902.777777777777</v>
      </c>
      <c r="G29" s="1454">
        <f t="shared" si="0"/>
        <v>3590</v>
      </c>
      <c r="H29" s="1452">
        <f t="shared" si="2"/>
        <v>0.34462897187290009</v>
      </c>
      <c r="I29" s="772"/>
      <c r="J29" s="772"/>
      <c r="K29" s="772"/>
      <c r="L29" s="772"/>
      <c r="M29" s="650">
        <f t="shared" si="3"/>
        <v>0.32927321422020034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1451"/>
      <c r="E30" s="1451">
        <f t="shared" si="1"/>
        <v>0</v>
      </c>
      <c r="F30" s="1451">
        <f t="shared" si="4"/>
        <v>10902.777777777777</v>
      </c>
      <c r="G30" s="1454">
        <f t="shared" si="0"/>
        <v>3590</v>
      </c>
      <c r="H30" s="1452">
        <f t="shared" si="2"/>
        <v>0.34462897187290009</v>
      </c>
      <c r="I30" s="772"/>
      <c r="J30" s="772"/>
      <c r="K30" s="772"/>
      <c r="L30" s="772"/>
      <c r="M30" s="650">
        <f t="shared" si="3"/>
        <v>0.32927321422020034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1451"/>
      <c r="E31" s="1451">
        <f t="shared" si="1"/>
        <v>0</v>
      </c>
      <c r="F31" s="1451">
        <f t="shared" si="4"/>
        <v>10902.777777777777</v>
      </c>
      <c r="G31" s="1454">
        <f t="shared" si="0"/>
        <v>3590</v>
      </c>
      <c r="H31" s="1452">
        <f t="shared" si="2"/>
        <v>0.34462897187290009</v>
      </c>
      <c r="I31" s="772"/>
      <c r="J31" s="772"/>
      <c r="K31" s="772"/>
      <c r="L31" s="772"/>
      <c r="M31" s="650">
        <f t="shared" si="3"/>
        <v>0.32927321422020034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1451"/>
      <c r="E32" s="1451">
        <f t="shared" si="1"/>
        <v>0</v>
      </c>
      <c r="F32" s="1451">
        <f t="shared" si="4"/>
        <v>10902.777777777777</v>
      </c>
      <c r="G32" s="1454">
        <f t="shared" si="0"/>
        <v>3590</v>
      </c>
      <c r="H32" s="1452">
        <f t="shared" si="2"/>
        <v>0.34462897187290009</v>
      </c>
      <c r="I32" s="772"/>
      <c r="J32" s="772"/>
      <c r="K32" s="772"/>
      <c r="L32" s="772"/>
      <c r="M32" s="650">
        <f t="shared" si="3"/>
        <v>0.32927321422020034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1451"/>
      <c r="E33" s="1451">
        <f t="shared" si="1"/>
        <v>0</v>
      </c>
      <c r="F33" s="1451">
        <f t="shared" si="4"/>
        <v>10902.777777777777</v>
      </c>
      <c r="G33" s="1455">
        <f t="shared" si="0"/>
        <v>3590</v>
      </c>
      <c r="H33" s="1452">
        <f t="shared" si="2"/>
        <v>0.34462897187290009</v>
      </c>
      <c r="I33" s="772"/>
      <c r="J33" s="772"/>
      <c r="K33" s="772"/>
      <c r="L33" s="772"/>
      <c r="M33" s="650">
        <f t="shared" si="3"/>
        <v>0.32927321422020034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1451"/>
      <c r="E34" s="1451">
        <f t="shared" si="1"/>
        <v>0</v>
      </c>
      <c r="F34" s="1451">
        <f t="shared" si="4"/>
        <v>10902.777777777777</v>
      </c>
      <c r="G34" s="1451">
        <f t="shared" si="0"/>
        <v>3590</v>
      </c>
      <c r="H34" s="1452">
        <f t="shared" si="2"/>
        <v>0.34462897187290009</v>
      </c>
      <c r="I34" s="772"/>
      <c r="J34" s="772"/>
      <c r="K34" s="772"/>
      <c r="L34" s="772"/>
      <c r="M34" s="650">
        <f t="shared" si="3"/>
        <v>0.32927321422020034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1451"/>
      <c r="E35" s="1451">
        <f t="shared" si="1"/>
        <v>0</v>
      </c>
      <c r="F35" s="1451">
        <f t="shared" si="4"/>
        <v>10902.777777777777</v>
      </c>
      <c r="G35" s="1451">
        <f t="shared" si="0"/>
        <v>3590</v>
      </c>
      <c r="H35" s="1452">
        <f t="shared" si="2"/>
        <v>0.34462897187290009</v>
      </c>
      <c r="I35" s="772"/>
      <c r="J35" s="772"/>
      <c r="K35" s="772"/>
      <c r="L35" s="772"/>
      <c r="M35" s="650">
        <f t="shared" si="3"/>
        <v>0.32927321422020034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1451"/>
      <c r="E36" s="1451">
        <f t="shared" si="1"/>
        <v>0</v>
      </c>
      <c r="F36" s="1451">
        <f t="shared" si="4"/>
        <v>10902.777777777777</v>
      </c>
      <c r="G36" s="1451">
        <f t="shared" si="0"/>
        <v>3590</v>
      </c>
      <c r="H36" s="1452">
        <f t="shared" si="2"/>
        <v>0.34462897187290009</v>
      </c>
      <c r="I36" s="772"/>
      <c r="J36" s="772"/>
      <c r="K36" s="772"/>
      <c r="L36" s="772"/>
      <c r="M36" s="650">
        <f t="shared" si="3"/>
        <v>0.32927321422020034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51"/>
      <c r="E37" s="1451">
        <f t="shared" si="1"/>
        <v>0</v>
      </c>
      <c r="F37" s="1451">
        <f t="shared" si="4"/>
        <v>10902.777777777777</v>
      </c>
      <c r="G37" s="1451">
        <f t="shared" si="0"/>
        <v>3590</v>
      </c>
      <c r="H37" s="1452">
        <f t="shared" si="2"/>
        <v>0.34462897187290009</v>
      </c>
      <c r="I37" s="772"/>
      <c r="J37" s="772"/>
      <c r="K37" s="772"/>
      <c r="L37" s="772"/>
      <c r="M37" s="650">
        <f t="shared" si="3"/>
        <v>0.32927321422020034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1"/>
      <c r="E38" s="1451">
        <f t="shared" si="1"/>
        <v>0</v>
      </c>
      <c r="F38" s="1451">
        <f t="shared" si="4"/>
        <v>10902.777777777777</v>
      </c>
      <c r="G38" s="1453">
        <f>G37+D38-E38</f>
        <v>3590</v>
      </c>
      <c r="H38" s="1452">
        <f t="shared" si="2"/>
        <v>0.34462897187290009</v>
      </c>
      <c r="I38" s="772"/>
      <c r="J38" s="772"/>
      <c r="K38" s="772"/>
      <c r="L38" s="772"/>
      <c r="M38" s="650">
        <f t="shared" si="3"/>
        <v>0.32927321422020034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56"/>
      <c r="E39" s="1451">
        <f t="shared" si="1"/>
        <v>0</v>
      </c>
      <c r="F39" s="1451">
        <f>SUM($E$8:E39)/A39</f>
        <v>0</v>
      </c>
      <c r="G39" s="1451">
        <f t="shared" si="0"/>
        <v>3590</v>
      </c>
      <c r="H39" s="1452">
        <f t="shared" si="2"/>
        <v>0.34462897187290009</v>
      </c>
      <c r="I39" s="772"/>
      <c r="J39" s="772"/>
      <c r="K39" s="772"/>
      <c r="L39" s="772"/>
      <c r="M39" s="650">
        <f t="shared" si="3"/>
        <v>0.32927321422020034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3590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3590</v>
      </c>
      <c r="E41" s="389">
        <f>E40</f>
        <v>0</v>
      </c>
      <c r="F41" s="449"/>
      <c r="G41" s="389">
        <f>D41-E41</f>
        <v>3590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145" priority="34" operator="between">
      <formula>3.5</formula>
      <formula>6</formula>
    </cfRule>
    <cfRule type="cellIs" dxfId="7144" priority="35" operator="lessThan">
      <formula>3.5</formula>
    </cfRule>
    <cfRule type="cellIs" dxfId="7143" priority="36" operator="greaterThan">
      <formula>6</formula>
    </cfRule>
  </conditionalFormatting>
  <conditionalFormatting sqref="H9:H12 H24:H37 H14:H17 H19:H22 H39">
    <cfRule type="cellIs" dxfId="7142" priority="31" operator="between">
      <formula>3.5</formula>
      <formula>6</formula>
    </cfRule>
    <cfRule type="cellIs" dxfId="7141" priority="32" operator="lessThan">
      <formula>3.5</formula>
    </cfRule>
    <cfRule type="cellIs" dxfId="7140" priority="33" operator="greaterThan">
      <formula>6</formula>
    </cfRule>
  </conditionalFormatting>
  <conditionalFormatting sqref="H23">
    <cfRule type="cellIs" dxfId="7139" priority="28" operator="between">
      <formula>3.5</formula>
      <formula>6</formula>
    </cfRule>
    <cfRule type="cellIs" dxfId="7138" priority="29" operator="lessThan">
      <formula>3.5</formula>
    </cfRule>
    <cfRule type="cellIs" dxfId="7137" priority="30" operator="greaterThan">
      <formula>6</formula>
    </cfRule>
  </conditionalFormatting>
  <conditionalFormatting sqref="H13">
    <cfRule type="cellIs" dxfId="7136" priority="25" operator="between">
      <formula>3.5</formula>
      <formula>6</formula>
    </cfRule>
    <cfRule type="cellIs" dxfId="7135" priority="26" operator="lessThan">
      <formula>3.5</formula>
    </cfRule>
    <cfRule type="cellIs" dxfId="7134" priority="27" operator="greaterThan">
      <formula>6</formula>
    </cfRule>
  </conditionalFormatting>
  <conditionalFormatting sqref="H18">
    <cfRule type="cellIs" dxfId="7133" priority="22" operator="between">
      <formula>3.5</formula>
      <formula>6</formula>
    </cfRule>
    <cfRule type="cellIs" dxfId="7132" priority="23" operator="lessThan">
      <formula>3.5</formula>
    </cfRule>
    <cfRule type="cellIs" dxfId="7131" priority="24" operator="greaterThan">
      <formula>6</formula>
    </cfRule>
  </conditionalFormatting>
  <conditionalFormatting sqref="H9:H39">
    <cfRule type="cellIs" dxfId="7130" priority="19" operator="between">
      <formula>3.5</formula>
      <formula>6</formula>
    </cfRule>
    <cfRule type="cellIs" dxfId="7129" priority="20" operator="lessThan">
      <formula>3.5</formula>
    </cfRule>
    <cfRule type="cellIs" dxfId="7128" priority="21" operator="greaterThan">
      <formula>6</formula>
    </cfRule>
  </conditionalFormatting>
  <conditionalFormatting sqref="H9:H39">
    <cfRule type="cellIs" dxfId="7127" priority="16" operator="between">
      <formula>3.5</formula>
      <formula>6</formula>
    </cfRule>
    <cfRule type="cellIs" dxfId="7126" priority="17" operator="lessThan">
      <formula>3.5</formula>
    </cfRule>
    <cfRule type="cellIs" dxfId="7125" priority="18" operator="greaterThan">
      <formula>6</formula>
    </cfRule>
  </conditionalFormatting>
  <conditionalFormatting sqref="H9:H39">
    <cfRule type="cellIs" dxfId="7124" priority="13" operator="between">
      <formula>3.5</formula>
      <formula>6</formula>
    </cfRule>
    <cfRule type="cellIs" dxfId="7123" priority="14" operator="lessThan">
      <formula>3.5</formula>
    </cfRule>
    <cfRule type="cellIs" dxfId="7122" priority="15" operator="greaterThan">
      <formula>6</formula>
    </cfRule>
  </conditionalFormatting>
  <conditionalFormatting sqref="H9:H39">
    <cfRule type="cellIs" dxfId="7121" priority="10" operator="between">
      <formula>3.5</formula>
      <formula>6</formula>
    </cfRule>
    <cfRule type="cellIs" dxfId="7120" priority="11" operator="lessThan">
      <formula>3.5</formula>
    </cfRule>
    <cfRule type="cellIs" dxfId="7119" priority="12" operator="greaterThan">
      <formula>6</formula>
    </cfRule>
  </conditionalFormatting>
  <conditionalFormatting sqref="H9:H39">
    <cfRule type="cellIs" dxfId="7118" priority="7" operator="between">
      <formula>3.5</formula>
      <formula>6</formula>
    </cfRule>
    <cfRule type="cellIs" dxfId="7117" priority="8" operator="lessThan">
      <formula>3.5</formula>
    </cfRule>
    <cfRule type="cellIs" dxfId="7116" priority="9" operator="greaterThan">
      <formula>6</formula>
    </cfRule>
  </conditionalFormatting>
  <conditionalFormatting sqref="H9:H39">
    <cfRule type="cellIs" dxfId="7115" priority="4" operator="between">
      <formula>3.5</formula>
      <formula>6</formula>
    </cfRule>
    <cfRule type="cellIs" dxfId="7114" priority="5" operator="lessThan">
      <formula>3.5</formula>
    </cfRule>
    <cfRule type="cellIs" dxfId="7113" priority="6" operator="greaterThan">
      <formula>6</formula>
    </cfRule>
  </conditionalFormatting>
  <conditionalFormatting sqref="H9:H39">
    <cfRule type="cellIs" dxfId="7112" priority="1" operator="between">
      <formula>3.5</formula>
      <formula>6</formula>
    </cfRule>
    <cfRule type="cellIs" dxfId="7111" priority="2" operator="lessThan">
      <formula>3.5</formula>
    </cfRule>
    <cfRule type="cellIs" dxfId="711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A49"/>
  <sheetViews>
    <sheetView zoomScale="90" zoomScaleNormal="90" workbookViewId="0">
      <pane ySplit="8" topLeftCell="A15" activePane="bottomLeft" state="frozen"/>
      <selection activeCell="L8" sqref="L8"/>
      <selection pane="bottomLeft" activeCell="D10" sqref="D10:D22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47"/>
      <c r="K3" s="1147"/>
      <c r="L3" s="1147"/>
      <c r="N3" s="442"/>
      <c r="O3" s="442"/>
      <c r="P3" s="442"/>
    </row>
    <row r="4" spans="1:27" s="1152" customFormat="1" ht="12" customHeight="1">
      <c r="A4" s="1648" t="s">
        <v>33</v>
      </c>
      <c r="B4" s="1648"/>
      <c r="C4" s="548" t="s">
        <v>408</v>
      </c>
      <c r="E4" s="549" t="s">
        <v>228</v>
      </c>
      <c r="F4" s="549" t="s">
        <v>235</v>
      </c>
      <c r="G4" s="550" t="s">
        <v>114</v>
      </c>
      <c r="H4" s="551" t="s">
        <v>940</v>
      </c>
      <c r="M4" s="143"/>
    </row>
    <row r="5" spans="1:27" s="1152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152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149" t="s">
        <v>2</v>
      </c>
      <c r="B7" s="1151" t="s">
        <v>1</v>
      </c>
      <c r="C7" s="1151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48" t="s">
        <v>30</v>
      </c>
      <c r="I7" s="697" t="s">
        <v>341</v>
      </c>
      <c r="J7" s="697" t="s">
        <v>244</v>
      </c>
      <c r="K7" s="697" t="s">
        <v>344</v>
      </c>
      <c r="L7" s="697" t="s">
        <v>821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9226</v>
      </c>
      <c r="E8" s="771">
        <f>E40</f>
        <v>0</v>
      </c>
      <c r="F8" s="771"/>
      <c r="G8" s="774">
        <v>9226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150">
        <v>1</v>
      </c>
      <c r="B9" s="365">
        <f>'FRIT HGE91-FHG'!B9</f>
        <v>46235</v>
      </c>
      <c r="C9" s="331" t="s">
        <v>285</v>
      </c>
      <c r="D9" s="1451"/>
      <c r="E9" s="1451">
        <f>I9+J9+K9+L9</f>
        <v>0</v>
      </c>
      <c r="F9" s="1451">
        <f>15700/1.44</f>
        <v>10902.777777777777</v>
      </c>
      <c r="G9" s="1451">
        <f t="shared" ref="G9:G39" si="0">G8+D9-E9</f>
        <v>9226</v>
      </c>
      <c r="H9" s="1452">
        <f>G9/10417</f>
        <v>0.88566765863492369</v>
      </c>
      <c r="I9" s="772"/>
      <c r="J9" s="772"/>
      <c r="K9" s="772"/>
      <c r="L9" s="772"/>
      <c r="M9" s="650">
        <f>G9/$M$8</f>
        <v>0.84620464467843126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1451"/>
      <c r="E10" s="1451">
        <f t="shared" ref="E10:E39" si="1">I10+J10+K10+L10</f>
        <v>0</v>
      </c>
      <c r="F10" s="1451">
        <f>$F$9</f>
        <v>10902.777777777777</v>
      </c>
      <c r="G10" s="1451">
        <f t="shared" si="0"/>
        <v>9226</v>
      </c>
      <c r="H10" s="1452">
        <f t="shared" ref="H10:H39" si="2">G10/10417</f>
        <v>0.88566765863492369</v>
      </c>
      <c r="I10" s="772"/>
      <c r="J10" s="772"/>
      <c r="K10" s="772"/>
      <c r="L10" s="772"/>
      <c r="M10" s="650">
        <f t="shared" ref="M10:M39" si="3">G10/$M$8</f>
        <v>0.84620464467843126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1451"/>
      <c r="E11" s="1451">
        <f t="shared" si="1"/>
        <v>0</v>
      </c>
      <c r="F11" s="1451">
        <f>$F$9</f>
        <v>10902.777777777777</v>
      </c>
      <c r="G11" s="1451">
        <f t="shared" si="0"/>
        <v>9226</v>
      </c>
      <c r="H11" s="1452">
        <f t="shared" si="2"/>
        <v>0.88566765863492369</v>
      </c>
      <c r="I11" s="772"/>
      <c r="J11" s="772"/>
      <c r="K11" s="772"/>
      <c r="L11" s="772"/>
      <c r="M11" s="650">
        <f t="shared" si="3"/>
        <v>0.84620464467843126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1451"/>
      <c r="E12" s="1451">
        <f t="shared" si="1"/>
        <v>0</v>
      </c>
      <c r="F12" s="1451">
        <f t="shared" ref="F12:F38" si="4">$F$9</f>
        <v>10902.777777777777</v>
      </c>
      <c r="G12" s="1451">
        <f t="shared" si="0"/>
        <v>9226</v>
      </c>
      <c r="H12" s="1452">
        <f t="shared" si="2"/>
        <v>0.88566765863492369</v>
      </c>
      <c r="I12" s="772"/>
      <c r="J12" s="772"/>
      <c r="K12" s="772"/>
      <c r="L12" s="772"/>
      <c r="M12" s="650">
        <f t="shared" si="3"/>
        <v>0.84620464467843126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1451"/>
      <c r="E13" s="1451">
        <f t="shared" si="1"/>
        <v>0</v>
      </c>
      <c r="F13" s="1451">
        <f t="shared" si="4"/>
        <v>10902.777777777777</v>
      </c>
      <c r="G13" s="1453">
        <f t="shared" si="0"/>
        <v>9226</v>
      </c>
      <c r="H13" s="1452">
        <f t="shared" si="2"/>
        <v>0.88566765863492369</v>
      </c>
      <c r="I13" s="772"/>
      <c r="J13" s="772"/>
      <c r="K13" s="772"/>
      <c r="L13" s="772"/>
      <c r="M13" s="650">
        <f t="shared" si="3"/>
        <v>0.84620464467843126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1451"/>
      <c r="E14" s="1451">
        <f t="shared" si="1"/>
        <v>0</v>
      </c>
      <c r="F14" s="1451">
        <f t="shared" si="4"/>
        <v>10902.777777777777</v>
      </c>
      <c r="G14" s="1451">
        <f t="shared" si="0"/>
        <v>9226</v>
      </c>
      <c r="H14" s="1452">
        <f t="shared" si="2"/>
        <v>0.88566765863492369</v>
      </c>
      <c r="I14" s="772"/>
      <c r="J14" s="772"/>
      <c r="K14" s="772"/>
      <c r="L14" s="772"/>
      <c r="M14" s="650">
        <f t="shared" si="3"/>
        <v>0.84620464467843126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1451"/>
      <c r="E15" s="1451">
        <f t="shared" si="1"/>
        <v>0</v>
      </c>
      <c r="F15" s="1451">
        <f t="shared" si="4"/>
        <v>10902.777777777777</v>
      </c>
      <c r="G15" s="1451">
        <f t="shared" si="0"/>
        <v>9226</v>
      </c>
      <c r="H15" s="1452">
        <f t="shared" si="2"/>
        <v>0.88566765863492369</v>
      </c>
      <c r="I15" s="772"/>
      <c r="J15" s="772"/>
      <c r="K15" s="772"/>
      <c r="L15" s="772"/>
      <c r="M15" s="650">
        <f t="shared" si="3"/>
        <v>0.84620464467843126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1451"/>
      <c r="E16" s="1451">
        <f t="shared" si="1"/>
        <v>0</v>
      </c>
      <c r="F16" s="1451">
        <f t="shared" si="4"/>
        <v>10902.777777777777</v>
      </c>
      <c r="G16" s="1451">
        <f t="shared" si="0"/>
        <v>9226</v>
      </c>
      <c r="H16" s="1452">
        <f t="shared" si="2"/>
        <v>0.88566765863492369</v>
      </c>
      <c r="I16" s="772"/>
      <c r="J16" s="772"/>
      <c r="K16" s="772"/>
      <c r="L16" s="772"/>
      <c r="M16" s="650">
        <f t="shared" si="3"/>
        <v>0.84620464467843126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1451"/>
      <c r="E17" s="1451">
        <f t="shared" si="1"/>
        <v>0</v>
      </c>
      <c r="F17" s="1451">
        <f t="shared" si="4"/>
        <v>10902.777777777777</v>
      </c>
      <c r="G17" s="1451">
        <f t="shared" si="0"/>
        <v>9226</v>
      </c>
      <c r="H17" s="1452">
        <f t="shared" si="2"/>
        <v>0.88566765863492369</v>
      </c>
      <c r="I17" s="772"/>
      <c r="J17" s="772"/>
      <c r="K17" s="772"/>
      <c r="L17" s="772"/>
      <c r="M17" s="650">
        <f t="shared" si="3"/>
        <v>0.84620464467843126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1451"/>
      <c r="E18" s="1451">
        <f t="shared" si="1"/>
        <v>0</v>
      </c>
      <c r="F18" s="1451">
        <f t="shared" si="4"/>
        <v>10902.777777777777</v>
      </c>
      <c r="G18" s="1453">
        <f t="shared" si="0"/>
        <v>9226</v>
      </c>
      <c r="H18" s="1452">
        <f t="shared" si="2"/>
        <v>0.88566765863492369</v>
      </c>
      <c r="I18" s="772"/>
      <c r="J18" s="772"/>
      <c r="K18" s="772"/>
      <c r="L18" s="772"/>
      <c r="M18" s="650">
        <f t="shared" si="3"/>
        <v>0.84620464467843126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1451"/>
      <c r="E19" s="1451">
        <f t="shared" si="1"/>
        <v>0</v>
      </c>
      <c r="F19" s="1451">
        <f t="shared" si="4"/>
        <v>10902.777777777777</v>
      </c>
      <c r="G19" s="1451">
        <f t="shared" si="0"/>
        <v>9226</v>
      </c>
      <c r="H19" s="1452">
        <f t="shared" si="2"/>
        <v>0.88566765863492369</v>
      </c>
      <c r="I19" s="772"/>
      <c r="J19" s="772"/>
      <c r="K19" s="772"/>
      <c r="L19" s="772"/>
      <c r="M19" s="650">
        <f t="shared" si="3"/>
        <v>0.84620464467843126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1451"/>
      <c r="E20" s="1451">
        <f t="shared" si="1"/>
        <v>0</v>
      </c>
      <c r="F20" s="1451">
        <f t="shared" si="4"/>
        <v>10902.777777777777</v>
      </c>
      <c r="G20" s="1451">
        <f t="shared" si="0"/>
        <v>9226</v>
      </c>
      <c r="H20" s="1452">
        <f t="shared" si="2"/>
        <v>0.88566765863492369</v>
      </c>
      <c r="I20" s="772"/>
      <c r="J20" s="772"/>
      <c r="K20" s="772"/>
      <c r="L20" s="772"/>
      <c r="M20" s="650">
        <f t="shared" si="3"/>
        <v>0.84620464467843126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1451"/>
      <c r="E21" s="1451">
        <f t="shared" si="1"/>
        <v>0</v>
      </c>
      <c r="F21" s="1451">
        <f t="shared" si="4"/>
        <v>10902.777777777777</v>
      </c>
      <c r="G21" s="1451">
        <f t="shared" si="0"/>
        <v>9226</v>
      </c>
      <c r="H21" s="1452">
        <f t="shared" si="2"/>
        <v>0.88566765863492369</v>
      </c>
      <c r="I21" s="772"/>
      <c r="J21" s="772"/>
      <c r="K21" s="772"/>
      <c r="L21" s="772"/>
      <c r="M21" s="650">
        <f t="shared" si="3"/>
        <v>0.84620464467843126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1451"/>
      <c r="E22" s="1451">
        <f t="shared" si="1"/>
        <v>0</v>
      </c>
      <c r="F22" s="1451">
        <f t="shared" si="4"/>
        <v>10902.777777777777</v>
      </c>
      <c r="G22" s="1451">
        <f t="shared" si="0"/>
        <v>9226</v>
      </c>
      <c r="H22" s="1452">
        <f t="shared" si="2"/>
        <v>0.88566765863492369</v>
      </c>
      <c r="I22" s="772"/>
      <c r="J22" s="772"/>
      <c r="K22" s="772"/>
      <c r="L22" s="772"/>
      <c r="M22" s="650">
        <f t="shared" si="3"/>
        <v>0.84620464467843126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1451"/>
      <c r="E23" s="1451">
        <f t="shared" si="1"/>
        <v>0</v>
      </c>
      <c r="F23" s="1451">
        <f t="shared" si="4"/>
        <v>10902.777777777777</v>
      </c>
      <c r="G23" s="1453">
        <f t="shared" si="0"/>
        <v>9226</v>
      </c>
      <c r="H23" s="1452">
        <f t="shared" si="2"/>
        <v>0.88566765863492369</v>
      </c>
      <c r="I23" s="772"/>
      <c r="J23" s="772"/>
      <c r="K23" s="772"/>
      <c r="L23" s="772"/>
      <c r="M23" s="650">
        <f t="shared" si="3"/>
        <v>0.84620464467843126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1451"/>
      <c r="E24" s="1451">
        <f t="shared" si="1"/>
        <v>0</v>
      </c>
      <c r="F24" s="1451">
        <f t="shared" si="4"/>
        <v>10902.777777777777</v>
      </c>
      <c r="G24" s="1451">
        <f t="shared" si="0"/>
        <v>9226</v>
      </c>
      <c r="H24" s="1452">
        <f t="shared" si="2"/>
        <v>0.88566765863492369</v>
      </c>
      <c r="I24" s="772"/>
      <c r="J24" s="772"/>
      <c r="K24" s="772"/>
      <c r="L24" s="772"/>
      <c r="M24" s="650">
        <f t="shared" si="3"/>
        <v>0.84620464467843126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1451"/>
      <c r="E25" s="1451">
        <f t="shared" si="1"/>
        <v>0</v>
      </c>
      <c r="F25" s="1451">
        <f t="shared" si="4"/>
        <v>10902.777777777777</v>
      </c>
      <c r="G25" s="1451">
        <f t="shared" si="0"/>
        <v>9226</v>
      </c>
      <c r="H25" s="1452">
        <f t="shared" si="2"/>
        <v>0.88566765863492369</v>
      </c>
      <c r="I25" s="772"/>
      <c r="J25" s="772"/>
      <c r="K25" s="772"/>
      <c r="L25" s="772"/>
      <c r="M25" s="650">
        <f t="shared" si="3"/>
        <v>0.84620464467843126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1451"/>
      <c r="E26" s="1451">
        <f t="shared" si="1"/>
        <v>0</v>
      </c>
      <c r="F26" s="1451">
        <f t="shared" si="4"/>
        <v>10902.777777777777</v>
      </c>
      <c r="G26" s="1451">
        <f t="shared" si="0"/>
        <v>9226</v>
      </c>
      <c r="H26" s="1452">
        <f t="shared" si="2"/>
        <v>0.88566765863492369</v>
      </c>
      <c r="I26" s="772"/>
      <c r="J26" s="772"/>
      <c r="K26" s="772"/>
      <c r="L26" s="772"/>
      <c r="M26" s="650">
        <f t="shared" si="3"/>
        <v>0.84620464467843126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1451"/>
      <c r="E27" s="1451">
        <f t="shared" si="1"/>
        <v>0</v>
      </c>
      <c r="F27" s="1451">
        <f t="shared" si="4"/>
        <v>10902.777777777777</v>
      </c>
      <c r="G27" s="1451">
        <f t="shared" si="0"/>
        <v>9226</v>
      </c>
      <c r="H27" s="1452">
        <f t="shared" si="2"/>
        <v>0.88566765863492369</v>
      </c>
      <c r="I27" s="772"/>
      <c r="J27" s="772"/>
      <c r="K27" s="772"/>
      <c r="L27" s="772"/>
      <c r="M27" s="650">
        <f t="shared" si="3"/>
        <v>0.84620464467843126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1451"/>
      <c r="E28" s="1451">
        <f t="shared" si="1"/>
        <v>0</v>
      </c>
      <c r="F28" s="1451">
        <f t="shared" si="4"/>
        <v>10902.777777777777</v>
      </c>
      <c r="G28" s="1453">
        <f t="shared" si="0"/>
        <v>9226</v>
      </c>
      <c r="H28" s="1452">
        <f t="shared" si="2"/>
        <v>0.88566765863492369</v>
      </c>
      <c r="I28" s="772"/>
      <c r="J28" s="772"/>
      <c r="K28" s="772"/>
      <c r="L28" s="772"/>
      <c r="M28" s="650">
        <f t="shared" si="3"/>
        <v>0.84620464467843126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1451"/>
      <c r="E29" s="1451">
        <f t="shared" si="1"/>
        <v>0</v>
      </c>
      <c r="F29" s="1451">
        <f t="shared" si="4"/>
        <v>10902.777777777777</v>
      </c>
      <c r="G29" s="1454">
        <f t="shared" si="0"/>
        <v>9226</v>
      </c>
      <c r="H29" s="1452">
        <f t="shared" si="2"/>
        <v>0.88566765863492369</v>
      </c>
      <c r="I29" s="772"/>
      <c r="J29" s="772"/>
      <c r="K29" s="772"/>
      <c r="L29" s="772"/>
      <c r="M29" s="650">
        <f t="shared" si="3"/>
        <v>0.84620464467843126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1451"/>
      <c r="E30" s="1451">
        <f t="shared" si="1"/>
        <v>0</v>
      </c>
      <c r="F30" s="1451">
        <f t="shared" si="4"/>
        <v>10902.777777777777</v>
      </c>
      <c r="G30" s="1454">
        <f t="shared" si="0"/>
        <v>9226</v>
      </c>
      <c r="H30" s="1452">
        <f t="shared" si="2"/>
        <v>0.88566765863492369</v>
      </c>
      <c r="I30" s="772"/>
      <c r="J30" s="772"/>
      <c r="K30" s="772"/>
      <c r="L30" s="772"/>
      <c r="M30" s="650">
        <f t="shared" si="3"/>
        <v>0.84620464467843126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1451"/>
      <c r="E31" s="1451">
        <f t="shared" si="1"/>
        <v>0</v>
      </c>
      <c r="F31" s="1451">
        <f t="shared" si="4"/>
        <v>10902.777777777777</v>
      </c>
      <c r="G31" s="1454">
        <f t="shared" si="0"/>
        <v>9226</v>
      </c>
      <c r="H31" s="1452">
        <f t="shared" si="2"/>
        <v>0.88566765863492369</v>
      </c>
      <c r="I31" s="772"/>
      <c r="J31" s="772"/>
      <c r="K31" s="772"/>
      <c r="L31" s="772"/>
      <c r="M31" s="650">
        <f t="shared" si="3"/>
        <v>0.84620464467843126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1451"/>
      <c r="E32" s="1451">
        <f t="shared" si="1"/>
        <v>0</v>
      </c>
      <c r="F32" s="1451">
        <f t="shared" si="4"/>
        <v>10902.777777777777</v>
      </c>
      <c r="G32" s="1454">
        <f t="shared" si="0"/>
        <v>9226</v>
      </c>
      <c r="H32" s="1452">
        <f t="shared" si="2"/>
        <v>0.88566765863492369</v>
      </c>
      <c r="I32" s="772"/>
      <c r="J32" s="772"/>
      <c r="K32" s="772"/>
      <c r="L32" s="772"/>
      <c r="M32" s="650">
        <f t="shared" si="3"/>
        <v>0.84620464467843126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1451"/>
      <c r="E33" s="1451">
        <f t="shared" si="1"/>
        <v>0</v>
      </c>
      <c r="F33" s="1451">
        <f t="shared" si="4"/>
        <v>10902.777777777777</v>
      </c>
      <c r="G33" s="1455">
        <f t="shared" si="0"/>
        <v>9226</v>
      </c>
      <c r="H33" s="1452">
        <f t="shared" si="2"/>
        <v>0.88566765863492369</v>
      </c>
      <c r="I33" s="772"/>
      <c r="J33" s="772"/>
      <c r="K33" s="772"/>
      <c r="L33" s="772"/>
      <c r="M33" s="650">
        <f t="shared" si="3"/>
        <v>0.84620464467843126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1451"/>
      <c r="E34" s="1451">
        <f t="shared" si="1"/>
        <v>0</v>
      </c>
      <c r="F34" s="1451">
        <f t="shared" si="4"/>
        <v>10902.777777777777</v>
      </c>
      <c r="G34" s="1451">
        <f t="shared" si="0"/>
        <v>9226</v>
      </c>
      <c r="H34" s="1452">
        <f t="shared" si="2"/>
        <v>0.88566765863492369</v>
      </c>
      <c r="I34" s="772"/>
      <c r="J34" s="772"/>
      <c r="K34" s="772"/>
      <c r="L34" s="772"/>
      <c r="M34" s="650">
        <f t="shared" si="3"/>
        <v>0.84620464467843126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1451"/>
      <c r="E35" s="1451">
        <f t="shared" si="1"/>
        <v>0</v>
      </c>
      <c r="F35" s="1451">
        <f t="shared" si="4"/>
        <v>10902.777777777777</v>
      </c>
      <c r="G35" s="1451">
        <f t="shared" si="0"/>
        <v>9226</v>
      </c>
      <c r="H35" s="1452">
        <f t="shared" si="2"/>
        <v>0.88566765863492369</v>
      </c>
      <c r="I35" s="772"/>
      <c r="J35" s="772"/>
      <c r="K35" s="772"/>
      <c r="L35" s="772"/>
      <c r="M35" s="650">
        <f t="shared" si="3"/>
        <v>0.84620464467843126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1451"/>
      <c r="E36" s="1451">
        <f t="shared" si="1"/>
        <v>0</v>
      </c>
      <c r="F36" s="1451">
        <f t="shared" si="4"/>
        <v>10902.777777777777</v>
      </c>
      <c r="G36" s="1451">
        <f t="shared" si="0"/>
        <v>9226</v>
      </c>
      <c r="H36" s="1452">
        <f t="shared" si="2"/>
        <v>0.88566765863492369</v>
      </c>
      <c r="I36" s="772"/>
      <c r="J36" s="772"/>
      <c r="K36" s="772"/>
      <c r="L36" s="772"/>
      <c r="M36" s="650">
        <f t="shared" si="3"/>
        <v>0.84620464467843126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51"/>
      <c r="E37" s="1451">
        <f t="shared" si="1"/>
        <v>0</v>
      </c>
      <c r="F37" s="1451">
        <f t="shared" si="4"/>
        <v>10902.777777777777</v>
      </c>
      <c r="G37" s="1451">
        <f t="shared" si="0"/>
        <v>9226</v>
      </c>
      <c r="H37" s="1452">
        <f t="shared" si="2"/>
        <v>0.88566765863492369</v>
      </c>
      <c r="I37" s="772"/>
      <c r="J37" s="772"/>
      <c r="K37" s="772"/>
      <c r="L37" s="772"/>
      <c r="M37" s="650">
        <f t="shared" si="3"/>
        <v>0.84620464467843126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1"/>
      <c r="E38" s="1451">
        <f t="shared" si="1"/>
        <v>0</v>
      </c>
      <c r="F38" s="1451">
        <f t="shared" si="4"/>
        <v>10902.777777777777</v>
      </c>
      <c r="G38" s="1453">
        <f>G37+D38-E38</f>
        <v>9226</v>
      </c>
      <c r="H38" s="1452">
        <f t="shared" si="2"/>
        <v>0.88566765863492369</v>
      </c>
      <c r="I38" s="772"/>
      <c r="J38" s="772"/>
      <c r="K38" s="772"/>
      <c r="L38" s="772"/>
      <c r="M38" s="650">
        <f t="shared" si="3"/>
        <v>0.84620464467843126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56"/>
      <c r="E39" s="1451">
        <f t="shared" si="1"/>
        <v>0</v>
      </c>
      <c r="F39" s="1451">
        <f>SUM($E$8:E39)/A39</f>
        <v>0</v>
      </c>
      <c r="G39" s="1451">
        <f t="shared" si="0"/>
        <v>9226</v>
      </c>
      <c r="H39" s="1452">
        <f t="shared" si="2"/>
        <v>0.88566765863492369</v>
      </c>
      <c r="I39" s="772"/>
      <c r="J39" s="772"/>
      <c r="K39" s="772"/>
      <c r="L39" s="772"/>
      <c r="M39" s="650">
        <f t="shared" si="3"/>
        <v>0.84620464467843126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9226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9226</v>
      </c>
      <c r="E41" s="389">
        <f>E40</f>
        <v>0</v>
      </c>
      <c r="F41" s="449"/>
      <c r="G41" s="389">
        <f>D41-E41</f>
        <v>9226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109" priority="34" operator="between">
      <formula>3.5</formula>
      <formula>6</formula>
    </cfRule>
    <cfRule type="cellIs" dxfId="7108" priority="35" operator="lessThan">
      <formula>3.5</formula>
    </cfRule>
    <cfRule type="cellIs" dxfId="7107" priority="36" operator="greaterThan">
      <formula>6</formula>
    </cfRule>
  </conditionalFormatting>
  <conditionalFormatting sqref="H9:H12 H24:H37 H14:H17 H19:H22 H39">
    <cfRule type="cellIs" dxfId="7106" priority="31" operator="between">
      <formula>3.5</formula>
      <formula>6</formula>
    </cfRule>
    <cfRule type="cellIs" dxfId="7105" priority="32" operator="lessThan">
      <formula>3.5</formula>
    </cfRule>
    <cfRule type="cellIs" dxfId="7104" priority="33" operator="greaterThan">
      <formula>6</formula>
    </cfRule>
  </conditionalFormatting>
  <conditionalFormatting sqref="H23">
    <cfRule type="cellIs" dxfId="7103" priority="28" operator="between">
      <formula>3.5</formula>
      <formula>6</formula>
    </cfRule>
    <cfRule type="cellIs" dxfId="7102" priority="29" operator="lessThan">
      <formula>3.5</formula>
    </cfRule>
    <cfRule type="cellIs" dxfId="7101" priority="30" operator="greaterThan">
      <formula>6</formula>
    </cfRule>
  </conditionalFormatting>
  <conditionalFormatting sqref="H13">
    <cfRule type="cellIs" dxfId="7100" priority="25" operator="between">
      <formula>3.5</formula>
      <formula>6</formula>
    </cfRule>
    <cfRule type="cellIs" dxfId="7099" priority="26" operator="lessThan">
      <formula>3.5</formula>
    </cfRule>
    <cfRule type="cellIs" dxfId="7098" priority="27" operator="greaterThan">
      <formula>6</formula>
    </cfRule>
  </conditionalFormatting>
  <conditionalFormatting sqref="H18">
    <cfRule type="cellIs" dxfId="7097" priority="22" operator="between">
      <formula>3.5</formula>
      <formula>6</formula>
    </cfRule>
    <cfRule type="cellIs" dxfId="7096" priority="23" operator="lessThan">
      <formula>3.5</formula>
    </cfRule>
    <cfRule type="cellIs" dxfId="7095" priority="24" operator="greaterThan">
      <formula>6</formula>
    </cfRule>
  </conditionalFormatting>
  <conditionalFormatting sqref="H9:H39">
    <cfRule type="cellIs" dxfId="7094" priority="19" operator="between">
      <formula>3.5</formula>
      <formula>6</formula>
    </cfRule>
    <cfRule type="cellIs" dxfId="7093" priority="20" operator="lessThan">
      <formula>3.5</formula>
    </cfRule>
    <cfRule type="cellIs" dxfId="7092" priority="21" operator="greaterThan">
      <formula>6</formula>
    </cfRule>
  </conditionalFormatting>
  <conditionalFormatting sqref="H9:H39">
    <cfRule type="cellIs" dxfId="7091" priority="16" operator="between">
      <formula>3.5</formula>
      <formula>6</formula>
    </cfRule>
    <cfRule type="cellIs" dxfId="7090" priority="17" operator="lessThan">
      <formula>3.5</formula>
    </cfRule>
    <cfRule type="cellIs" dxfId="7089" priority="18" operator="greaterThan">
      <formula>6</formula>
    </cfRule>
  </conditionalFormatting>
  <conditionalFormatting sqref="H9:H39">
    <cfRule type="cellIs" dxfId="7088" priority="13" operator="between">
      <formula>3.5</formula>
      <formula>6</formula>
    </cfRule>
    <cfRule type="cellIs" dxfId="7087" priority="14" operator="lessThan">
      <formula>3.5</formula>
    </cfRule>
    <cfRule type="cellIs" dxfId="7086" priority="15" operator="greaterThan">
      <formula>6</formula>
    </cfRule>
  </conditionalFormatting>
  <conditionalFormatting sqref="H9:H39">
    <cfRule type="cellIs" dxfId="7085" priority="10" operator="between">
      <formula>3.5</formula>
      <formula>6</formula>
    </cfRule>
    <cfRule type="cellIs" dxfId="7084" priority="11" operator="lessThan">
      <formula>3.5</formula>
    </cfRule>
    <cfRule type="cellIs" dxfId="7083" priority="12" operator="greaterThan">
      <formula>6</formula>
    </cfRule>
  </conditionalFormatting>
  <conditionalFormatting sqref="H9:H39">
    <cfRule type="cellIs" dxfId="7082" priority="7" operator="between">
      <formula>3.5</formula>
      <formula>6</formula>
    </cfRule>
    <cfRule type="cellIs" dxfId="7081" priority="8" operator="lessThan">
      <formula>3.5</formula>
    </cfRule>
    <cfRule type="cellIs" dxfId="7080" priority="9" operator="greaterThan">
      <formula>6</formula>
    </cfRule>
  </conditionalFormatting>
  <conditionalFormatting sqref="H9:H39">
    <cfRule type="cellIs" dxfId="7079" priority="4" operator="between">
      <formula>3.5</formula>
      <formula>6</formula>
    </cfRule>
    <cfRule type="cellIs" dxfId="7078" priority="5" operator="lessThan">
      <formula>3.5</formula>
    </cfRule>
    <cfRule type="cellIs" dxfId="7077" priority="6" operator="greaterThan">
      <formula>6</formula>
    </cfRule>
  </conditionalFormatting>
  <conditionalFormatting sqref="H9:H39">
    <cfRule type="cellIs" dxfId="7076" priority="1" operator="between">
      <formula>3.5</formula>
      <formula>6</formula>
    </cfRule>
    <cfRule type="cellIs" dxfId="7075" priority="2" operator="lessThan">
      <formula>3.5</formula>
    </cfRule>
    <cfRule type="cellIs" dxfId="707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A49"/>
  <sheetViews>
    <sheetView zoomScale="90" zoomScaleNormal="90" workbookViewId="0">
      <pane ySplit="8" topLeftCell="A18" activePane="bottomLeft" state="frozen"/>
      <selection activeCell="L8" sqref="L8"/>
      <selection pane="bottomLeft" activeCell="K13" sqref="K13:K23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47"/>
      <c r="K3" s="1147"/>
      <c r="L3" s="1147"/>
      <c r="N3" s="442"/>
      <c r="O3" s="442"/>
      <c r="P3" s="442"/>
    </row>
    <row r="4" spans="1:27" s="1152" customFormat="1" ht="12" customHeight="1">
      <c r="A4" s="1648" t="s">
        <v>33</v>
      </c>
      <c r="B4" s="1648"/>
      <c r="C4" s="551" t="str">
        <f>H4</f>
        <v xml:space="preserve">GREEN HOME 60*60-HA </v>
      </c>
      <c r="E4" s="549" t="s">
        <v>228</v>
      </c>
      <c r="F4" s="549" t="s">
        <v>235</v>
      </c>
      <c r="G4" s="550" t="s">
        <v>114</v>
      </c>
      <c r="H4" s="551" t="s">
        <v>942</v>
      </c>
      <c r="M4" s="143"/>
    </row>
    <row r="5" spans="1:27" s="1152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152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149" t="s">
        <v>2</v>
      </c>
      <c r="B7" s="1151" t="s">
        <v>1</v>
      </c>
      <c r="C7" s="1151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48" t="s">
        <v>30</v>
      </c>
      <c r="I7" s="697" t="s">
        <v>341</v>
      </c>
      <c r="J7" s="697" t="s">
        <v>244</v>
      </c>
      <c r="K7" s="697" t="s">
        <v>344</v>
      </c>
      <c r="L7" s="697" t="s">
        <v>821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2980</v>
      </c>
      <c r="E8" s="771">
        <f>E40</f>
        <v>0</v>
      </c>
      <c r="F8" s="771"/>
      <c r="G8" s="774">
        <v>2980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150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2980</v>
      </c>
      <c r="H9" s="451">
        <f>G9/10417</f>
        <v>0.28607084573293656</v>
      </c>
      <c r="I9" s="772"/>
      <c r="J9" s="772"/>
      <c r="K9" s="772"/>
      <c r="L9" s="772"/>
      <c r="M9" s="650">
        <f>G9/$M$8</f>
        <v>0.27332428367024986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2980</v>
      </c>
      <c r="H10" s="451">
        <f t="shared" ref="H10:H39" si="2">G10/10417</f>
        <v>0.28607084573293656</v>
      </c>
      <c r="I10" s="772"/>
      <c r="J10" s="772"/>
      <c r="K10" s="772"/>
      <c r="L10" s="772"/>
      <c r="M10" s="650">
        <f t="shared" ref="M10:M39" si="3">G10/$M$8</f>
        <v>0.27332428367024986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2980</v>
      </c>
      <c r="H11" s="451">
        <f t="shared" si="2"/>
        <v>0.28607084573293656</v>
      </c>
      <c r="I11" s="772"/>
      <c r="J11" s="772"/>
      <c r="K11" s="772"/>
      <c r="L11" s="772"/>
      <c r="M11" s="650">
        <f t="shared" si="3"/>
        <v>0.27332428367024986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2980</v>
      </c>
      <c r="H12" s="451">
        <f t="shared" si="2"/>
        <v>0.28607084573293656</v>
      </c>
      <c r="I12" s="772"/>
      <c r="J12" s="772"/>
      <c r="K12" s="772"/>
      <c r="L12" s="772"/>
      <c r="M12" s="650">
        <f t="shared" si="3"/>
        <v>0.27332428367024986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2980</v>
      </c>
      <c r="H13" s="451">
        <f t="shared" si="2"/>
        <v>0.28607084573293656</v>
      </c>
      <c r="I13" s="772"/>
      <c r="J13" s="772"/>
      <c r="K13" s="772"/>
      <c r="L13" s="772"/>
      <c r="M13" s="650">
        <f t="shared" si="3"/>
        <v>0.27332428367024986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2980</v>
      </c>
      <c r="H14" s="451">
        <f t="shared" si="2"/>
        <v>0.28607084573293656</v>
      </c>
      <c r="I14" s="772"/>
      <c r="J14" s="772"/>
      <c r="K14" s="772"/>
      <c r="L14" s="772"/>
      <c r="M14" s="650">
        <f t="shared" si="3"/>
        <v>0.27332428367024986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2980</v>
      </c>
      <c r="H15" s="451">
        <f t="shared" si="2"/>
        <v>0.28607084573293656</v>
      </c>
      <c r="I15" s="772"/>
      <c r="J15" s="772"/>
      <c r="K15" s="772"/>
      <c r="L15" s="772"/>
      <c r="M15" s="650">
        <f t="shared" si="3"/>
        <v>0.27332428367024986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2980</v>
      </c>
      <c r="H16" s="451">
        <f t="shared" si="2"/>
        <v>0.28607084573293656</v>
      </c>
      <c r="I16" s="772"/>
      <c r="J16" s="772"/>
      <c r="K16" s="772"/>
      <c r="L16" s="772"/>
      <c r="M16" s="650">
        <f t="shared" si="3"/>
        <v>0.27332428367024986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2980</v>
      </c>
      <c r="H17" s="451">
        <f t="shared" si="2"/>
        <v>0.28607084573293656</v>
      </c>
      <c r="I17" s="772"/>
      <c r="J17" s="772"/>
      <c r="K17" s="772"/>
      <c r="L17" s="772"/>
      <c r="M17" s="650">
        <f t="shared" si="3"/>
        <v>0.27332428367024986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2980</v>
      </c>
      <c r="H18" s="451">
        <f t="shared" si="2"/>
        <v>0.28607084573293656</v>
      </c>
      <c r="I18" s="772"/>
      <c r="J18" s="772"/>
      <c r="K18" s="772"/>
      <c r="L18" s="772"/>
      <c r="M18" s="650">
        <f t="shared" si="3"/>
        <v>0.27332428367024986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2980</v>
      </c>
      <c r="H19" s="451">
        <f t="shared" si="2"/>
        <v>0.28607084573293656</v>
      </c>
      <c r="I19" s="772"/>
      <c r="J19" s="772"/>
      <c r="K19" s="772"/>
      <c r="L19" s="772"/>
      <c r="M19" s="650">
        <f t="shared" si="3"/>
        <v>0.27332428367024986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2980</v>
      </c>
      <c r="H20" s="451">
        <f t="shared" si="2"/>
        <v>0.28607084573293656</v>
      </c>
      <c r="I20" s="772"/>
      <c r="J20" s="772"/>
      <c r="K20" s="772"/>
      <c r="L20" s="772"/>
      <c r="M20" s="650">
        <f t="shared" si="3"/>
        <v>0.27332428367024986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2980</v>
      </c>
      <c r="H21" s="451">
        <f t="shared" si="2"/>
        <v>0.28607084573293656</v>
      </c>
      <c r="I21" s="772"/>
      <c r="J21" s="772"/>
      <c r="K21" s="772"/>
      <c r="L21" s="772"/>
      <c r="M21" s="650">
        <f t="shared" si="3"/>
        <v>0.27332428367024986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2980</v>
      </c>
      <c r="H22" s="451">
        <f t="shared" si="2"/>
        <v>0.28607084573293656</v>
      </c>
      <c r="I22" s="772"/>
      <c r="J22" s="772"/>
      <c r="K22" s="772"/>
      <c r="L22" s="772"/>
      <c r="M22" s="650">
        <f t="shared" si="3"/>
        <v>0.27332428367024986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2980</v>
      </c>
      <c r="H23" s="451">
        <f t="shared" si="2"/>
        <v>0.28607084573293656</v>
      </c>
      <c r="I23" s="772"/>
      <c r="J23" s="772"/>
      <c r="K23" s="772"/>
      <c r="L23" s="772"/>
      <c r="M23" s="650">
        <f t="shared" si="3"/>
        <v>0.27332428367024986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2980</v>
      </c>
      <c r="H24" s="451">
        <f t="shared" si="2"/>
        <v>0.28607084573293656</v>
      </c>
      <c r="I24" s="772"/>
      <c r="J24" s="772"/>
      <c r="K24" s="772"/>
      <c r="L24" s="772"/>
      <c r="M24" s="650">
        <f t="shared" si="3"/>
        <v>0.27332428367024986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2980</v>
      </c>
      <c r="H25" s="451">
        <f t="shared" si="2"/>
        <v>0.28607084573293656</v>
      </c>
      <c r="I25" s="772"/>
      <c r="J25" s="772"/>
      <c r="K25" s="772"/>
      <c r="L25" s="772"/>
      <c r="M25" s="650">
        <f t="shared" si="3"/>
        <v>0.27332428367024986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2980</v>
      </c>
      <c r="H26" s="451">
        <f t="shared" si="2"/>
        <v>0.28607084573293656</v>
      </c>
      <c r="I26" s="772"/>
      <c r="J26" s="772"/>
      <c r="K26" s="772"/>
      <c r="L26" s="772"/>
      <c r="M26" s="650">
        <f t="shared" si="3"/>
        <v>0.27332428367024986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2980</v>
      </c>
      <c r="H27" s="451">
        <f t="shared" si="2"/>
        <v>0.28607084573293656</v>
      </c>
      <c r="I27" s="772"/>
      <c r="J27" s="772"/>
      <c r="K27" s="772"/>
      <c r="L27" s="772"/>
      <c r="M27" s="650">
        <f t="shared" si="3"/>
        <v>0.27332428367024986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2980</v>
      </c>
      <c r="H28" s="451">
        <f t="shared" si="2"/>
        <v>0.28607084573293656</v>
      </c>
      <c r="I28" s="772"/>
      <c r="J28" s="772"/>
      <c r="K28" s="772"/>
      <c r="L28" s="772"/>
      <c r="M28" s="650">
        <f t="shared" si="3"/>
        <v>0.27332428367024986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2980</v>
      </c>
      <c r="H29" s="451">
        <f t="shared" si="2"/>
        <v>0.28607084573293656</v>
      </c>
      <c r="I29" s="772"/>
      <c r="J29" s="772"/>
      <c r="K29" s="772"/>
      <c r="L29" s="772"/>
      <c r="M29" s="650">
        <f t="shared" si="3"/>
        <v>0.27332428367024986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2980</v>
      </c>
      <c r="H30" s="451">
        <f t="shared" si="2"/>
        <v>0.28607084573293656</v>
      </c>
      <c r="I30" s="772"/>
      <c r="J30" s="772"/>
      <c r="K30" s="772"/>
      <c r="L30" s="772"/>
      <c r="M30" s="650">
        <f t="shared" si="3"/>
        <v>0.27332428367024986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2980</v>
      </c>
      <c r="H31" s="451">
        <f t="shared" si="2"/>
        <v>0.28607084573293656</v>
      </c>
      <c r="I31" s="772"/>
      <c r="J31" s="772"/>
      <c r="K31" s="772"/>
      <c r="L31" s="772"/>
      <c r="M31" s="650">
        <f t="shared" si="3"/>
        <v>0.27332428367024986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2980</v>
      </c>
      <c r="H32" s="451">
        <f t="shared" si="2"/>
        <v>0.28607084573293656</v>
      </c>
      <c r="I32" s="772"/>
      <c r="J32" s="772"/>
      <c r="K32" s="772"/>
      <c r="L32" s="772"/>
      <c r="M32" s="650">
        <f t="shared" si="3"/>
        <v>0.27332428367024986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2980</v>
      </c>
      <c r="H33" s="451">
        <f t="shared" si="2"/>
        <v>0.28607084573293656</v>
      </c>
      <c r="I33" s="772"/>
      <c r="J33" s="772"/>
      <c r="K33" s="772"/>
      <c r="L33" s="772"/>
      <c r="M33" s="650">
        <f t="shared" si="3"/>
        <v>0.27332428367024986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2980</v>
      </c>
      <c r="H34" s="451">
        <f t="shared" si="2"/>
        <v>0.28607084573293656</v>
      </c>
      <c r="I34" s="772"/>
      <c r="J34" s="772"/>
      <c r="K34" s="772"/>
      <c r="L34" s="772"/>
      <c r="M34" s="650">
        <f t="shared" si="3"/>
        <v>0.27332428367024986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2980</v>
      </c>
      <c r="H35" s="451">
        <f t="shared" si="2"/>
        <v>0.28607084573293656</v>
      </c>
      <c r="I35" s="772"/>
      <c r="J35" s="772"/>
      <c r="K35" s="772"/>
      <c r="L35" s="772"/>
      <c r="M35" s="650">
        <f t="shared" si="3"/>
        <v>0.27332428367024986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2980</v>
      </c>
      <c r="H36" s="451">
        <f t="shared" si="2"/>
        <v>0.28607084573293656</v>
      </c>
      <c r="I36" s="772"/>
      <c r="J36" s="772"/>
      <c r="K36" s="772"/>
      <c r="L36" s="772"/>
      <c r="M36" s="650">
        <f t="shared" si="3"/>
        <v>0.27332428367024986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2980</v>
      </c>
      <c r="H37" s="451">
        <f t="shared" si="2"/>
        <v>0.28607084573293656</v>
      </c>
      <c r="I37" s="772"/>
      <c r="J37" s="772"/>
      <c r="K37" s="772"/>
      <c r="L37" s="772"/>
      <c r="M37" s="650">
        <f t="shared" si="3"/>
        <v>0.27332428367024986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2980</v>
      </c>
      <c r="H38" s="451">
        <f t="shared" si="2"/>
        <v>0.28607084573293656</v>
      </c>
      <c r="I38" s="772"/>
      <c r="J38" s="772"/>
      <c r="K38" s="772"/>
      <c r="L38" s="772"/>
      <c r="M38" s="650">
        <f t="shared" si="3"/>
        <v>0.27332428367024986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2980</v>
      </c>
      <c r="H39" s="451">
        <f t="shared" si="2"/>
        <v>0.28607084573293656</v>
      </c>
      <c r="I39" s="772"/>
      <c r="J39" s="772"/>
      <c r="K39" s="772"/>
      <c r="L39" s="772"/>
      <c r="M39" s="650">
        <f t="shared" si="3"/>
        <v>0.27332428367024986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2980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2980</v>
      </c>
      <c r="E41" s="389">
        <f>E40</f>
        <v>0</v>
      </c>
      <c r="F41" s="449"/>
      <c r="G41" s="389">
        <f>D41-E41</f>
        <v>2980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073" priority="34" operator="between">
      <formula>3.5</formula>
      <formula>6</formula>
    </cfRule>
    <cfRule type="cellIs" dxfId="7072" priority="35" operator="lessThan">
      <formula>3.5</formula>
    </cfRule>
    <cfRule type="cellIs" dxfId="7071" priority="36" operator="greaterThan">
      <formula>6</formula>
    </cfRule>
  </conditionalFormatting>
  <conditionalFormatting sqref="H9:H12 H24:H37 H14:H17 H19:H22 H39">
    <cfRule type="cellIs" dxfId="7070" priority="31" operator="between">
      <formula>3.5</formula>
      <formula>6</formula>
    </cfRule>
    <cfRule type="cellIs" dxfId="7069" priority="32" operator="lessThan">
      <formula>3.5</formula>
    </cfRule>
    <cfRule type="cellIs" dxfId="7068" priority="33" operator="greaterThan">
      <formula>6</formula>
    </cfRule>
  </conditionalFormatting>
  <conditionalFormatting sqref="H23">
    <cfRule type="cellIs" dxfId="7067" priority="28" operator="between">
      <formula>3.5</formula>
      <formula>6</formula>
    </cfRule>
    <cfRule type="cellIs" dxfId="7066" priority="29" operator="lessThan">
      <formula>3.5</formula>
    </cfRule>
    <cfRule type="cellIs" dxfId="7065" priority="30" operator="greaterThan">
      <formula>6</formula>
    </cfRule>
  </conditionalFormatting>
  <conditionalFormatting sqref="H13">
    <cfRule type="cellIs" dxfId="7064" priority="25" operator="between">
      <formula>3.5</formula>
      <formula>6</formula>
    </cfRule>
    <cfRule type="cellIs" dxfId="7063" priority="26" operator="lessThan">
      <formula>3.5</formula>
    </cfRule>
    <cfRule type="cellIs" dxfId="7062" priority="27" operator="greaterThan">
      <formula>6</formula>
    </cfRule>
  </conditionalFormatting>
  <conditionalFormatting sqref="H18">
    <cfRule type="cellIs" dxfId="7061" priority="22" operator="between">
      <formula>3.5</formula>
      <formula>6</formula>
    </cfRule>
    <cfRule type="cellIs" dxfId="7060" priority="23" operator="lessThan">
      <formula>3.5</formula>
    </cfRule>
    <cfRule type="cellIs" dxfId="7059" priority="24" operator="greaterThan">
      <formula>6</formula>
    </cfRule>
  </conditionalFormatting>
  <conditionalFormatting sqref="H9:H39">
    <cfRule type="cellIs" dxfId="7058" priority="19" operator="between">
      <formula>3.5</formula>
      <formula>6</formula>
    </cfRule>
    <cfRule type="cellIs" dxfId="7057" priority="20" operator="lessThan">
      <formula>3.5</formula>
    </cfRule>
    <cfRule type="cellIs" dxfId="7056" priority="21" operator="greaterThan">
      <formula>6</formula>
    </cfRule>
  </conditionalFormatting>
  <conditionalFormatting sqref="H9:H39">
    <cfRule type="cellIs" dxfId="7055" priority="16" operator="between">
      <formula>3.5</formula>
      <formula>6</formula>
    </cfRule>
    <cfRule type="cellIs" dxfId="7054" priority="17" operator="lessThan">
      <formula>3.5</formula>
    </cfRule>
    <cfRule type="cellIs" dxfId="7053" priority="18" operator="greaterThan">
      <formula>6</formula>
    </cfRule>
  </conditionalFormatting>
  <conditionalFormatting sqref="H9:H39">
    <cfRule type="cellIs" dxfId="7052" priority="13" operator="between">
      <formula>3.5</formula>
      <formula>6</formula>
    </cfRule>
    <cfRule type="cellIs" dxfId="7051" priority="14" operator="lessThan">
      <formula>3.5</formula>
    </cfRule>
    <cfRule type="cellIs" dxfId="7050" priority="15" operator="greaterThan">
      <formula>6</formula>
    </cfRule>
  </conditionalFormatting>
  <conditionalFormatting sqref="H9:H39">
    <cfRule type="cellIs" dxfId="7049" priority="10" operator="between">
      <formula>3.5</formula>
      <formula>6</formula>
    </cfRule>
    <cfRule type="cellIs" dxfId="7048" priority="11" operator="lessThan">
      <formula>3.5</formula>
    </cfRule>
    <cfRule type="cellIs" dxfId="7047" priority="12" operator="greaterThan">
      <formula>6</formula>
    </cfRule>
  </conditionalFormatting>
  <conditionalFormatting sqref="H9:H39">
    <cfRule type="cellIs" dxfId="7046" priority="7" operator="between">
      <formula>3.5</formula>
      <formula>6</formula>
    </cfRule>
    <cfRule type="cellIs" dxfId="7045" priority="8" operator="lessThan">
      <formula>3.5</formula>
    </cfRule>
    <cfRule type="cellIs" dxfId="7044" priority="9" operator="greaterThan">
      <formula>6</formula>
    </cfRule>
  </conditionalFormatting>
  <conditionalFormatting sqref="H9:H39">
    <cfRule type="cellIs" dxfId="7043" priority="4" operator="between">
      <formula>3.5</formula>
      <formula>6</formula>
    </cfRule>
    <cfRule type="cellIs" dxfId="7042" priority="5" operator="lessThan">
      <formula>3.5</formula>
    </cfRule>
    <cfRule type="cellIs" dxfId="7041" priority="6" operator="greaterThan">
      <formula>6</formula>
    </cfRule>
  </conditionalFormatting>
  <conditionalFormatting sqref="H9:H39">
    <cfRule type="cellIs" dxfId="7040" priority="1" operator="between">
      <formula>3.5</formula>
      <formula>6</formula>
    </cfRule>
    <cfRule type="cellIs" dxfId="7039" priority="2" operator="lessThan">
      <formula>3.5</formula>
    </cfRule>
    <cfRule type="cellIs" dxfId="703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A49"/>
  <sheetViews>
    <sheetView zoomScale="90" zoomScaleNormal="90" workbookViewId="0">
      <pane ySplit="8" topLeftCell="A15" activePane="bottomLeft" state="frozen"/>
      <selection activeCell="L8" sqref="L8"/>
      <selection pane="bottomLeft" activeCell="L9" sqref="L9:L17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64"/>
      <c r="K3" s="1264"/>
      <c r="L3" s="1264"/>
      <c r="N3" s="442"/>
      <c r="O3" s="442"/>
      <c r="P3" s="442"/>
    </row>
    <row r="4" spans="1:27" s="1269" customFormat="1" ht="12" customHeight="1">
      <c r="A4" s="1648" t="s">
        <v>33</v>
      </c>
      <c r="B4" s="1648"/>
      <c r="C4" s="551" t="str">
        <f>H4</f>
        <v>GREEN HOME 60*60 5V nâu</v>
      </c>
      <c r="E4" s="549" t="s">
        <v>228</v>
      </c>
      <c r="F4" s="549" t="s">
        <v>235</v>
      </c>
      <c r="G4" s="550" t="s">
        <v>114</v>
      </c>
      <c r="H4" s="551" t="s">
        <v>1057</v>
      </c>
      <c r="M4" s="143"/>
    </row>
    <row r="5" spans="1:27" s="126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269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266" t="s">
        <v>2</v>
      </c>
      <c r="B7" s="1268" t="s">
        <v>1</v>
      </c>
      <c r="C7" s="126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65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811</v>
      </c>
      <c r="E8" s="771">
        <f>E40</f>
        <v>0</v>
      </c>
      <c r="F8" s="771"/>
      <c r="G8" s="774">
        <v>811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267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811</v>
      </c>
      <c r="H9" s="451">
        <f>G9/10417</f>
        <v>7.7853508687721992E-2</v>
      </c>
      <c r="I9" s="772"/>
      <c r="J9" s="772"/>
      <c r="K9" s="772"/>
      <c r="L9" s="772"/>
      <c r="M9" s="650">
        <f>G9/$M$8</f>
        <v>7.4384561763950544E-2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811</v>
      </c>
      <c r="H10" s="451">
        <f t="shared" ref="H10:H39" si="2">G10/10417</f>
        <v>7.7853508687721992E-2</v>
      </c>
      <c r="I10" s="772"/>
      <c r="J10" s="772"/>
      <c r="K10" s="772"/>
      <c r="L10" s="772"/>
      <c r="M10" s="650">
        <f t="shared" ref="M10:M39" si="3">G10/$M$8</f>
        <v>7.4384561763950544E-2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811</v>
      </c>
      <c r="H11" s="451">
        <f t="shared" si="2"/>
        <v>7.7853508687721992E-2</v>
      </c>
      <c r="I11" s="772"/>
      <c r="J11" s="772"/>
      <c r="K11" s="772"/>
      <c r="L11" s="772"/>
      <c r="M11" s="650">
        <f t="shared" si="3"/>
        <v>7.4384561763950544E-2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811</v>
      </c>
      <c r="H12" s="451">
        <f t="shared" si="2"/>
        <v>7.7853508687721992E-2</v>
      </c>
      <c r="I12" s="772"/>
      <c r="J12" s="772"/>
      <c r="K12" s="772"/>
      <c r="L12" s="772"/>
      <c r="M12" s="650">
        <f t="shared" si="3"/>
        <v>7.4384561763950544E-2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811</v>
      </c>
      <c r="H13" s="451">
        <f t="shared" si="2"/>
        <v>7.7853508687721992E-2</v>
      </c>
      <c r="I13" s="772"/>
      <c r="J13" s="772"/>
      <c r="K13" s="772"/>
      <c r="L13" s="772"/>
      <c r="M13" s="650">
        <f t="shared" si="3"/>
        <v>7.4384561763950544E-2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811</v>
      </c>
      <c r="H14" s="451">
        <f t="shared" si="2"/>
        <v>7.7853508687721992E-2</v>
      </c>
      <c r="I14" s="772"/>
      <c r="J14" s="772"/>
      <c r="K14" s="772"/>
      <c r="L14" s="772"/>
      <c r="M14" s="650">
        <f t="shared" si="3"/>
        <v>7.4384561763950544E-2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811</v>
      </c>
      <c r="H15" s="451">
        <f t="shared" si="2"/>
        <v>7.7853508687721992E-2</v>
      </c>
      <c r="I15" s="772"/>
      <c r="J15" s="772"/>
      <c r="K15" s="772"/>
      <c r="L15" s="772"/>
      <c r="M15" s="650">
        <f t="shared" si="3"/>
        <v>7.4384561763950544E-2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811</v>
      </c>
      <c r="H16" s="451">
        <f t="shared" si="2"/>
        <v>7.7853508687721992E-2</v>
      </c>
      <c r="I16" s="772"/>
      <c r="J16" s="772"/>
      <c r="K16" s="772"/>
      <c r="L16" s="772"/>
      <c r="M16" s="650">
        <f t="shared" si="3"/>
        <v>7.4384561763950544E-2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811</v>
      </c>
      <c r="H17" s="451">
        <f t="shared" si="2"/>
        <v>7.7853508687721992E-2</v>
      </c>
      <c r="I17" s="772"/>
      <c r="J17" s="772"/>
      <c r="K17" s="772"/>
      <c r="L17" s="772"/>
      <c r="M17" s="650">
        <f t="shared" si="3"/>
        <v>7.4384561763950544E-2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811</v>
      </c>
      <c r="H18" s="451">
        <f t="shared" si="2"/>
        <v>7.7853508687721992E-2</v>
      </c>
      <c r="I18" s="772"/>
      <c r="J18" s="772"/>
      <c r="K18" s="772"/>
      <c r="L18" s="772"/>
      <c r="M18" s="650">
        <f t="shared" si="3"/>
        <v>7.4384561763950544E-2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811</v>
      </c>
      <c r="H19" s="451">
        <f t="shared" si="2"/>
        <v>7.7853508687721992E-2</v>
      </c>
      <c r="I19" s="772"/>
      <c r="J19" s="772"/>
      <c r="K19" s="772"/>
      <c r="L19" s="772"/>
      <c r="M19" s="650">
        <f t="shared" si="3"/>
        <v>7.4384561763950544E-2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811</v>
      </c>
      <c r="H20" s="451">
        <f t="shared" si="2"/>
        <v>7.7853508687721992E-2</v>
      </c>
      <c r="I20" s="772"/>
      <c r="J20" s="772"/>
      <c r="K20" s="772"/>
      <c r="L20" s="772"/>
      <c r="M20" s="650">
        <f t="shared" si="3"/>
        <v>7.4384561763950544E-2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811</v>
      </c>
      <c r="H21" s="451">
        <f t="shared" si="2"/>
        <v>7.7853508687721992E-2</v>
      </c>
      <c r="I21" s="772"/>
      <c r="J21" s="772"/>
      <c r="K21" s="772"/>
      <c r="L21" s="772"/>
      <c r="M21" s="650">
        <f t="shared" si="3"/>
        <v>7.4384561763950544E-2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811</v>
      </c>
      <c r="H22" s="451">
        <f t="shared" si="2"/>
        <v>7.7853508687721992E-2</v>
      </c>
      <c r="I22" s="772"/>
      <c r="J22" s="772"/>
      <c r="K22" s="772"/>
      <c r="L22" s="772"/>
      <c r="M22" s="650">
        <f t="shared" si="3"/>
        <v>7.4384561763950544E-2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811</v>
      </c>
      <c r="H23" s="451">
        <f t="shared" si="2"/>
        <v>7.7853508687721992E-2</v>
      </c>
      <c r="I23" s="772"/>
      <c r="J23" s="772"/>
      <c r="K23" s="772"/>
      <c r="L23" s="772"/>
      <c r="M23" s="650">
        <f t="shared" si="3"/>
        <v>7.4384561763950544E-2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811</v>
      </c>
      <c r="H24" s="451">
        <f t="shared" si="2"/>
        <v>7.7853508687721992E-2</v>
      </c>
      <c r="I24" s="772"/>
      <c r="J24" s="772"/>
      <c r="K24" s="772"/>
      <c r="L24" s="772"/>
      <c r="M24" s="650">
        <f t="shared" si="3"/>
        <v>7.4384561763950544E-2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811</v>
      </c>
      <c r="H25" s="451">
        <f t="shared" si="2"/>
        <v>7.7853508687721992E-2</v>
      </c>
      <c r="I25" s="772"/>
      <c r="J25" s="772"/>
      <c r="K25" s="772"/>
      <c r="L25" s="772"/>
      <c r="M25" s="650">
        <f t="shared" si="3"/>
        <v>7.4384561763950544E-2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811</v>
      </c>
      <c r="H26" s="451">
        <f t="shared" si="2"/>
        <v>7.7853508687721992E-2</v>
      </c>
      <c r="I26" s="772"/>
      <c r="J26" s="772"/>
      <c r="K26" s="772"/>
      <c r="L26" s="772"/>
      <c r="M26" s="650">
        <f t="shared" si="3"/>
        <v>7.4384561763950544E-2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811</v>
      </c>
      <c r="H27" s="451">
        <f t="shared" si="2"/>
        <v>7.7853508687721992E-2</v>
      </c>
      <c r="I27" s="772"/>
      <c r="J27" s="772"/>
      <c r="K27" s="772"/>
      <c r="L27" s="772"/>
      <c r="M27" s="650">
        <f t="shared" si="3"/>
        <v>7.4384561763950544E-2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811</v>
      </c>
      <c r="H28" s="451">
        <f t="shared" si="2"/>
        <v>7.7853508687721992E-2</v>
      </c>
      <c r="I28" s="772"/>
      <c r="J28" s="772"/>
      <c r="K28" s="772"/>
      <c r="L28" s="772"/>
      <c r="M28" s="650">
        <f t="shared" si="3"/>
        <v>7.4384561763950544E-2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811</v>
      </c>
      <c r="H29" s="451">
        <f t="shared" si="2"/>
        <v>7.7853508687721992E-2</v>
      </c>
      <c r="I29" s="772"/>
      <c r="J29" s="772"/>
      <c r="K29" s="772"/>
      <c r="L29" s="772"/>
      <c r="M29" s="650">
        <f t="shared" si="3"/>
        <v>7.4384561763950544E-2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811</v>
      </c>
      <c r="H30" s="451">
        <f t="shared" si="2"/>
        <v>7.7853508687721992E-2</v>
      </c>
      <c r="I30" s="772"/>
      <c r="J30" s="772"/>
      <c r="K30" s="772"/>
      <c r="L30" s="772"/>
      <c r="M30" s="650">
        <f t="shared" si="3"/>
        <v>7.4384561763950544E-2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811</v>
      </c>
      <c r="H31" s="451">
        <f t="shared" si="2"/>
        <v>7.7853508687721992E-2</v>
      </c>
      <c r="I31" s="772"/>
      <c r="J31" s="772"/>
      <c r="K31" s="772"/>
      <c r="L31" s="772"/>
      <c r="M31" s="650">
        <f t="shared" si="3"/>
        <v>7.4384561763950544E-2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811</v>
      </c>
      <c r="H32" s="451">
        <f t="shared" si="2"/>
        <v>7.7853508687721992E-2</v>
      </c>
      <c r="I32" s="772"/>
      <c r="J32" s="772"/>
      <c r="K32" s="772"/>
      <c r="L32" s="772"/>
      <c r="M32" s="650">
        <f t="shared" si="3"/>
        <v>7.4384561763950544E-2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811</v>
      </c>
      <c r="H33" s="451">
        <f t="shared" si="2"/>
        <v>7.7853508687721992E-2</v>
      </c>
      <c r="I33" s="772"/>
      <c r="J33" s="772"/>
      <c r="K33" s="772"/>
      <c r="L33" s="772"/>
      <c r="M33" s="650">
        <f t="shared" si="3"/>
        <v>7.4384561763950544E-2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811</v>
      </c>
      <c r="H34" s="451">
        <f t="shared" si="2"/>
        <v>7.7853508687721992E-2</v>
      </c>
      <c r="I34" s="772"/>
      <c r="J34" s="772"/>
      <c r="K34" s="772"/>
      <c r="L34" s="772"/>
      <c r="M34" s="650">
        <f t="shared" si="3"/>
        <v>7.4384561763950544E-2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811</v>
      </c>
      <c r="H35" s="451">
        <f t="shared" si="2"/>
        <v>7.7853508687721992E-2</v>
      </c>
      <c r="I35" s="772"/>
      <c r="J35" s="772"/>
      <c r="K35" s="772"/>
      <c r="L35" s="772"/>
      <c r="M35" s="650">
        <f t="shared" si="3"/>
        <v>7.4384561763950544E-2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811</v>
      </c>
      <c r="H36" s="451">
        <f t="shared" si="2"/>
        <v>7.7853508687721992E-2</v>
      </c>
      <c r="I36" s="772"/>
      <c r="J36" s="772"/>
      <c r="K36" s="772"/>
      <c r="L36" s="772"/>
      <c r="M36" s="650">
        <f t="shared" si="3"/>
        <v>7.4384561763950544E-2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811</v>
      </c>
      <c r="H37" s="451">
        <f t="shared" si="2"/>
        <v>7.7853508687721992E-2</v>
      </c>
      <c r="I37" s="772"/>
      <c r="J37" s="772"/>
      <c r="K37" s="772"/>
      <c r="L37" s="772"/>
      <c r="M37" s="650">
        <f t="shared" si="3"/>
        <v>7.4384561763950544E-2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811</v>
      </c>
      <c r="H38" s="451">
        <f t="shared" si="2"/>
        <v>7.7853508687721992E-2</v>
      </c>
      <c r="I38" s="772"/>
      <c r="J38" s="772"/>
      <c r="K38" s="772"/>
      <c r="L38" s="772"/>
      <c r="M38" s="650">
        <f t="shared" si="3"/>
        <v>7.4384561763950544E-2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811</v>
      </c>
      <c r="H39" s="451">
        <f t="shared" si="2"/>
        <v>7.7853508687721992E-2</v>
      </c>
      <c r="I39" s="772"/>
      <c r="J39" s="772"/>
      <c r="K39" s="772"/>
      <c r="L39" s="772"/>
      <c r="M39" s="650">
        <f t="shared" si="3"/>
        <v>7.4384561763950544E-2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811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811</v>
      </c>
      <c r="E41" s="389">
        <f>E40</f>
        <v>0</v>
      </c>
      <c r="F41" s="449"/>
      <c r="G41" s="389">
        <f>D41-E41</f>
        <v>811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037" priority="34" operator="between">
      <formula>3.5</formula>
      <formula>6</formula>
    </cfRule>
    <cfRule type="cellIs" dxfId="7036" priority="35" operator="lessThan">
      <formula>3.5</formula>
    </cfRule>
    <cfRule type="cellIs" dxfId="7035" priority="36" operator="greaterThan">
      <formula>6</formula>
    </cfRule>
  </conditionalFormatting>
  <conditionalFormatting sqref="H9:H12 H24:H37 H14:H17 H19:H22 H39">
    <cfRule type="cellIs" dxfId="7034" priority="31" operator="between">
      <formula>3.5</formula>
      <formula>6</formula>
    </cfRule>
    <cfRule type="cellIs" dxfId="7033" priority="32" operator="lessThan">
      <formula>3.5</formula>
    </cfRule>
    <cfRule type="cellIs" dxfId="7032" priority="33" operator="greaterThan">
      <formula>6</formula>
    </cfRule>
  </conditionalFormatting>
  <conditionalFormatting sqref="H23">
    <cfRule type="cellIs" dxfId="7031" priority="28" operator="between">
      <formula>3.5</formula>
      <formula>6</formula>
    </cfRule>
    <cfRule type="cellIs" dxfId="7030" priority="29" operator="lessThan">
      <formula>3.5</formula>
    </cfRule>
    <cfRule type="cellIs" dxfId="7029" priority="30" operator="greaterThan">
      <formula>6</formula>
    </cfRule>
  </conditionalFormatting>
  <conditionalFormatting sqref="H13">
    <cfRule type="cellIs" dxfId="7028" priority="25" operator="between">
      <formula>3.5</formula>
      <formula>6</formula>
    </cfRule>
    <cfRule type="cellIs" dxfId="7027" priority="26" operator="lessThan">
      <formula>3.5</formula>
    </cfRule>
    <cfRule type="cellIs" dxfId="7026" priority="27" operator="greaterThan">
      <formula>6</formula>
    </cfRule>
  </conditionalFormatting>
  <conditionalFormatting sqref="H18">
    <cfRule type="cellIs" dxfId="7025" priority="22" operator="between">
      <formula>3.5</formula>
      <formula>6</formula>
    </cfRule>
    <cfRule type="cellIs" dxfId="7024" priority="23" operator="lessThan">
      <formula>3.5</formula>
    </cfRule>
    <cfRule type="cellIs" dxfId="7023" priority="24" operator="greaterThan">
      <formula>6</formula>
    </cfRule>
  </conditionalFormatting>
  <conditionalFormatting sqref="H9:H39">
    <cfRule type="cellIs" dxfId="7022" priority="19" operator="between">
      <formula>3.5</formula>
      <formula>6</formula>
    </cfRule>
    <cfRule type="cellIs" dxfId="7021" priority="20" operator="lessThan">
      <formula>3.5</formula>
    </cfRule>
    <cfRule type="cellIs" dxfId="7020" priority="21" operator="greaterThan">
      <formula>6</formula>
    </cfRule>
  </conditionalFormatting>
  <conditionalFormatting sqref="H9:H39">
    <cfRule type="cellIs" dxfId="7019" priority="16" operator="between">
      <formula>3.5</formula>
      <formula>6</formula>
    </cfRule>
    <cfRule type="cellIs" dxfId="7018" priority="17" operator="lessThan">
      <formula>3.5</formula>
    </cfRule>
    <cfRule type="cellIs" dxfId="7017" priority="18" operator="greaterThan">
      <formula>6</formula>
    </cfRule>
  </conditionalFormatting>
  <conditionalFormatting sqref="H9:H39">
    <cfRule type="cellIs" dxfId="7016" priority="13" operator="between">
      <formula>3.5</formula>
      <formula>6</formula>
    </cfRule>
    <cfRule type="cellIs" dxfId="7015" priority="14" operator="lessThan">
      <formula>3.5</formula>
    </cfRule>
    <cfRule type="cellIs" dxfId="7014" priority="15" operator="greaterThan">
      <formula>6</formula>
    </cfRule>
  </conditionalFormatting>
  <conditionalFormatting sqref="H9:H39">
    <cfRule type="cellIs" dxfId="7013" priority="10" operator="between">
      <formula>3.5</formula>
      <formula>6</formula>
    </cfRule>
    <cfRule type="cellIs" dxfId="7012" priority="11" operator="lessThan">
      <formula>3.5</formula>
    </cfRule>
    <cfRule type="cellIs" dxfId="7011" priority="12" operator="greaterThan">
      <formula>6</formula>
    </cfRule>
  </conditionalFormatting>
  <conditionalFormatting sqref="H9:H39">
    <cfRule type="cellIs" dxfId="7010" priority="7" operator="between">
      <formula>3.5</formula>
      <formula>6</formula>
    </cfRule>
    <cfRule type="cellIs" dxfId="7009" priority="8" operator="lessThan">
      <formula>3.5</formula>
    </cfRule>
    <cfRule type="cellIs" dxfId="7008" priority="9" operator="greaterThan">
      <formula>6</formula>
    </cfRule>
  </conditionalFormatting>
  <conditionalFormatting sqref="H9:H39">
    <cfRule type="cellIs" dxfId="7007" priority="4" operator="between">
      <formula>3.5</formula>
      <formula>6</formula>
    </cfRule>
    <cfRule type="cellIs" dxfId="7006" priority="5" operator="lessThan">
      <formula>3.5</formula>
    </cfRule>
    <cfRule type="cellIs" dxfId="7005" priority="6" operator="greaterThan">
      <formula>6</formula>
    </cfRule>
  </conditionalFormatting>
  <conditionalFormatting sqref="H9:H39">
    <cfRule type="cellIs" dxfId="7004" priority="1" operator="between">
      <formula>3.5</formula>
      <formula>6</formula>
    </cfRule>
    <cfRule type="cellIs" dxfId="7003" priority="2" operator="lessThan">
      <formula>3.5</formula>
    </cfRule>
    <cfRule type="cellIs" dxfId="700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61"/>
      <c r="K3" s="1161"/>
      <c r="L3" s="1161"/>
      <c r="N3" s="442"/>
      <c r="O3" s="442"/>
      <c r="P3" s="442"/>
    </row>
    <row r="4" spans="1:27" s="1166" customFormat="1" ht="12" customHeight="1">
      <c r="A4" s="1648" t="s">
        <v>33</v>
      </c>
      <c r="B4" s="1648"/>
      <c r="C4" s="551" t="str">
        <f>H4</f>
        <v xml:space="preserve">GREEN HOME 50*50-HA </v>
      </c>
      <c r="E4" s="549" t="s">
        <v>228</v>
      </c>
      <c r="F4" s="549" t="s">
        <v>235</v>
      </c>
      <c r="G4" s="550" t="s">
        <v>114</v>
      </c>
      <c r="H4" s="551" t="s">
        <v>949</v>
      </c>
      <c r="M4" s="143"/>
    </row>
    <row r="5" spans="1:27" s="11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16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163" t="s">
        <v>2</v>
      </c>
      <c r="B7" s="1165" t="s">
        <v>1</v>
      </c>
      <c r="C7" s="1165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62" t="s">
        <v>30</v>
      </c>
      <c r="I7" s="697" t="s">
        <v>341</v>
      </c>
      <c r="J7" s="697" t="s">
        <v>244</v>
      </c>
      <c r="K7" s="697" t="s">
        <v>344</v>
      </c>
      <c r="L7" s="697" t="s">
        <v>821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1416</v>
      </c>
      <c r="E8" s="771">
        <f>E40</f>
        <v>13100</v>
      </c>
      <c r="F8" s="771"/>
      <c r="G8" s="774">
        <v>1416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164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1416</v>
      </c>
      <c r="H9" s="451">
        <f>G9/10417</f>
        <v>0.135931650187194</v>
      </c>
      <c r="I9" s="772"/>
      <c r="J9" s="772"/>
      <c r="K9" s="772"/>
      <c r="L9" s="772"/>
      <c r="M9" s="650">
        <f>G9/$M$8</f>
        <v>0.129874894522508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1416</v>
      </c>
      <c r="H10" s="451">
        <f t="shared" ref="H10:H39" si="2">G10/10417</f>
        <v>0.135931650187194</v>
      </c>
      <c r="I10" s="772"/>
      <c r="J10" s="772"/>
      <c r="K10" s="772"/>
      <c r="L10" s="772"/>
      <c r="M10" s="650">
        <f t="shared" ref="M10:M39" si="3">G10/$M$8</f>
        <v>0.129874894522508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>
        <v>3000</v>
      </c>
      <c r="E11" s="396">
        <f t="shared" si="1"/>
        <v>0</v>
      </c>
      <c r="F11" s="396">
        <f>$F$9</f>
        <v>10902.777777777777</v>
      </c>
      <c r="G11" s="396">
        <f t="shared" si="0"/>
        <v>4416</v>
      </c>
      <c r="H11" s="451">
        <f t="shared" si="2"/>
        <v>0.4239224344820966</v>
      </c>
      <c r="I11" s="772"/>
      <c r="J11" s="772"/>
      <c r="K11" s="772"/>
      <c r="L11" s="772"/>
      <c r="M11" s="650">
        <f t="shared" si="3"/>
        <v>0.40503356935833001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>
        <v>2791</v>
      </c>
      <c r="E12" s="396">
        <f t="shared" si="1"/>
        <v>0</v>
      </c>
      <c r="F12" s="396">
        <f t="shared" ref="F12:F38" si="4">$F$9</f>
        <v>10902.777777777777</v>
      </c>
      <c r="G12" s="396">
        <f t="shared" si="0"/>
        <v>7207</v>
      </c>
      <c r="H12" s="451">
        <f t="shared" si="2"/>
        <v>0.69184986080445421</v>
      </c>
      <c r="I12" s="772"/>
      <c r="J12" s="772"/>
      <c r="K12" s="772"/>
      <c r="L12" s="772"/>
      <c r="M12" s="650">
        <f t="shared" si="3"/>
        <v>0.66102285651392312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7207</v>
      </c>
      <c r="H13" s="451">
        <f t="shared" si="2"/>
        <v>0.69184986080445421</v>
      </c>
      <c r="I13" s="772"/>
      <c r="J13" s="772"/>
      <c r="K13" s="772"/>
      <c r="L13" s="772"/>
      <c r="M13" s="650">
        <f t="shared" si="3"/>
        <v>0.66102285651392312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5000</v>
      </c>
      <c r="F14" s="396">
        <f t="shared" si="4"/>
        <v>10902.777777777777</v>
      </c>
      <c r="G14" s="396">
        <f t="shared" si="0"/>
        <v>2207</v>
      </c>
      <c r="H14" s="451">
        <f t="shared" si="2"/>
        <v>0.21186522031294999</v>
      </c>
      <c r="I14" s="772"/>
      <c r="J14" s="772">
        <v>5000</v>
      </c>
      <c r="K14" s="772"/>
      <c r="L14" s="772"/>
      <c r="M14" s="650">
        <f t="shared" si="3"/>
        <v>0.2024250651208864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v>6850</v>
      </c>
      <c r="E15" s="396">
        <f t="shared" si="1"/>
        <v>0</v>
      </c>
      <c r="F15" s="396">
        <f t="shared" si="4"/>
        <v>10902.777777777777</v>
      </c>
      <c r="G15" s="396">
        <f t="shared" si="0"/>
        <v>9057</v>
      </c>
      <c r="H15" s="451">
        <f t="shared" si="2"/>
        <v>0.86944417778631089</v>
      </c>
      <c r="I15" s="772"/>
      <c r="J15" s="772"/>
      <c r="K15" s="772"/>
      <c r="L15" s="772"/>
      <c r="M15" s="650">
        <f t="shared" si="3"/>
        <v>0.83070403932934667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8100</v>
      </c>
      <c r="F16" s="396">
        <f t="shared" si="4"/>
        <v>10902.777777777777</v>
      </c>
      <c r="G16" s="396">
        <f t="shared" si="0"/>
        <v>957</v>
      </c>
      <c r="H16" s="451">
        <f t="shared" si="2"/>
        <v>9.1869060190073917E-2</v>
      </c>
      <c r="I16" s="772"/>
      <c r="J16" s="772">
        <v>8100</v>
      </c>
      <c r="K16" s="772"/>
      <c r="L16" s="772"/>
      <c r="M16" s="650">
        <f t="shared" si="3"/>
        <v>8.7775617272627227E-2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957</v>
      </c>
      <c r="H17" s="451">
        <f t="shared" si="2"/>
        <v>9.1869060190073917E-2</v>
      </c>
      <c r="I17" s="772"/>
      <c r="J17" s="772"/>
      <c r="K17" s="772"/>
      <c r="L17" s="772"/>
      <c r="M17" s="650">
        <f t="shared" si="3"/>
        <v>8.7775617272627227E-2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957</v>
      </c>
      <c r="H18" s="451">
        <f t="shared" si="2"/>
        <v>9.1869060190073917E-2</v>
      </c>
      <c r="I18" s="772"/>
      <c r="J18" s="772"/>
      <c r="K18" s="772"/>
      <c r="L18" s="772"/>
      <c r="M18" s="650">
        <f t="shared" si="3"/>
        <v>8.7775617272627227E-2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957</v>
      </c>
      <c r="H19" s="451">
        <f t="shared" si="2"/>
        <v>9.1869060190073917E-2</v>
      </c>
      <c r="I19" s="772"/>
      <c r="J19" s="772"/>
      <c r="K19" s="772"/>
      <c r="L19" s="772"/>
      <c r="M19" s="650">
        <f t="shared" si="3"/>
        <v>8.7775617272627227E-2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957</v>
      </c>
      <c r="H20" s="451">
        <f t="shared" si="2"/>
        <v>9.1869060190073917E-2</v>
      </c>
      <c r="I20" s="772"/>
      <c r="J20" s="772"/>
      <c r="K20" s="772"/>
      <c r="L20" s="772"/>
      <c r="M20" s="650">
        <f t="shared" si="3"/>
        <v>8.7775617272627227E-2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957</v>
      </c>
      <c r="H21" s="451">
        <f t="shared" si="2"/>
        <v>9.1869060190073917E-2</v>
      </c>
      <c r="I21" s="772"/>
      <c r="J21" s="772"/>
      <c r="K21" s="772"/>
      <c r="L21" s="772"/>
      <c r="M21" s="650">
        <f t="shared" si="3"/>
        <v>8.7775617272627227E-2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957</v>
      </c>
      <c r="H22" s="451">
        <f t="shared" si="2"/>
        <v>9.1869060190073917E-2</v>
      </c>
      <c r="I22" s="772"/>
      <c r="J22" s="772"/>
      <c r="K22" s="772"/>
      <c r="L22" s="772"/>
      <c r="M22" s="650">
        <f t="shared" si="3"/>
        <v>8.7775617272627227E-2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957</v>
      </c>
      <c r="H23" s="451">
        <f t="shared" si="2"/>
        <v>9.1869060190073917E-2</v>
      </c>
      <c r="I23" s="772"/>
      <c r="J23" s="772"/>
      <c r="K23" s="772"/>
      <c r="L23" s="772"/>
      <c r="M23" s="650">
        <f t="shared" si="3"/>
        <v>8.7775617272627227E-2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957</v>
      </c>
      <c r="H24" s="451">
        <f t="shared" si="2"/>
        <v>9.1869060190073917E-2</v>
      </c>
      <c r="I24" s="772"/>
      <c r="J24" s="772"/>
      <c r="K24" s="772"/>
      <c r="L24" s="772"/>
      <c r="M24" s="650">
        <f t="shared" si="3"/>
        <v>8.7775617272627227E-2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957</v>
      </c>
      <c r="H25" s="451">
        <f t="shared" si="2"/>
        <v>9.1869060190073917E-2</v>
      </c>
      <c r="I25" s="772"/>
      <c r="J25" s="772"/>
      <c r="K25" s="772"/>
      <c r="L25" s="772"/>
      <c r="M25" s="650">
        <f t="shared" si="3"/>
        <v>8.7775617272627227E-2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957</v>
      </c>
      <c r="H26" s="451">
        <f t="shared" si="2"/>
        <v>9.1869060190073917E-2</v>
      </c>
      <c r="I26" s="772"/>
      <c r="J26" s="772"/>
      <c r="K26" s="772"/>
      <c r="L26" s="772"/>
      <c r="M26" s="650">
        <f t="shared" si="3"/>
        <v>8.7775617272627227E-2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957</v>
      </c>
      <c r="H27" s="451">
        <f t="shared" si="2"/>
        <v>9.1869060190073917E-2</v>
      </c>
      <c r="I27" s="772"/>
      <c r="J27" s="772"/>
      <c r="K27" s="772"/>
      <c r="L27" s="772"/>
      <c r="M27" s="650">
        <f t="shared" si="3"/>
        <v>8.7775617272627227E-2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957</v>
      </c>
      <c r="H28" s="451">
        <f t="shared" si="2"/>
        <v>9.1869060190073917E-2</v>
      </c>
      <c r="I28" s="772"/>
      <c r="J28" s="772"/>
      <c r="K28" s="772"/>
      <c r="L28" s="772"/>
      <c r="M28" s="650">
        <f t="shared" si="3"/>
        <v>8.7775617272627227E-2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957</v>
      </c>
      <c r="H29" s="451">
        <f t="shared" si="2"/>
        <v>9.1869060190073917E-2</v>
      </c>
      <c r="I29" s="772"/>
      <c r="J29" s="772"/>
      <c r="K29" s="772"/>
      <c r="L29" s="772"/>
      <c r="M29" s="650">
        <f t="shared" si="3"/>
        <v>8.7775617272627227E-2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957</v>
      </c>
      <c r="H30" s="451">
        <f t="shared" si="2"/>
        <v>9.1869060190073917E-2</v>
      </c>
      <c r="I30" s="772"/>
      <c r="J30" s="772"/>
      <c r="K30" s="772"/>
      <c r="L30" s="772"/>
      <c r="M30" s="650">
        <f t="shared" si="3"/>
        <v>8.7775617272627227E-2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957</v>
      </c>
      <c r="H31" s="451">
        <f t="shared" si="2"/>
        <v>9.1869060190073917E-2</v>
      </c>
      <c r="I31" s="772"/>
      <c r="J31" s="772"/>
      <c r="K31" s="772"/>
      <c r="L31" s="772"/>
      <c r="M31" s="650">
        <f t="shared" si="3"/>
        <v>8.7775617272627227E-2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957</v>
      </c>
      <c r="H32" s="451">
        <f t="shared" si="2"/>
        <v>9.1869060190073917E-2</v>
      </c>
      <c r="I32" s="772"/>
      <c r="J32" s="772"/>
      <c r="K32" s="772"/>
      <c r="L32" s="772"/>
      <c r="M32" s="650">
        <f t="shared" si="3"/>
        <v>8.7775617272627227E-2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957</v>
      </c>
      <c r="H33" s="451">
        <f t="shared" si="2"/>
        <v>9.1869060190073917E-2</v>
      </c>
      <c r="I33" s="772"/>
      <c r="J33" s="772"/>
      <c r="K33" s="772"/>
      <c r="L33" s="772"/>
      <c r="M33" s="650">
        <f t="shared" si="3"/>
        <v>8.7775617272627227E-2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957</v>
      </c>
      <c r="H34" s="451">
        <f t="shared" si="2"/>
        <v>9.1869060190073917E-2</v>
      </c>
      <c r="I34" s="772"/>
      <c r="J34" s="772"/>
      <c r="K34" s="772"/>
      <c r="L34" s="772"/>
      <c r="M34" s="650">
        <f t="shared" si="3"/>
        <v>8.7775617272627227E-2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957</v>
      </c>
      <c r="H35" s="451">
        <f t="shared" si="2"/>
        <v>9.1869060190073917E-2</v>
      </c>
      <c r="I35" s="772"/>
      <c r="J35" s="772"/>
      <c r="K35" s="772"/>
      <c r="L35" s="772"/>
      <c r="M35" s="650">
        <f t="shared" si="3"/>
        <v>8.7775617272627227E-2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957</v>
      </c>
      <c r="H36" s="451">
        <f t="shared" si="2"/>
        <v>9.1869060190073917E-2</v>
      </c>
      <c r="I36" s="772"/>
      <c r="J36" s="772"/>
      <c r="K36" s="772"/>
      <c r="L36" s="772"/>
      <c r="M36" s="650">
        <f t="shared" si="3"/>
        <v>8.7775617272627227E-2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957</v>
      </c>
      <c r="H37" s="451">
        <f t="shared" si="2"/>
        <v>9.1869060190073917E-2</v>
      </c>
      <c r="I37" s="772"/>
      <c r="J37" s="772"/>
      <c r="K37" s="772"/>
      <c r="L37" s="772"/>
      <c r="M37" s="650">
        <f t="shared" si="3"/>
        <v>8.7775617272627227E-2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957</v>
      </c>
      <c r="H38" s="451">
        <f t="shared" si="2"/>
        <v>9.1869060190073917E-2</v>
      </c>
      <c r="I38" s="772"/>
      <c r="J38" s="772"/>
      <c r="K38" s="772"/>
      <c r="L38" s="772"/>
      <c r="M38" s="650">
        <f t="shared" si="3"/>
        <v>8.7775617272627227E-2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845.16129032258061</v>
      </c>
      <c r="G39" s="396">
        <f t="shared" si="0"/>
        <v>957</v>
      </c>
      <c r="H39" s="451">
        <f t="shared" si="2"/>
        <v>9.1869060190073917E-2</v>
      </c>
      <c r="I39" s="772"/>
      <c r="J39" s="772"/>
      <c r="K39" s="772"/>
      <c r="L39" s="772"/>
      <c r="M39" s="650">
        <f t="shared" si="3"/>
        <v>8.7775617272627227E-2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12641</v>
      </c>
      <c r="E40" s="389">
        <f>SUM(E9:E39)</f>
        <v>13100</v>
      </c>
      <c r="F40" s="449"/>
      <c r="G40" s="389">
        <f>G39</f>
        <v>957</v>
      </c>
      <c r="H40" s="309"/>
      <c r="I40" s="689">
        <f>SUM(I9:I39)</f>
        <v>0</v>
      </c>
      <c r="J40" s="689">
        <f t="shared" ref="J40:L40" si="5">SUM(J9:J39)</f>
        <v>13100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14057</v>
      </c>
      <c r="E41" s="389">
        <f>E40</f>
        <v>13100</v>
      </c>
      <c r="F41" s="449"/>
      <c r="G41" s="389">
        <f>D41-E41</f>
        <v>957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13100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7001" priority="34" operator="between">
      <formula>3.5</formula>
      <formula>6</formula>
    </cfRule>
    <cfRule type="cellIs" dxfId="7000" priority="35" operator="lessThan">
      <formula>3.5</formula>
    </cfRule>
    <cfRule type="cellIs" dxfId="6999" priority="36" operator="greaterThan">
      <formula>6</formula>
    </cfRule>
  </conditionalFormatting>
  <conditionalFormatting sqref="H9:H12 H24:H37 H14:H17 H19:H22 H39">
    <cfRule type="cellIs" dxfId="6998" priority="31" operator="between">
      <formula>3.5</formula>
      <formula>6</formula>
    </cfRule>
    <cfRule type="cellIs" dxfId="6997" priority="32" operator="lessThan">
      <formula>3.5</formula>
    </cfRule>
    <cfRule type="cellIs" dxfId="6996" priority="33" operator="greaterThan">
      <formula>6</formula>
    </cfRule>
  </conditionalFormatting>
  <conditionalFormatting sqref="H23">
    <cfRule type="cellIs" dxfId="6995" priority="28" operator="between">
      <formula>3.5</formula>
      <formula>6</formula>
    </cfRule>
    <cfRule type="cellIs" dxfId="6994" priority="29" operator="lessThan">
      <formula>3.5</formula>
    </cfRule>
    <cfRule type="cellIs" dxfId="6993" priority="30" operator="greaterThan">
      <formula>6</formula>
    </cfRule>
  </conditionalFormatting>
  <conditionalFormatting sqref="H13">
    <cfRule type="cellIs" dxfId="6992" priority="25" operator="between">
      <formula>3.5</formula>
      <formula>6</formula>
    </cfRule>
    <cfRule type="cellIs" dxfId="6991" priority="26" operator="lessThan">
      <formula>3.5</formula>
    </cfRule>
    <cfRule type="cellIs" dxfId="6990" priority="27" operator="greaterThan">
      <formula>6</formula>
    </cfRule>
  </conditionalFormatting>
  <conditionalFormatting sqref="H18">
    <cfRule type="cellIs" dxfId="6989" priority="22" operator="between">
      <formula>3.5</formula>
      <formula>6</formula>
    </cfRule>
    <cfRule type="cellIs" dxfId="6988" priority="23" operator="lessThan">
      <formula>3.5</formula>
    </cfRule>
    <cfRule type="cellIs" dxfId="6987" priority="24" operator="greaterThan">
      <formula>6</formula>
    </cfRule>
  </conditionalFormatting>
  <conditionalFormatting sqref="H9:H39">
    <cfRule type="cellIs" dxfId="6986" priority="19" operator="between">
      <formula>3.5</formula>
      <formula>6</formula>
    </cfRule>
    <cfRule type="cellIs" dxfId="6985" priority="20" operator="lessThan">
      <formula>3.5</formula>
    </cfRule>
    <cfRule type="cellIs" dxfId="6984" priority="21" operator="greaterThan">
      <formula>6</formula>
    </cfRule>
  </conditionalFormatting>
  <conditionalFormatting sqref="H9:H39">
    <cfRule type="cellIs" dxfId="6983" priority="16" operator="between">
      <formula>3.5</formula>
      <formula>6</formula>
    </cfRule>
    <cfRule type="cellIs" dxfId="6982" priority="17" operator="lessThan">
      <formula>3.5</formula>
    </cfRule>
    <cfRule type="cellIs" dxfId="6981" priority="18" operator="greaterThan">
      <formula>6</formula>
    </cfRule>
  </conditionalFormatting>
  <conditionalFormatting sqref="H9:H39">
    <cfRule type="cellIs" dxfId="6980" priority="13" operator="between">
      <formula>3.5</formula>
      <formula>6</formula>
    </cfRule>
    <cfRule type="cellIs" dxfId="6979" priority="14" operator="lessThan">
      <formula>3.5</formula>
    </cfRule>
    <cfRule type="cellIs" dxfId="6978" priority="15" operator="greaterThan">
      <formula>6</formula>
    </cfRule>
  </conditionalFormatting>
  <conditionalFormatting sqref="H9:H39">
    <cfRule type="cellIs" dxfId="6977" priority="10" operator="between">
      <formula>3.5</formula>
      <formula>6</formula>
    </cfRule>
    <cfRule type="cellIs" dxfId="6976" priority="11" operator="lessThan">
      <formula>3.5</formula>
    </cfRule>
    <cfRule type="cellIs" dxfId="6975" priority="12" operator="greaterThan">
      <formula>6</formula>
    </cfRule>
  </conditionalFormatting>
  <conditionalFormatting sqref="H9:H39">
    <cfRule type="cellIs" dxfId="6974" priority="7" operator="between">
      <formula>3.5</formula>
      <formula>6</formula>
    </cfRule>
    <cfRule type="cellIs" dxfId="6973" priority="8" operator="lessThan">
      <formula>3.5</formula>
    </cfRule>
    <cfRule type="cellIs" dxfId="6972" priority="9" operator="greaterThan">
      <formula>6</formula>
    </cfRule>
  </conditionalFormatting>
  <conditionalFormatting sqref="H9:H39">
    <cfRule type="cellIs" dxfId="6971" priority="4" operator="between">
      <formula>3.5</formula>
      <formula>6</formula>
    </cfRule>
    <cfRule type="cellIs" dxfId="6970" priority="5" operator="lessThan">
      <formula>3.5</formula>
    </cfRule>
    <cfRule type="cellIs" dxfId="6969" priority="6" operator="greaterThan">
      <formula>6</formula>
    </cfRule>
  </conditionalFormatting>
  <conditionalFormatting sqref="H9:H39">
    <cfRule type="cellIs" dxfId="6968" priority="1" operator="between">
      <formula>3.5</formula>
      <formula>6</formula>
    </cfRule>
    <cfRule type="cellIs" dxfId="6967" priority="2" operator="lessThan">
      <formula>3.5</formula>
    </cfRule>
    <cfRule type="cellIs" dxfId="696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A49"/>
  <sheetViews>
    <sheetView zoomScale="90" zoomScaleNormal="90" workbookViewId="0">
      <pane ySplit="8" topLeftCell="A18" activePane="bottomLeft" state="frozen"/>
      <selection activeCell="L8" sqref="L8"/>
      <selection pane="bottomLeft" activeCell="J30" sqref="J30:J34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81"/>
      <c r="K3" s="1181"/>
      <c r="L3" s="1181"/>
      <c r="N3" s="442"/>
      <c r="O3" s="442"/>
      <c r="P3" s="442"/>
    </row>
    <row r="4" spans="1:27" s="1186" customFormat="1" ht="12" customHeight="1">
      <c r="A4" s="1648" t="s">
        <v>33</v>
      </c>
      <c r="B4" s="1648"/>
      <c r="C4" s="551" t="str">
        <f>H4</f>
        <v xml:space="preserve">GREEN HOME nâu 40*80-HA </v>
      </c>
      <c r="E4" s="549" t="s">
        <v>228</v>
      </c>
      <c r="F4" s="549" t="s">
        <v>235</v>
      </c>
      <c r="G4" s="550" t="s">
        <v>114</v>
      </c>
      <c r="H4" s="551" t="s">
        <v>979</v>
      </c>
      <c r="M4" s="143"/>
    </row>
    <row r="5" spans="1:27" s="118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18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183" t="s">
        <v>2</v>
      </c>
      <c r="B7" s="1185" t="s">
        <v>1</v>
      </c>
      <c r="C7" s="1185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82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184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965" priority="34" operator="between">
      <formula>3.5</formula>
      <formula>6</formula>
    </cfRule>
    <cfRule type="cellIs" dxfId="6964" priority="35" operator="lessThan">
      <formula>3.5</formula>
    </cfRule>
    <cfRule type="cellIs" dxfId="6963" priority="36" operator="greaterThan">
      <formula>6</formula>
    </cfRule>
  </conditionalFormatting>
  <conditionalFormatting sqref="H9:H12 H24:H37 H14:H17 H19:H22 H39">
    <cfRule type="cellIs" dxfId="6962" priority="31" operator="between">
      <formula>3.5</formula>
      <formula>6</formula>
    </cfRule>
    <cfRule type="cellIs" dxfId="6961" priority="32" operator="lessThan">
      <formula>3.5</formula>
    </cfRule>
    <cfRule type="cellIs" dxfId="6960" priority="33" operator="greaterThan">
      <formula>6</formula>
    </cfRule>
  </conditionalFormatting>
  <conditionalFormatting sqref="H23">
    <cfRule type="cellIs" dxfId="6959" priority="28" operator="between">
      <formula>3.5</formula>
      <formula>6</formula>
    </cfRule>
    <cfRule type="cellIs" dxfId="6958" priority="29" operator="lessThan">
      <formula>3.5</formula>
    </cfRule>
    <cfRule type="cellIs" dxfId="6957" priority="30" operator="greaterThan">
      <formula>6</formula>
    </cfRule>
  </conditionalFormatting>
  <conditionalFormatting sqref="H13">
    <cfRule type="cellIs" dxfId="6956" priority="25" operator="between">
      <formula>3.5</formula>
      <formula>6</formula>
    </cfRule>
    <cfRule type="cellIs" dxfId="6955" priority="26" operator="lessThan">
      <formula>3.5</formula>
    </cfRule>
    <cfRule type="cellIs" dxfId="6954" priority="27" operator="greaterThan">
      <formula>6</formula>
    </cfRule>
  </conditionalFormatting>
  <conditionalFormatting sqref="H18">
    <cfRule type="cellIs" dxfId="6953" priority="22" operator="between">
      <formula>3.5</formula>
      <formula>6</formula>
    </cfRule>
    <cfRule type="cellIs" dxfId="6952" priority="23" operator="lessThan">
      <formula>3.5</formula>
    </cfRule>
    <cfRule type="cellIs" dxfId="6951" priority="24" operator="greaterThan">
      <formula>6</formula>
    </cfRule>
  </conditionalFormatting>
  <conditionalFormatting sqref="H9:H39">
    <cfRule type="cellIs" dxfId="6950" priority="19" operator="between">
      <formula>3.5</formula>
      <formula>6</formula>
    </cfRule>
    <cfRule type="cellIs" dxfId="6949" priority="20" operator="lessThan">
      <formula>3.5</formula>
    </cfRule>
    <cfRule type="cellIs" dxfId="6948" priority="21" operator="greaterThan">
      <formula>6</formula>
    </cfRule>
  </conditionalFormatting>
  <conditionalFormatting sqref="H9:H39">
    <cfRule type="cellIs" dxfId="6947" priority="16" operator="between">
      <formula>3.5</formula>
      <formula>6</formula>
    </cfRule>
    <cfRule type="cellIs" dxfId="6946" priority="17" operator="lessThan">
      <formula>3.5</formula>
    </cfRule>
    <cfRule type="cellIs" dxfId="6945" priority="18" operator="greaterThan">
      <formula>6</formula>
    </cfRule>
  </conditionalFormatting>
  <conditionalFormatting sqref="H9:H39">
    <cfRule type="cellIs" dxfId="6944" priority="13" operator="between">
      <formula>3.5</formula>
      <formula>6</formula>
    </cfRule>
    <cfRule type="cellIs" dxfId="6943" priority="14" operator="lessThan">
      <formula>3.5</formula>
    </cfRule>
    <cfRule type="cellIs" dxfId="6942" priority="15" operator="greaterThan">
      <formula>6</formula>
    </cfRule>
  </conditionalFormatting>
  <conditionalFormatting sqref="H9:H39">
    <cfRule type="cellIs" dxfId="6941" priority="10" operator="between">
      <formula>3.5</formula>
      <formula>6</formula>
    </cfRule>
    <cfRule type="cellIs" dxfId="6940" priority="11" operator="lessThan">
      <formula>3.5</formula>
    </cfRule>
    <cfRule type="cellIs" dxfId="6939" priority="12" operator="greaterThan">
      <formula>6</formula>
    </cfRule>
  </conditionalFormatting>
  <conditionalFormatting sqref="H9:H39">
    <cfRule type="cellIs" dxfId="6938" priority="7" operator="between">
      <formula>3.5</formula>
      <formula>6</formula>
    </cfRule>
    <cfRule type="cellIs" dxfId="6937" priority="8" operator="lessThan">
      <formula>3.5</formula>
    </cfRule>
    <cfRule type="cellIs" dxfId="6936" priority="9" operator="greaterThan">
      <formula>6</formula>
    </cfRule>
  </conditionalFormatting>
  <conditionalFormatting sqref="H9:H39">
    <cfRule type="cellIs" dxfId="6935" priority="4" operator="between">
      <formula>3.5</formula>
      <formula>6</formula>
    </cfRule>
    <cfRule type="cellIs" dxfId="6934" priority="5" operator="lessThan">
      <formula>3.5</formula>
    </cfRule>
    <cfRule type="cellIs" dxfId="6933" priority="6" operator="greaterThan">
      <formula>6</formula>
    </cfRule>
  </conditionalFormatting>
  <conditionalFormatting sqref="H9:H39">
    <cfRule type="cellIs" dxfId="6932" priority="1" operator="between">
      <formula>3.5</formula>
      <formula>6</formula>
    </cfRule>
    <cfRule type="cellIs" dxfId="6931" priority="2" operator="lessThan">
      <formula>3.5</formula>
    </cfRule>
    <cfRule type="cellIs" dxfId="693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72"/>
      <c r="K3" s="1272"/>
      <c r="L3" s="1272"/>
      <c r="N3" s="442"/>
      <c r="O3" s="442"/>
      <c r="P3" s="442"/>
    </row>
    <row r="4" spans="1:27" s="1277" customFormat="1" ht="12" customHeight="1">
      <c r="A4" s="1648" t="s">
        <v>33</v>
      </c>
      <c r="B4" s="1648"/>
      <c r="C4" s="551" t="str">
        <f>H4</f>
        <v xml:space="preserve">GREEN HOME nâu 40*80 5V-HA </v>
      </c>
      <c r="E4" s="549" t="s">
        <v>228</v>
      </c>
      <c r="F4" s="549" t="s">
        <v>235</v>
      </c>
      <c r="G4" s="550" t="s">
        <v>114</v>
      </c>
      <c r="H4" s="551" t="s">
        <v>1086</v>
      </c>
      <c r="M4" s="143"/>
    </row>
    <row r="5" spans="1:27" s="127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277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274" t="s">
        <v>2</v>
      </c>
      <c r="B7" s="1276" t="s">
        <v>1</v>
      </c>
      <c r="C7" s="127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73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275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v>3000</v>
      </c>
      <c r="E24" s="396">
        <f t="shared" si="1"/>
        <v>0</v>
      </c>
      <c r="F24" s="396">
        <f t="shared" si="4"/>
        <v>10902.777777777777</v>
      </c>
      <c r="G24" s="396">
        <f t="shared" si="0"/>
        <v>3000</v>
      </c>
      <c r="H24" s="451">
        <f t="shared" si="2"/>
        <v>0.28799078429490255</v>
      </c>
      <c r="I24" s="772"/>
      <c r="J24" s="772"/>
      <c r="K24" s="772"/>
      <c r="L24" s="772"/>
      <c r="M24" s="650">
        <f t="shared" si="3"/>
        <v>0.27515867483582201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v>7000</v>
      </c>
      <c r="E25" s="396">
        <f t="shared" si="1"/>
        <v>0</v>
      </c>
      <c r="F25" s="396">
        <f t="shared" si="4"/>
        <v>10902.777777777777</v>
      </c>
      <c r="G25" s="396">
        <f t="shared" si="0"/>
        <v>10000</v>
      </c>
      <c r="H25" s="451">
        <f t="shared" si="2"/>
        <v>0.95996928098300849</v>
      </c>
      <c r="I25" s="772"/>
      <c r="J25" s="772"/>
      <c r="K25" s="772"/>
      <c r="L25" s="772"/>
      <c r="M25" s="650">
        <f t="shared" si="3"/>
        <v>0.91719558278607338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10000</v>
      </c>
      <c r="H26" s="451">
        <f t="shared" si="2"/>
        <v>0.95996928098300849</v>
      </c>
      <c r="I26" s="772"/>
      <c r="J26" s="772"/>
      <c r="K26" s="772"/>
      <c r="L26" s="772"/>
      <c r="M26" s="650">
        <f t="shared" si="3"/>
        <v>0.91719558278607338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10000</v>
      </c>
      <c r="H27" s="451">
        <f t="shared" si="2"/>
        <v>0.95996928098300849</v>
      </c>
      <c r="I27" s="772"/>
      <c r="J27" s="772"/>
      <c r="K27" s="772"/>
      <c r="L27" s="772"/>
      <c r="M27" s="650">
        <f t="shared" si="3"/>
        <v>0.91719558278607338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10000</v>
      </c>
      <c r="H28" s="451">
        <f t="shared" si="2"/>
        <v>0.95996928098300849</v>
      </c>
      <c r="I28" s="772"/>
      <c r="J28" s="772"/>
      <c r="K28" s="772"/>
      <c r="L28" s="772"/>
      <c r="M28" s="650">
        <f t="shared" si="3"/>
        <v>0.91719558278607338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10000</v>
      </c>
      <c r="H29" s="451">
        <f t="shared" si="2"/>
        <v>0.95996928098300849</v>
      </c>
      <c r="I29" s="772"/>
      <c r="J29" s="772"/>
      <c r="K29" s="772"/>
      <c r="L29" s="772"/>
      <c r="M29" s="650">
        <f t="shared" si="3"/>
        <v>0.91719558278607338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10000</v>
      </c>
      <c r="H30" s="451">
        <f t="shared" si="2"/>
        <v>0.95996928098300849</v>
      </c>
      <c r="I30" s="772"/>
      <c r="J30" s="772"/>
      <c r="K30" s="772"/>
      <c r="L30" s="772"/>
      <c r="M30" s="650">
        <f t="shared" si="3"/>
        <v>0.91719558278607338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10000</v>
      </c>
      <c r="H31" s="451">
        <f t="shared" si="2"/>
        <v>0.95996928098300849</v>
      </c>
      <c r="I31" s="772"/>
      <c r="J31" s="772"/>
      <c r="K31" s="772"/>
      <c r="L31" s="772"/>
      <c r="M31" s="650">
        <f t="shared" si="3"/>
        <v>0.91719558278607338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10000</v>
      </c>
      <c r="H32" s="451">
        <f t="shared" si="2"/>
        <v>0.95996928098300849</v>
      </c>
      <c r="I32" s="772"/>
      <c r="J32" s="772"/>
      <c r="K32" s="772"/>
      <c r="L32" s="772"/>
      <c r="M32" s="650">
        <f t="shared" si="3"/>
        <v>0.91719558278607338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10000</v>
      </c>
      <c r="H33" s="451">
        <f t="shared" si="2"/>
        <v>0.95996928098300849</v>
      </c>
      <c r="I33" s="772"/>
      <c r="J33" s="772"/>
      <c r="K33" s="772"/>
      <c r="L33" s="772"/>
      <c r="M33" s="650">
        <f t="shared" si="3"/>
        <v>0.91719558278607338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10000</v>
      </c>
      <c r="H34" s="451">
        <f t="shared" si="2"/>
        <v>0.95996928098300849</v>
      </c>
      <c r="I34" s="772"/>
      <c r="J34" s="772"/>
      <c r="K34" s="772"/>
      <c r="L34" s="772"/>
      <c r="M34" s="650">
        <f t="shared" si="3"/>
        <v>0.91719558278607338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10000</v>
      </c>
      <c r="H35" s="451">
        <f t="shared" si="2"/>
        <v>0.95996928098300849</v>
      </c>
      <c r="I35" s="772"/>
      <c r="J35" s="772"/>
      <c r="K35" s="772"/>
      <c r="L35" s="772"/>
      <c r="M35" s="650">
        <f t="shared" si="3"/>
        <v>0.91719558278607338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10000</v>
      </c>
      <c r="H36" s="451">
        <f t="shared" si="2"/>
        <v>0.95996928098300849</v>
      </c>
      <c r="I36" s="772"/>
      <c r="J36" s="772"/>
      <c r="K36" s="772"/>
      <c r="L36" s="772"/>
      <c r="M36" s="650">
        <f t="shared" si="3"/>
        <v>0.91719558278607338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10000</v>
      </c>
      <c r="H37" s="451">
        <f t="shared" si="2"/>
        <v>0.95996928098300849</v>
      </c>
      <c r="I37" s="772"/>
      <c r="J37" s="772"/>
      <c r="K37" s="772"/>
      <c r="L37" s="772"/>
      <c r="M37" s="650">
        <f t="shared" si="3"/>
        <v>0.91719558278607338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10000</v>
      </c>
      <c r="H38" s="451">
        <f t="shared" si="2"/>
        <v>0.95996928098300849</v>
      </c>
      <c r="I38" s="772"/>
      <c r="J38" s="772"/>
      <c r="K38" s="772"/>
      <c r="L38" s="772"/>
      <c r="M38" s="650">
        <f t="shared" si="3"/>
        <v>0.91719558278607338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/>
      <c r="E39" s="396">
        <f t="shared" si="1"/>
        <v>0</v>
      </c>
      <c r="F39" s="396">
        <f>SUM($E$8:E39)/A39</f>
        <v>0</v>
      </c>
      <c r="G39" s="396">
        <f t="shared" si="0"/>
        <v>10000</v>
      </c>
      <c r="H39" s="451">
        <f t="shared" si="2"/>
        <v>0.95996928098300849</v>
      </c>
      <c r="I39" s="772"/>
      <c r="J39" s="772"/>
      <c r="K39" s="772"/>
      <c r="L39" s="772"/>
      <c r="M39" s="650">
        <f t="shared" si="3"/>
        <v>0.91719558278607338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10000</v>
      </c>
      <c r="E40" s="389">
        <f>SUM(E9:E39)</f>
        <v>0</v>
      </c>
      <c r="F40" s="449"/>
      <c r="G40" s="389">
        <f>G39</f>
        <v>10000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10000</v>
      </c>
      <c r="E41" s="389">
        <f>E40</f>
        <v>0</v>
      </c>
      <c r="F41" s="449"/>
      <c r="G41" s="389">
        <f>D41-E41</f>
        <v>10000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929" priority="34" operator="between">
      <formula>3.5</formula>
      <formula>6</formula>
    </cfRule>
    <cfRule type="cellIs" dxfId="6928" priority="35" operator="lessThan">
      <formula>3.5</formula>
    </cfRule>
    <cfRule type="cellIs" dxfId="6927" priority="36" operator="greaterThan">
      <formula>6</formula>
    </cfRule>
  </conditionalFormatting>
  <conditionalFormatting sqref="H9:H12 H24:H37 H14:H17 H19:H22 H39">
    <cfRule type="cellIs" dxfId="6926" priority="31" operator="between">
      <formula>3.5</formula>
      <formula>6</formula>
    </cfRule>
    <cfRule type="cellIs" dxfId="6925" priority="32" operator="lessThan">
      <formula>3.5</formula>
    </cfRule>
    <cfRule type="cellIs" dxfId="6924" priority="33" operator="greaterThan">
      <formula>6</formula>
    </cfRule>
  </conditionalFormatting>
  <conditionalFormatting sqref="H23">
    <cfRule type="cellIs" dxfId="6923" priority="28" operator="between">
      <formula>3.5</formula>
      <formula>6</formula>
    </cfRule>
    <cfRule type="cellIs" dxfId="6922" priority="29" operator="lessThan">
      <formula>3.5</formula>
    </cfRule>
    <cfRule type="cellIs" dxfId="6921" priority="30" operator="greaterThan">
      <formula>6</formula>
    </cfRule>
  </conditionalFormatting>
  <conditionalFormatting sqref="H13">
    <cfRule type="cellIs" dxfId="6920" priority="25" operator="between">
      <formula>3.5</formula>
      <formula>6</formula>
    </cfRule>
    <cfRule type="cellIs" dxfId="6919" priority="26" operator="lessThan">
      <formula>3.5</formula>
    </cfRule>
    <cfRule type="cellIs" dxfId="6918" priority="27" operator="greaterThan">
      <formula>6</formula>
    </cfRule>
  </conditionalFormatting>
  <conditionalFormatting sqref="H18">
    <cfRule type="cellIs" dxfId="6917" priority="22" operator="between">
      <formula>3.5</formula>
      <formula>6</formula>
    </cfRule>
    <cfRule type="cellIs" dxfId="6916" priority="23" operator="lessThan">
      <formula>3.5</formula>
    </cfRule>
    <cfRule type="cellIs" dxfId="6915" priority="24" operator="greaterThan">
      <formula>6</formula>
    </cfRule>
  </conditionalFormatting>
  <conditionalFormatting sqref="H9:H39">
    <cfRule type="cellIs" dxfId="6914" priority="19" operator="between">
      <formula>3.5</formula>
      <formula>6</formula>
    </cfRule>
    <cfRule type="cellIs" dxfId="6913" priority="20" operator="lessThan">
      <formula>3.5</formula>
    </cfRule>
    <cfRule type="cellIs" dxfId="6912" priority="21" operator="greaterThan">
      <formula>6</formula>
    </cfRule>
  </conditionalFormatting>
  <conditionalFormatting sqref="H9:H39">
    <cfRule type="cellIs" dxfId="6911" priority="16" operator="between">
      <formula>3.5</formula>
      <formula>6</formula>
    </cfRule>
    <cfRule type="cellIs" dxfId="6910" priority="17" operator="lessThan">
      <formula>3.5</formula>
    </cfRule>
    <cfRule type="cellIs" dxfId="6909" priority="18" operator="greaterThan">
      <formula>6</formula>
    </cfRule>
  </conditionalFormatting>
  <conditionalFormatting sqref="H9:H39">
    <cfRule type="cellIs" dxfId="6908" priority="13" operator="between">
      <formula>3.5</formula>
      <formula>6</formula>
    </cfRule>
    <cfRule type="cellIs" dxfId="6907" priority="14" operator="lessThan">
      <formula>3.5</formula>
    </cfRule>
    <cfRule type="cellIs" dxfId="6906" priority="15" operator="greaterThan">
      <formula>6</formula>
    </cfRule>
  </conditionalFormatting>
  <conditionalFormatting sqref="H9:H39">
    <cfRule type="cellIs" dxfId="6905" priority="10" operator="between">
      <formula>3.5</formula>
      <formula>6</formula>
    </cfRule>
    <cfRule type="cellIs" dxfId="6904" priority="11" operator="lessThan">
      <formula>3.5</formula>
    </cfRule>
    <cfRule type="cellIs" dxfId="6903" priority="12" operator="greaterThan">
      <formula>6</formula>
    </cfRule>
  </conditionalFormatting>
  <conditionalFormatting sqref="H9:H39">
    <cfRule type="cellIs" dxfId="6902" priority="7" operator="between">
      <formula>3.5</formula>
      <formula>6</formula>
    </cfRule>
    <cfRule type="cellIs" dxfId="6901" priority="8" operator="lessThan">
      <formula>3.5</formula>
    </cfRule>
    <cfRule type="cellIs" dxfId="6900" priority="9" operator="greaterThan">
      <formula>6</formula>
    </cfRule>
  </conditionalFormatting>
  <conditionalFormatting sqref="H9:H39">
    <cfRule type="cellIs" dxfId="6899" priority="4" operator="between">
      <formula>3.5</formula>
      <formula>6</formula>
    </cfRule>
    <cfRule type="cellIs" dxfId="6898" priority="5" operator="lessThan">
      <formula>3.5</formula>
    </cfRule>
    <cfRule type="cellIs" dxfId="6897" priority="6" operator="greaterThan">
      <formula>6</formula>
    </cfRule>
  </conditionalFormatting>
  <conditionalFormatting sqref="H9:H39">
    <cfRule type="cellIs" dxfId="6896" priority="1" operator="between">
      <formula>3.5</formula>
      <formula>6</formula>
    </cfRule>
    <cfRule type="cellIs" dxfId="6895" priority="2" operator="lessThan">
      <formula>3.5</formula>
    </cfRule>
    <cfRule type="cellIs" dxfId="689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A49"/>
  <sheetViews>
    <sheetView zoomScale="90" zoomScaleNormal="90" workbookViewId="0">
      <pane ySplit="8" topLeftCell="A27" activePane="bottomLeft" state="frozen"/>
      <selection activeCell="L8" sqref="L8"/>
      <selection pane="bottomLeft" activeCell="J18" sqref="J18:J27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87"/>
      <c r="K3" s="1187"/>
      <c r="L3" s="1187"/>
      <c r="N3" s="442"/>
      <c r="O3" s="442"/>
      <c r="P3" s="442"/>
    </row>
    <row r="4" spans="1:27" s="1192" customFormat="1" ht="12" customHeight="1">
      <c r="A4" s="1648" t="s">
        <v>33</v>
      </c>
      <c r="B4" s="1648"/>
      <c r="C4" s="551" t="str">
        <f>H4</f>
        <v xml:space="preserve">UNITILE nâu 40*80-HA </v>
      </c>
      <c r="E4" s="549" t="s">
        <v>228</v>
      </c>
      <c r="F4" s="549" t="s">
        <v>235</v>
      </c>
      <c r="G4" s="550" t="s">
        <v>114</v>
      </c>
      <c r="H4" s="551" t="s">
        <v>984</v>
      </c>
      <c r="M4" s="143"/>
    </row>
    <row r="5" spans="1:27" s="1192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192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189" t="s">
        <v>2</v>
      </c>
      <c r="B7" s="1191" t="s">
        <v>1</v>
      </c>
      <c r="C7" s="1191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88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190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893" priority="34" operator="between">
      <formula>3.5</formula>
      <formula>6</formula>
    </cfRule>
    <cfRule type="cellIs" dxfId="6892" priority="35" operator="lessThan">
      <formula>3.5</formula>
    </cfRule>
    <cfRule type="cellIs" dxfId="6891" priority="36" operator="greaterThan">
      <formula>6</formula>
    </cfRule>
  </conditionalFormatting>
  <conditionalFormatting sqref="H9:H12 H24:H37 H14:H17 H19:H22 H39">
    <cfRule type="cellIs" dxfId="6890" priority="31" operator="between">
      <formula>3.5</formula>
      <formula>6</formula>
    </cfRule>
    <cfRule type="cellIs" dxfId="6889" priority="32" operator="lessThan">
      <formula>3.5</formula>
    </cfRule>
    <cfRule type="cellIs" dxfId="6888" priority="33" operator="greaterThan">
      <formula>6</formula>
    </cfRule>
  </conditionalFormatting>
  <conditionalFormatting sqref="H23">
    <cfRule type="cellIs" dxfId="6887" priority="28" operator="between">
      <formula>3.5</formula>
      <formula>6</formula>
    </cfRule>
    <cfRule type="cellIs" dxfId="6886" priority="29" operator="lessThan">
      <formula>3.5</formula>
    </cfRule>
    <cfRule type="cellIs" dxfId="6885" priority="30" operator="greaterThan">
      <formula>6</formula>
    </cfRule>
  </conditionalFormatting>
  <conditionalFormatting sqref="H13">
    <cfRule type="cellIs" dxfId="6884" priority="25" operator="between">
      <formula>3.5</formula>
      <formula>6</formula>
    </cfRule>
    <cfRule type="cellIs" dxfId="6883" priority="26" operator="lessThan">
      <formula>3.5</formula>
    </cfRule>
    <cfRule type="cellIs" dxfId="6882" priority="27" operator="greaterThan">
      <formula>6</formula>
    </cfRule>
  </conditionalFormatting>
  <conditionalFormatting sqref="H18">
    <cfRule type="cellIs" dxfId="6881" priority="22" operator="between">
      <formula>3.5</formula>
      <formula>6</formula>
    </cfRule>
    <cfRule type="cellIs" dxfId="6880" priority="23" operator="lessThan">
      <formula>3.5</formula>
    </cfRule>
    <cfRule type="cellIs" dxfId="6879" priority="24" operator="greaterThan">
      <formula>6</formula>
    </cfRule>
  </conditionalFormatting>
  <conditionalFormatting sqref="H9:H39">
    <cfRule type="cellIs" dxfId="6878" priority="19" operator="between">
      <formula>3.5</formula>
      <formula>6</formula>
    </cfRule>
    <cfRule type="cellIs" dxfId="6877" priority="20" operator="lessThan">
      <formula>3.5</formula>
    </cfRule>
    <cfRule type="cellIs" dxfId="6876" priority="21" operator="greaterThan">
      <formula>6</formula>
    </cfRule>
  </conditionalFormatting>
  <conditionalFormatting sqref="H9:H39">
    <cfRule type="cellIs" dxfId="6875" priority="16" operator="between">
      <formula>3.5</formula>
      <formula>6</formula>
    </cfRule>
    <cfRule type="cellIs" dxfId="6874" priority="17" operator="lessThan">
      <formula>3.5</formula>
    </cfRule>
    <cfRule type="cellIs" dxfId="6873" priority="18" operator="greaterThan">
      <formula>6</formula>
    </cfRule>
  </conditionalFormatting>
  <conditionalFormatting sqref="H9:H39">
    <cfRule type="cellIs" dxfId="6872" priority="13" operator="between">
      <formula>3.5</formula>
      <formula>6</formula>
    </cfRule>
    <cfRule type="cellIs" dxfId="6871" priority="14" operator="lessThan">
      <formula>3.5</formula>
    </cfRule>
    <cfRule type="cellIs" dxfId="6870" priority="15" operator="greaterThan">
      <formula>6</formula>
    </cfRule>
  </conditionalFormatting>
  <conditionalFormatting sqref="H9:H39">
    <cfRule type="cellIs" dxfId="6869" priority="10" operator="between">
      <formula>3.5</formula>
      <formula>6</formula>
    </cfRule>
    <cfRule type="cellIs" dxfId="6868" priority="11" operator="lessThan">
      <formula>3.5</formula>
    </cfRule>
    <cfRule type="cellIs" dxfId="6867" priority="12" operator="greaterThan">
      <formula>6</formula>
    </cfRule>
  </conditionalFormatting>
  <conditionalFormatting sqref="H9:H39">
    <cfRule type="cellIs" dxfId="6866" priority="7" operator="between">
      <formula>3.5</formula>
      <formula>6</formula>
    </cfRule>
    <cfRule type="cellIs" dxfId="6865" priority="8" operator="lessThan">
      <formula>3.5</formula>
    </cfRule>
    <cfRule type="cellIs" dxfId="6864" priority="9" operator="greaterThan">
      <formula>6</formula>
    </cfRule>
  </conditionalFormatting>
  <conditionalFormatting sqref="H9:H39">
    <cfRule type="cellIs" dxfId="6863" priority="4" operator="between">
      <formula>3.5</formula>
      <formula>6</formula>
    </cfRule>
    <cfRule type="cellIs" dxfId="6862" priority="5" operator="lessThan">
      <formula>3.5</formula>
    </cfRule>
    <cfRule type="cellIs" dxfId="6861" priority="6" operator="greaterThan">
      <formula>6</formula>
    </cfRule>
  </conditionalFormatting>
  <conditionalFormatting sqref="H9:H39">
    <cfRule type="cellIs" dxfId="6860" priority="1" operator="between">
      <formula>3.5</formula>
      <formula>6</formula>
    </cfRule>
    <cfRule type="cellIs" dxfId="6859" priority="2" operator="lessThan">
      <formula>3.5</formula>
    </cfRule>
    <cfRule type="cellIs" dxfId="685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69"/>
      <c r="K3" s="1169"/>
      <c r="L3" s="1169"/>
      <c r="N3" s="442"/>
      <c r="O3" s="442"/>
      <c r="P3" s="442"/>
    </row>
    <row r="4" spans="1:27" s="1174" customFormat="1" ht="12" customHeight="1">
      <c r="A4" s="1648" t="s">
        <v>33</v>
      </c>
      <c r="B4" s="1648"/>
      <c r="C4" s="551" t="str">
        <f>H4</f>
        <v xml:space="preserve">LUSTILE 30*60-HA </v>
      </c>
      <c r="E4" s="549" t="s">
        <v>228</v>
      </c>
      <c r="F4" s="549" t="s">
        <v>235</v>
      </c>
      <c r="G4" s="550" t="s">
        <v>114</v>
      </c>
      <c r="H4" s="551" t="s">
        <v>967</v>
      </c>
      <c r="M4" s="143"/>
    </row>
    <row r="5" spans="1:27" s="1174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174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171" t="s">
        <v>2</v>
      </c>
      <c r="B7" s="1173" t="s">
        <v>1</v>
      </c>
      <c r="C7" s="1173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70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14586</v>
      </c>
      <c r="E8" s="771">
        <f>E40</f>
        <v>4800</v>
      </c>
      <c r="F8" s="771"/>
      <c r="G8" s="774">
        <v>14586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172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14586</v>
      </c>
      <c r="H9" s="451">
        <f>G9/10417</f>
        <v>1.4002111932418162</v>
      </c>
      <c r="I9" s="772"/>
      <c r="J9" s="772"/>
      <c r="K9" s="772"/>
      <c r="L9" s="772"/>
      <c r="M9" s="650">
        <f>G9/$M$8</f>
        <v>1.3378214770517667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14586</v>
      </c>
      <c r="H10" s="451">
        <f t="shared" ref="H10:H39" si="2">G10/10417</f>
        <v>1.4002111932418162</v>
      </c>
      <c r="I10" s="772"/>
      <c r="J10" s="772"/>
      <c r="K10" s="772"/>
      <c r="L10" s="772"/>
      <c r="M10" s="650">
        <f t="shared" ref="M10:M39" si="3">G10/$M$8</f>
        <v>1.3378214770517667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14586</v>
      </c>
      <c r="H11" s="451">
        <f t="shared" si="2"/>
        <v>1.4002111932418162</v>
      </c>
      <c r="I11" s="772"/>
      <c r="J11" s="772"/>
      <c r="K11" s="772"/>
      <c r="L11" s="772"/>
      <c r="M11" s="650">
        <f t="shared" si="3"/>
        <v>1.3378214770517667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14586</v>
      </c>
      <c r="H12" s="451">
        <f t="shared" si="2"/>
        <v>1.4002111932418162</v>
      </c>
      <c r="I12" s="772"/>
      <c r="J12" s="772"/>
      <c r="K12" s="772"/>
      <c r="L12" s="772"/>
      <c r="M12" s="650">
        <f t="shared" si="3"/>
        <v>1.3378214770517667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14586</v>
      </c>
      <c r="H13" s="451">
        <f t="shared" si="2"/>
        <v>1.4002111932418162</v>
      </c>
      <c r="I13" s="772"/>
      <c r="J13" s="772"/>
      <c r="K13" s="772"/>
      <c r="L13" s="772"/>
      <c r="M13" s="650">
        <f t="shared" si="3"/>
        <v>1.3378214770517667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14586</v>
      </c>
      <c r="H14" s="451">
        <f t="shared" si="2"/>
        <v>1.4002111932418162</v>
      </c>
      <c r="I14" s="772"/>
      <c r="J14" s="772"/>
      <c r="K14" s="772"/>
      <c r="L14" s="772"/>
      <c r="M14" s="650">
        <f t="shared" si="3"/>
        <v>1.3378214770517667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14586</v>
      </c>
      <c r="H15" s="451">
        <f t="shared" si="2"/>
        <v>1.4002111932418162</v>
      </c>
      <c r="I15" s="772"/>
      <c r="J15" s="772"/>
      <c r="K15" s="772"/>
      <c r="L15" s="772"/>
      <c r="M15" s="650">
        <f t="shared" si="3"/>
        <v>1.3378214770517667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14586</v>
      </c>
      <c r="H16" s="451">
        <f t="shared" si="2"/>
        <v>1.4002111932418162</v>
      </c>
      <c r="I16" s="772"/>
      <c r="J16" s="772"/>
      <c r="K16" s="772"/>
      <c r="L16" s="772"/>
      <c r="M16" s="650">
        <f t="shared" si="3"/>
        <v>1.3378214770517667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14586</v>
      </c>
      <c r="H17" s="451">
        <f t="shared" si="2"/>
        <v>1.4002111932418162</v>
      </c>
      <c r="I17" s="772"/>
      <c r="J17" s="772"/>
      <c r="K17" s="772"/>
      <c r="L17" s="772"/>
      <c r="M17" s="650">
        <f t="shared" si="3"/>
        <v>1.3378214770517667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14586</v>
      </c>
      <c r="H18" s="451">
        <f t="shared" si="2"/>
        <v>1.4002111932418162</v>
      </c>
      <c r="I18" s="772"/>
      <c r="J18" s="772"/>
      <c r="K18" s="772"/>
      <c r="L18" s="772"/>
      <c r="M18" s="650">
        <f t="shared" si="3"/>
        <v>1.3378214770517667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14586</v>
      </c>
      <c r="H19" s="451">
        <f t="shared" si="2"/>
        <v>1.4002111932418162</v>
      </c>
      <c r="I19" s="772"/>
      <c r="J19" s="772"/>
      <c r="K19" s="772"/>
      <c r="L19" s="772"/>
      <c r="M19" s="650">
        <f t="shared" si="3"/>
        <v>1.3378214770517667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>
        <f>7000+3050</f>
        <v>10050</v>
      </c>
      <c r="E20" s="396">
        <f t="shared" si="1"/>
        <v>0</v>
      </c>
      <c r="F20" s="396">
        <f t="shared" si="4"/>
        <v>10902.777777777777</v>
      </c>
      <c r="G20" s="396">
        <f t="shared" si="0"/>
        <v>24636</v>
      </c>
      <c r="H20" s="451">
        <f t="shared" si="2"/>
        <v>2.3649803206297397</v>
      </c>
      <c r="I20" s="772"/>
      <c r="J20" s="772"/>
      <c r="K20" s="772"/>
      <c r="L20" s="772"/>
      <c r="M20" s="650">
        <f t="shared" si="3"/>
        <v>2.2596030377517704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24636</v>
      </c>
      <c r="H21" s="451">
        <f t="shared" si="2"/>
        <v>2.3649803206297397</v>
      </c>
      <c r="I21" s="772"/>
      <c r="J21" s="772"/>
      <c r="K21" s="772"/>
      <c r="L21" s="772"/>
      <c r="M21" s="650">
        <f t="shared" si="3"/>
        <v>2.2596030377517704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24636</v>
      </c>
      <c r="H22" s="451">
        <f t="shared" si="2"/>
        <v>2.3649803206297397</v>
      </c>
      <c r="I22" s="772"/>
      <c r="J22" s="772"/>
      <c r="K22" s="772"/>
      <c r="L22" s="772"/>
      <c r="M22" s="650">
        <f t="shared" si="3"/>
        <v>2.2596030377517704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24636</v>
      </c>
      <c r="H23" s="451">
        <f t="shared" si="2"/>
        <v>2.3649803206297397</v>
      </c>
      <c r="I23" s="772"/>
      <c r="J23" s="772"/>
      <c r="K23" s="772"/>
      <c r="L23" s="772"/>
      <c r="M23" s="650">
        <f t="shared" si="3"/>
        <v>2.2596030377517704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24636</v>
      </c>
      <c r="H24" s="451">
        <f t="shared" si="2"/>
        <v>2.3649803206297397</v>
      </c>
      <c r="I24" s="772"/>
      <c r="J24" s="772"/>
      <c r="K24" s="772"/>
      <c r="L24" s="772"/>
      <c r="M24" s="650">
        <f t="shared" si="3"/>
        <v>2.2596030377517704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24636</v>
      </c>
      <c r="H25" s="451">
        <f t="shared" si="2"/>
        <v>2.3649803206297397</v>
      </c>
      <c r="I25" s="772"/>
      <c r="J25" s="772"/>
      <c r="K25" s="772"/>
      <c r="L25" s="772"/>
      <c r="M25" s="650">
        <f t="shared" si="3"/>
        <v>2.2596030377517704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4800</v>
      </c>
      <c r="F26" s="396">
        <f t="shared" si="4"/>
        <v>10902.777777777777</v>
      </c>
      <c r="G26" s="396">
        <f t="shared" si="0"/>
        <v>19836</v>
      </c>
      <c r="H26" s="451">
        <f t="shared" si="2"/>
        <v>1.9041950657578957</v>
      </c>
      <c r="I26" s="772">
        <v>4800</v>
      </c>
      <c r="J26" s="772"/>
      <c r="K26" s="772"/>
      <c r="L26" s="772"/>
      <c r="M26" s="650">
        <f t="shared" si="3"/>
        <v>1.8193491580144552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19836</v>
      </c>
      <c r="H27" s="451">
        <f t="shared" si="2"/>
        <v>1.9041950657578957</v>
      </c>
      <c r="I27" s="772"/>
      <c r="J27" s="772"/>
      <c r="K27" s="772"/>
      <c r="L27" s="772"/>
      <c r="M27" s="650">
        <f t="shared" si="3"/>
        <v>1.8193491580144552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19836</v>
      </c>
      <c r="H28" s="451">
        <f t="shared" si="2"/>
        <v>1.9041950657578957</v>
      </c>
      <c r="I28" s="772"/>
      <c r="J28" s="772"/>
      <c r="K28" s="772"/>
      <c r="L28" s="772"/>
      <c r="M28" s="650">
        <f t="shared" si="3"/>
        <v>1.8193491580144552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19836</v>
      </c>
      <c r="H29" s="451">
        <f t="shared" si="2"/>
        <v>1.9041950657578957</v>
      </c>
      <c r="I29" s="772"/>
      <c r="J29" s="772"/>
      <c r="K29" s="772"/>
      <c r="L29" s="772"/>
      <c r="M29" s="650">
        <f t="shared" si="3"/>
        <v>1.8193491580144552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19836</v>
      </c>
      <c r="H30" s="451">
        <f t="shared" si="2"/>
        <v>1.9041950657578957</v>
      </c>
      <c r="I30" s="772"/>
      <c r="J30" s="772"/>
      <c r="K30" s="772"/>
      <c r="L30" s="772"/>
      <c r="M30" s="650">
        <f t="shared" si="3"/>
        <v>1.8193491580144552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19836</v>
      </c>
      <c r="H31" s="451">
        <f t="shared" si="2"/>
        <v>1.9041950657578957</v>
      </c>
      <c r="I31" s="772"/>
      <c r="J31" s="772"/>
      <c r="K31" s="772"/>
      <c r="L31" s="772"/>
      <c r="M31" s="650">
        <f t="shared" si="3"/>
        <v>1.8193491580144552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19836</v>
      </c>
      <c r="H32" s="451">
        <f t="shared" si="2"/>
        <v>1.9041950657578957</v>
      </c>
      <c r="I32" s="772"/>
      <c r="J32" s="772"/>
      <c r="K32" s="772"/>
      <c r="L32" s="772"/>
      <c r="M32" s="650">
        <f t="shared" si="3"/>
        <v>1.8193491580144552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19836</v>
      </c>
      <c r="H33" s="451">
        <f t="shared" si="2"/>
        <v>1.9041950657578957</v>
      </c>
      <c r="I33" s="772"/>
      <c r="J33" s="772"/>
      <c r="K33" s="772"/>
      <c r="L33" s="772"/>
      <c r="M33" s="650">
        <f t="shared" si="3"/>
        <v>1.8193491580144552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19836</v>
      </c>
      <c r="H34" s="451">
        <f t="shared" si="2"/>
        <v>1.9041950657578957</v>
      </c>
      <c r="I34" s="772"/>
      <c r="J34" s="772"/>
      <c r="K34" s="772"/>
      <c r="L34" s="772"/>
      <c r="M34" s="650">
        <f t="shared" si="3"/>
        <v>1.8193491580144552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19836</v>
      </c>
      <c r="H35" s="451">
        <f t="shared" si="2"/>
        <v>1.9041950657578957</v>
      </c>
      <c r="I35" s="772"/>
      <c r="J35" s="772"/>
      <c r="K35" s="772"/>
      <c r="L35" s="772"/>
      <c r="M35" s="650">
        <f t="shared" si="3"/>
        <v>1.8193491580144552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19836</v>
      </c>
      <c r="H36" s="451">
        <f t="shared" si="2"/>
        <v>1.9041950657578957</v>
      </c>
      <c r="I36" s="772"/>
      <c r="J36" s="772"/>
      <c r="K36" s="772"/>
      <c r="L36" s="772"/>
      <c r="M36" s="650">
        <f t="shared" si="3"/>
        <v>1.8193491580144552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19836</v>
      </c>
      <c r="H37" s="451">
        <f t="shared" si="2"/>
        <v>1.9041950657578957</v>
      </c>
      <c r="I37" s="772"/>
      <c r="J37" s="772"/>
      <c r="K37" s="772"/>
      <c r="L37" s="772"/>
      <c r="M37" s="650">
        <f t="shared" si="3"/>
        <v>1.8193491580144552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19836</v>
      </c>
      <c r="H38" s="451">
        <f t="shared" si="2"/>
        <v>1.9041950657578957</v>
      </c>
      <c r="I38" s="772"/>
      <c r="J38" s="772"/>
      <c r="K38" s="772"/>
      <c r="L38" s="772"/>
      <c r="M38" s="650">
        <f t="shared" si="3"/>
        <v>1.8193491580144552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309.67741935483872</v>
      </c>
      <c r="G39" s="396">
        <f t="shared" si="0"/>
        <v>19836</v>
      </c>
      <c r="H39" s="451">
        <f t="shared" si="2"/>
        <v>1.9041950657578957</v>
      </c>
      <c r="I39" s="772"/>
      <c r="J39" s="772"/>
      <c r="K39" s="772"/>
      <c r="L39" s="772"/>
      <c r="M39" s="650">
        <f t="shared" si="3"/>
        <v>1.8193491580144552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10050</v>
      </c>
      <c r="E40" s="389">
        <f>SUM(E9:E39)</f>
        <v>4800</v>
      </c>
      <c r="F40" s="449"/>
      <c r="G40" s="389">
        <f>G39</f>
        <v>19836</v>
      </c>
      <c r="H40" s="309"/>
      <c r="I40" s="689">
        <f>SUM(I9:I39)</f>
        <v>4800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24636</v>
      </c>
      <c r="E41" s="389">
        <f>E40</f>
        <v>4800</v>
      </c>
      <c r="F41" s="449"/>
      <c r="G41" s="389">
        <f>D41-E41</f>
        <v>19836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4800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857" priority="34" operator="between">
      <formula>3.5</formula>
      <formula>6</formula>
    </cfRule>
    <cfRule type="cellIs" dxfId="6856" priority="35" operator="lessThan">
      <formula>3.5</formula>
    </cfRule>
    <cfRule type="cellIs" dxfId="6855" priority="36" operator="greaterThan">
      <formula>6</formula>
    </cfRule>
  </conditionalFormatting>
  <conditionalFormatting sqref="H9:H12 H24:H37 H14:H17 H19:H22 H39">
    <cfRule type="cellIs" dxfId="6854" priority="31" operator="between">
      <formula>3.5</formula>
      <formula>6</formula>
    </cfRule>
    <cfRule type="cellIs" dxfId="6853" priority="32" operator="lessThan">
      <formula>3.5</formula>
    </cfRule>
    <cfRule type="cellIs" dxfId="6852" priority="33" operator="greaterThan">
      <formula>6</formula>
    </cfRule>
  </conditionalFormatting>
  <conditionalFormatting sqref="H23">
    <cfRule type="cellIs" dxfId="6851" priority="28" operator="between">
      <formula>3.5</formula>
      <formula>6</formula>
    </cfRule>
    <cfRule type="cellIs" dxfId="6850" priority="29" operator="lessThan">
      <formula>3.5</formula>
    </cfRule>
    <cfRule type="cellIs" dxfId="6849" priority="30" operator="greaterThan">
      <formula>6</formula>
    </cfRule>
  </conditionalFormatting>
  <conditionalFormatting sqref="H13">
    <cfRule type="cellIs" dxfId="6848" priority="25" operator="between">
      <formula>3.5</formula>
      <formula>6</formula>
    </cfRule>
    <cfRule type="cellIs" dxfId="6847" priority="26" operator="lessThan">
      <formula>3.5</formula>
    </cfRule>
    <cfRule type="cellIs" dxfId="6846" priority="27" operator="greaterThan">
      <formula>6</formula>
    </cfRule>
  </conditionalFormatting>
  <conditionalFormatting sqref="H18">
    <cfRule type="cellIs" dxfId="6845" priority="22" operator="between">
      <formula>3.5</formula>
      <formula>6</formula>
    </cfRule>
    <cfRule type="cellIs" dxfId="6844" priority="23" operator="lessThan">
      <formula>3.5</formula>
    </cfRule>
    <cfRule type="cellIs" dxfId="6843" priority="24" operator="greaterThan">
      <formula>6</formula>
    </cfRule>
  </conditionalFormatting>
  <conditionalFormatting sqref="H9:H39">
    <cfRule type="cellIs" dxfId="6842" priority="19" operator="between">
      <formula>3.5</formula>
      <formula>6</formula>
    </cfRule>
    <cfRule type="cellIs" dxfId="6841" priority="20" operator="lessThan">
      <formula>3.5</formula>
    </cfRule>
    <cfRule type="cellIs" dxfId="6840" priority="21" operator="greaterThan">
      <formula>6</formula>
    </cfRule>
  </conditionalFormatting>
  <conditionalFormatting sqref="H9:H39">
    <cfRule type="cellIs" dxfId="6839" priority="16" operator="between">
      <formula>3.5</formula>
      <formula>6</formula>
    </cfRule>
    <cfRule type="cellIs" dxfId="6838" priority="17" operator="lessThan">
      <formula>3.5</formula>
    </cfRule>
    <cfRule type="cellIs" dxfId="6837" priority="18" operator="greaterThan">
      <formula>6</formula>
    </cfRule>
  </conditionalFormatting>
  <conditionalFormatting sqref="H9:H39">
    <cfRule type="cellIs" dxfId="6836" priority="13" operator="between">
      <formula>3.5</formula>
      <formula>6</formula>
    </cfRule>
    <cfRule type="cellIs" dxfId="6835" priority="14" operator="lessThan">
      <formula>3.5</formula>
    </cfRule>
    <cfRule type="cellIs" dxfId="6834" priority="15" operator="greaterThan">
      <formula>6</formula>
    </cfRule>
  </conditionalFormatting>
  <conditionalFormatting sqref="H9:H39">
    <cfRule type="cellIs" dxfId="6833" priority="10" operator="between">
      <formula>3.5</formula>
      <formula>6</formula>
    </cfRule>
    <cfRule type="cellIs" dxfId="6832" priority="11" operator="lessThan">
      <formula>3.5</formula>
    </cfRule>
    <cfRule type="cellIs" dxfId="6831" priority="12" operator="greaterThan">
      <formula>6</formula>
    </cfRule>
  </conditionalFormatting>
  <conditionalFormatting sqref="H9:H39">
    <cfRule type="cellIs" dxfId="6830" priority="7" operator="between">
      <formula>3.5</formula>
      <formula>6</formula>
    </cfRule>
    <cfRule type="cellIs" dxfId="6829" priority="8" operator="lessThan">
      <formula>3.5</formula>
    </cfRule>
    <cfRule type="cellIs" dxfId="6828" priority="9" operator="greaterThan">
      <formula>6</formula>
    </cfRule>
  </conditionalFormatting>
  <conditionalFormatting sqref="H9:H39">
    <cfRule type="cellIs" dxfId="6827" priority="4" operator="between">
      <formula>3.5</formula>
      <formula>6</formula>
    </cfRule>
    <cfRule type="cellIs" dxfId="6826" priority="5" operator="lessThan">
      <formula>3.5</formula>
    </cfRule>
    <cfRule type="cellIs" dxfId="6825" priority="6" operator="greaterThan">
      <formula>6</formula>
    </cfRule>
  </conditionalFormatting>
  <conditionalFormatting sqref="H9:H39">
    <cfRule type="cellIs" dxfId="6824" priority="1" operator="between">
      <formula>3.5</formula>
      <formula>6</formula>
    </cfRule>
    <cfRule type="cellIs" dxfId="6823" priority="2" operator="lessThan">
      <formula>3.5</formula>
    </cfRule>
    <cfRule type="cellIs" dxfId="682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A49"/>
  <sheetViews>
    <sheetView zoomScale="90" zoomScaleNormal="90" workbookViewId="0">
      <pane ySplit="8" topLeftCell="A21" activePane="bottomLeft" state="frozen"/>
      <selection activeCell="L8" sqref="L8"/>
      <selection pane="bottomLeft" activeCell="J16" sqref="J16:J24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81"/>
      <c r="K3" s="1181"/>
      <c r="L3" s="1181"/>
      <c r="N3" s="442"/>
      <c r="O3" s="442"/>
      <c r="P3" s="442"/>
    </row>
    <row r="4" spans="1:27" s="1186" customFormat="1" ht="12" customHeight="1">
      <c r="A4" s="1648" t="s">
        <v>33</v>
      </c>
      <c r="B4" s="1648"/>
      <c r="C4" s="551" t="str">
        <f>H4</f>
        <v xml:space="preserve">LUSTILE 40*80 nâu-HA </v>
      </c>
      <c r="E4" s="549" t="s">
        <v>228</v>
      </c>
      <c r="F4" s="549" t="s">
        <v>235</v>
      </c>
      <c r="G4" s="550" t="s">
        <v>114</v>
      </c>
      <c r="H4" s="551" t="s">
        <v>978</v>
      </c>
      <c r="M4" s="143"/>
    </row>
    <row r="5" spans="1:27" s="118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18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183" t="s">
        <v>2</v>
      </c>
      <c r="B7" s="1185" t="s">
        <v>1</v>
      </c>
      <c r="C7" s="1185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82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1920</v>
      </c>
      <c r="E8" s="771">
        <f>E40</f>
        <v>0</v>
      </c>
      <c r="F8" s="771"/>
      <c r="G8" s="774">
        <v>1920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184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1920</v>
      </c>
      <c r="H9" s="451">
        <f>G9/10417</f>
        <v>0.18431410194873765</v>
      </c>
      <c r="I9" s="772"/>
      <c r="J9" s="772"/>
      <c r="K9" s="772"/>
      <c r="L9" s="772"/>
      <c r="M9" s="650">
        <f>G9/$M$8</f>
        <v>0.17610155189492607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1920</v>
      </c>
      <c r="H10" s="451">
        <f t="shared" ref="H10:H39" si="2">G10/10417</f>
        <v>0.18431410194873765</v>
      </c>
      <c r="I10" s="772"/>
      <c r="J10" s="772"/>
      <c r="K10" s="772"/>
      <c r="L10" s="772"/>
      <c r="M10" s="650">
        <f t="shared" ref="M10:M39" si="3">G10/$M$8</f>
        <v>0.17610155189492607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1920</v>
      </c>
      <c r="H11" s="451">
        <f t="shared" si="2"/>
        <v>0.18431410194873765</v>
      </c>
      <c r="I11" s="772"/>
      <c r="J11" s="772"/>
      <c r="K11" s="772"/>
      <c r="L11" s="772"/>
      <c r="M11" s="650">
        <f t="shared" si="3"/>
        <v>0.17610155189492607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1920</v>
      </c>
      <c r="H12" s="451">
        <f t="shared" si="2"/>
        <v>0.18431410194873765</v>
      </c>
      <c r="I12" s="772"/>
      <c r="J12" s="772"/>
      <c r="K12" s="772"/>
      <c r="L12" s="772"/>
      <c r="M12" s="650">
        <f t="shared" si="3"/>
        <v>0.17610155189492607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1920</v>
      </c>
      <c r="H13" s="451">
        <f t="shared" si="2"/>
        <v>0.18431410194873765</v>
      </c>
      <c r="I13" s="772"/>
      <c r="J13" s="772"/>
      <c r="K13" s="772"/>
      <c r="L13" s="772"/>
      <c r="M13" s="650">
        <f t="shared" si="3"/>
        <v>0.17610155189492607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1920</v>
      </c>
      <c r="H14" s="451">
        <f t="shared" si="2"/>
        <v>0.18431410194873765</v>
      </c>
      <c r="I14" s="772"/>
      <c r="J14" s="772"/>
      <c r="K14" s="772"/>
      <c r="L14" s="772"/>
      <c r="M14" s="650">
        <f t="shared" si="3"/>
        <v>0.17610155189492607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1920</v>
      </c>
      <c r="H15" s="451">
        <f t="shared" si="2"/>
        <v>0.18431410194873765</v>
      </c>
      <c r="I15" s="772"/>
      <c r="J15" s="772"/>
      <c r="K15" s="772"/>
      <c r="L15" s="772"/>
      <c r="M15" s="650">
        <f t="shared" si="3"/>
        <v>0.17610155189492607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1920</v>
      </c>
      <c r="H16" s="451">
        <f t="shared" si="2"/>
        <v>0.18431410194873765</v>
      </c>
      <c r="I16" s="772"/>
      <c r="J16" s="772"/>
      <c r="K16" s="772"/>
      <c r="L16" s="772"/>
      <c r="M16" s="650">
        <f t="shared" si="3"/>
        <v>0.17610155189492607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1920</v>
      </c>
      <c r="H17" s="451">
        <f t="shared" si="2"/>
        <v>0.18431410194873765</v>
      </c>
      <c r="I17" s="772"/>
      <c r="J17" s="772"/>
      <c r="K17" s="772"/>
      <c r="L17" s="772"/>
      <c r="M17" s="650">
        <f t="shared" si="3"/>
        <v>0.17610155189492607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1920</v>
      </c>
      <c r="H18" s="451">
        <f t="shared" si="2"/>
        <v>0.18431410194873765</v>
      </c>
      <c r="I18" s="772"/>
      <c r="J18" s="772"/>
      <c r="K18" s="772"/>
      <c r="L18" s="772"/>
      <c r="M18" s="650">
        <f t="shared" si="3"/>
        <v>0.17610155189492607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1920</v>
      </c>
      <c r="H19" s="451">
        <f t="shared" si="2"/>
        <v>0.18431410194873765</v>
      </c>
      <c r="I19" s="772"/>
      <c r="J19" s="772"/>
      <c r="K19" s="772"/>
      <c r="L19" s="772"/>
      <c r="M19" s="650">
        <f t="shared" si="3"/>
        <v>0.17610155189492607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1920</v>
      </c>
      <c r="H20" s="451">
        <f t="shared" si="2"/>
        <v>0.18431410194873765</v>
      </c>
      <c r="I20" s="772"/>
      <c r="J20" s="772"/>
      <c r="K20" s="772"/>
      <c r="L20" s="772"/>
      <c r="M20" s="650">
        <f t="shared" si="3"/>
        <v>0.17610155189492607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1920</v>
      </c>
      <c r="H21" s="451">
        <f t="shared" si="2"/>
        <v>0.18431410194873765</v>
      </c>
      <c r="I21" s="772"/>
      <c r="J21" s="772"/>
      <c r="K21" s="772"/>
      <c r="L21" s="772"/>
      <c r="M21" s="650">
        <f t="shared" si="3"/>
        <v>0.17610155189492607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1920</v>
      </c>
      <c r="H22" s="451">
        <f t="shared" si="2"/>
        <v>0.18431410194873765</v>
      </c>
      <c r="I22" s="772"/>
      <c r="J22" s="772"/>
      <c r="K22" s="772"/>
      <c r="L22" s="772"/>
      <c r="M22" s="650">
        <f t="shared" si="3"/>
        <v>0.17610155189492607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1920</v>
      </c>
      <c r="H23" s="451">
        <f t="shared" si="2"/>
        <v>0.18431410194873765</v>
      </c>
      <c r="I23" s="772"/>
      <c r="J23" s="772"/>
      <c r="K23" s="772"/>
      <c r="L23" s="772"/>
      <c r="M23" s="650">
        <f t="shared" si="3"/>
        <v>0.17610155189492607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1920</v>
      </c>
      <c r="H24" s="451">
        <f t="shared" si="2"/>
        <v>0.18431410194873765</v>
      </c>
      <c r="I24" s="772"/>
      <c r="J24" s="772"/>
      <c r="K24" s="772"/>
      <c r="L24" s="772"/>
      <c r="M24" s="650">
        <f t="shared" si="3"/>
        <v>0.17610155189492607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1920</v>
      </c>
      <c r="H25" s="451">
        <f t="shared" si="2"/>
        <v>0.18431410194873765</v>
      </c>
      <c r="I25" s="772"/>
      <c r="J25" s="772"/>
      <c r="K25" s="772"/>
      <c r="L25" s="772"/>
      <c r="M25" s="650">
        <f t="shared" si="3"/>
        <v>0.17610155189492607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1920</v>
      </c>
      <c r="H26" s="451">
        <f t="shared" si="2"/>
        <v>0.18431410194873765</v>
      </c>
      <c r="I26" s="772"/>
      <c r="J26" s="772"/>
      <c r="K26" s="772"/>
      <c r="L26" s="772"/>
      <c r="M26" s="650">
        <f t="shared" si="3"/>
        <v>0.17610155189492607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1920</v>
      </c>
      <c r="H27" s="451">
        <f t="shared" si="2"/>
        <v>0.18431410194873765</v>
      </c>
      <c r="I27" s="772"/>
      <c r="J27" s="772"/>
      <c r="K27" s="772"/>
      <c r="L27" s="772"/>
      <c r="M27" s="650">
        <f t="shared" si="3"/>
        <v>0.17610155189492607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1920</v>
      </c>
      <c r="H28" s="451">
        <f t="shared" si="2"/>
        <v>0.18431410194873765</v>
      </c>
      <c r="I28" s="772"/>
      <c r="J28" s="772"/>
      <c r="K28" s="772"/>
      <c r="L28" s="772"/>
      <c r="M28" s="650">
        <f t="shared" si="3"/>
        <v>0.17610155189492607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1920</v>
      </c>
      <c r="H29" s="451">
        <f t="shared" si="2"/>
        <v>0.18431410194873765</v>
      </c>
      <c r="I29" s="772"/>
      <c r="J29" s="772"/>
      <c r="K29" s="772"/>
      <c r="L29" s="772"/>
      <c r="M29" s="650">
        <f t="shared" si="3"/>
        <v>0.17610155189492607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1920</v>
      </c>
      <c r="H30" s="451">
        <f t="shared" si="2"/>
        <v>0.18431410194873765</v>
      </c>
      <c r="I30" s="772"/>
      <c r="J30" s="772"/>
      <c r="K30" s="772"/>
      <c r="L30" s="772"/>
      <c r="M30" s="650">
        <f t="shared" si="3"/>
        <v>0.17610155189492607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1920</v>
      </c>
      <c r="H31" s="451">
        <f t="shared" si="2"/>
        <v>0.18431410194873765</v>
      </c>
      <c r="I31" s="772"/>
      <c r="J31" s="772"/>
      <c r="K31" s="772"/>
      <c r="L31" s="772"/>
      <c r="M31" s="650">
        <f t="shared" si="3"/>
        <v>0.17610155189492607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1920</v>
      </c>
      <c r="H32" s="451">
        <f t="shared" si="2"/>
        <v>0.18431410194873765</v>
      </c>
      <c r="I32" s="772"/>
      <c r="J32" s="772"/>
      <c r="K32" s="772"/>
      <c r="L32" s="772"/>
      <c r="M32" s="650">
        <f t="shared" si="3"/>
        <v>0.17610155189492607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1920</v>
      </c>
      <c r="H33" s="451">
        <f t="shared" si="2"/>
        <v>0.18431410194873765</v>
      </c>
      <c r="I33" s="772"/>
      <c r="J33" s="772"/>
      <c r="K33" s="772"/>
      <c r="L33" s="772"/>
      <c r="M33" s="650">
        <f t="shared" si="3"/>
        <v>0.17610155189492607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1920</v>
      </c>
      <c r="H34" s="451">
        <f t="shared" si="2"/>
        <v>0.18431410194873765</v>
      </c>
      <c r="I34" s="772"/>
      <c r="J34" s="772"/>
      <c r="K34" s="772"/>
      <c r="L34" s="772"/>
      <c r="M34" s="650">
        <f t="shared" si="3"/>
        <v>0.17610155189492607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1920</v>
      </c>
      <c r="H35" s="451">
        <f t="shared" si="2"/>
        <v>0.18431410194873765</v>
      </c>
      <c r="I35" s="772"/>
      <c r="J35" s="772"/>
      <c r="K35" s="772"/>
      <c r="L35" s="772"/>
      <c r="M35" s="650">
        <f t="shared" si="3"/>
        <v>0.17610155189492607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1920</v>
      </c>
      <c r="H36" s="451">
        <f t="shared" si="2"/>
        <v>0.18431410194873765</v>
      </c>
      <c r="I36" s="772"/>
      <c r="J36" s="772"/>
      <c r="K36" s="772"/>
      <c r="L36" s="772"/>
      <c r="M36" s="650">
        <f t="shared" si="3"/>
        <v>0.17610155189492607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1920</v>
      </c>
      <c r="H37" s="451">
        <f t="shared" si="2"/>
        <v>0.18431410194873765</v>
      </c>
      <c r="I37" s="772"/>
      <c r="J37" s="772"/>
      <c r="K37" s="772"/>
      <c r="L37" s="772"/>
      <c r="M37" s="650">
        <f t="shared" si="3"/>
        <v>0.17610155189492607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1920</v>
      </c>
      <c r="H38" s="451">
        <f t="shared" si="2"/>
        <v>0.18431410194873765</v>
      </c>
      <c r="I38" s="772"/>
      <c r="J38" s="772"/>
      <c r="K38" s="772"/>
      <c r="L38" s="772"/>
      <c r="M38" s="650">
        <f t="shared" si="3"/>
        <v>0.17610155189492607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1920</v>
      </c>
      <c r="H39" s="451">
        <f t="shared" si="2"/>
        <v>0.18431410194873765</v>
      </c>
      <c r="I39" s="772"/>
      <c r="J39" s="772"/>
      <c r="K39" s="772"/>
      <c r="L39" s="772"/>
      <c r="M39" s="650">
        <f t="shared" si="3"/>
        <v>0.17610155189492607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1920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1920</v>
      </c>
      <c r="E41" s="389">
        <f>E40</f>
        <v>0</v>
      </c>
      <c r="F41" s="449"/>
      <c r="G41" s="389">
        <f>D41-E41</f>
        <v>1920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821" priority="34" operator="between">
      <formula>3.5</formula>
      <formula>6</formula>
    </cfRule>
    <cfRule type="cellIs" dxfId="6820" priority="35" operator="lessThan">
      <formula>3.5</formula>
    </cfRule>
    <cfRule type="cellIs" dxfId="6819" priority="36" operator="greaterThan">
      <formula>6</formula>
    </cfRule>
  </conditionalFormatting>
  <conditionalFormatting sqref="H9:H12 H24:H37 H14:H17 H19:H22 H39">
    <cfRule type="cellIs" dxfId="6818" priority="31" operator="between">
      <formula>3.5</formula>
      <formula>6</formula>
    </cfRule>
    <cfRule type="cellIs" dxfId="6817" priority="32" operator="lessThan">
      <formula>3.5</formula>
    </cfRule>
    <cfRule type="cellIs" dxfId="6816" priority="33" operator="greaterThan">
      <formula>6</formula>
    </cfRule>
  </conditionalFormatting>
  <conditionalFormatting sqref="H23">
    <cfRule type="cellIs" dxfId="6815" priority="28" operator="between">
      <formula>3.5</formula>
      <formula>6</formula>
    </cfRule>
    <cfRule type="cellIs" dxfId="6814" priority="29" operator="lessThan">
      <formula>3.5</formula>
    </cfRule>
    <cfRule type="cellIs" dxfId="6813" priority="30" operator="greaterThan">
      <formula>6</formula>
    </cfRule>
  </conditionalFormatting>
  <conditionalFormatting sqref="H13">
    <cfRule type="cellIs" dxfId="6812" priority="25" operator="between">
      <formula>3.5</formula>
      <formula>6</formula>
    </cfRule>
    <cfRule type="cellIs" dxfId="6811" priority="26" operator="lessThan">
      <formula>3.5</formula>
    </cfRule>
    <cfRule type="cellIs" dxfId="6810" priority="27" operator="greaterThan">
      <formula>6</formula>
    </cfRule>
  </conditionalFormatting>
  <conditionalFormatting sqref="H18">
    <cfRule type="cellIs" dxfId="6809" priority="22" operator="between">
      <formula>3.5</formula>
      <formula>6</formula>
    </cfRule>
    <cfRule type="cellIs" dxfId="6808" priority="23" operator="lessThan">
      <formula>3.5</formula>
    </cfRule>
    <cfRule type="cellIs" dxfId="6807" priority="24" operator="greaterThan">
      <formula>6</formula>
    </cfRule>
  </conditionalFormatting>
  <conditionalFormatting sqref="H9:H39">
    <cfRule type="cellIs" dxfId="6806" priority="19" operator="between">
      <formula>3.5</formula>
      <formula>6</formula>
    </cfRule>
    <cfRule type="cellIs" dxfId="6805" priority="20" operator="lessThan">
      <formula>3.5</formula>
    </cfRule>
    <cfRule type="cellIs" dxfId="6804" priority="21" operator="greaterThan">
      <formula>6</formula>
    </cfRule>
  </conditionalFormatting>
  <conditionalFormatting sqref="H9:H39">
    <cfRule type="cellIs" dxfId="6803" priority="16" operator="between">
      <formula>3.5</formula>
      <formula>6</formula>
    </cfRule>
    <cfRule type="cellIs" dxfId="6802" priority="17" operator="lessThan">
      <formula>3.5</formula>
    </cfRule>
    <cfRule type="cellIs" dxfId="6801" priority="18" operator="greaterThan">
      <formula>6</formula>
    </cfRule>
  </conditionalFormatting>
  <conditionalFormatting sqref="H9:H39">
    <cfRule type="cellIs" dxfId="6800" priority="13" operator="between">
      <formula>3.5</formula>
      <formula>6</formula>
    </cfRule>
    <cfRule type="cellIs" dxfId="6799" priority="14" operator="lessThan">
      <formula>3.5</formula>
    </cfRule>
    <cfRule type="cellIs" dxfId="6798" priority="15" operator="greaterThan">
      <formula>6</formula>
    </cfRule>
  </conditionalFormatting>
  <conditionalFormatting sqref="H9:H39">
    <cfRule type="cellIs" dxfId="6797" priority="10" operator="between">
      <formula>3.5</formula>
      <formula>6</formula>
    </cfRule>
    <cfRule type="cellIs" dxfId="6796" priority="11" operator="lessThan">
      <formula>3.5</formula>
    </cfRule>
    <cfRule type="cellIs" dxfId="6795" priority="12" operator="greaterThan">
      <formula>6</formula>
    </cfRule>
  </conditionalFormatting>
  <conditionalFormatting sqref="H9:H39">
    <cfRule type="cellIs" dxfId="6794" priority="7" operator="between">
      <formula>3.5</formula>
      <formula>6</formula>
    </cfRule>
    <cfRule type="cellIs" dxfId="6793" priority="8" operator="lessThan">
      <formula>3.5</formula>
    </cfRule>
    <cfRule type="cellIs" dxfId="6792" priority="9" operator="greaterThan">
      <formula>6</formula>
    </cfRule>
  </conditionalFormatting>
  <conditionalFormatting sqref="H9:H39">
    <cfRule type="cellIs" dxfId="6791" priority="4" operator="between">
      <formula>3.5</formula>
      <formula>6</formula>
    </cfRule>
    <cfRule type="cellIs" dxfId="6790" priority="5" operator="lessThan">
      <formula>3.5</formula>
    </cfRule>
    <cfRule type="cellIs" dxfId="6789" priority="6" operator="greaterThan">
      <formula>6</formula>
    </cfRule>
  </conditionalFormatting>
  <conditionalFormatting sqref="H9:H39">
    <cfRule type="cellIs" dxfId="6788" priority="1" operator="between">
      <formula>3.5</formula>
      <formula>6</formula>
    </cfRule>
    <cfRule type="cellIs" dxfId="6787" priority="2" operator="lessThan">
      <formula>3.5</formula>
    </cfRule>
    <cfRule type="cellIs" dxfId="678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D20" sqref="D20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05"/>
      <c r="K3" s="1305"/>
      <c r="L3" s="1305"/>
      <c r="N3" s="442"/>
      <c r="O3" s="442"/>
      <c r="P3" s="442"/>
    </row>
    <row r="4" spans="1:27" s="1310" customFormat="1" ht="12" customHeight="1">
      <c r="A4" s="1648" t="s">
        <v>33</v>
      </c>
      <c r="B4" s="1648"/>
      <c r="C4" s="551" t="str">
        <f>H4</f>
        <v xml:space="preserve">LUSTILE 40*80 5V nâu-HA </v>
      </c>
      <c r="E4" s="549" t="s">
        <v>228</v>
      </c>
      <c r="F4" s="549" t="s">
        <v>235</v>
      </c>
      <c r="G4" s="550" t="s">
        <v>114</v>
      </c>
      <c r="H4" s="551" t="s">
        <v>1127</v>
      </c>
      <c r="M4" s="143"/>
    </row>
    <row r="5" spans="1:27" s="1310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10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07" t="s">
        <v>2</v>
      </c>
      <c r="B7" s="1309" t="s">
        <v>1</v>
      </c>
      <c r="C7" s="1309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06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08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785" priority="34" operator="between">
      <formula>3.5</formula>
      <formula>6</formula>
    </cfRule>
    <cfRule type="cellIs" dxfId="6784" priority="35" operator="lessThan">
      <formula>3.5</formula>
    </cfRule>
    <cfRule type="cellIs" dxfId="6783" priority="36" operator="greaterThan">
      <formula>6</formula>
    </cfRule>
  </conditionalFormatting>
  <conditionalFormatting sqref="H9:H12 H24:H37 H14:H17 H19:H22 H39">
    <cfRule type="cellIs" dxfId="6782" priority="31" operator="between">
      <formula>3.5</formula>
      <formula>6</formula>
    </cfRule>
    <cfRule type="cellIs" dxfId="6781" priority="32" operator="lessThan">
      <formula>3.5</formula>
    </cfRule>
    <cfRule type="cellIs" dxfId="6780" priority="33" operator="greaterThan">
      <formula>6</formula>
    </cfRule>
  </conditionalFormatting>
  <conditionalFormatting sqref="H23">
    <cfRule type="cellIs" dxfId="6779" priority="28" operator="between">
      <formula>3.5</formula>
      <formula>6</formula>
    </cfRule>
    <cfRule type="cellIs" dxfId="6778" priority="29" operator="lessThan">
      <formula>3.5</formula>
    </cfRule>
    <cfRule type="cellIs" dxfId="6777" priority="30" operator="greaterThan">
      <formula>6</formula>
    </cfRule>
  </conditionalFormatting>
  <conditionalFormatting sqref="H13">
    <cfRule type="cellIs" dxfId="6776" priority="25" operator="between">
      <formula>3.5</formula>
      <formula>6</formula>
    </cfRule>
    <cfRule type="cellIs" dxfId="6775" priority="26" operator="lessThan">
      <formula>3.5</formula>
    </cfRule>
    <cfRule type="cellIs" dxfId="6774" priority="27" operator="greaterThan">
      <formula>6</formula>
    </cfRule>
  </conditionalFormatting>
  <conditionalFormatting sqref="H18">
    <cfRule type="cellIs" dxfId="6773" priority="22" operator="between">
      <formula>3.5</formula>
      <formula>6</formula>
    </cfRule>
    <cfRule type="cellIs" dxfId="6772" priority="23" operator="lessThan">
      <formula>3.5</formula>
    </cfRule>
    <cfRule type="cellIs" dxfId="6771" priority="24" operator="greaterThan">
      <formula>6</formula>
    </cfRule>
  </conditionalFormatting>
  <conditionalFormatting sqref="H9:H39">
    <cfRule type="cellIs" dxfId="6770" priority="19" operator="between">
      <formula>3.5</formula>
      <formula>6</formula>
    </cfRule>
    <cfRule type="cellIs" dxfId="6769" priority="20" operator="lessThan">
      <formula>3.5</formula>
    </cfRule>
    <cfRule type="cellIs" dxfId="6768" priority="21" operator="greaterThan">
      <formula>6</formula>
    </cfRule>
  </conditionalFormatting>
  <conditionalFormatting sqref="H9:H39">
    <cfRule type="cellIs" dxfId="6767" priority="16" operator="between">
      <formula>3.5</formula>
      <formula>6</formula>
    </cfRule>
    <cfRule type="cellIs" dxfId="6766" priority="17" operator="lessThan">
      <formula>3.5</formula>
    </cfRule>
    <cfRule type="cellIs" dxfId="6765" priority="18" operator="greaterThan">
      <formula>6</formula>
    </cfRule>
  </conditionalFormatting>
  <conditionalFormatting sqref="H9:H39">
    <cfRule type="cellIs" dxfId="6764" priority="13" operator="between">
      <formula>3.5</formula>
      <formula>6</formula>
    </cfRule>
    <cfRule type="cellIs" dxfId="6763" priority="14" operator="lessThan">
      <formula>3.5</formula>
    </cfRule>
    <cfRule type="cellIs" dxfId="6762" priority="15" operator="greaterThan">
      <formula>6</formula>
    </cfRule>
  </conditionalFormatting>
  <conditionalFormatting sqref="H9:H39">
    <cfRule type="cellIs" dxfId="6761" priority="10" operator="between">
      <formula>3.5</formula>
      <formula>6</formula>
    </cfRule>
    <cfRule type="cellIs" dxfId="6760" priority="11" operator="lessThan">
      <formula>3.5</formula>
    </cfRule>
    <cfRule type="cellIs" dxfId="6759" priority="12" operator="greaterThan">
      <formula>6</formula>
    </cfRule>
  </conditionalFormatting>
  <conditionalFormatting sqref="H9:H39">
    <cfRule type="cellIs" dxfId="6758" priority="7" operator="between">
      <formula>3.5</formula>
      <formula>6</formula>
    </cfRule>
    <cfRule type="cellIs" dxfId="6757" priority="8" operator="lessThan">
      <formula>3.5</formula>
    </cfRule>
    <cfRule type="cellIs" dxfId="6756" priority="9" operator="greaterThan">
      <formula>6</formula>
    </cfRule>
  </conditionalFormatting>
  <conditionalFormatting sqref="H9:H39">
    <cfRule type="cellIs" dxfId="6755" priority="4" operator="between">
      <formula>3.5</formula>
      <formula>6</formula>
    </cfRule>
    <cfRule type="cellIs" dxfId="6754" priority="5" operator="lessThan">
      <formula>3.5</formula>
    </cfRule>
    <cfRule type="cellIs" dxfId="6753" priority="6" operator="greaterThan">
      <formula>6</formula>
    </cfRule>
  </conditionalFormatting>
  <conditionalFormatting sqref="H9:H39">
    <cfRule type="cellIs" dxfId="6752" priority="1" operator="between">
      <formula>3.5</formula>
      <formula>6</formula>
    </cfRule>
    <cfRule type="cellIs" dxfId="6751" priority="2" operator="lessThan">
      <formula>3.5</formula>
    </cfRule>
    <cfRule type="cellIs" dxfId="675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A49"/>
  <sheetViews>
    <sheetView zoomScale="90" zoomScaleNormal="90" workbookViewId="0">
      <pane ySplit="8" topLeftCell="A15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99"/>
      <c r="K3" s="1199"/>
      <c r="L3" s="1199"/>
      <c r="N3" s="442"/>
      <c r="O3" s="442"/>
      <c r="P3" s="442"/>
    </row>
    <row r="4" spans="1:27" s="1204" customFormat="1" ht="12" customHeight="1">
      <c r="A4" s="1648" t="s">
        <v>33</v>
      </c>
      <c r="B4" s="1648"/>
      <c r="C4" s="551" t="str">
        <f>H4</f>
        <v xml:space="preserve">PANA TILES 40*80 nâu-HA </v>
      </c>
      <c r="E4" s="549" t="s">
        <v>228</v>
      </c>
      <c r="F4" s="549" t="s">
        <v>235</v>
      </c>
      <c r="G4" s="550" t="s">
        <v>114</v>
      </c>
      <c r="H4" s="551" t="s">
        <v>996</v>
      </c>
      <c r="M4" s="143"/>
    </row>
    <row r="5" spans="1:27" s="1204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204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201" t="s">
        <v>2</v>
      </c>
      <c r="B7" s="1203" t="s">
        <v>1</v>
      </c>
      <c r="C7" s="1203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00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202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749" priority="34" operator="between">
      <formula>3.5</formula>
      <formula>6</formula>
    </cfRule>
    <cfRule type="cellIs" dxfId="6748" priority="35" operator="lessThan">
      <formula>3.5</formula>
    </cfRule>
    <cfRule type="cellIs" dxfId="6747" priority="36" operator="greaterThan">
      <formula>6</formula>
    </cfRule>
  </conditionalFormatting>
  <conditionalFormatting sqref="H9:H12 H24:H37 H14:H17 H19:H22 H39">
    <cfRule type="cellIs" dxfId="6746" priority="31" operator="between">
      <formula>3.5</formula>
      <formula>6</formula>
    </cfRule>
    <cfRule type="cellIs" dxfId="6745" priority="32" operator="lessThan">
      <formula>3.5</formula>
    </cfRule>
    <cfRule type="cellIs" dxfId="6744" priority="33" operator="greaterThan">
      <formula>6</formula>
    </cfRule>
  </conditionalFormatting>
  <conditionalFormatting sqref="H23">
    <cfRule type="cellIs" dxfId="6743" priority="28" operator="between">
      <formula>3.5</formula>
      <formula>6</formula>
    </cfRule>
    <cfRule type="cellIs" dxfId="6742" priority="29" operator="lessThan">
      <formula>3.5</formula>
    </cfRule>
    <cfRule type="cellIs" dxfId="6741" priority="30" operator="greaterThan">
      <formula>6</formula>
    </cfRule>
  </conditionalFormatting>
  <conditionalFormatting sqref="H13">
    <cfRule type="cellIs" dxfId="6740" priority="25" operator="between">
      <formula>3.5</formula>
      <formula>6</formula>
    </cfRule>
    <cfRule type="cellIs" dxfId="6739" priority="26" operator="lessThan">
      <formula>3.5</formula>
    </cfRule>
    <cfRule type="cellIs" dxfId="6738" priority="27" operator="greaterThan">
      <formula>6</formula>
    </cfRule>
  </conditionalFormatting>
  <conditionalFormatting sqref="H18">
    <cfRule type="cellIs" dxfId="6737" priority="22" operator="between">
      <formula>3.5</formula>
      <formula>6</formula>
    </cfRule>
    <cfRule type="cellIs" dxfId="6736" priority="23" operator="lessThan">
      <formula>3.5</formula>
    </cfRule>
    <cfRule type="cellIs" dxfId="6735" priority="24" operator="greaterThan">
      <formula>6</formula>
    </cfRule>
  </conditionalFormatting>
  <conditionalFormatting sqref="H9:H39">
    <cfRule type="cellIs" dxfId="6734" priority="19" operator="between">
      <formula>3.5</formula>
      <formula>6</formula>
    </cfRule>
    <cfRule type="cellIs" dxfId="6733" priority="20" operator="lessThan">
      <formula>3.5</formula>
    </cfRule>
    <cfRule type="cellIs" dxfId="6732" priority="21" operator="greaterThan">
      <formula>6</formula>
    </cfRule>
  </conditionalFormatting>
  <conditionalFormatting sqref="H9:H39">
    <cfRule type="cellIs" dxfId="6731" priority="16" operator="between">
      <formula>3.5</formula>
      <formula>6</formula>
    </cfRule>
    <cfRule type="cellIs" dxfId="6730" priority="17" operator="lessThan">
      <formula>3.5</formula>
    </cfRule>
    <cfRule type="cellIs" dxfId="6729" priority="18" operator="greaterThan">
      <formula>6</formula>
    </cfRule>
  </conditionalFormatting>
  <conditionalFormatting sqref="H9:H39">
    <cfRule type="cellIs" dxfId="6728" priority="13" operator="between">
      <formula>3.5</formula>
      <formula>6</formula>
    </cfRule>
    <cfRule type="cellIs" dxfId="6727" priority="14" operator="lessThan">
      <formula>3.5</formula>
    </cfRule>
    <cfRule type="cellIs" dxfId="6726" priority="15" operator="greaterThan">
      <formula>6</formula>
    </cfRule>
  </conditionalFormatting>
  <conditionalFormatting sqref="H9:H39">
    <cfRule type="cellIs" dxfId="6725" priority="10" operator="between">
      <formula>3.5</formula>
      <formula>6</formula>
    </cfRule>
    <cfRule type="cellIs" dxfId="6724" priority="11" operator="lessThan">
      <formula>3.5</formula>
    </cfRule>
    <cfRule type="cellIs" dxfId="6723" priority="12" operator="greaterThan">
      <formula>6</formula>
    </cfRule>
  </conditionalFormatting>
  <conditionalFormatting sqref="H9:H39">
    <cfRule type="cellIs" dxfId="6722" priority="7" operator="between">
      <formula>3.5</formula>
      <formula>6</formula>
    </cfRule>
    <cfRule type="cellIs" dxfId="6721" priority="8" operator="lessThan">
      <formula>3.5</formula>
    </cfRule>
    <cfRule type="cellIs" dxfId="6720" priority="9" operator="greaterThan">
      <formula>6</formula>
    </cfRule>
  </conditionalFormatting>
  <conditionalFormatting sqref="H9:H39">
    <cfRule type="cellIs" dxfId="6719" priority="4" operator="between">
      <formula>3.5</formula>
      <formula>6</formula>
    </cfRule>
    <cfRule type="cellIs" dxfId="6718" priority="5" operator="lessThan">
      <formula>3.5</formula>
    </cfRule>
    <cfRule type="cellIs" dxfId="6717" priority="6" operator="greaterThan">
      <formula>6</formula>
    </cfRule>
  </conditionalFormatting>
  <conditionalFormatting sqref="H9:H39">
    <cfRule type="cellIs" dxfId="6716" priority="1" operator="between">
      <formula>3.5</formula>
      <formula>6</formula>
    </cfRule>
    <cfRule type="cellIs" dxfId="6715" priority="2" operator="lessThan">
      <formula>3.5</formula>
    </cfRule>
    <cfRule type="cellIs" dxfId="671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A49"/>
  <sheetViews>
    <sheetView zoomScale="90" zoomScaleNormal="90" workbookViewId="0">
      <pane ySplit="8" topLeftCell="A12" activePane="bottomLeft" state="frozen"/>
      <selection activeCell="L8" sqref="L8"/>
      <selection pane="bottomLeft" activeCell="J27" sqref="J27:J31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86"/>
      <c r="K3" s="1286"/>
      <c r="L3" s="1286"/>
      <c r="N3" s="442"/>
      <c r="O3" s="442"/>
      <c r="P3" s="442"/>
    </row>
    <row r="4" spans="1:27" s="1291" customFormat="1" ht="12" customHeight="1">
      <c r="A4" s="1648" t="s">
        <v>33</v>
      </c>
      <c r="B4" s="1648"/>
      <c r="C4" s="551" t="str">
        <f>H4</f>
        <v xml:space="preserve">PANA TILES 40*80 5V nâu-HA </v>
      </c>
      <c r="E4" s="549" t="s">
        <v>228</v>
      </c>
      <c r="F4" s="549" t="s">
        <v>235</v>
      </c>
      <c r="G4" s="550" t="s">
        <v>114</v>
      </c>
      <c r="H4" s="551" t="s">
        <v>1110</v>
      </c>
      <c r="M4" s="143"/>
    </row>
    <row r="5" spans="1:27" s="1291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291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288" t="s">
        <v>2</v>
      </c>
      <c r="B7" s="1290" t="s">
        <v>1</v>
      </c>
      <c r="C7" s="1290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87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289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713" priority="34" operator="between">
      <formula>3.5</formula>
      <formula>6</formula>
    </cfRule>
    <cfRule type="cellIs" dxfId="6712" priority="35" operator="lessThan">
      <formula>3.5</formula>
    </cfRule>
    <cfRule type="cellIs" dxfId="6711" priority="36" operator="greaterThan">
      <formula>6</formula>
    </cfRule>
  </conditionalFormatting>
  <conditionalFormatting sqref="H9:H12 H24:H37 H14:H17 H19:H22 H39">
    <cfRule type="cellIs" dxfId="6710" priority="31" operator="between">
      <formula>3.5</formula>
      <formula>6</formula>
    </cfRule>
    <cfRule type="cellIs" dxfId="6709" priority="32" operator="lessThan">
      <formula>3.5</formula>
    </cfRule>
    <cfRule type="cellIs" dxfId="6708" priority="33" operator="greaterThan">
      <formula>6</formula>
    </cfRule>
  </conditionalFormatting>
  <conditionalFormatting sqref="H23">
    <cfRule type="cellIs" dxfId="6707" priority="28" operator="between">
      <formula>3.5</formula>
      <formula>6</formula>
    </cfRule>
    <cfRule type="cellIs" dxfId="6706" priority="29" operator="lessThan">
      <formula>3.5</formula>
    </cfRule>
    <cfRule type="cellIs" dxfId="6705" priority="30" operator="greaterThan">
      <formula>6</formula>
    </cfRule>
  </conditionalFormatting>
  <conditionalFormatting sqref="H13">
    <cfRule type="cellIs" dxfId="6704" priority="25" operator="between">
      <formula>3.5</formula>
      <formula>6</formula>
    </cfRule>
    <cfRule type="cellIs" dxfId="6703" priority="26" operator="lessThan">
      <formula>3.5</formula>
    </cfRule>
    <cfRule type="cellIs" dxfId="6702" priority="27" operator="greaterThan">
      <formula>6</formula>
    </cfRule>
  </conditionalFormatting>
  <conditionalFormatting sqref="H18">
    <cfRule type="cellIs" dxfId="6701" priority="22" operator="between">
      <formula>3.5</formula>
      <formula>6</formula>
    </cfRule>
    <cfRule type="cellIs" dxfId="6700" priority="23" operator="lessThan">
      <formula>3.5</formula>
    </cfRule>
    <cfRule type="cellIs" dxfId="6699" priority="24" operator="greaterThan">
      <formula>6</formula>
    </cfRule>
  </conditionalFormatting>
  <conditionalFormatting sqref="H9:H39">
    <cfRule type="cellIs" dxfId="6698" priority="19" operator="between">
      <formula>3.5</formula>
      <formula>6</formula>
    </cfRule>
    <cfRule type="cellIs" dxfId="6697" priority="20" operator="lessThan">
      <formula>3.5</formula>
    </cfRule>
    <cfRule type="cellIs" dxfId="6696" priority="21" operator="greaterThan">
      <formula>6</formula>
    </cfRule>
  </conditionalFormatting>
  <conditionalFormatting sqref="H9:H39">
    <cfRule type="cellIs" dxfId="6695" priority="16" operator="between">
      <formula>3.5</formula>
      <formula>6</formula>
    </cfRule>
    <cfRule type="cellIs" dxfId="6694" priority="17" operator="lessThan">
      <formula>3.5</formula>
    </cfRule>
    <cfRule type="cellIs" dxfId="6693" priority="18" operator="greaterThan">
      <formula>6</formula>
    </cfRule>
  </conditionalFormatting>
  <conditionalFormatting sqref="H9:H39">
    <cfRule type="cellIs" dxfId="6692" priority="13" operator="between">
      <formula>3.5</formula>
      <formula>6</formula>
    </cfRule>
    <cfRule type="cellIs" dxfId="6691" priority="14" operator="lessThan">
      <formula>3.5</formula>
    </cfRule>
    <cfRule type="cellIs" dxfId="6690" priority="15" operator="greaterThan">
      <formula>6</formula>
    </cfRule>
  </conditionalFormatting>
  <conditionalFormatting sqref="H9:H39">
    <cfRule type="cellIs" dxfId="6689" priority="10" operator="between">
      <formula>3.5</formula>
      <formula>6</formula>
    </cfRule>
    <cfRule type="cellIs" dxfId="6688" priority="11" operator="lessThan">
      <formula>3.5</formula>
    </cfRule>
    <cfRule type="cellIs" dxfId="6687" priority="12" operator="greaterThan">
      <formula>6</formula>
    </cfRule>
  </conditionalFormatting>
  <conditionalFormatting sqref="H9:H39">
    <cfRule type="cellIs" dxfId="6686" priority="7" operator="between">
      <formula>3.5</formula>
      <formula>6</formula>
    </cfRule>
    <cfRule type="cellIs" dxfId="6685" priority="8" operator="lessThan">
      <formula>3.5</formula>
    </cfRule>
    <cfRule type="cellIs" dxfId="6684" priority="9" operator="greaterThan">
      <formula>6</formula>
    </cfRule>
  </conditionalFormatting>
  <conditionalFormatting sqref="H9:H39">
    <cfRule type="cellIs" dxfId="6683" priority="4" operator="between">
      <formula>3.5</formula>
      <formula>6</formula>
    </cfRule>
    <cfRule type="cellIs" dxfId="6682" priority="5" operator="lessThan">
      <formula>3.5</formula>
    </cfRule>
    <cfRule type="cellIs" dxfId="6681" priority="6" operator="greaterThan">
      <formula>6</formula>
    </cfRule>
  </conditionalFormatting>
  <conditionalFormatting sqref="H9:H39">
    <cfRule type="cellIs" dxfId="6680" priority="1" operator="between">
      <formula>3.5</formula>
      <formula>6</formula>
    </cfRule>
    <cfRule type="cellIs" dxfId="6679" priority="2" operator="lessThan">
      <formula>3.5</formula>
    </cfRule>
    <cfRule type="cellIs" dxfId="667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A49"/>
  <sheetViews>
    <sheetView zoomScale="90" zoomScaleNormal="90" workbookViewId="0">
      <pane ySplit="8" topLeftCell="A15" activePane="bottomLeft" state="frozen"/>
      <selection activeCell="L8" sqref="L8"/>
      <selection pane="bottomLeft" activeCell="I19" sqref="I19:I30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05"/>
      <c r="K3" s="1205"/>
      <c r="L3" s="1205"/>
      <c r="N3" s="442"/>
      <c r="O3" s="442"/>
      <c r="P3" s="442"/>
    </row>
    <row r="4" spans="1:27" s="1210" customFormat="1" ht="12" customHeight="1">
      <c r="A4" s="1648" t="s">
        <v>33</v>
      </c>
      <c r="B4" s="1648"/>
      <c r="C4" s="551" t="str">
        <f>H4</f>
        <v xml:space="preserve">PANA TILES 30*60 nâu-HA </v>
      </c>
      <c r="E4" s="549" t="s">
        <v>228</v>
      </c>
      <c r="F4" s="549" t="s">
        <v>235</v>
      </c>
      <c r="G4" s="550" t="s">
        <v>114</v>
      </c>
      <c r="H4" s="551" t="s">
        <v>999</v>
      </c>
      <c r="M4" s="143"/>
    </row>
    <row r="5" spans="1:27" s="1210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210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207" t="s">
        <v>2</v>
      </c>
      <c r="B7" s="1209" t="s">
        <v>1</v>
      </c>
      <c r="C7" s="1209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06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208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677" priority="34" operator="between">
      <formula>3.5</formula>
      <formula>6</formula>
    </cfRule>
    <cfRule type="cellIs" dxfId="6676" priority="35" operator="lessThan">
      <formula>3.5</formula>
    </cfRule>
    <cfRule type="cellIs" dxfId="6675" priority="36" operator="greaterThan">
      <formula>6</formula>
    </cfRule>
  </conditionalFormatting>
  <conditionalFormatting sqref="H9:H12 H24:H37 H14:H17 H19:H22 H39">
    <cfRule type="cellIs" dxfId="6674" priority="31" operator="between">
      <formula>3.5</formula>
      <formula>6</formula>
    </cfRule>
    <cfRule type="cellIs" dxfId="6673" priority="32" operator="lessThan">
      <formula>3.5</formula>
    </cfRule>
    <cfRule type="cellIs" dxfId="6672" priority="33" operator="greaterThan">
      <formula>6</formula>
    </cfRule>
  </conditionalFormatting>
  <conditionalFormatting sqref="H23">
    <cfRule type="cellIs" dxfId="6671" priority="28" operator="between">
      <formula>3.5</formula>
      <formula>6</formula>
    </cfRule>
    <cfRule type="cellIs" dxfId="6670" priority="29" operator="lessThan">
      <formula>3.5</formula>
    </cfRule>
    <cfRule type="cellIs" dxfId="6669" priority="30" operator="greaterThan">
      <formula>6</formula>
    </cfRule>
  </conditionalFormatting>
  <conditionalFormatting sqref="H13">
    <cfRule type="cellIs" dxfId="6668" priority="25" operator="between">
      <formula>3.5</formula>
      <formula>6</formula>
    </cfRule>
    <cfRule type="cellIs" dxfId="6667" priority="26" operator="lessThan">
      <formula>3.5</formula>
    </cfRule>
    <cfRule type="cellIs" dxfId="6666" priority="27" operator="greaterThan">
      <formula>6</formula>
    </cfRule>
  </conditionalFormatting>
  <conditionalFormatting sqref="H18">
    <cfRule type="cellIs" dxfId="6665" priority="22" operator="between">
      <formula>3.5</formula>
      <formula>6</formula>
    </cfRule>
    <cfRule type="cellIs" dxfId="6664" priority="23" operator="lessThan">
      <formula>3.5</formula>
    </cfRule>
    <cfRule type="cellIs" dxfId="6663" priority="24" operator="greaterThan">
      <formula>6</formula>
    </cfRule>
  </conditionalFormatting>
  <conditionalFormatting sqref="H9:H39">
    <cfRule type="cellIs" dxfId="6662" priority="19" operator="between">
      <formula>3.5</formula>
      <formula>6</formula>
    </cfRule>
    <cfRule type="cellIs" dxfId="6661" priority="20" operator="lessThan">
      <formula>3.5</formula>
    </cfRule>
    <cfRule type="cellIs" dxfId="6660" priority="21" operator="greaterThan">
      <formula>6</formula>
    </cfRule>
  </conditionalFormatting>
  <conditionalFormatting sqref="H9:H39">
    <cfRule type="cellIs" dxfId="6659" priority="16" operator="between">
      <formula>3.5</formula>
      <formula>6</formula>
    </cfRule>
    <cfRule type="cellIs" dxfId="6658" priority="17" operator="lessThan">
      <formula>3.5</formula>
    </cfRule>
    <cfRule type="cellIs" dxfId="6657" priority="18" operator="greaterThan">
      <formula>6</formula>
    </cfRule>
  </conditionalFormatting>
  <conditionalFormatting sqref="H9:H39">
    <cfRule type="cellIs" dxfId="6656" priority="13" operator="between">
      <formula>3.5</formula>
      <formula>6</formula>
    </cfRule>
    <cfRule type="cellIs" dxfId="6655" priority="14" operator="lessThan">
      <formula>3.5</formula>
    </cfRule>
    <cfRule type="cellIs" dxfId="6654" priority="15" operator="greaterThan">
      <formula>6</formula>
    </cfRule>
  </conditionalFormatting>
  <conditionalFormatting sqref="H9:H39">
    <cfRule type="cellIs" dxfId="6653" priority="10" operator="between">
      <formula>3.5</formula>
      <formula>6</formula>
    </cfRule>
    <cfRule type="cellIs" dxfId="6652" priority="11" operator="lessThan">
      <formula>3.5</formula>
    </cfRule>
    <cfRule type="cellIs" dxfId="6651" priority="12" operator="greaterThan">
      <formula>6</formula>
    </cfRule>
  </conditionalFormatting>
  <conditionalFormatting sqref="H9:H39">
    <cfRule type="cellIs" dxfId="6650" priority="7" operator="between">
      <formula>3.5</formula>
      <formula>6</formula>
    </cfRule>
    <cfRule type="cellIs" dxfId="6649" priority="8" operator="lessThan">
      <formula>3.5</formula>
    </cfRule>
    <cfRule type="cellIs" dxfId="6648" priority="9" operator="greaterThan">
      <formula>6</formula>
    </cfRule>
  </conditionalFormatting>
  <conditionalFormatting sqref="H9:H39">
    <cfRule type="cellIs" dxfId="6647" priority="4" operator="between">
      <formula>3.5</formula>
      <formula>6</formula>
    </cfRule>
    <cfRule type="cellIs" dxfId="6646" priority="5" operator="lessThan">
      <formula>3.5</formula>
    </cfRule>
    <cfRule type="cellIs" dxfId="6645" priority="6" operator="greaterThan">
      <formula>6</formula>
    </cfRule>
  </conditionalFormatting>
  <conditionalFormatting sqref="H9:H39">
    <cfRule type="cellIs" dxfId="6644" priority="1" operator="between">
      <formula>3.5</formula>
      <formula>6</formula>
    </cfRule>
    <cfRule type="cellIs" dxfId="6643" priority="2" operator="lessThan">
      <formula>3.5</formula>
    </cfRule>
    <cfRule type="cellIs" dxfId="664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A49"/>
  <sheetViews>
    <sheetView zoomScale="90" zoomScaleNormal="90" workbookViewId="0">
      <pane ySplit="8" topLeftCell="A18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26"/>
      <c r="K3" s="1226"/>
      <c r="L3" s="1226"/>
      <c r="N3" s="442"/>
      <c r="O3" s="442"/>
      <c r="P3" s="442"/>
    </row>
    <row r="4" spans="1:27" s="1231" customFormat="1" ht="12" customHeight="1">
      <c r="A4" s="1648" t="s">
        <v>33</v>
      </c>
      <c r="B4" s="1648"/>
      <c r="C4" s="551" t="str">
        <f>H4</f>
        <v xml:space="preserve">TOP ONE 40*80 nâu-HA </v>
      </c>
      <c r="E4" s="549" t="s">
        <v>228</v>
      </c>
      <c r="F4" s="549" t="s">
        <v>235</v>
      </c>
      <c r="G4" s="550" t="s">
        <v>114</v>
      </c>
      <c r="H4" s="551" t="s">
        <v>1028</v>
      </c>
      <c r="M4" s="143"/>
    </row>
    <row r="5" spans="1:27" s="1231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231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228" t="s">
        <v>2</v>
      </c>
      <c r="B7" s="1230" t="s">
        <v>1</v>
      </c>
      <c r="C7" s="1230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27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229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641" priority="34" operator="between">
      <formula>3.5</formula>
      <formula>6</formula>
    </cfRule>
    <cfRule type="cellIs" dxfId="6640" priority="35" operator="lessThan">
      <formula>3.5</formula>
    </cfRule>
    <cfRule type="cellIs" dxfId="6639" priority="36" operator="greaterThan">
      <formula>6</formula>
    </cfRule>
  </conditionalFormatting>
  <conditionalFormatting sqref="H9:H12 H24:H37 H14:H17 H19:H22 H39">
    <cfRule type="cellIs" dxfId="6638" priority="31" operator="between">
      <formula>3.5</formula>
      <formula>6</formula>
    </cfRule>
    <cfRule type="cellIs" dxfId="6637" priority="32" operator="lessThan">
      <formula>3.5</formula>
    </cfRule>
    <cfRule type="cellIs" dxfId="6636" priority="33" operator="greaterThan">
      <formula>6</formula>
    </cfRule>
  </conditionalFormatting>
  <conditionalFormatting sqref="H23">
    <cfRule type="cellIs" dxfId="6635" priority="28" operator="between">
      <formula>3.5</formula>
      <formula>6</formula>
    </cfRule>
    <cfRule type="cellIs" dxfId="6634" priority="29" operator="lessThan">
      <formula>3.5</formula>
    </cfRule>
    <cfRule type="cellIs" dxfId="6633" priority="30" operator="greaterThan">
      <formula>6</formula>
    </cfRule>
  </conditionalFormatting>
  <conditionalFormatting sqref="H13">
    <cfRule type="cellIs" dxfId="6632" priority="25" operator="between">
      <formula>3.5</formula>
      <formula>6</formula>
    </cfRule>
    <cfRule type="cellIs" dxfId="6631" priority="26" operator="lessThan">
      <formula>3.5</formula>
    </cfRule>
    <cfRule type="cellIs" dxfId="6630" priority="27" operator="greaterThan">
      <formula>6</formula>
    </cfRule>
  </conditionalFormatting>
  <conditionalFormatting sqref="H18">
    <cfRule type="cellIs" dxfId="6629" priority="22" operator="between">
      <formula>3.5</formula>
      <formula>6</formula>
    </cfRule>
    <cfRule type="cellIs" dxfId="6628" priority="23" operator="lessThan">
      <formula>3.5</formula>
    </cfRule>
    <cfRule type="cellIs" dxfId="6627" priority="24" operator="greaterThan">
      <formula>6</formula>
    </cfRule>
  </conditionalFormatting>
  <conditionalFormatting sqref="H9:H39">
    <cfRule type="cellIs" dxfId="6626" priority="19" operator="between">
      <formula>3.5</formula>
      <formula>6</formula>
    </cfRule>
    <cfRule type="cellIs" dxfId="6625" priority="20" operator="lessThan">
      <formula>3.5</formula>
    </cfRule>
    <cfRule type="cellIs" dxfId="6624" priority="21" operator="greaterThan">
      <formula>6</formula>
    </cfRule>
  </conditionalFormatting>
  <conditionalFormatting sqref="H9:H39">
    <cfRule type="cellIs" dxfId="6623" priority="16" operator="between">
      <formula>3.5</formula>
      <formula>6</formula>
    </cfRule>
    <cfRule type="cellIs" dxfId="6622" priority="17" operator="lessThan">
      <formula>3.5</formula>
    </cfRule>
    <cfRule type="cellIs" dxfId="6621" priority="18" operator="greaterThan">
      <formula>6</formula>
    </cfRule>
  </conditionalFormatting>
  <conditionalFormatting sqref="H9:H39">
    <cfRule type="cellIs" dxfId="6620" priority="13" operator="between">
      <formula>3.5</formula>
      <formula>6</formula>
    </cfRule>
    <cfRule type="cellIs" dxfId="6619" priority="14" operator="lessThan">
      <formula>3.5</formula>
    </cfRule>
    <cfRule type="cellIs" dxfId="6618" priority="15" operator="greaterThan">
      <formula>6</formula>
    </cfRule>
  </conditionalFormatting>
  <conditionalFormatting sqref="H9:H39">
    <cfRule type="cellIs" dxfId="6617" priority="10" operator="between">
      <formula>3.5</formula>
      <formula>6</formula>
    </cfRule>
    <cfRule type="cellIs" dxfId="6616" priority="11" operator="lessThan">
      <formula>3.5</formula>
    </cfRule>
    <cfRule type="cellIs" dxfId="6615" priority="12" operator="greaterThan">
      <formula>6</formula>
    </cfRule>
  </conditionalFormatting>
  <conditionalFormatting sqref="H9:H39">
    <cfRule type="cellIs" dxfId="6614" priority="7" operator="between">
      <formula>3.5</formula>
      <formula>6</formula>
    </cfRule>
    <cfRule type="cellIs" dxfId="6613" priority="8" operator="lessThan">
      <formula>3.5</formula>
    </cfRule>
    <cfRule type="cellIs" dxfId="6612" priority="9" operator="greaterThan">
      <formula>6</formula>
    </cfRule>
  </conditionalFormatting>
  <conditionalFormatting sqref="H9:H39">
    <cfRule type="cellIs" dxfId="6611" priority="4" operator="between">
      <formula>3.5</formula>
      <formula>6</formula>
    </cfRule>
    <cfRule type="cellIs" dxfId="6610" priority="5" operator="lessThan">
      <formula>3.5</formula>
    </cfRule>
    <cfRule type="cellIs" dxfId="6609" priority="6" operator="greaterThan">
      <formula>6</formula>
    </cfRule>
  </conditionalFormatting>
  <conditionalFormatting sqref="H9:H39">
    <cfRule type="cellIs" dxfId="6608" priority="1" operator="between">
      <formula>3.5</formula>
      <formula>6</formula>
    </cfRule>
    <cfRule type="cellIs" dxfId="6607" priority="2" operator="lessThan">
      <formula>3.5</formula>
    </cfRule>
    <cfRule type="cellIs" dxfId="660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78"/>
      <c r="K3" s="1278"/>
      <c r="L3" s="1278"/>
      <c r="N3" s="442"/>
      <c r="O3" s="442"/>
      <c r="P3" s="442"/>
    </row>
    <row r="4" spans="1:27" s="1283" customFormat="1" ht="12" customHeight="1">
      <c r="A4" s="1648" t="s">
        <v>33</v>
      </c>
      <c r="B4" s="1648"/>
      <c r="C4" s="551" t="str">
        <f>H4</f>
        <v xml:space="preserve">TOP ONE 40*80 5V nâu-HA </v>
      </c>
      <c r="E4" s="549" t="s">
        <v>228</v>
      </c>
      <c r="F4" s="549" t="s">
        <v>235</v>
      </c>
      <c r="G4" s="550" t="s">
        <v>114</v>
      </c>
      <c r="H4" s="551" t="s">
        <v>1092</v>
      </c>
      <c r="M4" s="143"/>
    </row>
    <row r="5" spans="1:27" s="1283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283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280" t="s">
        <v>2</v>
      </c>
      <c r="B7" s="1282" t="s">
        <v>1</v>
      </c>
      <c r="C7" s="128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79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5000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281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>
        <v>7150</v>
      </c>
      <c r="E24" s="396">
        <f t="shared" si="1"/>
        <v>0</v>
      </c>
      <c r="F24" s="396">
        <f t="shared" si="4"/>
        <v>10902.777777777777</v>
      </c>
      <c r="G24" s="396">
        <f t="shared" si="0"/>
        <v>7150</v>
      </c>
      <c r="H24" s="451">
        <f t="shared" si="2"/>
        <v>0.68637803590285107</v>
      </c>
      <c r="I24" s="772"/>
      <c r="J24" s="772"/>
      <c r="K24" s="772"/>
      <c r="L24" s="772"/>
      <c r="M24" s="650">
        <f t="shared" si="3"/>
        <v>0.6557948416920425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7150</v>
      </c>
      <c r="H25" s="451">
        <f t="shared" si="2"/>
        <v>0.68637803590285107</v>
      </c>
      <c r="I25" s="772"/>
      <c r="J25" s="772"/>
      <c r="K25" s="772"/>
      <c r="L25" s="772"/>
      <c r="M25" s="650">
        <f t="shared" si="3"/>
        <v>0.6557948416920425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v>4000</v>
      </c>
      <c r="E26" s="396">
        <f t="shared" si="1"/>
        <v>5000</v>
      </c>
      <c r="F26" s="396">
        <f t="shared" si="4"/>
        <v>10902.777777777777</v>
      </c>
      <c r="G26" s="396">
        <f t="shared" si="0"/>
        <v>6150</v>
      </c>
      <c r="H26" s="451">
        <f t="shared" si="2"/>
        <v>0.59038110780455022</v>
      </c>
      <c r="I26" s="772"/>
      <c r="J26" s="772">
        <v>5000</v>
      </c>
      <c r="K26" s="772"/>
      <c r="L26" s="772"/>
      <c r="M26" s="650">
        <f t="shared" si="3"/>
        <v>0.56407528341343516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6150</v>
      </c>
      <c r="H27" s="451">
        <f t="shared" si="2"/>
        <v>0.59038110780455022</v>
      </c>
      <c r="I27" s="772"/>
      <c r="J27" s="772"/>
      <c r="K27" s="772"/>
      <c r="L27" s="772"/>
      <c r="M27" s="650">
        <f t="shared" si="3"/>
        <v>0.56407528341343516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6150</v>
      </c>
      <c r="H28" s="451">
        <f t="shared" si="2"/>
        <v>0.59038110780455022</v>
      </c>
      <c r="I28" s="772"/>
      <c r="J28" s="772"/>
      <c r="K28" s="772"/>
      <c r="L28" s="772"/>
      <c r="M28" s="650">
        <f t="shared" si="3"/>
        <v>0.56407528341343516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6150</v>
      </c>
      <c r="H29" s="451">
        <f t="shared" si="2"/>
        <v>0.59038110780455022</v>
      </c>
      <c r="I29" s="772"/>
      <c r="J29" s="772"/>
      <c r="K29" s="772"/>
      <c r="L29" s="772"/>
      <c r="M29" s="650">
        <f t="shared" si="3"/>
        <v>0.56407528341343516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6150</v>
      </c>
      <c r="H30" s="451">
        <f t="shared" si="2"/>
        <v>0.59038110780455022</v>
      </c>
      <c r="I30" s="772"/>
      <c r="J30" s="772"/>
      <c r="K30" s="772"/>
      <c r="L30" s="772"/>
      <c r="M30" s="650">
        <f t="shared" si="3"/>
        <v>0.56407528341343516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6150</v>
      </c>
      <c r="H31" s="451">
        <f t="shared" si="2"/>
        <v>0.59038110780455022</v>
      </c>
      <c r="I31" s="772"/>
      <c r="J31" s="772"/>
      <c r="K31" s="772"/>
      <c r="L31" s="772"/>
      <c r="M31" s="650">
        <f t="shared" si="3"/>
        <v>0.56407528341343516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6150</v>
      </c>
      <c r="H32" s="451">
        <f t="shared" si="2"/>
        <v>0.59038110780455022</v>
      </c>
      <c r="I32" s="772"/>
      <c r="J32" s="772"/>
      <c r="K32" s="772"/>
      <c r="L32" s="772"/>
      <c r="M32" s="650">
        <f t="shared" si="3"/>
        <v>0.56407528341343516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6150</v>
      </c>
      <c r="H33" s="451">
        <f t="shared" si="2"/>
        <v>0.59038110780455022</v>
      </c>
      <c r="I33" s="772"/>
      <c r="J33" s="772"/>
      <c r="K33" s="772"/>
      <c r="L33" s="772"/>
      <c r="M33" s="650">
        <f t="shared" si="3"/>
        <v>0.56407528341343516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6150</v>
      </c>
      <c r="H34" s="451">
        <f t="shared" si="2"/>
        <v>0.59038110780455022</v>
      </c>
      <c r="I34" s="772"/>
      <c r="J34" s="772"/>
      <c r="K34" s="772"/>
      <c r="L34" s="772"/>
      <c r="M34" s="650">
        <f t="shared" si="3"/>
        <v>0.56407528341343516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6150</v>
      </c>
      <c r="H35" s="451">
        <f t="shared" si="2"/>
        <v>0.59038110780455022</v>
      </c>
      <c r="I35" s="772"/>
      <c r="J35" s="772"/>
      <c r="K35" s="772"/>
      <c r="L35" s="772"/>
      <c r="M35" s="650">
        <f t="shared" si="3"/>
        <v>0.56407528341343516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6150</v>
      </c>
      <c r="H36" s="451">
        <f t="shared" si="2"/>
        <v>0.59038110780455022</v>
      </c>
      <c r="I36" s="772"/>
      <c r="J36" s="772"/>
      <c r="K36" s="772"/>
      <c r="L36" s="772"/>
      <c r="M36" s="650">
        <f t="shared" si="3"/>
        <v>0.56407528341343516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6150</v>
      </c>
      <c r="H37" s="451">
        <f t="shared" si="2"/>
        <v>0.59038110780455022</v>
      </c>
      <c r="I37" s="772"/>
      <c r="J37" s="772"/>
      <c r="K37" s="772"/>
      <c r="L37" s="772"/>
      <c r="M37" s="650">
        <f t="shared" si="3"/>
        <v>0.56407528341343516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6150</v>
      </c>
      <c r="H38" s="451">
        <f t="shared" si="2"/>
        <v>0.59038110780455022</v>
      </c>
      <c r="I38" s="772"/>
      <c r="J38" s="772"/>
      <c r="K38" s="772"/>
      <c r="L38" s="772"/>
      <c r="M38" s="650">
        <f t="shared" si="3"/>
        <v>0.56407528341343516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/>
      <c r="E39" s="396">
        <f t="shared" si="1"/>
        <v>0</v>
      </c>
      <c r="F39" s="396">
        <f>SUM($E$8:E39)/A39</f>
        <v>322.58064516129031</v>
      </c>
      <c r="G39" s="396">
        <f t="shared" si="0"/>
        <v>6150</v>
      </c>
      <c r="H39" s="451">
        <f t="shared" si="2"/>
        <v>0.59038110780455022</v>
      </c>
      <c r="I39" s="772"/>
      <c r="J39" s="772"/>
      <c r="K39" s="772"/>
      <c r="L39" s="772"/>
      <c r="M39" s="650">
        <f t="shared" si="3"/>
        <v>0.56407528341343516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11150</v>
      </c>
      <c r="E40" s="389">
        <f>SUM(E9:E39)</f>
        <v>5000</v>
      </c>
      <c r="F40" s="449"/>
      <c r="G40" s="389">
        <f>G39</f>
        <v>6150</v>
      </c>
      <c r="H40" s="309"/>
      <c r="I40" s="689">
        <f>SUM(I9:I39)</f>
        <v>0</v>
      </c>
      <c r="J40" s="689">
        <f t="shared" ref="J40:L40" si="5">SUM(J9:J39)</f>
        <v>5000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11150</v>
      </c>
      <c r="E41" s="389">
        <f>E40</f>
        <v>5000</v>
      </c>
      <c r="F41" s="449"/>
      <c r="G41" s="389">
        <f>D41-E41</f>
        <v>6150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5000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605" priority="34" operator="between">
      <formula>3.5</formula>
      <formula>6</formula>
    </cfRule>
    <cfRule type="cellIs" dxfId="6604" priority="35" operator="lessThan">
      <formula>3.5</formula>
    </cfRule>
    <cfRule type="cellIs" dxfId="6603" priority="36" operator="greaterThan">
      <formula>6</formula>
    </cfRule>
  </conditionalFormatting>
  <conditionalFormatting sqref="H9:H12 H24:H37 H14:H17 H19:H22 H39">
    <cfRule type="cellIs" dxfId="6602" priority="31" operator="between">
      <formula>3.5</formula>
      <formula>6</formula>
    </cfRule>
    <cfRule type="cellIs" dxfId="6601" priority="32" operator="lessThan">
      <formula>3.5</formula>
    </cfRule>
    <cfRule type="cellIs" dxfId="6600" priority="33" operator="greaterThan">
      <formula>6</formula>
    </cfRule>
  </conditionalFormatting>
  <conditionalFormatting sqref="H23">
    <cfRule type="cellIs" dxfId="6599" priority="28" operator="between">
      <formula>3.5</formula>
      <formula>6</formula>
    </cfRule>
    <cfRule type="cellIs" dxfId="6598" priority="29" operator="lessThan">
      <formula>3.5</formula>
    </cfRule>
    <cfRule type="cellIs" dxfId="6597" priority="30" operator="greaterThan">
      <formula>6</formula>
    </cfRule>
  </conditionalFormatting>
  <conditionalFormatting sqref="H13">
    <cfRule type="cellIs" dxfId="6596" priority="25" operator="between">
      <formula>3.5</formula>
      <formula>6</formula>
    </cfRule>
    <cfRule type="cellIs" dxfId="6595" priority="26" operator="lessThan">
      <formula>3.5</formula>
    </cfRule>
    <cfRule type="cellIs" dxfId="6594" priority="27" operator="greaterThan">
      <formula>6</formula>
    </cfRule>
  </conditionalFormatting>
  <conditionalFormatting sqref="H18">
    <cfRule type="cellIs" dxfId="6593" priority="22" operator="between">
      <formula>3.5</formula>
      <formula>6</formula>
    </cfRule>
    <cfRule type="cellIs" dxfId="6592" priority="23" operator="lessThan">
      <formula>3.5</formula>
    </cfRule>
    <cfRule type="cellIs" dxfId="6591" priority="24" operator="greaterThan">
      <formula>6</formula>
    </cfRule>
  </conditionalFormatting>
  <conditionalFormatting sqref="H9:H39">
    <cfRule type="cellIs" dxfId="6590" priority="19" operator="between">
      <formula>3.5</formula>
      <formula>6</formula>
    </cfRule>
    <cfRule type="cellIs" dxfId="6589" priority="20" operator="lessThan">
      <formula>3.5</formula>
    </cfRule>
    <cfRule type="cellIs" dxfId="6588" priority="21" operator="greaterThan">
      <formula>6</formula>
    </cfRule>
  </conditionalFormatting>
  <conditionalFormatting sqref="H9:H39">
    <cfRule type="cellIs" dxfId="6587" priority="16" operator="between">
      <formula>3.5</formula>
      <formula>6</formula>
    </cfRule>
    <cfRule type="cellIs" dxfId="6586" priority="17" operator="lessThan">
      <formula>3.5</formula>
    </cfRule>
    <cfRule type="cellIs" dxfId="6585" priority="18" operator="greaterThan">
      <formula>6</formula>
    </cfRule>
  </conditionalFormatting>
  <conditionalFormatting sqref="H9:H39">
    <cfRule type="cellIs" dxfId="6584" priority="13" operator="between">
      <formula>3.5</formula>
      <formula>6</formula>
    </cfRule>
    <cfRule type="cellIs" dxfId="6583" priority="14" operator="lessThan">
      <formula>3.5</formula>
    </cfRule>
    <cfRule type="cellIs" dxfId="6582" priority="15" operator="greaterThan">
      <formula>6</formula>
    </cfRule>
  </conditionalFormatting>
  <conditionalFormatting sqref="H9:H39">
    <cfRule type="cellIs" dxfId="6581" priority="10" operator="between">
      <formula>3.5</formula>
      <formula>6</formula>
    </cfRule>
    <cfRule type="cellIs" dxfId="6580" priority="11" operator="lessThan">
      <formula>3.5</formula>
    </cfRule>
    <cfRule type="cellIs" dxfId="6579" priority="12" operator="greaterThan">
      <formula>6</formula>
    </cfRule>
  </conditionalFormatting>
  <conditionalFormatting sqref="H9:H39">
    <cfRule type="cellIs" dxfId="6578" priority="7" operator="between">
      <formula>3.5</formula>
      <formula>6</formula>
    </cfRule>
    <cfRule type="cellIs" dxfId="6577" priority="8" operator="lessThan">
      <formula>3.5</formula>
    </cfRule>
    <cfRule type="cellIs" dxfId="6576" priority="9" operator="greaterThan">
      <formula>6</formula>
    </cfRule>
  </conditionalFormatting>
  <conditionalFormatting sqref="H9:H39">
    <cfRule type="cellIs" dxfId="6575" priority="4" operator="between">
      <formula>3.5</formula>
      <formula>6</formula>
    </cfRule>
    <cfRule type="cellIs" dxfId="6574" priority="5" operator="lessThan">
      <formula>3.5</formula>
    </cfRule>
    <cfRule type="cellIs" dxfId="6573" priority="6" operator="greaterThan">
      <formula>6</formula>
    </cfRule>
  </conditionalFormatting>
  <conditionalFormatting sqref="H9:H39">
    <cfRule type="cellIs" dxfId="6572" priority="1" operator="between">
      <formula>3.5</formula>
      <formula>6</formula>
    </cfRule>
    <cfRule type="cellIs" dxfId="6571" priority="2" operator="lessThan">
      <formula>3.5</formula>
    </cfRule>
    <cfRule type="cellIs" dxfId="657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32"/>
      <c r="K3" s="1232"/>
      <c r="L3" s="1232"/>
      <c r="N3" s="442"/>
      <c r="O3" s="442"/>
      <c r="P3" s="442"/>
    </row>
    <row r="4" spans="1:27" s="1237" customFormat="1" ht="12" customHeight="1">
      <c r="A4" s="1648" t="s">
        <v>33</v>
      </c>
      <c r="B4" s="1648"/>
      <c r="C4" s="551" t="str">
        <f>H4</f>
        <v xml:space="preserve">TOP ONE 30*60 nâu-HA </v>
      </c>
      <c r="E4" s="549" t="s">
        <v>228</v>
      </c>
      <c r="F4" s="549" t="s">
        <v>235</v>
      </c>
      <c r="G4" s="550" t="s">
        <v>114</v>
      </c>
      <c r="H4" s="551" t="s">
        <v>1030</v>
      </c>
      <c r="M4" s="143"/>
    </row>
    <row r="5" spans="1:27" s="123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237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234" t="s">
        <v>2</v>
      </c>
      <c r="B7" s="1236" t="s">
        <v>1</v>
      </c>
      <c r="C7" s="123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33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13841</v>
      </c>
      <c r="E8" s="771">
        <f>E40</f>
        <v>23150</v>
      </c>
      <c r="F8" s="771"/>
      <c r="G8" s="774">
        <v>13841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235">
        <v>1</v>
      </c>
      <c r="B9" s="365">
        <f>'FRIT HGE91-FHG'!B9</f>
        <v>46235</v>
      </c>
      <c r="C9" s="331" t="s">
        <v>285</v>
      </c>
      <c r="D9" s="1451"/>
      <c r="E9" s="1451">
        <f>I9+J9+K9+L9</f>
        <v>0</v>
      </c>
      <c r="F9" s="1451">
        <f>15700/1.44</f>
        <v>10902.777777777777</v>
      </c>
      <c r="G9" s="1451">
        <f t="shared" ref="G9:G39" si="0">G8+D9-E9</f>
        <v>13841</v>
      </c>
      <c r="H9" s="1452">
        <f>G9/10417</f>
        <v>1.328693481808582</v>
      </c>
      <c r="I9" s="772"/>
      <c r="J9" s="772"/>
      <c r="K9" s="772"/>
      <c r="L9" s="772"/>
      <c r="M9" s="650">
        <f>G9/$M$8</f>
        <v>1.2694904061342041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1451"/>
      <c r="E10" s="1451">
        <f t="shared" ref="E10:E39" si="1">I10+J10+K10+L10</f>
        <v>0</v>
      </c>
      <c r="F10" s="1451">
        <f>$F$9</f>
        <v>10902.777777777777</v>
      </c>
      <c r="G10" s="1451">
        <f t="shared" si="0"/>
        <v>13841</v>
      </c>
      <c r="H10" s="1452">
        <f t="shared" ref="H10:H39" si="2">G10/10417</f>
        <v>1.328693481808582</v>
      </c>
      <c r="I10" s="772"/>
      <c r="J10" s="772"/>
      <c r="K10" s="772"/>
      <c r="L10" s="772"/>
      <c r="M10" s="650">
        <f t="shared" ref="M10:M39" si="3">G10/$M$8</f>
        <v>1.2694904061342041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1451"/>
      <c r="E11" s="1451">
        <f t="shared" si="1"/>
        <v>0</v>
      </c>
      <c r="F11" s="1451">
        <f>$F$9</f>
        <v>10902.777777777777</v>
      </c>
      <c r="G11" s="1451">
        <f t="shared" si="0"/>
        <v>13841</v>
      </c>
      <c r="H11" s="1452">
        <f t="shared" si="2"/>
        <v>1.328693481808582</v>
      </c>
      <c r="I11" s="772"/>
      <c r="J11" s="772"/>
      <c r="K11" s="772"/>
      <c r="L11" s="772"/>
      <c r="M11" s="650">
        <f t="shared" si="3"/>
        <v>1.2694904061342041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1451"/>
      <c r="E12" s="1451">
        <f t="shared" si="1"/>
        <v>1550</v>
      </c>
      <c r="F12" s="1451">
        <f t="shared" ref="F12:F38" si="4">$F$9</f>
        <v>10902.777777777777</v>
      </c>
      <c r="G12" s="1451">
        <f t="shared" si="0"/>
        <v>12291</v>
      </c>
      <c r="H12" s="1452">
        <f t="shared" si="2"/>
        <v>1.1798982432562157</v>
      </c>
      <c r="I12" s="772">
        <v>1550</v>
      </c>
      <c r="J12" s="772"/>
      <c r="K12" s="772"/>
      <c r="L12" s="772"/>
      <c r="M12" s="650">
        <f t="shared" si="3"/>
        <v>1.1273250908023629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1451"/>
      <c r="E13" s="1451">
        <f t="shared" si="1"/>
        <v>0</v>
      </c>
      <c r="F13" s="1451">
        <f t="shared" si="4"/>
        <v>10902.777777777777</v>
      </c>
      <c r="G13" s="1453">
        <f t="shared" si="0"/>
        <v>12291</v>
      </c>
      <c r="H13" s="1452">
        <f t="shared" si="2"/>
        <v>1.1798982432562157</v>
      </c>
      <c r="I13" s="772"/>
      <c r="J13" s="772"/>
      <c r="K13" s="772"/>
      <c r="L13" s="772"/>
      <c r="M13" s="650">
        <f t="shared" si="3"/>
        <v>1.1273250908023629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1451"/>
      <c r="E14" s="1451">
        <f t="shared" si="1"/>
        <v>4800</v>
      </c>
      <c r="F14" s="1451">
        <f t="shared" si="4"/>
        <v>10902.777777777777</v>
      </c>
      <c r="G14" s="1451">
        <f t="shared" si="0"/>
        <v>7491</v>
      </c>
      <c r="H14" s="1452">
        <f t="shared" si="2"/>
        <v>0.71911298838437165</v>
      </c>
      <c r="I14" s="772">
        <v>4800</v>
      </c>
      <c r="J14" s="772"/>
      <c r="K14" s="772"/>
      <c r="L14" s="772"/>
      <c r="M14" s="650">
        <f t="shared" si="3"/>
        <v>0.68707121106504754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1451">
        <v>4925</v>
      </c>
      <c r="E15" s="1451">
        <f t="shared" si="1"/>
        <v>0</v>
      </c>
      <c r="F15" s="1451">
        <f t="shared" si="4"/>
        <v>10902.777777777777</v>
      </c>
      <c r="G15" s="1451">
        <f t="shared" si="0"/>
        <v>12416</v>
      </c>
      <c r="H15" s="1452">
        <f t="shared" si="2"/>
        <v>1.1918978592685034</v>
      </c>
      <c r="I15" s="772"/>
      <c r="J15" s="772"/>
      <c r="K15" s="772"/>
      <c r="L15" s="772"/>
      <c r="M15" s="650">
        <f t="shared" si="3"/>
        <v>1.1387900355871887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1451"/>
      <c r="E16" s="1451">
        <f t="shared" si="1"/>
        <v>2400</v>
      </c>
      <c r="F16" s="1451">
        <f t="shared" si="4"/>
        <v>10902.777777777777</v>
      </c>
      <c r="G16" s="1451">
        <f t="shared" si="0"/>
        <v>10016</v>
      </c>
      <c r="H16" s="1452">
        <f t="shared" si="2"/>
        <v>0.96150523183258141</v>
      </c>
      <c r="I16" s="772">
        <v>2400</v>
      </c>
      <c r="J16" s="772"/>
      <c r="K16" s="772"/>
      <c r="L16" s="772"/>
      <c r="M16" s="650">
        <f t="shared" si="3"/>
        <v>0.91866309571853111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1451"/>
      <c r="E17" s="1451">
        <f t="shared" si="1"/>
        <v>0</v>
      </c>
      <c r="F17" s="1451">
        <f t="shared" si="4"/>
        <v>10902.777777777777</v>
      </c>
      <c r="G17" s="1451">
        <f t="shared" si="0"/>
        <v>10016</v>
      </c>
      <c r="H17" s="1452">
        <f t="shared" si="2"/>
        <v>0.96150523183258141</v>
      </c>
      <c r="I17" s="772"/>
      <c r="J17" s="772"/>
      <c r="K17" s="772"/>
      <c r="L17" s="772"/>
      <c r="M17" s="650">
        <f t="shared" si="3"/>
        <v>0.91866309571853111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1451"/>
      <c r="E18" s="1451">
        <f t="shared" si="1"/>
        <v>2400</v>
      </c>
      <c r="F18" s="1451">
        <f t="shared" si="4"/>
        <v>10902.777777777777</v>
      </c>
      <c r="G18" s="1453">
        <f t="shared" si="0"/>
        <v>7616</v>
      </c>
      <c r="H18" s="1452">
        <f t="shared" si="2"/>
        <v>0.73111260439665926</v>
      </c>
      <c r="I18" s="772">
        <v>2400</v>
      </c>
      <c r="J18" s="772"/>
      <c r="K18" s="772"/>
      <c r="L18" s="772"/>
      <c r="M18" s="650">
        <f t="shared" si="3"/>
        <v>0.6985361558498735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1451">
        <v>2800</v>
      </c>
      <c r="E19" s="1451">
        <f t="shared" si="1"/>
        <v>0</v>
      </c>
      <c r="F19" s="1451">
        <f t="shared" si="4"/>
        <v>10902.777777777777</v>
      </c>
      <c r="G19" s="1451">
        <f t="shared" si="0"/>
        <v>10416</v>
      </c>
      <c r="H19" s="1452">
        <f t="shared" si="2"/>
        <v>0.99990400307190175</v>
      </c>
      <c r="I19" s="772"/>
      <c r="J19" s="772"/>
      <c r="K19" s="772"/>
      <c r="L19" s="772"/>
      <c r="M19" s="650">
        <f t="shared" si="3"/>
        <v>0.95535091902997404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1451">
        <v>8050</v>
      </c>
      <c r="E20" s="1451">
        <f t="shared" si="1"/>
        <v>0</v>
      </c>
      <c r="F20" s="1451">
        <f t="shared" si="4"/>
        <v>10902.777777777777</v>
      </c>
      <c r="G20" s="1451">
        <f t="shared" si="0"/>
        <v>18466</v>
      </c>
      <c r="H20" s="1452">
        <f t="shared" si="2"/>
        <v>1.7726792742632236</v>
      </c>
      <c r="I20" s="772"/>
      <c r="J20" s="772"/>
      <c r="K20" s="772"/>
      <c r="L20" s="772"/>
      <c r="M20" s="650">
        <f t="shared" si="3"/>
        <v>1.6936933631727631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1451"/>
      <c r="E21" s="1451">
        <f t="shared" si="1"/>
        <v>2400</v>
      </c>
      <c r="F21" s="1451">
        <f t="shared" si="4"/>
        <v>10902.777777777777</v>
      </c>
      <c r="G21" s="1451">
        <f t="shared" si="0"/>
        <v>16066</v>
      </c>
      <c r="H21" s="1452">
        <f t="shared" si="2"/>
        <v>1.5422866468273015</v>
      </c>
      <c r="I21" s="772">
        <v>2400</v>
      </c>
      <c r="J21" s="772"/>
      <c r="K21" s="772"/>
      <c r="L21" s="772"/>
      <c r="M21" s="650">
        <f t="shared" si="3"/>
        <v>1.4735664233041055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1451"/>
      <c r="E22" s="1451">
        <f t="shared" si="1"/>
        <v>2400</v>
      </c>
      <c r="F22" s="1451">
        <f t="shared" si="4"/>
        <v>10902.777777777777</v>
      </c>
      <c r="G22" s="1451">
        <f t="shared" si="0"/>
        <v>13666</v>
      </c>
      <c r="H22" s="1452">
        <f t="shared" si="2"/>
        <v>1.3118940193913795</v>
      </c>
      <c r="I22" s="772">
        <v>2400</v>
      </c>
      <c r="J22" s="772"/>
      <c r="K22" s="772"/>
      <c r="L22" s="772"/>
      <c r="M22" s="650">
        <f t="shared" si="3"/>
        <v>1.2534394834354479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1451"/>
      <c r="E23" s="1451">
        <f t="shared" si="1"/>
        <v>0</v>
      </c>
      <c r="F23" s="1451">
        <f t="shared" si="4"/>
        <v>10902.777777777777</v>
      </c>
      <c r="G23" s="1453">
        <f t="shared" si="0"/>
        <v>13666</v>
      </c>
      <c r="H23" s="1452">
        <f t="shared" si="2"/>
        <v>1.3118940193913795</v>
      </c>
      <c r="I23" s="772"/>
      <c r="J23" s="772"/>
      <c r="K23" s="772"/>
      <c r="L23" s="772"/>
      <c r="M23" s="650">
        <f t="shared" si="3"/>
        <v>1.2534394834354479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1451"/>
      <c r="E24" s="1451">
        <f t="shared" si="1"/>
        <v>0</v>
      </c>
      <c r="F24" s="1451">
        <f t="shared" si="4"/>
        <v>10902.777777777777</v>
      </c>
      <c r="G24" s="1451">
        <f t="shared" si="0"/>
        <v>13666</v>
      </c>
      <c r="H24" s="1452">
        <f t="shared" si="2"/>
        <v>1.3118940193913795</v>
      </c>
      <c r="I24" s="772"/>
      <c r="J24" s="772"/>
      <c r="K24" s="772"/>
      <c r="L24" s="772"/>
      <c r="M24" s="650">
        <f t="shared" si="3"/>
        <v>1.2534394834354479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1451"/>
      <c r="E25" s="1451">
        <f t="shared" si="1"/>
        <v>4800</v>
      </c>
      <c r="F25" s="1451">
        <f t="shared" si="4"/>
        <v>10902.777777777777</v>
      </c>
      <c r="G25" s="1451">
        <f t="shared" si="0"/>
        <v>8866</v>
      </c>
      <c r="H25" s="1452">
        <f t="shared" si="2"/>
        <v>0.85110876451953532</v>
      </c>
      <c r="I25" s="772">
        <v>4800</v>
      </c>
      <c r="J25" s="772"/>
      <c r="K25" s="772"/>
      <c r="L25" s="772"/>
      <c r="M25" s="650">
        <f t="shared" si="3"/>
        <v>0.81318560369813264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1451"/>
      <c r="E26" s="1451">
        <f t="shared" si="1"/>
        <v>2400</v>
      </c>
      <c r="F26" s="1451">
        <f t="shared" si="4"/>
        <v>10902.777777777777</v>
      </c>
      <c r="G26" s="1451">
        <f t="shared" si="0"/>
        <v>6466</v>
      </c>
      <c r="H26" s="1452">
        <f t="shared" si="2"/>
        <v>0.62071613708361328</v>
      </c>
      <c r="I26" s="772">
        <v>2400</v>
      </c>
      <c r="J26" s="772"/>
      <c r="K26" s="772"/>
      <c r="L26" s="772"/>
      <c r="M26" s="650">
        <f t="shared" si="3"/>
        <v>0.59305866382947503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1451"/>
      <c r="E27" s="1451">
        <f t="shared" si="1"/>
        <v>0</v>
      </c>
      <c r="F27" s="1451">
        <f t="shared" si="4"/>
        <v>10902.777777777777</v>
      </c>
      <c r="G27" s="1451">
        <f t="shared" si="0"/>
        <v>6466</v>
      </c>
      <c r="H27" s="1452">
        <f t="shared" si="2"/>
        <v>0.62071613708361328</v>
      </c>
      <c r="I27" s="772"/>
      <c r="J27" s="772"/>
      <c r="K27" s="772"/>
      <c r="L27" s="772"/>
      <c r="M27" s="650">
        <f t="shared" si="3"/>
        <v>0.59305866382947503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1451"/>
      <c r="E28" s="1451">
        <f t="shared" si="1"/>
        <v>0</v>
      </c>
      <c r="F28" s="1451">
        <f t="shared" si="4"/>
        <v>10902.777777777777</v>
      </c>
      <c r="G28" s="1453">
        <f t="shared" si="0"/>
        <v>6466</v>
      </c>
      <c r="H28" s="1452">
        <f t="shared" si="2"/>
        <v>0.62071613708361328</v>
      </c>
      <c r="I28" s="772"/>
      <c r="J28" s="772"/>
      <c r="K28" s="772"/>
      <c r="L28" s="772"/>
      <c r="M28" s="650">
        <f t="shared" si="3"/>
        <v>0.59305866382947503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1451"/>
      <c r="E29" s="1451">
        <f t="shared" si="1"/>
        <v>0</v>
      </c>
      <c r="F29" s="1451">
        <f t="shared" si="4"/>
        <v>10902.777777777777</v>
      </c>
      <c r="G29" s="1454">
        <f t="shared" si="0"/>
        <v>6466</v>
      </c>
      <c r="H29" s="1452">
        <f t="shared" si="2"/>
        <v>0.62071613708361328</v>
      </c>
      <c r="I29" s="772"/>
      <c r="J29" s="772"/>
      <c r="K29" s="772"/>
      <c r="L29" s="772"/>
      <c r="M29" s="650">
        <f t="shared" si="3"/>
        <v>0.59305866382947503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1451"/>
      <c r="E30" s="1451">
        <f t="shared" si="1"/>
        <v>0</v>
      </c>
      <c r="F30" s="1451">
        <f t="shared" si="4"/>
        <v>10902.777777777777</v>
      </c>
      <c r="G30" s="1454">
        <f t="shared" si="0"/>
        <v>6466</v>
      </c>
      <c r="H30" s="1452">
        <f t="shared" si="2"/>
        <v>0.62071613708361328</v>
      </c>
      <c r="I30" s="772"/>
      <c r="J30" s="772"/>
      <c r="K30" s="772"/>
      <c r="L30" s="772"/>
      <c r="M30" s="650">
        <f t="shared" si="3"/>
        <v>0.59305866382947503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1451"/>
      <c r="E31" s="1451">
        <f t="shared" si="1"/>
        <v>0</v>
      </c>
      <c r="F31" s="1451">
        <f t="shared" si="4"/>
        <v>10902.777777777777</v>
      </c>
      <c r="G31" s="1454">
        <f t="shared" si="0"/>
        <v>6466</v>
      </c>
      <c r="H31" s="1452">
        <f t="shared" si="2"/>
        <v>0.62071613708361328</v>
      </c>
      <c r="I31" s="772"/>
      <c r="J31" s="772"/>
      <c r="K31" s="772"/>
      <c r="L31" s="772"/>
      <c r="M31" s="650">
        <f t="shared" si="3"/>
        <v>0.59305866382947503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1451"/>
      <c r="E32" s="1451">
        <f t="shared" si="1"/>
        <v>0</v>
      </c>
      <c r="F32" s="1451">
        <f t="shared" si="4"/>
        <v>10902.777777777777</v>
      </c>
      <c r="G32" s="1454">
        <f t="shared" si="0"/>
        <v>6466</v>
      </c>
      <c r="H32" s="1452">
        <f t="shared" si="2"/>
        <v>0.62071613708361328</v>
      </c>
      <c r="I32" s="772"/>
      <c r="J32" s="772"/>
      <c r="K32" s="772"/>
      <c r="L32" s="772"/>
      <c r="M32" s="650">
        <f t="shared" si="3"/>
        <v>0.59305866382947503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1451"/>
      <c r="E33" s="1451">
        <f t="shared" si="1"/>
        <v>0</v>
      </c>
      <c r="F33" s="1451">
        <f t="shared" si="4"/>
        <v>10902.777777777777</v>
      </c>
      <c r="G33" s="1455">
        <f t="shared" si="0"/>
        <v>6466</v>
      </c>
      <c r="H33" s="1452">
        <f t="shared" si="2"/>
        <v>0.62071613708361328</v>
      </c>
      <c r="I33" s="772"/>
      <c r="J33" s="772"/>
      <c r="K33" s="772"/>
      <c r="L33" s="772"/>
      <c r="M33" s="650">
        <f t="shared" si="3"/>
        <v>0.59305866382947503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1451"/>
      <c r="E34" s="1451">
        <f t="shared" si="1"/>
        <v>0</v>
      </c>
      <c r="F34" s="1451">
        <f t="shared" si="4"/>
        <v>10902.777777777777</v>
      </c>
      <c r="G34" s="1451">
        <f t="shared" si="0"/>
        <v>6466</v>
      </c>
      <c r="H34" s="1452">
        <f t="shared" si="2"/>
        <v>0.62071613708361328</v>
      </c>
      <c r="I34" s="772"/>
      <c r="J34" s="772"/>
      <c r="K34" s="772"/>
      <c r="L34" s="772"/>
      <c r="M34" s="650">
        <f t="shared" si="3"/>
        <v>0.59305866382947503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1451"/>
      <c r="E35" s="1451">
        <f t="shared" si="1"/>
        <v>0</v>
      </c>
      <c r="F35" s="1451">
        <f t="shared" si="4"/>
        <v>10902.777777777777</v>
      </c>
      <c r="G35" s="1451">
        <f t="shared" si="0"/>
        <v>6466</v>
      </c>
      <c r="H35" s="1452">
        <f t="shared" si="2"/>
        <v>0.62071613708361328</v>
      </c>
      <c r="I35" s="772"/>
      <c r="J35" s="772"/>
      <c r="K35" s="772"/>
      <c r="L35" s="772"/>
      <c r="M35" s="650">
        <f t="shared" si="3"/>
        <v>0.59305866382947503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1451"/>
      <c r="E36" s="1451">
        <f t="shared" si="1"/>
        <v>0</v>
      </c>
      <c r="F36" s="1451">
        <f t="shared" si="4"/>
        <v>10902.777777777777</v>
      </c>
      <c r="G36" s="1451">
        <f t="shared" si="0"/>
        <v>6466</v>
      </c>
      <c r="H36" s="1452">
        <f t="shared" si="2"/>
        <v>0.62071613708361328</v>
      </c>
      <c r="I36" s="772"/>
      <c r="J36" s="772"/>
      <c r="K36" s="772"/>
      <c r="L36" s="772"/>
      <c r="M36" s="650">
        <f t="shared" si="3"/>
        <v>0.59305866382947503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51"/>
      <c r="E37" s="1451">
        <f t="shared" si="1"/>
        <v>0</v>
      </c>
      <c r="F37" s="1451">
        <f t="shared" si="4"/>
        <v>10902.777777777777</v>
      </c>
      <c r="G37" s="1451">
        <f t="shared" si="0"/>
        <v>6466</v>
      </c>
      <c r="H37" s="1452">
        <f t="shared" si="2"/>
        <v>0.62071613708361328</v>
      </c>
      <c r="I37" s="772"/>
      <c r="J37" s="772"/>
      <c r="K37" s="772"/>
      <c r="L37" s="772"/>
      <c r="M37" s="650">
        <f t="shared" si="3"/>
        <v>0.59305866382947503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1"/>
      <c r="E38" s="1451">
        <f t="shared" si="1"/>
        <v>0</v>
      </c>
      <c r="F38" s="1451">
        <f t="shared" si="4"/>
        <v>10902.777777777777</v>
      </c>
      <c r="G38" s="1453">
        <f>G37+D38-E38</f>
        <v>6466</v>
      </c>
      <c r="H38" s="1452">
        <f t="shared" si="2"/>
        <v>0.62071613708361328</v>
      </c>
      <c r="I38" s="772"/>
      <c r="J38" s="772"/>
      <c r="K38" s="772"/>
      <c r="L38" s="772"/>
      <c r="M38" s="650">
        <f t="shared" si="3"/>
        <v>0.59305866382947503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56"/>
      <c r="E39" s="1451">
        <f t="shared" si="1"/>
        <v>0</v>
      </c>
      <c r="F39" s="1451">
        <f>SUM($E$8:E39)/A39</f>
        <v>1493.5483870967741</v>
      </c>
      <c r="G39" s="1451">
        <f t="shared" si="0"/>
        <v>6466</v>
      </c>
      <c r="H39" s="1452">
        <f t="shared" si="2"/>
        <v>0.62071613708361328</v>
      </c>
      <c r="I39" s="772"/>
      <c r="J39" s="772"/>
      <c r="K39" s="772"/>
      <c r="L39" s="772"/>
      <c r="M39" s="650">
        <f t="shared" si="3"/>
        <v>0.59305866382947503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15775</v>
      </c>
      <c r="E40" s="389">
        <f>SUM(E9:E39)</f>
        <v>23150</v>
      </c>
      <c r="F40" s="449"/>
      <c r="G40" s="389">
        <f>G39</f>
        <v>6466</v>
      </c>
      <c r="H40" s="309"/>
      <c r="I40" s="689">
        <f>SUM(I9:I39)</f>
        <v>23150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29616</v>
      </c>
      <c r="E41" s="389">
        <f>E40</f>
        <v>23150</v>
      </c>
      <c r="F41" s="449"/>
      <c r="G41" s="389">
        <f>D41-E41</f>
        <v>6466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23150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569" priority="34" operator="between">
      <formula>3.5</formula>
      <formula>6</formula>
    </cfRule>
    <cfRule type="cellIs" dxfId="6568" priority="35" operator="lessThan">
      <formula>3.5</formula>
    </cfRule>
    <cfRule type="cellIs" dxfId="6567" priority="36" operator="greaterThan">
      <formula>6</formula>
    </cfRule>
  </conditionalFormatting>
  <conditionalFormatting sqref="H9:H12 H24:H37 H14:H17 H19:H22 H39">
    <cfRule type="cellIs" dxfId="6566" priority="31" operator="between">
      <formula>3.5</formula>
      <formula>6</formula>
    </cfRule>
    <cfRule type="cellIs" dxfId="6565" priority="32" operator="lessThan">
      <formula>3.5</formula>
    </cfRule>
    <cfRule type="cellIs" dxfId="6564" priority="33" operator="greaterThan">
      <formula>6</formula>
    </cfRule>
  </conditionalFormatting>
  <conditionalFormatting sqref="H23">
    <cfRule type="cellIs" dxfId="6563" priority="28" operator="between">
      <formula>3.5</formula>
      <formula>6</formula>
    </cfRule>
    <cfRule type="cellIs" dxfId="6562" priority="29" operator="lessThan">
      <formula>3.5</formula>
    </cfRule>
    <cfRule type="cellIs" dxfId="6561" priority="30" operator="greaterThan">
      <formula>6</formula>
    </cfRule>
  </conditionalFormatting>
  <conditionalFormatting sqref="H13">
    <cfRule type="cellIs" dxfId="6560" priority="25" operator="between">
      <formula>3.5</formula>
      <formula>6</formula>
    </cfRule>
    <cfRule type="cellIs" dxfId="6559" priority="26" operator="lessThan">
      <formula>3.5</formula>
    </cfRule>
    <cfRule type="cellIs" dxfId="6558" priority="27" operator="greaterThan">
      <formula>6</formula>
    </cfRule>
  </conditionalFormatting>
  <conditionalFormatting sqref="H18">
    <cfRule type="cellIs" dxfId="6557" priority="22" operator="between">
      <formula>3.5</formula>
      <formula>6</formula>
    </cfRule>
    <cfRule type="cellIs" dxfId="6556" priority="23" operator="lessThan">
      <formula>3.5</formula>
    </cfRule>
    <cfRule type="cellIs" dxfId="6555" priority="24" operator="greaterThan">
      <formula>6</formula>
    </cfRule>
  </conditionalFormatting>
  <conditionalFormatting sqref="H9:H39">
    <cfRule type="cellIs" dxfId="6554" priority="19" operator="between">
      <formula>3.5</formula>
      <formula>6</formula>
    </cfRule>
    <cfRule type="cellIs" dxfId="6553" priority="20" operator="lessThan">
      <formula>3.5</formula>
    </cfRule>
    <cfRule type="cellIs" dxfId="6552" priority="21" operator="greaterThan">
      <formula>6</formula>
    </cfRule>
  </conditionalFormatting>
  <conditionalFormatting sqref="H9:H39">
    <cfRule type="cellIs" dxfId="6551" priority="16" operator="between">
      <formula>3.5</formula>
      <formula>6</formula>
    </cfRule>
    <cfRule type="cellIs" dxfId="6550" priority="17" operator="lessThan">
      <formula>3.5</formula>
    </cfRule>
    <cfRule type="cellIs" dxfId="6549" priority="18" operator="greaterThan">
      <formula>6</formula>
    </cfRule>
  </conditionalFormatting>
  <conditionalFormatting sqref="H9:H39">
    <cfRule type="cellIs" dxfId="6548" priority="13" operator="between">
      <formula>3.5</formula>
      <formula>6</formula>
    </cfRule>
    <cfRule type="cellIs" dxfId="6547" priority="14" operator="lessThan">
      <formula>3.5</formula>
    </cfRule>
    <cfRule type="cellIs" dxfId="6546" priority="15" operator="greaterThan">
      <formula>6</formula>
    </cfRule>
  </conditionalFormatting>
  <conditionalFormatting sqref="H9:H39">
    <cfRule type="cellIs" dxfId="6545" priority="10" operator="between">
      <formula>3.5</formula>
      <formula>6</formula>
    </cfRule>
    <cfRule type="cellIs" dxfId="6544" priority="11" operator="lessThan">
      <formula>3.5</formula>
    </cfRule>
    <cfRule type="cellIs" dxfId="6543" priority="12" operator="greaterThan">
      <formula>6</formula>
    </cfRule>
  </conditionalFormatting>
  <conditionalFormatting sqref="H9:H39">
    <cfRule type="cellIs" dxfId="6542" priority="7" operator="between">
      <formula>3.5</formula>
      <formula>6</formula>
    </cfRule>
    <cfRule type="cellIs" dxfId="6541" priority="8" operator="lessThan">
      <formula>3.5</formula>
    </cfRule>
    <cfRule type="cellIs" dxfId="6540" priority="9" operator="greaterThan">
      <formula>6</formula>
    </cfRule>
  </conditionalFormatting>
  <conditionalFormatting sqref="H9:H39">
    <cfRule type="cellIs" dxfId="6539" priority="4" operator="between">
      <formula>3.5</formula>
      <formula>6</formula>
    </cfRule>
    <cfRule type="cellIs" dxfId="6538" priority="5" operator="lessThan">
      <formula>3.5</formula>
    </cfRule>
    <cfRule type="cellIs" dxfId="6537" priority="6" operator="greaterThan">
      <formula>6</formula>
    </cfRule>
  </conditionalFormatting>
  <conditionalFormatting sqref="H9:H39">
    <cfRule type="cellIs" dxfId="6536" priority="1" operator="between">
      <formula>3.5</formula>
      <formula>6</formula>
    </cfRule>
    <cfRule type="cellIs" dxfId="6535" priority="2" operator="lessThan">
      <formula>3.5</formula>
    </cfRule>
    <cfRule type="cellIs" dxfId="653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J15" sqref="J15:J20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253"/>
      <c r="K3" s="1253"/>
      <c r="L3" s="1253"/>
      <c r="N3" s="442"/>
      <c r="O3" s="442"/>
      <c r="P3" s="442"/>
    </row>
    <row r="4" spans="1:27" s="1258" customFormat="1" ht="12" customHeight="1">
      <c r="A4" s="1648" t="s">
        <v>33</v>
      </c>
      <c r="B4" s="1648"/>
      <c r="C4" s="551" t="str">
        <f>H4</f>
        <v xml:space="preserve">TOP ONE 50*50 nâu-HA </v>
      </c>
      <c r="E4" s="549" t="s">
        <v>228</v>
      </c>
      <c r="F4" s="549" t="s">
        <v>235</v>
      </c>
      <c r="G4" s="550" t="s">
        <v>114</v>
      </c>
      <c r="H4" s="551" t="s">
        <v>1045</v>
      </c>
      <c r="M4" s="143"/>
    </row>
    <row r="5" spans="1:27" s="1258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258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255" t="s">
        <v>2</v>
      </c>
      <c r="B7" s="1257" t="s">
        <v>1</v>
      </c>
      <c r="C7" s="1257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254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1114</v>
      </c>
      <c r="E8" s="771">
        <f>E40</f>
        <v>0</v>
      </c>
      <c r="F8" s="771"/>
      <c r="G8" s="774">
        <v>1114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256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1114</v>
      </c>
      <c r="H9" s="451">
        <f>G9/10417</f>
        <v>0.10694057790150716</v>
      </c>
      <c r="I9" s="772"/>
      <c r="J9" s="772"/>
      <c r="K9" s="772"/>
      <c r="L9" s="772"/>
      <c r="M9" s="650">
        <f>G9/$M$8</f>
        <v>0.10217558792236857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1114</v>
      </c>
      <c r="H10" s="451">
        <f t="shared" ref="H10:H39" si="2">G10/10417</f>
        <v>0.10694057790150716</v>
      </c>
      <c r="I10" s="772"/>
      <c r="J10" s="772"/>
      <c r="K10" s="772"/>
      <c r="L10" s="772"/>
      <c r="M10" s="650">
        <f t="shared" ref="M10:M39" si="3">G10/$M$8</f>
        <v>0.10217558792236857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1114</v>
      </c>
      <c r="H11" s="451">
        <f t="shared" si="2"/>
        <v>0.10694057790150716</v>
      </c>
      <c r="I11" s="772"/>
      <c r="J11" s="772"/>
      <c r="K11" s="772"/>
      <c r="L11" s="772"/>
      <c r="M11" s="650">
        <f t="shared" si="3"/>
        <v>0.10217558792236857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1114</v>
      </c>
      <c r="H12" s="451">
        <f t="shared" si="2"/>
        <v>0.10694057790150716</v>
      </c>
      <c r="I12" s="772"/>
      <c r="J12" s="772"/>
      <c r="K12" s="772"/>
      <c r="L12" s="772"/>
      <c r="M12" s="650">
        <f t="shared" si="3"/>
        <v>0.10217558792236857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1114</v>
      </c>
      <c r="H13" s="451">
        <f t="shared" si="2"/>
        <v>0.10694057790150716</v>
      </c>
      <c r="I13" s="772"/>
      <c r="J13" s="772"/>
      <c r="K13" s="772"/>
      <c r="L13" s="772"/>
      <c r="M13" s="650">
        <f t="shared" si="3"/>
        <v>0.10217558792236857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1114</v>
      </c>
      <c r="H14" s="451">
        <f t="shared" si="2"/>
        <v>0.10694057790150716</v>
      </c>
      <c r="I14" s="772"/>
      <c r="J14" s="772"/>
      <c r="K14" s="772"/>
      <c r="L14" s="772"/>
      <c r="M14" s="650">
        <f t="shared" si="3"/>
        <v>0.10217558792236857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1114</v>
      </c>
      <c r="H15" s="451">
        <f t="shared" si="2"/>
        <v>0.10694057790150716</v>
      </c>
      <c r="I15" s="772"/>
      <c r="J15" s="772"/>
      <c r="K15" s="772"/>
      <c r="L15" s="772"/>
      <c r="M15" s="650">
        <f t="shared" si="3"/>
        <v>0.10217558792236857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1114</v>
      </c>
      <c r="H16" s="451">
        <f t="shared" si="2"/>
        <v>0.10694057790150716</v>
      </c>
      <c r="I16" s="772"/>
      <c r="J16" s="772"/>
      <c r="K16" s="772"/>
      <c r="L16" s="772"/>
      <c r="M16" s="650">
        <f t="shared" si="3"/>
        <v>0.10217558792236857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1114</v>
      </c>
      <c r="H17" s="451">
        <f t="shared" si="2"/>
        <v>0.10694057790150716</v>
      </c>
      <c r="I17" s="772"/>
      <c r="J17" s="772"/>
      <c r="K17" s="772"/>
      <c r="L17" s="772"/>
      <c r="M17" s="650">
        <f t="shared" si="3"/>
        <v>0.10217558792236857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1114</v>
      </c>
      <c r="H18" s="451">
        <f t="shared" si="2"/>
        <v>0.10694057790150716</v>
      </c>
      <c r="I18" s="772"/>
      <c r="J18" s="772"/>
      <c r="K18" s="772"/>
      <c r="L18" s="772"/>
      <c r="M18" s="650">
        <f t="shared" si="3"/>
        <v>0.10217558792236857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1114</v>
      </c>
      <c r="H19" s="451">
        <f t="shared" si="2"/>
        <v>0.10694057790150716</v>
      </c>
      <c r="I19" s="772"/>
      <c r="J19" s="772"/>
      <c r="K19" s="772"/>
      <c r="L19" s="772"/>
      <c r="M19" s="650">
        <f t="shared" si="3"/>
        <v>0.10217558792236857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1114</v>
      </c>
      <c r="H20" s="451">
        <f t="shared" si="2"/>
        <v>0.10694057790150716</v>
      </c>
      <c r="I20" s="772"/>
      <c r="J20" s="772"/>
      <c r="K20" s="772"/>
      <c r="L20" s="772"/>
      <c r="M20" s="650">
        <f t="shared" si="3"/>
        <v>0.10217558792236857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1114</v>
      </c>
      <c r="H21" s="451">
        <f t="shared" si="2"/>
        <v>0.10694057790150716</v>
      </c>
      <c r="I21" s="772"/>
      <c r="J21" s="772"/>
      <c r="K21" s="772"/>
      <c r="L21" s="772"/>
      <c r="M21" s="650">
        <f t="shared" si="3"/>
        <v>0.10217558792236857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1114</v>
      </c>
      <c r="H22" s="451">
        <f t="shared" si="2"/>
        <v>0.10694057790150716</v>
      </c>
      <c r="I22" s="772"/>
      <c r="J22" s="772"/>
      <c r="K22" s="772"/>
      <c r="L22" s="772"/>
      <c r="M22" s="650">
        <f t="shared" si="3"/>
        <v>0.10217558792236857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1114</v>
      </c>
      <c r="H23" s="451">
        <f t="shared" si="2"/>
        <v>0.10694057790150716</v>
      </c>
      <c r="I23" s="772"/>
      <c r="J23" s="772"/>
      <c r="K23" s="772"/>
      <c r="L23" s="772"/>
      <c r="M23" s="650">
        <f t="shared" si="3"/>
        <v>0.10217558792236857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1114</v>
      </c>
      <c r="H24" s="451">
        <f t="shared" si="2"/>
        <v>0.10694057790150716</v>
      </c>
      <c r="I24" s="772"/>
      <c r="J24" s="772"/>
      <c r="K24" s="772"/>
      <c r="L24" s="772"/>
      <c r="M24" s="650">
        <f t="shared" si="3"/>
        <v>0.10217558792236857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1114</v>
      </c>
      <c r="H25" s="451">
        <f t="shared" si="2"/>
        <v>0.10694057790150716</v>
      </c>
      <c r="I25" s="772"/>
      <c r="J25" s="772"/>
      <c r="K25" s="772"/>
      <c r="L25" s="772"/>
      <c r="M25" s="650">
        <f t="shared" si="3"/>
        <v>0.10217558792236857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1114</v>
      </c>
      <c r="H26" s="451">
        <f t="shared" si="2"/>
        <v>0.10694057790150716</v>
      </c>
      <c r="I26" s="772"/>
      <c r="J26" s="772"/>
      <c r="K26" s="772"/>
      <c r="L26" s="772"/>
      <c r="M26" s="650">
        <f t="shared" si="3"/>
        <v>0.10217558792236857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1114</v>
      </c>
      <c r="H27" s="451">
        <f t="shared" si="2"/>
        <v>0.10694057790150716</v>
      </c>
      <c r="I27" s="772"/>
      <c r="J27" s="772"/>
      <c r="K27" s="772"/>
      <c r="L27" s="772"/>
      <c r="M27" s="650">
        <f t="shared" si="3"/>
        <v>0.10217558792236857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1114</v>
      </c>
      <c r="H28" s="451">
        <f t="shared" si="2"/>
        <v>0.10694057790150716</v>
      </c>
      <c r="I28" s="772"/>
      <c r="J28" s="772"/>
      <c r="K28" s="772"/>
      <c r="L28" s="772"/>
      <c r="M28" s="650">
        <f t="shared" si="3"/>
        <v>0.10217558792236857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1114</v>
      </c>
      <c r="H29" s="451">
        <f t="shared" si="2"/>
        <v>0.10694057790150716</v>
      </c>
      <c r="I29" s="772"/>
      <c r="J29" s="772"/>
      <c r="K29" s="772"/>
      <c r="L29" s="772"/>
      <c r="M29" s="650">
        <f t="shared" si="3"/>
        <v>0.10217558792236857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1114</v>
      </c>
      <c r="H30" s="451">
        <f t="shared" si="2"/>
        <v>0.10694057790150716</v>
      </c>
      <c r="I30" s="772"/>
      <c r="J30" s="772"/>
      <c r="K30" s="772"/>
      <c r="L30" s="772"/>
      <c r="M30" s="650">
        <f t="shared" si="3"/>
        <v>0.10217558792236857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1114</v>
      </c>
      <c r="H31" s="451">
        <f t="shared" si="2"/>
        <v>0.10694057790150716</v>
      </c>
      <c r="I31" s="772"/>
      <c r="J31" s="772"/>
      <c r="K31" s="772"/>
      <c r="L31" s="772"/>
      <c r="M31" s="650">
        <f t="shared" si="3"/>
        <v>0.10217558792236857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1114</v>
      </c>
      <c r="H32" s="451">
        <f t="shared" si="2"/>
        <v>0.10694057790150716</v>
      </c>
      <c r="I32" s="772"/>
      <c r="J32" s="772"/>
      <c r="K32" s="772"/>
      <c r="L32" s="772"/>
      <c r="M32" s="650">
        <f t="shared" si="3"/>
        <v>0.10217558792236857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1114</v>
      </c>
      <c r="H33" s="451">
        <f t="shared" si="2"/>
        <v>0.10694057790150716</v>
      </c>
      <c r="I33" s="772"/>
      <c r="J33" s="772"/>
      <c r="K33" s="772"/>
      <c r="L33" s="772"/>
      <c r="M33" s="650">
        <f t="shared" si="3"/>
        <v>0.10217558792236857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1114</v>
      </c>
      <c r="H34" s="451">
        <f t="shared" si="2"/>
        <v>0.10694057790150716</v>
      </c>
      <c r="I34" s="772"/>
      <c r="J34" s="772"/>
      <c r="K34" s="772"/>
      <c r="L34" s="772"/>
      <c r="M34" s="650">
        <f t="shared" si="3"/>
        <v>0.10217558792236857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1114</v>
      </c>
      <c r="H35" s="451">
        <f t="shared" si="2"/>
        <v>0.10694057790150716</v>
      </c>
      <c r="I35" s="772"/>
      <c r="J35" s="772"/>
      <c r="K35" s="772"/>
      <c r="L35" s="772"/>
      <c r="M35" s="650">
        <f t="shared" si="3"/>
        <v>0.10217558792236857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1114</v>
      </c>
      <c r="H36" s="451">
        <f t="shared" si="2"/>
        <v>0.10694057790150716</v>
      </c>
      <c r="I36" s="772"/>
      <c r="J36" s="772"/>
      <c r="K36" s="772"/>
      <c r="L36" s="772"/>
      <c r="M36" s="650">
        <f t="shared" si="3"/>
        <v>0.10217558792236857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1114</v>
      </c>
      <c r="H37" s="451">
        <f t="shared" si="2"/>
        <v>0.10694057790150716</v>
      </c>
      <c r="I37" s="772"/>
      <c r="J37" s="772"/>
      <c r="K37" s="772"/>
      <c r="L37" s="772"/>
      <c r="M37" s="650">
        <f t="shared" si="3"/>
        <v>0.10217558792236857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1114</v>
      </c>
      <c r="H38" s="451">
        <f t="shared" si="2"/>
        <v>0.10694057790150716</v>
      </c>
      <c r="I38" s="772"/>
      <c r="J38" s="772"/>
      <c r="K38" s="772"/>
      <c r="L38" s="772"/>
      <c r="M38" s="650">
        <f t="shared" si="3"/>
        <v>0.10217558792236857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1114</v>
      </c>
      <c r="H39" s="451">
        <f t="shared" si="2"/>
        <v>0.10694057790150716</v>
      </c>
      <c r="I39" s="772"/>
      <c r="J39" s="772"/>
      <c r="K39" s="772"/>
      <c r="L39" s="772"/>
      <c r="M39" s="650">
        <f t="shared" si="3"/>
        <v>0.10217558792236857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1114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1114</v>
      </c>
      <c r="E41" s="389">
        <f>E40</f>
        <v>0</v>
      </c>
      <c r="F41" s="449"/>
      <c r="G41" s="389">
        <f>D41-E41</f>
        <v>1114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533" priority="34" operator="between">
      <formula>3.5</formula>
      <formula>6</formula>
    </cfRule>
    <cfRule type="cellIs" dxfId="6532" priority="35" operator="lessThan">
      <formula>3.5</formula>
    </cfRule>
    <cfRule type="cellIs" dxfId="6531" priority="36" operator="greaterThan">
      <formula>6</formula>
    </cfRule>
  </conditionalFormatting>
  <conditionalFormatting sqref="H9:H12 H24:H37 H14:H17 H19:H22 H39">
    <cfRule type="cellIs" dxfId="6530" priority="31" operator="between">
      <formula>3.5</formula>
      <formula>6</formula>
    </cfRule>
    <cfRule type="cellIs" dxfId="6529" priority="32" operator="lessThan">
      <formula>3.5</formula>
    </cfRule>
    <cfRule type="cellIs" dxfId="6528" priority="33" operator="greaterThan">
      <formula>6</formula>
    </cfRule>
  </conditionalFormatting>
  <conditionalFormatting sqref="H23">
    <cfRule type="cellIs" dxfId="6527" priority="28" operator="between">
      <formula>3.5</formula>
      <formula>6</formula>
    </cfRule>
    <cfRule type="cellIs" dxfId="6526" priority="29" operator="lessThan">
      <formula>3.5</formula>
    </cfRule>
    <cfRule type="cellIs" dxfId="6525" priority="30" operator="greaterThan">
      <formula>6</formula>
    </cfRule>
  </conditionalFormatting>
  <conditionalFormatting sqref="H13">
    <cfRule type="cellIs" dxfId="6524" priority="25" operator="between">
      <formula>3.5</formula>
      <formula>6</formula>
    </cfRule>
    <cfRule type="cellIs" dxfId="6523" priority="26" operator="lessThan">
      <formula>3.5</formula>
    </cfRule>
    <cfRule type="cellIs" dxfId="6522" priority="27" operator="greaterThan">
      <formula>6</formula>
    </cfRule>
  </conditionalFormatting>
  <conditionalFormatting sqref="H18">
    <cfRule type="cellIs" dxfId="6521" priority="22" operator="between">
      <formula>3.5</formula>
      <formula>6</formula>
    </cfRule>
    <cfRule type="cellIs" dxfId="6520" priority="23" operator="lessThan">
      <formula>3.5</formula>
    </cfRule>
    <cfRule type="cellIs" dxfId="6519" priority="24" operator="greaterThan">
      <formula>6</formula>
    </cfRule>
  </conditionalFormatting>
  <conditionalFormatting sqref="H9:H39">
    <cfRule type="cellIs" dxfId="6518" priority="19" operator="between">
      <formula>3.5</formula>
      <formula>6</formula>
    </cfRule>
    <cfRule type="cellIs" dxfId="6517" priority="20" operator="lessThan">
      <formula>3.5</formula>
    </cfRule>
    <cfRule type="cellIs" dxfId="6516" priority="21" operator="greaterThan">
      <formula>6</formula>
    </cfRule>
  </conditionalFormatting>
  <conditionalFormatting sqref="H9:H39">
    <cfRule type="cellIs" dxfId="6515" priority="16" operator="between">
      <formula>3.5</formula>
      <formula>6</formula>
    </cfRule>
    <cfRule type="cellIs" dxfId="6514" priority="17" operator="lessThan">
      <formula>3.5</formula>
    </cfRule>
    <cfRule type="cellIs" dxfId="6513" priority="18" operator="greaterThan">
      <formula>6</formula>
    </cfRule>
  </conditionalFormatting>
  <conditionalFormatting sqref="H9:H39">
    <cfRule type="cellIs" dxfId="6512" priority="13" operator="between">
      <formula>3.5</formula>
      <formula>6</formula>
    </cfRule>
    <cfRule type="cellIs" dxfId="6511" priority="14" operator="lessThan">
      <formula>3.5</formula>
    </cfRule>
    <cfRule type="cellIs" dxfId="6510" priority="15" operator="greaterThan">
      <formula>6</formula>
    </cfRule>
  </conditionalFormatting>
  <conditionalFormatting sqref="H9:H39">
    <cfRule type="cellIs" dxfId="6509" priority="10" operator="between">
      <formula>3.5</formula>
      <formula>6</formula>
    </cfRule>
    <cfRule type="cellIs" dxfId="6508" priority="11" operator="lessThan">
      <formula>3.5</formula>
    </cfRule>
    <cfRule type="cellIs" dxfId="6507" priority="12" operator="greaterThan">
      <formula>6</formula>
    </cfRule>
  </conditionalFormatting>
  <conditionalFormatting sqref="H9:H39">
    <cfRule type="cellIs" dxfId="6506" priority="7" operator="between">
      <formula>3.5</formula>
      <formula>6</formula>
    </cfRule>
    <cfRule type="cellIs" dxfId="6505" priority="8" operator="lessThan">
      <formula>3.5</formula>
    </cfRule>
    <cfRule type="cellIs" dxfId="6504" priority="9" operator="greaterThan">
      <formula>6</formula>
    </cfRule>
  </conditionalFormatting>
  <conditionalFormatting sqref="H9:H39">
    <cfRule type="cellIs" dxfId="6503" priority="4" operator="between">
      <formula>3.5</formula>
      <formula>6</formula>
    </cfRule>
    <cfRule type="cellIs" dxfId="6502" priority="5" operator="lessThan">
      <formula>3.5</formula>
    </cfRule>
    <cfRule type="cellIs" dxfId="6501" priority="6" operator="greaterThan">
      <formula>6</formula>
    </cfRule>
  </conditionalFormatting>
  <conditionalFormatting sqref="H9:H39">
    <cfRule type="cellIs" dxfId="6500" priority="1" operator="between">
      <formula>3.5</formula>
      <formula>6</formula>
    </cfRule>
    <cfRule type="cellIs" dxfId="6499" priority="2" operator="lessThan">
      <formula>3.5</formula>
    </cfRule>
    <cfRule type="cellIs" dxfId="649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11"/>
      <c r="K3" s="1311"/>
      <c r="L3" s="1311"/>
      <c r="N3" s="442"/>
      <c r="O3" s="442"/>
      <c r="P3" s="442"/>
    </row>
    <row r="4" spans="1:27" s="1316" customFormat="1" ht="12" customHeight="1">
      <c r="A4" s="1648" t="s">
        <v>33</v>
      </c>
      <c r="B4" s="1648"/>
      <c r="C4" s="551" t="str">
        <f>H4</f>
        <v xml:space="preserve">CROVINA 30*60 nâu-HA </v>
      </c>
      <c r="E4" s="549" t="s">
        <v>228</v>
      </c>
      <c r="F4" s="549" t="s">
        <v>235</v>
      </c>
      <c r="G4" s="550" t="s">
        <v>114</v>
      </c>
      <c r="H4" s="551" t="s">
        <v>1137</v>
      </c>
      <c r="M4" s="143"/>
    </row>
    <row r="5" spans="1:27" s="131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1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13" t="s">
        <v>2</v>
      </c>
      <c r="B7" s="1315" t="s">
        <v>1</v>
      </c>
      <c r="C7" s="1315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12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11421</v>
      </c>
      <c r="E8" s="771">
        <f>E40</f>
        <v>14400</v>
      </c>
      <c r="F8" s="771"/>
      <c r="G8" s="774">
        <v>11421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14">
        <v>1</v>
      </c>
      <c r="B9" s="365">
        <f>'FRIT HGE91-FHG'!B9</f>
        <v>46235</v>
      </c>
      <c r="C9" s="331" t="s">
        <v>285</v>
      </c>
      <c r="D9" s="396"/>
      <c r="E9" s="396">
        <f>I9+J9+K9+L9</f>
        <v>2400</v>
      </c>
      <c r="F9" s="396">
        <f>15700/1.44</f>
        <v>10902.777777777777</v>
      </c>
      <c r="G9" s="396">
        <f t="shared" ref="G9:G39" si="0">G8+D9-E9</f>
        <v>9021</v>
      </c>
      <c r="H9" s="451">
        <f>G9/10417</f>
        <v>0.86598828837477204</v>
      </c>
      <c r="I9" s="772">
        <v>2400</v>
      </c>
      <c r="J9" s="772"/>
      <c r="K9" s="772"/>
      <c r="L9" s="772"/>
      <c r="M9" s="650">
        <f>G9/$M$8</f>
        <v>0.82740213523131678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9021</v>
      </c>
      <c r="H10" s="451">
        <f t="shared" ref="H10:H39" si="2">G10/10417</f>
        <v>0.86598828837477204</v>
      </c>
      <c r="I10" s="772"/>
      <c r="J10" s="772"/>
      <c r="K10" s="772"/>
      <c r="L10" s="772"/>
      <c r="M10" s="650">
        <f t="shared" ref="M10:M39" si="3">G10/$M$8</f>
        <v>0.82740213523131678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9021</v>
      </c>
      <c r="H11" s="451">
        <f t="shared" si="2"/>
        <v>0.86598828837477204</v>
      </c>
      <c r="I11" s="772"/>
      <c r="J11" s="772"/>
      <c r="K11" s="772"/>
      <c r="L11" s="772"/>
      <c r="M11" s="650">
        <f t="shared" si="3"/>
        <v>0.82740213523131678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9021</v>
      </c>
      <c r="H12" s="451">
        <f t="shared" si="2"/>
        <v>0.86598828837477204</v>
      </c>
      <c r="I12" s="772"/>
      <c r="J12" s="772"/>
      <c r="K12" s="772"/>
      <c r="L12" s="772"/>
      <c r="M12" s="650">
        <f t="shared" si="3"/>
        <v>0.82740213523131678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9021</v>
      </c>
      <c r="H13" s="451">
        <f t="shared" si="2"/>
        <v>0.86598828837477204</v>
      </c>
      <c r="I13" s="772"/>
      <c r="J13" s="772"/>
      <c r="K13" s="772"/>
      <c r="L13" s="772"/>
      <c r="M13" s="650">
        <f t="shared" si="3"/>
        <v>0.82740213523131678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9021</v>
      </c>
      <c r="H14" s="451">
        <f t="shared" si="2"/>
        <v>0.86598828837477204</v>
      </c>
      <c r="I14" s="772"/>
      <c r="J14" s="772"/>
      <c r="K14" s="772"/>
      <c r="L14" s="772"/>
      <c r="M14" s="650">
        <f t="shared" si="3"/>
        <v>0.82740213523131678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>I15+J15+K15+L15</f>
        <v>0</v>
      </c>
      <c r="F15" s="396">
        <f t="shared" si="4"/>
        <v>10902.777777777777</v>
      </c>
      <c r="G15" s="396">
        <f t="shared" si="0"/>
        <v>9021</v>
      </c>
      <c r="H15" s="451">
        <f t="shared" si="2"/>
        <v>0.86598828837477204</v>
      </c>
      <c r="I15" s="772"/>
      <c r="J15" s="772"/>
      <c r="K15" s="772"/>
      <c r="L15" s="772"/>
      <c r="M15" s="650">
        <f t="shared" si="3"/>
        <v>0.82740213523131678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9021</v>
      </c>
      <c r="H16" s="451">
        <f t="shared" si="2"/>
        <v>0.86598828837477204</v>
      </c>
      <c r="I16" s="772"/>
      <c r="J16" s="772"/>
      <c r="K16" s="772"/>
      <c r="L16" s="772"/>
      <c r="M16" s="650">
        <f t="shared" si="3"/>
        <v>0.82740213523131678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9021</v>
      </c>
      <c r="H17" s="451">
        <f t="shared" si="2"/>
        <v>0.86598828837477204</v>
      </c>
      <c r="I17" s="772"/>
      <c r="J17" s="772"/>
      <c r="K17" s="772"/>
      <c r="L17" s="772"/>
      <c r="M17" s="650">
        <f t="shared" si="3"/>
        <v>0.82740213523131678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9021</v>
      </c>
      <c r="H18" s="451">
        <f t="shared" si="2"/>
        <v>0.86598828837477204</v>
      </c>
      <c r="I18" s="772"/>
      <c r="J18" s="772"/>
      <c r="K18" s="772"/>
      <c r="L18" s="772"/>
      <c r="M18" s="650">
        <f t="shared" si="3"/>
        <v>0.82740213523131678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>
        <v>10100</v>
      </c>
      <c r="E19" s="396">
        <f t="shared" si="1"/>
        <v>2400</v>
      </c>
      <c r="F19" s="396">
        <f t="shared" si="4"/>
        <v>10902.777777777777</v>
      </c>
      <c r="G19" s="396">
        <f t="shared" si="0"/>
        <v>16721</v>
      </c>
      <c r="H19" s="451">
        <f t="shared" si="2"/>
        <v>1.6051646347316886</v>
      </c>
      <c r="I19" s="772">
        <v>2400</v>
      </c>
      <c r="J19" s="772"/>
      <c r="K19" s="772"/>
      <c r="L19" s="772"/>
      <c r="M19" s="650">
        <f t="shared" si="3"/>
        <v>1.5336427339765932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2400</v>
      </c>
      <c r="F20" s="396">
        <f t="shared" si="4"/>
        <v>10902.777777777777</v>
      </c>
      <c r="G20" s="396">
        <f t="shared" si="0"/>
        <v>14321</v>
      </c>
      <c r="H20" s="451">
        <f t="shared" si="2"/>
        <v>1.3747720072957665</v>
      </c>
      <c r="I20" s="772">
        <v>2400</v>
      </c>
      <c r="J20" s="772"/>
      <c r="K20" s="772"/>
      <c r="L20" s="772"/>
      <c r="M20" s="650">
        <f t="shared" si="3"/>
        <v>1.3135157941079356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14321</v>
      </c>
      <c r="H21" s="451">
        <f t="shared" si="2"/>
        <v>1.3747720072957665</v>
      </c>
      <c r="I21" s="772"/>
      <c r="J21" s="772"/>
      <c r="K21" s="772"/>
      <c r="L21" s="772"/>
      <c r="M21" s="650">
        <f t="shared" si="3"/>
        <v>1.3135157941079356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2400</v>
      </c>
      <c r="F22" s="396">
        <f t="shared" si="4"/>
        <v>10902.777777777777</v>
      </c>
      <c r="G22" s="396">
        <f t="shared" si="0"/>
        <v>11921</v>
      </c>
      <c r="H22" s="451">
        <f t="shared" si="2"/>
        <v>1.1443793798598445</v>
      </c>
      <c r="I22" s="772">
        <v>2400</v>
      </c>
      <c r="J22" s="772"/>
      <c r="K22" s="772"/>
      <c r="L22" s="772"/>
      <c r="M22" s="650">
        <f t="shared" si="3"/>
        <v>1.093388854239278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4800</v>
      </c>
      <c r="F23" s="396">
        <f t="shared" si="4"/>
        <v>10902.777777777777</v>
      </c>
      <c r="G23" s="769">
        <f t="shared" si="0"/>
        <v>7121</v>
      </c>
      <c r="H23" s="451">
        <f t="shared" si="2"/>
        <v>0.68359412498800043</v>
      </c>
      <c r="I23" s="772">
        <v>4800</v>
      </c>
      <c r="J23" s="772"/>
      <c r="K23" s="772"/>
      <c r="L23" s="772"/>
      <c r="M23" s="650">
        <f t="shared" si="3"/>
        <v>0.65313497450196289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7121</v>
      </c>
      <c r="H24" s="451">
        <f t="shared" si="2"/>
        <v>0.68359412498800043</v>
      </c>
      <c r="I24" s="772"/>
      <c r="J24" s="772"/>
      <c r="K24" s="772"/>
      <c r="L24" s="772"/>
      <c r="M24" s="650">
        <f t="shared" si="3"/>
        <v>0.65313497450196289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7121</v>
      </c>
      <c r="H25" s="451">
        <f t="shared" si="2"/>
        <v>0.68359412498800043</v>
      </c>
      <c r="I25" s="772"/>
      <c r="J25" s="772"/>
      <c r="K25" s="772"/>
      <c r="L25" s="772"/>
      <c r="M25" s="650">
        <f t="shared" si="3"/>
        <v>0.65313497450196289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7121</v>
      </c>
      <c r="H26" s="451">
        <f t="shared" si="2"/>
        <v>0.68359412498800043</v>
      </c>
      <c r="I26" s="772"/>
      <c r="J26" s="772"/>
      <c r="K26" s="772"/>
      <c r="L26" s="772"/>
      <c r="M26" s="650">
        <f t="shared" si="3"/>
        <v>0.65313497450196289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7121</v>
      </c>
      <c r="H27" s="451">
        <f t="shared" si="2"/>
        <v>0.68359412498800043</v>
      </c>
      <c r="I27" s="772"/>
      <c r="J27" s="772"/>
      <c r="K27" s="772"/>
      <c r="L27" s="772"/>
      <c r="M27" s="650">
        <f t="shared" si="3"/>
        <v>0.65313497450196289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7121</v>
      </c>
      <c r="H28" s="451">
        <f t="shared" si="2"/>
        <v>0.68359412498800043</v>
      </c>
      <c r="I28" s="772"/>
      <c r="J28" s="772"/>
      <c r="K28" s="772"/>
      <c r="L28" s="772"/>
      <c r="M28" s="650">
        <f t="shared" si="3"/>
        <v>0.65313497450196289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7121</v>
      </c>
      <c r="H29" s="451">
        <f t="shared" si="2"/>
        <v>0.68359412498800043</v>
      </c>
      <c r="I29" s="772"/>
      <c r="J29" s="772"/>
      <c r="K29" s="772"/>
      <c r="L29" s="772"/>
      <c r="M29" s="650">
        <f t="shared" si="3"/>
        <v>0.65313497450196289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7121</v>
      </c>
      <c r="H30" s="451">
        <f t="shared" si="2"/>
        <v>0.68359412498800043</v>
      </c>
      <c r="I30" s="772"/>
      <c r="J30" s="772"/>
      <c r="K30" s="772"/>
      <c r="L30" s="772"/>
      <c r="M30" s="650">
        <f t="shared" si="3"/>
        <v>0.65313497450196289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7121</v>
      </c>
      <c r="H31" s="451">
        <f t="shared" si="2"/>
        <v>0.68359412498800043</v>
      </c>
      <c r="I31" s="772"/>
      <c r="J31" s="772"/>
      <c r="K31" s="772"/>
      <c r="L31" s="772"/>
      <c r="M31" s="650">
        <f t="shared" si="3"/>
        <v>0.65313497450196289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7121</v>
      </c>
      <c r="H32" s="451">
        <f t="shared" si="2"/>
        <v>0.68359412498800043</v>
      </c>
      <c r="I32" s="772"/>
      <c r="J32" s="772"/>
      <c r="K32" s="772"/>
      <c r="L32" s="772"/>
      <c r="M32" s="650">
        <f t="shared" si="3"/>
        <v>0.65313497450196289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7121</v>
      </c>
      <c r="H33" s="451">
        <f t="shared" si="2"/>
        <v>0.68359412498800043</v>
      </c>
      <c r="I33" s="772"/>
      <c r="J33" s="772"/>
      <c r="K33" s="772"/>
      <c r="L33" s="772"/>
      <c r="M33" s="650">
        <f t="shared" si="3"/>
        <v>0.65313497450196289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7121</v>
      </c>
      <c r="H34" s="451">
        <f t="shared" si="2"/>
        <v>0.68359412498800043</v>
      </c>
      <c r="I34" s="772"/>
      <c r="J34" s="772"/>
      <c r="K34" s="772"/>
      <c r="L34" s="772"/>
      <c r="M34" s="650">
        <f t="shared" si="3"/>
        <v>0.65313497450196289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7121</v>
      </c>
      <c r="H35" s="451">
        <f t="shared" si="2"/>
        <v>0.68359412498800043</v>
      </c>
      <c r="I35" s="772"/>
      <c r="J35" s="772"/>
      <c r="K35" s="772"/>
      <c r="L35" s="772"/>
      <c r="M35" s="650">
        <f t="shared" si="3"/>
        <v>0.65313497450196289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7121</v>
      </c>
      <c r="H36" s="451">
        <f t="shared" si="2"/>
        <v>0.68359412498800043</v>
      </c>
      <c r="I36" s="772"/>
      <c r="J36" s="772"/>
      <c r="K36" s="772"/>
      <c r="L36" s="772"/>
      <c r="M36" s="650">
        <f t="shared" si="3"/>
        <v>0.65313497450196289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7121</v>
      </c>
      <c r="H37" s="451">
        <f t="shared" si="2"/>
        <v>0.68359412498800043</v>
      </c>
      <c r="I37" s="772"/>
      <c r="J37" s="772"/>
      <c r="K37" s="772"/>
      <c r="L37" s="772"/>
      <c r="M37" s="650">
        <f t="shared" si="3"/>
        <v>0.65313497450196289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7121</v>
      </c>
      <c r="H38" s="451">
        <f t="shared" si="2"/>
        <v>0.68359412498800043</v>
      </c>
      <c r="I38" s="772"/>
      <c r="J38" s="772"/>
      <c r="K38" s="772"/>
      <c r="L38" s="772"/>
      <c r="M38" s="650">
        <f t="shared" si="3"/>
        <v>0.65313497450196289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929.0322580645161</v>
      </c>
      <c r="G39" s="396">
        <f t="shared" si="0"/>
        <v>7121</v>
      </c>
      <c r="H39" s="451">
        <f t="shared" si="2"/>
        <v>0.68359412498800043</v>
      </c>
      <c r="I39" s="772"/>
      <c r="J39" s="772"/>
      <c r="K39" s="772"/>
      <c r="L39" s="772"/>
      <c r="M39" s="650">
        <f t="shared" si="3"/>
        <v>0.65313497450196289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10100</v>
      </c>
      <c r="E40" s="389">
        <f>SUM(E9:E39)</f>
        <v>14400</v>
      </c>
      <c r="F40" s="449"/>
      <c r="G40" s="389">
        <f>G39</f>
        <v>7121</v>
      </c>
      <c r="H40" s="309"/>
      <c r="I40" s="689">
        <f>SUM(I9:I39)</f>
        <v>14400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21521</v>
      </c>
      <c r="E41" s="389">
        <f>E40</f>
        <v>14400</v>
      </c>
      <c r="F41" s="449"/>
      <c r="G41" s="389">
        <f>D41-E41</f>
        <v>7121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14400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497" priority="34" operator="between">
      <formula>3.5</formula>
      <formula>6</formula>
    </cfRule>
    <cfRule type="cellIs" dxfId="6496" priority="35" operator="lessThan">
      <formula>3.5</formula>
    </cfRule>
    <cfRule type="cellIs" dxfId="6495" priority="36" operator="greaterThan">
      <formula>6</formula>
    </cfRule>
  </conditionalFormatting>
  <conditionalFormatting sqref="H9:H12 H24:H37 H14:H17 H19:H22 H39">
    <cfRule type="cellIs" dxfId="6494" priority="31" operator="between">
      <formula>3.5</formula>
      <formula>6</formula>
    </cfRule>
    <cfRule type="cellIs" dxfId="6493" priority="32" operator="lessThan">
      <formula>3.5</formula>
    </cfRule>
    <cfRule type="cellIs" dxfId="6492" priority="33" operator="greaterThan">
      <formula>6</formula>
    </cfRule>
  </conditionalFormatting>
  <conditionalFormatting sqref="H23">
    <cfRule type="cellIs" dxfId="6491" priority="28" operator="between">
      <formula>3.5</formula>
      <formula>6</formula>
    </cfRule>
    <cfRule type="cellIs" dxfId="6490" priority="29" operator="lessThan">
      <formula>3.5</formula>
    </cfRule>
    <cfRule type="cellIs" dxfId="6489" priority="30" operator="greaterThan">
      <formula>6</formula>
    </cfRule>
  </conditionalFormatting>
  <conditionalFormatting sqref="H13">
    <cfRule type="cellIs" dxfId="6488" priority="25" operator="between">
      <formula>3.5</formula>
      <formula>6</formula>
    </cfRule>
    <cfRule type="cellIs" dxfId="6487" priority="26" operator="lessThan">
      <formula>3.5</formula>
    </cfRule>
    <cfRule type="cellIs" dxfId="6486" priority="27" operator="greaterThan">
      <formula>6</formula>
    </cfRule>
  </conditionalFormatting>
  <conditionalFormatting sqref="H18">
    <cfRule type="cellIs" dxfId="6485" priority="22" operator="between">
      <formula>3.5</formula>
      <formula>6</formula>
    </cfRule>
    <cfRule type="cellIs" dxfId="6484" priority="23" operator="lessThan">
      <formula>3.5</formula>
    </cfRule>
    <cfRule type="cellIs" dxfId="6483" priority="24" operator="greaterThan">
      <formula>6</formula>
    </cfRule>
  </conditionalFormatting>
  <conditionalFormatting sqref="H9:H39">
    <cfRule type="cellIs" dxfId="6482" priority="19" operator="between">
      <formula>3.5</formula>
      <formula>6</formula>
    </cfRule>
    <cfRule type="cellIs" dxfId="6481" priority="20" operator="lessThan">
      <formula>3.5</formula>
    </cfRule>
    <cfRule type="cellIs" dxfId="6480" priority="21" operator="greaterThan">
      <formula>6</formula>
    </cfRule>
  </conditionalFormatting>
  <conditionalFormatting sqref="H9:H39">
    <cfRule type="cellIs" dxfId="6479" priority="16" operator="between">
      <formula>3.5</formula>
      <formula>6</formula>
    </cfRule>
    <cfRule type="cellIs" dxfId="6478" priority="17" operator="lessThan">
      <formula>3.5</formula>
    </cfRule>
    <cfRule type="cellIs" dxfId="6477" priority="18" operator="greaterThan">
      <formula>6</formula>
    </cfRule>
  </conditionalFormatting>
  <conditionalFormatting sqref="H9:H39">
    <cfRule type="cellIs" dxfId="6476" priority="13" operator="between">
      <formula>3.5</formula>
      <formula>6</formula>
    </cfRule>
    <cfRule type="cellIs" dxfId="6475" priority="14" operator="lessThan">
      <formula>3.5</formula>
    </cfRule>
    <cfRule type="cellIs" dxfId="6474" priority="15" operator="greaterThan">
      <formula>6</formula>
    </cfRule>
  </conditionalFormatting>
  <conditionalFormatting sqref="H9:H39">
    <cfRule type="cellIs" dxfId="6473" priority="10" operator="between">
      <formula>3.5</formula>
      <formula>6</formula>
    </cfRule>
    <cfRule type="cellIs" dxfId="6472" priority="11" operator="lessThan">
      <formula>3.5</formula>
    </cfRule>
    <cfRule type="cellIs" dxfId="6471" priority="12" operator="greaterThan">
      <formula>6</formula>
    </cfRule>
  </conditionalFormatting>
  <conditionalFormatting sqref="H9:H39">
    <cfRule type="cellIs" dxfId="6470" priority="7" operator="between">
      <formula>3.5</formula>
      <formula>6</formula>
    </cfRule>
    <cfRule type="cellIs" dxfId="6469" priority="8" operator="lessThan">
      <formula>3.5</formula>
    </cfRule>
    <cfRule type="cellIs" dxfId="6468" priority="9" operator="greaterThan">
      <formula>6</formula>
    </cfRule>
  </conditionalFormatting>
  <conditionalFormatting sqref="H9:H39">
    <cfRule type="cellIs" dxfId="6467" priority="4" operator="between">
      <formula>3.5</formula>
      <formula>6</formula>
    </cfRule>
    <cfRule type="cellIs" dxfId="6466" priority="5" operator="lessThan">
      <formula>3.5</formula>
    </cfRule>
    <cfRule type="cellIs" dxfId="6465" priority="6" operator="greaterThan">
      <formula>6</formula>
    </cfRule>
  </conditionalFormatting>
  <conditionalFormatting sqref="H9:H39">
    <cfRule type="cellIs" dxfId="6464" priority="1" operator="between">
      <formula>3.5</formula>
      <formula>6</formula>
    </cfRule>
    <cfRule type="cellIs" dxfId="6463" priority="2" operator="lessThan">
      <formula>3.5</formula>
    </cfRule>
    <cfRule type="cellIs" dxfId="646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23"/>
      <c r="K3" s="1323"/>
      <c r="L3" s="1323"/>
      <c r="N3" s="442"/>
      <c r="O3" s="442"/>
      <c r="P3" s="442"/>
    </row>
    <row r="4" spans="1:27" s="1328" customFormat="1" ht="12" customHeight="1">
      <c r="A4" s="1648" t="s">
        <v>33</v>
      </c>
      <c r="B4" s="1648"/>
      <c r="C4" s="551" t="str">
        <f>H4</f>
        <v xml:space="preserve">CROVINA 50*50 nâu-HA </v>
      </c>
      <c r="E4" s="549" t="s">
        <v>228</v>
      </c>
      <c r="F4" s="549" t="s">
        <v>235</v>
      </c>
      <c r="G4" s="550" t="s">
        <v>114</v>
      </c>
      <c r="H4" s="551" t="s">
        <v>1141</v>
      </c>
      <c r="M4" s="143"/>
    </row>
    <row r="5" spans="1:27" s="1328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28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25" t="s">
        <v>2</v>
      </c>
      <c r="B7" s="1327" t="s">
        <v>1</v>
      </c>
      <c r="C7" s="1327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24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550</v>
      </c>
      <c r="E8" s="771">
        <f>E40</f>
        <v>6123</v>
      </c>
      <c r="F8" s="771"/>
      <c r="G8" s="774">
        <v>550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26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550</v>
      </c>
      <c r="H9" s="451">
        <f>G9/10417</f>
        <v>5.2798310454065467E-2</v>
      </c>
      <c r="I9" s="772"/>
      <c r="J9" s="772"/>
      <c r="K9" s="772"/>
      <c r="L9" s="772"/>
      <c r="M9" s="650">
        <f>G9/$M$8</f>
        <v>5.0445757053234036E-2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550</v>
      </c>
      <c r="H10" s="451">
        <f t="shared" ref="H10:H39" si="2">G10/10417</f>
        <v>5.2798310454065467E-2</v>
      </c>
      <c r="I10" s="772"/>
      <c r="J10" s="772"/>
      <c r="K10" s="772"/>
      <c r="L10" s="772"/>
      <c r="M10" s="650">
        <f t="shared" ref="M10:M39" si="3">G10/$M$8</f>
        <v>5.0445757053234036E-2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550</v>
      </c>
      <c r="H11" s="451">
        <f t="shared" si="2"/>
        <v>5.2798310454065467E-2</v>
      </c>
      <c r="I11" s="772"/>
      <c r="J11" s="772"/>
      <c r="K11" s="772"/>
      <c r="L11" s="772"/>
      <c r="M11" s="650">
        <f t="shared" si="3"/>
        <v>5.0445757053234036E-2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>
        <v>5075</v>
      </c>
      <c r="E12" s="396">
        <f t="shared" si="1"/>
        <v>0</v>
      </c>
      <c r="F12" s="396">
        <f t="shared" ref="F12:F38" si="4">$F$9</f>
        <v>10902.777777777777</v>
      </c>
      <c r="G12" s="396">
        <f t="shared" si="0"/>
        <v>5625</v>
      </c>
      <c r="H12" s="451">
        <f t="shared" si="2"/>
        <v>0.53998272055294227</v>
      </c>
      <c r="I12" s="772"/>
      <c r="J12" s="772"/>
      <c r="K12" s="772"/>
      <c r="L12" s="772"/>
      <c r="M12" s="650">
        <f t="shared" si="3"/>
        <v>0.51592251531716626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5625</v>
      </c>
      <c r="H13" s="451">
        <f t="shared" si="2"/>
        <v>0.53998272055294227</v>
      </c>
      <c r="I13" s="772"/>
      <c r="J13" s="772"/>
      <c r="K13" s="772"/>
      <c r="L13" s="772"/>
      <c r="M13" s="650">
        <f t="shared" si="3"/>
        <v>0.51592251531716626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5625</v>
      </c>
      <c r="H14" s="451">
        <f t="shared" si="2"/>
        <v>0.53998272055294227</v>
      </c>
      <c r="I14" s="772"/>
      <c r="J14" s="772"/>
      <c r="K14" s="772"/>
      <c r="L14" s="772"/>
      <c r="M14" s="650">
        <f t="shared" si="3"/>
        <v>0.51592251531716626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>
        <v>498</v>
      </c>
      <c r="E15" s="396">
        <f t="shared" si="1"/>
        <v>0</v>
      </c>
      <c r="F15" s="396">
        <f t="shared" si="4"/>
        <v>10902.777777777777</v>
      </c>
      <c r="G15" s="396">
        <f t="shared" si="0"/>
        <v>6123</v>
      </c>
      <c r="H15" s="451">
        <f t="shared" si="2"/>
        <v>0.58778919074589608</v>
      </c>
      <c r="I15" s="772"/>
      <c r="J15" s="772"/>
      <c r="K15" s="772"/>
      <c r="L15" s="772"/>
      <c r="M15" s="650">
        <f t="shared" si="3"/>
        <v>0.56159885533991272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6123</v>
      </c>
      <c r="H16" s="451">
        <f t="shared" si="2"/>
        <v>0.58778919074589608</v>
      </c>
      <c r="I16" s="772"/>
      <c r="J16" s="772"/>
      <c r="K16" s="772"/>
      <c r="L16" s="772"/>
      <c r="M16" s="650">
        <f t="shared" si="3"/>
        <v>0.56159885533991272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6123</v>
      </c>
      <c r="H17" s="451">
        <f t="shared" si="2"/>
        <v>0.58778919074589608</v>
      </c>
      <c r="I17" s="772"/>
      <c r="J17" s="772"/>
      <c r="K17" s="772"/>
      <c r="L17" s="772"/>
      <c r="M17" s="650">
        <f t="shared" si="3"/>
        <v>0.56159885533991272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6123</v>
      </c>
      <c r="H18" s="451">
        <f t="shared" si="2"/>
        <v>0.58778919074589608</v>
      </c>
      <c r="I18" s="772"/>
      <c r="J18" s="772"/>
      <c r="K18" s="772"/>
      <c r="L18" s="772"/>
      <c r="M18" s="650">
        <f t="shared" si="3"/>
        <v>0.56159885533991272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6123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>
        <v>6123</v>
      </c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395.03225806451616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5573</v>
      </c>
      <c r="E40" s="389">
        <f>SUM(E9:E39)</f>
        <v>6123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6123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6123</v>
      </c>
      <c r="E41" s="389">
        <f>E40</f>
        <v>6123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6123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461" priority="34" operator="between">
      <formula>3.5</formula>
      <formula>6</formula>
    </cfRule>
    <cfRule type="cellIs" dxfId="6460" priority="35" operator="lessThan">
      <formula>3.5</formula>
    </cfRule>
    <cfRule type="cellIs" dxfId="6459" priority="36" operator="greaterThan">
      <formula>6</formula>
    </cfRule>
  </conditionalFormatting>
  <conditionalFormatting sqref="H9:H12 H24:H37 H14:H17 H19:H22 H39">
    <cfRule type="cellIs" dxfId="6458" priority="31" operator="between">
      <formula>3.5</formula>
      <formula>6</formula>
    </cfRule>
    <cfRule type="cellIs" dxfId="6457" priority="32" operator="lessThan">
      <formula>3.5</formula>
    </cfRule>
    <cfRule type="cellIs" dxfId="6456" priority="33" operator="greaterThan">
      <formula>6</formula>
    </cfRule>
  </conditionalFormatting>
  <conditionalFormatting sqref="H23">
    <cfRule type="cellIs" dxfId="6455" priority="28" operator="between">
      <formula>3.5</formula>
      <formula>6</formula>
    </cfRule>
    <cfRule type="cellIs" dxfId="6454" priority="29" operator="lessThan">
      <formula>3.5</formula>
    </cfRule>
    <cfRule type="cellIs" dxfId="6453" priority="30" operator="greaterThan">
      <formula>6</formula>
    </cfRule>
  </conditionalFormatting>
  <conditionalFormatting sqref="H13">
    <cfRule type="cellIs" dxfId="6452" priority="25" operator="between">
      <formula>3.5</formula>
      <formula>6</formula>
    </cfRule>
    <cfRule type="cellIs" dxfId="6451" priority="26" operator="lessThan">
      <formula>3.5</formula>
    </cfRule>
    <cfRule type="cellIs" dxfId="6450" priority="27" operator="greaterThan">
      <formula>6</formula>
    </cfRule>
  </conditionalFormatting>
  <conditionalFormatting sqref="H18">
    <cfRule type="cellIs" dxfId="6449" priority="22" operator="between">
      <formula>3.5</formula>
      <formula>6</formula>
    </cfRule>
    <cfRule type="cellIs" dxfId="6448" priority="23" operator="lessThan">
      <formula>3.5</formula>
    </cfRule>
    <cfRule type="cellIs" dxfId="6447" priority="24" operator="greaterThan">
      <formula>6</formula>
    </cfRule>
  </conditionalFormatting>
  <conditionalFormatting sqref="H9:H39">
    <cfRule type="cellIs" dxfId="6446" priority="19" operator="between">
      <formula>3.5</formula>
      <formula>6</formula>
    </cfRule>
    <cfRule type="cellIs" dxfId="6445" priority="20" operator="lessThan">
      <formula>3.5</formula>
    </cfRule>
    <cfRule type="cellIs" dxfId="6444" priority="21" operator="greaterThan">
      <formula>6</formula>
    </cfRule>
  </conditionalFormatting>
  <conditionalFormatting sqref="H9:H39">
    <cfRule type="cellIs" dxfId="6443" priority="16" operator="between">
      <formula>3.5</formula>
      <formula>6</formula>
    </cfRule>
    <cfRule type="cellIs" dxfId="6442" priority="17" operator="lessThan">
      <formula>3.5</formula>
    </cfRule>
    <cfRule type="cellIs" dxfId="6441" priority="18" operator="greaterThan">
      <formula>6</formula>
    </cfRule>
  </conditionalFormatting>
  <conditionalFormatting sqref="H9:H39">
    <cfRule type="cellIs" dxfId="6440" priority="13" operator="between">
      <formula>3.5</formula>
      <formula>6</formula>
    </cfRule>
    <cfRule type="cellIs" dxfId="6439" priority="14" operator="lessThan">
      <formula>3.5</formula>
    </cfRule>
    <cfRule type="cellIs" dxfId="6438" priority="15" operator="greaterThan">
      <formula>6</formula>
    </cfRule>
  </conditionalFormatting>
  <conditionalFormatting sqref="H9:H39">
    <cfRule type="cellIs" dxfId="6437" priority="10" operator="between">
      <formula>3.5</formula>
      <formula>6</formula>
    </cfRule>
    <cfRule type="cellIs" dxfId="6436" priority="11" operator="lessThan">
      <formula>3.5</formula>
    </cfRule>
    <cfRule type="cellIs" dxfId="6435" priority="12" operator="greaterThan">
      <formula>6</formula>
    </cfRule>
  </conditionalFormatting>
  <conditionalFormatting sqref="H9:H39">
    <cfRule type="cellIs" dxfId="6434" priority="7" operator="between">
      <formula>3.5</formula>
      <formula>6</formula>
    </cfRule>
    <cfRule type="cellIs" dxfId="6433" priority="8" operator="lessThan">
      <formula>3.5</formula>
    </cfRule>
    <cfRule type="cellIs" dxfId="6432" priority="9" operator="greaterThan">
      <formula>6</formula>
    </cfRule>
  </conditionalFormatting>
  <conditionalFormatting sqref="H9:H39">
    <cfRule type="cellIs" dxfId="6431" priority="4" operator="between">
      <formula>3.5</formula>
      <formula>6</formula>
    </cfRule>
    <cfRule type="cellIs" dxfId="6430" priority="5" operator="lessThan">
      <formula>3.5</formula>
    </cfRule>
    <cfRule type="cellIs" dxfId="6429" priority="6" operator="greaterThan">
      <formula>6</formula>
    </cfRule>
  </conditionalFormatting>
  <conditionalFormatting sqref="H9:H39">
    <cfRule type="cellIs" dxfId="6428" priority="1" operator="between">
      <formula>3.5</formula>
      <formula>6</formula>
    </cfRule>
    <cfRule type="cellIs" dxfId="6427" priority="2" operator="lessThan">
      <formula>3.5</formula>
    </cfRule>
    <cfRule type="cellIs" dxfId="642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A49"/>
  <sheetViews>
    <sheetView zoomScale="90" zoomScaleNormal="90" workbookViewId="0">
      <pane ySplit="8" topLeftCell="A18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29"/>
      <c r="K3" s="1329"/>
      <c r="L3" s="1329"/>
      <c r="N3" s="442"/>
      <c r="O3" s="442"/>
      <c r="P3" s="442"/>
    </row>
    <row r="4" spans="1:27" s="1334" customFormat="1" ht="12" customHeight="1">
      <c r="A4" s="1648" t="s">
        <v>33</v>
      </c>
      <c r="B4" s="1648"/>
      <c r="C4" s="551" t="str">
        <f>H4</f>
        <v xml:space="preserve">CROVINA 60*60 nâu-HA </v>
      </c>
      <c r="E4" s="549" t="s">
        <v>228</v>
      </c>
      <c r="F4" s="549" t="s">
        <v>235</v>
      </c>
      <c r="G4" s="550" t="s">
        <v>114</v>
      </c>
      <c r="H4" s="551" t="s">
        <v>1143</v>
      </c>
      <c r="M4" s="143"/>
    </row>
    <row r="5" spans="1:27" s="1334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34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31" t="s">
        <v>2</v>
      </c>
      <c r="B7" s="1333" t="s">
        <v>1</v>
      </c>
      <c r="C7" s="1333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30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3038</v>
      </c>
      <c r="E8" s="771">
        <f>E40</f>
        <v>0</v>
      </c>
      <c r="F8" s="771"/>
      <c r="G8" s="774">
        <v>3038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32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3038</v>
      </c>
      <c r="H9" s="451">
        <f>G9/10417</f>
        <v>0.29163866756263801</v>
      </c>
      <c r="I9" s="772"/>
      <c r="J9" s="772"/>
      <c r="K9" s="772"/>
      <c r="L9" s="772"/>
      <c r="M9" s="650">
        <f>G9/$M$8</f>
        <v>0.27864401805040911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3038</v>
      </c>
      <c r="H10" s="451">
        <f t="shared" ref="H10:H39" si="2">G10/10417</f>
        <v>0.29163866756263801</v>
      </c>
      <c r="I10" s="772"/>
      <c r="J10" s="772"/>
      <c r="K10" s="772"/>
      <c r="L10" s="772"/>
      <c r="M10" s="650">
        <f t="shared" ref="M10:M39" si="3">G10/$M$8</f>
        <v>0.27864401805040911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3038</v>
      </c>
      <c r="H11" s="451">
        <f t="shared" si="2"/>
        <v>0.29163866756263801</v>
      </c>
      <c r="I11" s="772"/>
      <c r="J11" s="772"/>
      <c r="K11" s="772"/>
      <c r="L11" s="772"/>
      <c r="M11" s="650">
        <f t="shared" si="3"/>
        <v>0.27864401805040911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3038</v>
      </c>
      <c r="H12" s="451">
        <f t="shared" si="2"/>
        <v>0.29163866756263801</v>
      </c>
      <c r="I12" s="772"/>
      <c r="J12" s="772"/>
      <c r="K12" s="772"/>
      <c r="L12" s="772"/>
      <c r="M12" s="650">
        <f t="shared" si="3"/>
        <v>0.27864401805040911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3038</v>
      </c>
      <c r="H13" s="451">
        <f t="shared" si="2"/>
        <v>0.29163866756263801</v>
      </c>
      <c r="I13" s="772"/>
      <c r="J13" s="772"/>
      <c r="K13" s="772"/>
      <c r="L13" s="772"/>
      <c r="M13" s="650">
        <f t="shared" si="3"/>
        <v>0.27864401805040911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3038</v>
      </c>
      <c r="H14" s="451">
        <f t="shared" si="2"/>
        <v>0.29163866756263801</v>
      </c>
      <c r="I14" s="772"/>
      <c r="J14" s="772"/>
      <c r="K14" s="772"/>
      <c r="L14" s="772"/>
      <c r="M14" s="650">
        <f t="shared" si="3"/>
        <v>0.27864401805040911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3038</v>
      </c>
      <c r="H15" s="451">
        <f t="shared" si="2"/>
        <v>0.29163866756263801</v>
      </c>
      <c r="I15" s="772"/>
      <c r="J15" s="772"/>
      <c r="K15" s="772"/>
      <c r="L15" s="772"/>
      <c r="M15" s="650">
        <f t="shared" si="3"/>
        <v>0.27864401805040911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3038</v>
      </c>
      <c r="H16" s="451">
        <f t="shared" si="2"/>
        <v>0.29163866756263801</v>
      </c>
      <c r="I16" s="772"/>
      <c r="J16" s="772"/>
      <c r="K16" s="772"/>
      <c r="L16" s="772"/>
      <c r="M16" s="650">
        <f t="shared" si="3"/>
        <v>0.27864401805040911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3038</v>
      </c>
      <c r="H17" s="451">
        <f t="shared" si="2"/>
        <v>0.29163866756263801</v>
      </c>
      <c r="I17" s="772"/>
      <c r="J17" s="772"/>
      <c r="K17" s="772"/>
      <c r="L17" s="772"/>
      <c r="M17" s="650">
        <f t="shared" si="3"/>
        <v>0.27864401805040911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3038</v>
      </c>
      <c r="H18" s="451">
        <f t="shared" si="2"/>
        <v>0.29163866756263801</v>
      </c>
      <c r="I18" s="772"/>
      <c r="J18" s="772"/>
      <c r="K18" s="772"/>
      <c r="L18" s="772"/>
      <c r="M18" s="650">
        <f t="shared" si="3"/>
        <v>0.27864401805040911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3038</v>
      </c>
      <c r="H19" s="451">
        <f t="shared" si="2"/>
        <v>0.29163866756263801</v>
      </c>
      <c r="I19" s="772"/>
      <c r="J19" s="772"/>
      <c r="K19" s="772"/>
      <c r="L19" s="772"/>
      <c r="M19" s="650">
        <f t="shared" si="3"/>
        <v>0.27864401805040911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3038</v>
      </c>
      <c r="H20" s="451">
        <f t="shared" si="2"/>
        <v>0.29163866756263801</v>
      </c>
      <c r="I20" s="772"/>
      <c r="J20" s="772"/>
      <c r="K20" s="772"/>
      <c r="L20" s="772"/>
      <c r="M20" s="650">
        <f t="shared" si="3"/>
        <v>0.27864401805040911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3038</v>
      </c>
      <c r="H21" s="451">
        <f t="shared" si="2"/>
        <v>0.29163866756263801</v>
      </c>
      <c r="I21" s="772"/>
      <c r="J21" s="772"/>
      <c r="K21" s="772"/>
      <c r="L21" s="772"/>
      <c r="M21" s="650">
        <f t="shared" si="3"/>
        <v>0.27864401805040911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3038</v>
      </c>
      <c r="H22" s="451">
        <f t="shared" si="2"/>
        <v>0.29163866756263801</v>
      </c>
      <c r="I22" s="772"/>
      <c r="J22" s="772"/>
      <c r="K22" s="772"/>
      <c r="L22" s="772"/>
      <c r="M22" s="650">
        <f t="shared" si="3"/>
        <v>0.27864401805040911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3038</v>
      </c>
      <c r="H23" s="451">
        <f t="shared" si="2"/>
        <v>0.29163866756263801</v>
      </c>
      <c r="I23" s="772"/>
      <c r="J23" s="772"/>
      <c r="K23" s="772"/>
      <c r="L23" s="772"/>
      <c r="M23" s="650">
        <f t="shared" si="3"/>
        <v>0.27864401805040911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3038</v>
      </c>
      <c r="H24" s="451">
        <f t="shared" si="2"/>
        <v>0.29163866756263801</v>
      </c>
      <c r="I24" s="772"/>
      <c r="J24" s="772"/>
      <c r="K24" s="772"/>
      <c r="L24" s="772"/>
      <c r="M24" s="650">
        <f t="shared" si="3"/>
        <v>0.27864401805040911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3038</v>
      </c>
      <c r="H25" s="451">
        <f t="shared" si="2"/>
        <v>0.29163866756263801</v>
      </c>
      <c r="I25" s="772"/>
      <c r="J25" s="772"/>
      <c r="K25" s="772"/>
      <c r="L25" s="772"/>
      <c r="M25" s="650">
        <f t="shared" si="3"/>
        <v>0.27864401805040911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3038</v>
      </c>
      <c r="H26" s="451">
        <f t="shared" si="2"/>
        <v>0.29163866756263801</v>
      </c>
      <c r="I26" s="772"/>
      <c r="J26" s="772"/>
      <c r="K26" s="772"/>
      <c r="L26" s="772"/>
      <c r="M26" s="650">
        <f t="shared" si="3"/>
        <v>0.27864401805040911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3038</v>
      </c>
      <c r="H27" s="451">
        <f t="shared" si="2"/>
        <v>0.29163866756263801</v>
      </c>
      <c r="I27" s="772"/>
      <c r="J27" s="772"/>
      <c r="K27" s="772"/>
      <c r="L27" s="772"/>
      <c r="M27" s="650">
        <f t="shared" si="3"/>
        <v>0.27864401805040911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3038</v>
      </c>
      <c r="H28" s="451">
        <f t="shared" si="2"/>
        <v>0.29163866756263801</v>
      </c>
      <c r="I28" s="772"/>
      <c r="J28" s="772"/>
      <c r="K28" s="772"/>
      <c r="L28" s="772"/>
      <c r="M28" s="650">
        <f t="shared" si="3"/>
        <v>0.27864401805040911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3038</v>
      </c>
      <c r="H29" s="451">
        <f t="shared" si="2"/>
        <v>0.29163866756263801</v>
      </c>
      <c r="I29" s="772"/>
      <c r="J29" s="772"/>
      <c r="K29" s="772"/>
      <c r="L29" s="772"/>
      <c r="M29" s="650">
        <f t="shared" si="3"/>
        <v>0.27864401805040911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3038</v>
      </c>
      <c r="H30" s="451">
        <f t="shared" si="2"/>
        <v>0.29163866756263801</v>
      </c>
      <c r="I30" s="772"/>
      <c r="J30" s="772"/>
      <c r="K30" s="772"/>
      <c r="L30" s="772"/>
      <c r="M30" s="650">
        <f t="shared" si="3"/>
        <v>0.27864401805040911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3038</v>
      </c>
      <c r="H31" s="451">
        <f t="shared" si="2"/>
        <v>0.29163866756263801</v>
      </c>
      <c r="I31" s="772"/>
      <c r="J31" s="772"/>
      <c r="K31" s="772"/>
      <c r="L31" s="772"/>
      <c r="M31" s="650">
        <f t="shared" si="3"/>
        <v>0.27864401805040911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3038</v>
      </c>
      <c r="H32" s="451">
        <f t="shared" si="2"/>
        <v>0.29163866756263801</v>
      </c>
      <c r="I32" s="772"/>
      <c r="J32" s="772"/>
      <c r="K32" s="772"/>
      <c r="L32" s="772"/>
      <c r="M32" s="650">
        <f t="shared" si="3"/>
        <v>0.27864401805040911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3038</v>
      </c>
      <c r="H33" s="451">
        <f t="shared" si="2"/>
        <v>0.29163866756263801</v>
      </c>
      <c r="I33" s="772"/>
      <c r="J33" s="772"/>
      <c r="K33" s="772"/>
      <c r="L33" s="772"/>
      <c r="M33" s="650">
        <f t="shared" si="3"/>
        <v>0.27864401805040911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3038</v>
      </c>
      <c r="H34" s="451">
        <f t="shared" si="2"/>
        <v>0.29163866756263801</v>
      </c>
      <c r="I34" s="772"/>
      <c r="J34" s="772"/>
      <c r="K34" s="772"/>
      <c r="L34" s="772"/>
      <c r="M34" s="650">
        <f t="shared" si="3"/>
        <v>0.27864401805040911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3038</v>
      </c>
      <c r="H35" s="451">
        <f t="shared" si="2"/>
        <v>0.29163866756263801</v>
      </c>
      <c r="I35" s="772"/>
      <c r="J35" s="772"/>
      <c r="K35" s="772"/>
      <c r="L35" s="772"/>
      <c r="M35" s="650">
        <f t="shared" si="3"/>
        <v>0.27864401805040911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3038</v>
      </c>
      <c r="H36" s="451">
        <f t="shared" si="2"/>
        <v>0.29163866756263801</v>
      </c>
      <c r="I36" s="772"/>
      <c r="J36" s="772"/>
      <c r="K36" s="772"/>
      <c r="L36" s="772"/>
      <c r="M36" s="650">
        <f t="shared" si="3"/>
        <v>0.27864401805040911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3038</v>
      </c>
      <c r="H37" s="451">
        <f t="shared" si="2"/>
        <v>0.29163866756263801</v>
      </c>
      <c r="I37" s="772"/>
      <c r="J37" s="772"/>
      <c r="K37" s="772"/>
      <c r="L37" s="772"/>
      <c r="M37" s="650">
        <f t="shared" si="3"/>
        <v>0.27864401805040911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3038</v>
      </c>
      <c r="H38" s="451">
        <f t="shared" si="2"/>
        <v>0.29163866756263801</v>
      </c>
      <c r="I38" s="772"/>
      <c r="J38" s="772"/>
      <c r="K38" s="772"/>
      <c r="L38" s="772"/>
      <c r="M38" s="650">
        <f t="shared" si="3"/>
        <v>0.27864401805040911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3038</v>
      </c>
      <c r="H39" s="451">
        <f t="shared" si="2"/>
        <v>0.29163866756263801</v>
      </c>
      <c r="I39" s="772"/>
      <c r="J39" s="772"/>
      <c r="K39" s="772"/>
      <c r="L39" s="772"/>
      <c r="M39" s="650">
        <f t="shared" si="3"/>
        <v>0.27864401805040911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3038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3038</v>
      </c>
      <c r="E41" s="389">
        <f>E40</f>
        <v>0</v>
      </c>
      <c r="F41" s="449"/>
      <c r="G41" s="389">
        <f>D41-E41</f>
        <v>3038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425" priority="34" operator="between">
      <formula>3.5</formula>
      <formula>6</formula>
    </cfRule>
    <cfRule type="cellIs" dxfId="6424" priority="35" operator="lessThan">
      <formula>3.5</formula>
    </cfRule>
    <cfRule type="cellIs" dxfId="6423" priority="36" operator="greaterThan">
      <formula>6</formula>
    </cfRule>
  </conditionalFormatting>
  <conditionalFormatting sqref="H9:H12 H24:H37 H14:H17 H19:H22 H39">
    <cfRule type="cellIs" dxfId="6422" priority="31" operator="between">
      <formula>3.5</formula>
      <formula>6</formula>
    </cfRule>
    <cfRule type="cellIs" dxfId="6421" priority="32" operator="lessThan">
      <formula>3.5</formula>
    </cfRule>
    <cfRule type="cellIs" dxfId="6420" priority="33" operator="greaterThan">
      <formula>6</formula>
    </cfRule>
  </conditionalFormatting>
  <conditionalFormatting sqref="H23">
    <cfRule type="cellIs" dxfId="6419" priority="28" operator="between">
      <formula>3.5</formula>
      <formula>6</formula>
    </cfRule>
    <cfRule type="cellIs" dxfId="6418" priority="29" operator="lessThan">
      <formula>3.5</formula>
    </cfRule>
    <cfRule type="cellIs" dxfId="6417" priority="30" operator="greaterThan">
      <formula>6</formula>
    </cfRule>
  </conditionalFormatting>
  <conditionalFormatting sqref="H13">
    <cfRule type="cellIs" dxfId="6416" priority="25" operator="between">
      <formula>3.5</formula>
      <formula>6</formula>
    </cfRule>
    <cfRule type="cellIs" dxfId="6415" priority="26" operator="lessThan">
      <formula>3.5</formula>
    </cfRule>
    <cfRule type="cellIs" dxfId="6414" priority="27" operator="greaterThan">
      <formula>6</formula>
    </cfRule>
  </conditionalFormatting>
  <conditionalFormatting sqref="H18">
    <cfRule type="cellIs" dxfId="6413" priority="22" operator="between">
      <formula>3.5</formula>
      <formula>6</formula>
    </cfRule>
    <cfRule type="cellIs" dxfId="6412" priority="23" operator="lessThan">
      <formula>3.5</formula>
    </cfRule>
    <cfRule type="cellIs" dxfId="6411" priority="24" operator="greaterThan">
      <formula>6</formula>
    </cfRule>
  </conditionalFormatting>
  <conditionalFormatting sqref="H9:H39">
    <cfRule type="cellIs" dxfId="6410" priority="19" operator="between">
      <formula>3.5</formula>
      <formula>6</formula>
    </cfRule>
    <cfRule type="cellIs" dxfId="6409" priority="20" operator="lessThan">
      <formula>3.5</formula>
    </cfRule>
    <cfRule type="cellIs" dxfId="6408" priority="21" operator="greaterThan">
      <formula>6</formula>
    </cfRule>
  </conditionalFormatting>
  <conditionalFormatting sqref="H9:H39">
    <cfRule type="cellIs" dxfId="6407" priority="16" operator="between">
      <formula>3.5</formula>
      <formula>6</formula>
    </cfRule>
    <cfRule type="cellIs" dxfId="6406" priority="17" operator="lessThan">
      <formula>3.5</formula>
    </cfRule>
    <cfRule type="cellIs" dxfId="6405" priority="18" operator="greaterThan">
      <formula>6</formula>
    </cfRule>
  </conditionalFormatting>
  <conditionalFormatting sqref="H9:H39">
    <cfRule type="cellIs" dxfId="6404" priority="13" operator="between">
      <formula>3.5</formula>
      <formula>6</formula>
    </cfRule>
    <cfRule type="cellIs" dxfId="6403" priority="14" operator="lessThan">
      <formula>3.5</formula>
    </cfRule>
    <cfRule type="cellIs" dxfId="6402" priority="15" operator="greaterThan">
      <formula>6</formula>
    </cfRule>
  </conditionalFormatting>
  <conditionalFormatting sqref="H9:H39">
    <cfRule type="cellIs" dxfId="6401" priority="10" operator="between">
      <formula>3.5</formula>
      <formula>6</formula>
    </cfRule>
    <cfRule type="cellIs" dxfId="6400" priority="11" operator="lessThan">
      <formula>3.5</formula>
    </cfRule>
    <cfRule type="cellIs" dxfId="6399" priority="12" operator="greaterThan">
      <formula>6</formula>
    </cfRule>
  </conditionalFormatting>
  <conditionalFormatting sqref="H9:H39">
    <cfRule type="cellIs" dxfId="6398" priority="7" operator="between">
      <formula>3.5</formula>
      <formula>6</formula>
    </cfRule>
    <cfRule type="cellIs" dxfId="6397" priority="8" operator="lessThan">
      <formula>3.5</formula>
    </cfRule>
    <cfRule type="cellIs" dxfId="6396" priority="9" operator="greaterThan">
      <formula>6</formula>
    </cfRule>
  </conditionalFormatting>
  <conditionalFormatting sqref="H9:H39">
    <cfRule type="cellIs" dxfId="6395" priority="4" operator="between">
      <formula>3.5</formula>
      <formula>6</formula>
    </cfRule>
    <cfRule type="cellIs" dxfId="6394" priority="5" operator="lessThan">
      <formula>3.5</formula>
    </cfRule>
    <cfRule type="cellIs" dxfId="6393" priority="6" operator="greaterThan">
      <formula>6</formula>
    </cfRule>
  </conditionalFormatting>
  <conditionalFormatting sqref="H9:H39">
    <cfRule type="cellIs" dxfId="6392" priority="1" operator="between">
      <formula>3.5</formula>
      <formula>6</formula>
    </cfRule>
    <cfRule type="cellIs" dxfId="6391" priority="2" operator="lessThan">
      <formula>3.5</formula>
    </cfRule>
    <cfRule type="cellIs" dxfId="639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45"/>
      <c r="K3" s="1345"/>
      <c r="L3" s="1345"/>
      <c r="N3" s="442"/>
      <c r="O3" s="442"/>
      <c r="P3" s="442"/>
    </row>
    <row r="4" spans="1:27" s="1350" customFormat="1" ht="12" customHeight="1">
      <c r="A4" s="1648" t="s">
        <v>33</v>
      </c>
      <c r="B4" s="1648"/>
      <c r="C4" s="551" t="str">
        <f>H4</f>
        <v xml:space="preserve">CROVINA 40*80 5v nâu-HA </v>
      </c>
      <c r="E4" s="549" t="s">
        <v>228</v>
      </c>
      <c r="F4" s="549" t="s">
        <v>235</v>
      </c>
      <c r="G4" s="550" t="s">
        <v>114</v>
      </c>
      <c r="H4" s="551" t="s">
        <v>1154</v>
      </c>
      <c r="M4" s="143"/>
    </row>
    <row r="5" spans="1:27" s="1350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50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47" t="s">
        <v>2</v>
      </c>
      <c r="B7" s="1349" t="s">
        <v>1</v>
      </c>
      <c r="C7" s="1349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46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10000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48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v>10000</v>
      </c>
      <c r="E22" s="396">
        <f t="shared" si="1"/>
        <v>0</v>
      </c>
      <c r="F22" s="396">
        <f t="shared" si="4"/>
        <v>10902.777777777777</v>
      </c>
      <c r="G22" s="396">
        <f t="shared" si="0"/>
        <v>10000</v>
      </c>
      <c r="H22" s="451">
        <f t="shared" si="2"/>
        <v>0.95996928098300849</v>
      </c>
      <c r="I22" s="772"/>
      <c r="J22" s="772"/>
      <c r="K22" s="772"/>
      <c r="L22" s="772"/>
      <c r="M22" s="650">
        <f t="shared" si="3"/>
        <v>0.91719558278607338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5000</v>
      </c>
      <c r="F23" s="396">
        <f t="shared" si="4"/>
        <v>10902.777777777777</v>
      </c>
      <c r="G23" s="769">
        <f t="shared" si="0"/>
        <v>5000</v>
      </c>
      <c r="H23" s="451">
        <f t="shared" si="2"/>
        <v>0.47998464049150424</v>
      </c>
      <c r="I23" s="772"/>
      <c r="J23" s="772">
        <v>5000</v>
      </c>
      <c r="K23" s="772"/>
      <c r="L23" s="772"/>
      <c r="M23" s="650">
        <f t="shared" si="3"/>
        <v>0.45859779139303669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5000</v>
      </c>
      <c r="H24" s="451">
        <f t="shared" si="2"/>
        <v>0.47998464049150424</v>
      </c>
      <c r="I24" s="772"/>
      <c r="J24" s="772"/>
      <c r="K24" s="772"/>
      <c r="L24" s="772"/>
      <c r="M24" s="650">
        <f t="shared" si="3"/>
        <v>0.45859779139303669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>
        <v>8400</v>
      </c>
      <c r="E25" s="396">
        <f t="shared" si="1"/>
        <v>5000</v>
      </c>
      <c r="F25" s="396">
        <f t="shared" si="4"/>
        <v>10902.777777777777</v>
      </c>
      <c r="G25" s="396">
        <f t="shared" si="0"/>
        <v>8400</v>
      </c>
      <c r="H25" s="451">
        <f t="shared" si="2"/>
        <v>0.80637419602572713</v>
      </c>
      <c r="I25" s="772"/>
      <c r="J25" s="772">
        <v>5000</v>
      </c>
      <c r="K25" s="772"/>
      <c r="L25" s="772"/>
      <c r="M25" s="650">
        <f t="shared" si="3"/>
        <v>0.77044428954030164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v>1635</v>
      </c>
      <c r="E26" s="396">
        <f t="shared" si="1"/>
        <v>0</v>
      </c>
      <c r="F26" s="396">
        <f t="shared" si="4"/>
        <v>10902.777777777777</v>
      </c>
      <c r="G26" s="396">
        <f t="shared" si="0"/>
        <v>10035</v>
      </c>
      <c r="H26" s="451">
        <f t="shared" si="2"/>
        <v>0.96332917346644908</v>
      </c>
      <c r="I26" s="772"/>
      <c r="J26" s="772"/>
      <c r="K26" s="772"/>
      <c r="L26" s="772"/>
      <c r="M26" s="650">
        <f t="shared" si="3"/>
        <v>0.92040576732582458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10035</v>
      </c>
      <c r="H27" s="451">
        <f t="shared" si="2"/>
        <v>0.96332917346644908</v>
      </c>
      <c r="I27" s="772"/>
      <c r="J27" s="772"/>
      <c r="K27" s="772"/>
      <c r="L27" s="772"/>
      <c r="M27" s="650">
        <f t="shared" si="3"/>
        <v>0.92040576732582458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10035</v>
      </c>
      <c r="H28" s="451">
        <f t="shared" si="2"/>
        <v>0.96332917346644908</v>
      </c>
      <c r="I28" s="772"/>
      <c r="J28" s="772"/>
      <c r="K28" s="772"/>
      <c r="L28" s="772"/>
      <c r="M28" s="650">
        <f t="shared" si="3"/>
        <v>0.92040576732582458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10035</v>
      </c>
      <c r="H29" s="451">
        <f t="shared" si="2"/>
        <v>0.96332917346644908</v>
      </c>
      <c r="I29" s="772"/>
      <c r="J29" s="772"/>
      <c r="K29" s="772"/>
      <c r="L29" s="772"/>
      <c r="M29" s="650">
        <f t="shared" si="3"/>
        <v>0.92040576732582458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10035</v>
      </c>
      <c r="H30" s="451">
        <f t="shared" si="2"/>
        <v>0.96332917346644908</v>
      </c>
      <c r="I30" s="772"/>
      <c r="J30" s="772"/>
      <c r="K30" s="772"/>
      <c r="L30" s="772"/>
      <c r="M30" s="650">
        <f t="shared" si="3"/>
        <v>0.92040576732582458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10035</v>
      </c>
      <c r="H31" s="451">
        <f t="shared" si="2"/>
        <v>0.96332917346644908</v>
      </c>
      <c r="I31" s="772"/>
      <c r="J31" s="772"/>
      <c r="K31" s="772"/>
      <c r="L31" s="772"/>
      <c r="M31" s="650">
        <f t="shared" si="3"/>
        <v>0.92040576732582458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10035</v>
      </c>
      <c r="H32" s="451">
        <f t="shared" si="2"/>
        <v>0.96332917346644908</v>
      </c>
      <c r="I32" s="772"/>
      <c r="J32" s="772"/>
      <c r="K32" s="772"/>
      <c r="L32" s="772"/>
      <c r="M32" s="650">
        <f t="shared" si="3"/>
        <v>0.92040576732582458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10035</v>
      </c>
      <c r="H33" s="451">
        <f t="shared" si="2"/>
        <v>0.96332917346644908</v>
      </c>
      <c r="I33" s="772"/>
      <c r="J33" s="772"/>
      <c r="K33" s="772"/>
      <c r="L33" s="772"/>
      <c r="M33" s="650">
        <f t="shared" si="3"/>
        <v>0.92040576732582458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10035</v>
      </c>
      <c r="H34" s="451">
        <f t="shared" si="2"/>
        <v>0.96332917346644908</v>
      </c>
      <c r="I34" s="772"/>
      <c r="J34" s="772"/>
      <c r="K34" s="772"/>
      <c r="L34" s="772"/>
      <c r="M34" s="650">
        <f t="shared" si="3"/>
        <v>0.92040576732582458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10035</v>
      </c>
      <c r="H35" s="451">
        <f t="shared" si="2"/>
        <v>0.96332917346644908</v>
      </c>
      <c r="I35" s="772"/>
      <c r="J35" s="772"/>
      <c r="K35" s="772"/>
      <c r="L35" s="772"/>
      <c r="M35" s="650">
        <f t="shared" si="3"/>
        <v>0.92040576732582458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10035</v>
      </c>
      <c r="H36" s="451">
        <f t="shared" si="2"/>
        <v>0.96332917346644908</v>
      </c>
      <c r="I36" s="772"/>
      <c r="J36" s="772"/>
      <c r="K36" s="772"/>
      <c r="L36" s="772"/>
      <c r="M36" s="650">
        <f t="shared" si="3"/>
        <v>0.92040576732582458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10035</v>
      </c>
      <c r="H37" s="451">
        <f t="shared" si="2"/>
        <v>0.96332917346644908</v>
      </c>
      <c r="I37" s="772"/>
      <c r="J37" s="772"/>
      <c r="K37" s="772"/>
      <c r="L37" s="772"/>
      <c r="M37" s="650">
        <f t="shared" si="3"/>
        <v>0.92040576732582458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10035</v>
      </c>
      <c r="H38" s="451">
        <f t="shared" si="2"/>
        <v>0.96332917346644908</v>
      </c>
      <c r="I38" s="772"/>
      <c r="J38" s="772"/>
      <c r="K38" s="772"/>
      <c r="L38" s="772"/>
      <c r="M38" s="650">
        <f t="shared" si="3"/>
        <v>0.92040576732582458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/>
      <c r="E39" s="396">
        <f t="shared" si="1"/>
        <v>0</v>
      </c>
      <c r="F39" s="396">
        <f>SUM($E$8:E39)/A39</f>
        <v>645.16129032258061</v>
      </c>
      <c r="G39" s="396">
        <f t="shared" si="0"/>
        <v>10035</v>
      </c>
      <c r="H39" s="451">
        <f t="shared" si="2"/>
        <v>0.96332917346644908</v>
      </c>
      <c r="I39" s="772"/>
      <c r="J39" s="772"/>
      <c r="K39" s="772"/>
      <c r="L39" s="772"/>
      <c r="M39" s="650">
        <f t="shared" si="3"/>
        <v>0.92040576732582458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20035</v>
      </c>
      <c r="E40" s="389">
        <f>SUM(E9:E39)</f>
        <v>10000</v>
      </c>
      <c r="F40" s="449"/>
      <c r="G40" s="389">
        <f>G39</f>
        <v>10035</v>
      </c>
      <c r="H40" s="309"/>
      <c r="I40" s="689">
        <f>SUM(I9:I39)</f>
        <v>0</v>
      </c>
      <c r="J40" s="689">
        <f t="shared" ref="J40:L40" si="5">SUM(J9:J39)</f>
        <v>10000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20035</v>
      </c>
      <c r="E41" s="389">
        <f>E40</f>
        <v>10000</v>
      </c>
      <c r="F41" s="449"/>
      <c r="G41" s="389">
        <f>D41-E41</f>
        <v>10035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10000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389" priority="34" operator="between">
      <formula>3.5</formula>
      <formula>6</formula>
    </cfRule>
    <cfRule type="cellIs" dxfId="6388" priority="35" operator="lessThan">
      <formula>3.5</formula>
    </cfRule>
    <cfRule type="cellIs" dxfId="6387" priority="36" operator="greaterThan">
      <formula>6</formula>
    </cfRule>
  </conditionalFormatting>
  <conditionalFormatting sqref="H9:H12 H24:H37 H14:H17 H19:H22 H39">
    <cfRule type="cellIs" dxfId="6386" priority="31" operator="between">
      <formula>3.5</formula>
      <formula>6</formula>
    </cfRule>
    <cfRule type="cellIs" dxfId="6385" priority="32" operator="lessThan">
      <formula>3.5</formula>
    </cfRule>
    <cfRule type="cellIs" dxfId="6384" priority="33" operator="greaterThan">
      <formula>6</formula>
    </cfRule>
  </conditionalFormatting>
  <conditionalFormatting sqref="H23">
    <cfRule type="cellIs" dxfId="6383" priority="28" operator="between">
      <formula>3.5</formula>
      <formula>6</formula>
    </cfRule>
    <cfRule type="cellIs" dxfId="6382" priority="29" operator="lessThan">
      <formula>3.5</formula>
    </cfRule>
    <cfRule type="cellIs" dxfId="6381" priority="30" operator="greaterThan">
      <formula>6</formula>
    </cfRule>
  </conditionalFormatting>
  <conditionalFormatting sqref="H13">
    <cfRule type="cellIs" dxfId="6380" priority="25" operator="between">
      <formula>3.5</formula>
      <formula>6</formula>
    </cfRule>
    <cfRule type="cellIs" dxfId="6379" priority="26" operator="lessThan">
      <formula>3.5</formula>
    </cfRule>
    <cfRule type="cellIs" dxfId="6378" priority="27" operator="greaterThan">
      <formula>6</formula>
    </cfRule>
  </conditionalFormatting>
  <conditionalFormatting sqref="H18">
    <cfRule type="cellIs" dxfId="6377" priority="22" operator="between">
      <formula>3.5</formula>
      <formula>6</formula>
    </cfRule>
    <cfRule type="cellIs" dxfId="6376" priority="23" operator="lessThan">
      <formula>3.5</formula>
    </cfRule>
    <cfRule type="cellIs" dxfId="6375" priority="24" operator="greaterThan">
      <formula>6</formula>
    </cfRule>
  </conditionalFormatting>
  <conditionalFormatting sqref="H9:H39">
    <cfRule type="cellIs" dxfId="6374" priority="19" operator="between">
      <formula>3.5</formula>
      <formula>6</formula>
    </cfRule>
    <cfRule type="cellIs" dxfId="6373" priority="20" operator="lessThan">
      <formula>3.5</formula>
    </cfRule>
    <cfRule type="cellIs" dxfId="6372" priority="21" operator="greaterThan">
      <formula>6</formula>
    </cfRule>
  </conditionalFormatting>
  <conditionalFormatting sqref="H9:H39">
    <cfRule type="cellIs" dxfId="6371" priority="16" operator="between">
      <formula>3.5</formula>
      <formula>6</formula>
    </cfRule>
    <cfRule type="cellIs" dxfId="6370" priority="17" operator="lessThan">
      <formula>3.5</formula>
    </cfRule>
    <cfRule type="cellIs" dxfId="6369" priority="18" operator="greaterThan">
      <formula>6</formula>
    </cfRule>
  </conditionalFormatting>
  <conditionalFormatting sqref="H9:H39">
    <cfRule type="cellIs" dxfId="6368" priority="13" operator="between">
      <formula>3.5</formula>
      <formula>6</formula>
    </cfRule>
    <cfRule type="cellIs" dxfId="6367" priority="14" operator="lessThan">
      <formula>3.5</formula>
    </cfRule>
    <cfRule type="cellIs" dxfId="6366" priority="15" operator="greaterThan">
      <formula>6</formula>
    </cfRule>
  </conditionalFormatting>
  <conditionalFormatting sqref="H9:H39">
    <cfRule type="cellIs" dxfId="6365" priority="10" operator="between">
      <formula>3.5</formula>
      <formula>6</formula>
    </cfRule>
    <cfRule type="cellIs" dxfId="6364" priority="11" operator="lessThan">
      <formula>3.5</formula>
    </cfRule>
    <cfRule type="cellIs" dxfId="6363" priority="12" operator="greaterThan">
      <formula>6</formula>
    </cfRule>
  </conditionalFormatting>
  <conditionalFormatting sqref="H9:H39">
    <cfRule type="cellIs" dxfId="6362" priority="7" operator="between">
      <formula>3.5</formula>
      <formula>6</formula>
    </cfRule>
    <cfRule type="cellIs" dxfId="6361" priority="8" operator="lessThan">
      <formula>3.5</formula>
    </cfRule>
    <cfRule type="cellIs" dxfId="6360" priority="9" operator="greaterThan">
      <formula>6</formula>
    </cfRule>
  </conditionalFormatting>
  <conditionalFormatting sqref="H9:H39">
    <cfRule type="cellIs" dxfId="6359" priority="4" operator="between">
      <formula>3.5</formula>
      <formula>6</formula>
    </cfRule>
    <cfRule type="cellIs" dxfId="6358" priority="5" operator="lessThan">
      <formula>3.5</formula>
    </cfRule>
    <cfRule type="cellIs" dxfId="6357" priority="6" operator="greaterThan">
      <formula>6</formula>
    </cfRule>
  </conditionalFormatting>
  <conditionalFormatting sqref="H9:H39">
    <cfRule type="cellIs" dxfId="6356" priority="1" operator="between">
      <formula>3.5</formula>
      <formula>6</formula>
    </cfRule>
    <cfRule type="cellIs" dxfId="6355" priority="2" operator="lessThan">
      <formula>3.5</formula>
    </cfRule>
    <cfRule type="cellIs" dxfId="635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49"/>
  <sheetViews>
    <sheetView zoomScale="90" zoomScaleNormal="90" workbookViewId="0">
      <pane ySplit="8" topLeftCell="A15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88"/>
      <c r="K3" s="1388"/>
      <c r="L3" s="1388"/>
      <c r="N3" s="442"/>
      <c r="O3" s="442"/>
      <c r="P3" s="442"/>
    </row>
    <row r="4" spans="1:27" s="1393" customFormat="1" ht="12" customHeight="1">
      <c r="A4" s="1648" t="s">
        <v>33</v>
      </c>
      <c r="B4" s="1648"/>
      <c r="C4" s="551" t="str">
        <f>H4</f>
        <v xml:space="preserve">T H PHƯƠNG 40*80 5v nâu-HA </v>
      </c>
      <c r="E4" s="549" t="s">
        <v>228</v>
      </c>
      <c r="F4" s="549" t="s">
        <v>235</v>
      </c>
      <c r="G4" s="550" t="s">
        <v>114</v>
      </c>
      <c r="H4" s="551" t="s">
        <v>1193</v>
      </c>
      <c r="M4" s="143"/>
    </row>
    <row r="5" spans="1:27" s="1393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93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90" t="s">
        <v>2</v>
      </c>
      <c r="B7" s="1392" t="s">
        <v>1</v>
      </c>
      <c r="C7" s="139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89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5000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91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>
        <f>12600+1400</f>
        <v>14000</v>
      </c>
      <c r="E22" s="396">
        <f t="shared" si="1"/>
        <v>5000</v>
      </c>
      <c r="F22" s="396">
        <f t="shared" si="4"/>
        <v>10902.777777777777</v>
      </c>
      <c r="G22" s="396">
        <f t="shared" si="0"/>
        <v>9000</v>
      </c>
      <c r="H22" s="451">
        <f t="shared" si="2"/>
        <v>0.86397235288470764</v>
      </c>
      <c r="I22" s="772"/>
      <c r="J22" s="772">
        <v>5000</v>
      </c>
      <c r="K22" s="772"/>
      <c r="L22" s="772"/>
      <c r="M22" s="650">
        <f t="shared" si="3"/>
        <v>0.82547602450746604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9000</v>
      </c>
      <c r="H23" s="451">
        <f t="shared" si="2"/>
        <v>0.86397235288470764</v>
      </c>
      <c r="I23" s="772"/>
      <c r="J23" s="772"/>
      <c r="K23" s="772"/>
      <c r="L23" s="772"/>
      <c r="M23" s="650">
        <f t="shared" si="3"/>
        <v>0.82547602450746604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9000</v>
      </c>
      <c r="H24" s="451">
        <f t="shared" si="2"/>
        <v>0.86397235288470764</v>
      </c>
      <c r="I24" s="772"/>
      <c r="J24" s="772"/>
      <c r="K24" s="772"/>
      <c r="L24" s="772"/>
      <c r="M24" s="650">
        <f t="shared" si="3"/>
        <v>0.82547602450746604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9000</v>
      </c>
      <c r="H25" s="451">
        <f t="shared" si="2"/>
        <v>0.86397235288470764</v>
      </c>
      <c r="I25" s="772"/>
      <c r="J25" s="772"/>
      <c r="K25" s="772"/>
      <c r="L25" s="772"/>
      <c r="M25" s="650">
        <f t="shared" si="3"/>
        <v>0.82547602450746604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v>6150</v>
      </c>
      <c r="E26" s="396">
        <f t="shared" si="1"/>
        <v>0</v>
      </c>
      <c r="F26" s="396">
        <f t="shared" si="4"/>
        <v>10902.777777777777</v>
      </c>
      <c r="G26" s="396">
        <f t="shared" si="0"/>
        <v>15150</v>
      </c>
      <c r="H26" s="451">
        <f t="shared" si="2"/>
        <v>1.4543534606892579</v>
      </c>
      <c r="I26" s="772"/>
      <c r="J26" s="772"/>
      <c r="K26" s="772"/>
      <c r="L26" s="772"/>
      <c r="M26" s="650">
        <f t="shared" si="3"/>
        <v>1.3895513079209012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15150</v>
      </c>
      <c r="H27" s="451">
        <f t="shared" si="2"/>
        <v>1.4543534606892579</v>
      </c>
      <c r="I27" s="772"/>
      <c r="J27" s="772"/>
      <c r="K27" s="772"/>
      <c r="L27" s="772"/>
      <c r="M27" s="650">
        <f t="shared" si="3"/>
        <v>1.3895513079209012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15150</v>
      </c>
      <c r="H28" s="451">
        <f t="shared" si="2"/>
        <v>1.4543534606892579</v>
      </c>
      <c r="I28" s="772"/>
      <c r="J28" s="772"/>
      <c r="K28" s="772"/>
      <c r="L28" s="772"/>
      <c r="M28" s="650">
        <f t="shared" si="3"/>
        <v>1.3895513079209012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15150</v>
      </c>
      <c r="H29" s="451">
        <f t="shared" si="2"/>
        <v>1.4543534606892579</v>
      </c>
      <c r="I29" s="772"/>
      <c r="J29" s="772"/>
      <c r="K29" s="772"/>
      <c r="L29" s="772"/>
      <c r="M29" s="650">
        <f t="shared" si="3"/>
        <v>1.3895513079209012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15150</v>
      </c>
      <c r="H30" s="451">
        <f t="shared" si="2"/>
        <v>1.4543534606892579</v>
      </c>
      <c r="I30" s="772"/>
      <c r="J30" s="772"/>
      <c r="K30" s="772"/>
      <c r="L30" s="772"/>
      <c r="M30" s="650">
        <f t="shared" si="3"/>
        <v>1.3895513079209012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15150</v>
      </c>
      <c r="H31" s="451">
        <f t="shared" si="2"/>
        <v>1.4543534606892579</v>
      </c>
      <c r="I31" s="772"/>
      <c r="J31" s="772"/>
      <c r="K31" s="772"/>
      <c r="L31" s="772"/>
      <c r="M31" s="650">
        <f t="shared" si="3"/>
        <v>1.3895513079209012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15150</v>
      </c>
      <c r="H32" s="451">
        <f t="shared" si="2"/>
        <v>1.4543534606892579</v>
      </c>
      <c r="I32" s="772"/>
      <c r="J32" s="772"/>
      <c r="K32" s="772"/>
      <c r="L32" s="772"/>
      <c r="M32" s="650">
        <f t="shared" si="3"/>
        <v>1.3895513079209012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15150</v>
      </c>
      <c r="H33" s="451">
        <f t="shared" si="2"/>
        <v>1.4543534606892579</v>
      </c>
      <c r="I33" s="772"/>
      <c r="J33" s="772"/>
      <c r="K33" s="772"/>
      <c r="L33" s="772"/>
      <c r="M33" s="650">
        <f t="shared" si="3"/>
        <v>1.3895513079209012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15150</v>
      </c>
      <c r="H34" s="451">
        <f t="shared" si="2"/>
        <v>1.4543534606892579</v>
      </c>
      <c r="I34" s="772"/>
      <c r="J34" s="772"/>
      <c r="K34" s="772"/>
      <c r="L34" s="772"/>
      <c r="M34" s="650">
        <f t="shared" si="3"/>
        <v>1.3895513079209012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15150</v>
      </c>
      <c r="H35" s="451">
        <f t="shared" si="2"/>
        <v>1.4543534606892579</v>
      </c>
      <c r="I35" s="772"/>
      <c r="J35" s="772"/>
      <c r="K35" s="772"/>
      <c r="L35" s="772"/>
      <c r="M35" s="650">
        <f t="shared" si="3"/>
        <v>1.3895513079209012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15150</v>
      </c>
      <c r="H36" s="451">
        <f t="shared" si="2"/>
        <v>1.4543534606892579</v>
      </c>
      <c r="I36" s="772"/>
      <c r="J36" s="772"/>
      <c r="K36" s="772"/>
      <c r="L36" s="772"/>
      <c r="M36" s="650">
        <f t="shared" si="3"/>
        <v>1.3895513079209012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15150</v>
      </c>
      <c r="H37" s="451">
        <f t="shared" si="2"/>
        <v>1.4543534606892579</v>
      </c>
      <c r="I37" s="772"/>
      <c r="J37" s="772"/>
      <c r="K37" s="772"/>
      <c r="L37" s="772"/>
      <c r="M37" s="650">
        <f t="shared" si="3"/>
        <v>1.3895513079209012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15150</v>
      </c>
      <c r="H38" s="451">
        <f t="shared" si="2"/>
        <v>1.4543534606892579</v>
      </c>
      <c r="I38" s="772"/>
      <c r="J38" s="772"/>
      <c r="K38" s="772"/>
      <c r="L38" s="772"/>
      <c r="M38" s="650">
        <f t="shared" si="3"/>
        <v>1.3895513079209012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96"/>
      <c r="E39" s="396">
        <f t="shared" si="1"/>
        <v>0</v>
      </c>
      <c r="F39" s="396">
        <f>SUM($E$8:E39)/A39</f>
        <v>322.58064516129031</v>
      </c>
      <c r="G39" s="396">
        <f t="shared" si="0"/>
        <v>15150</v>
      </c>
      <c r="H39" s="451">
        <f t="shared" si="2"/>
        <v>1.4543534606892579</v>
      </c>
      <c r="I39" s="772"/>
      <c r="J39" s="772"/>
      <c r="K39" s="772"/>
      <c r="L39" s="772"/>
      <c r="M39" s="650">
        <f t="shared" si="3"/>
        <v>1.3895513079209012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20150</v>
      </c>
      <c r="E40" s="389">
        <f>SUM(E9:E39)</f>
        <v>5000</v>
      </c>
      <c r="F40" s="449"/>
      <c r="G40" s="389">
        <f>G39</f>
        <v>15150</v>
      </c>
      <c r="H40" s="309"/>
      <c r="I40" s="689">
        <f>SUM(I9:I39)</f>
        <v>0</v>
      </c>
      <c r="J40" s="689">
        <f t="shared" ref="J40:L40" si="5">SUM(J9:J39)</f>
        <v>5000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20150</v>
      </c>
      <c r="E41" s="389">
        <f>E40</f>
        <v>5000</v>
      </c>
      <c r="F41" s="449"/>
      <c r="G41" s="389">
        <f>D41-E41</f>
        <v>15150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5000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353" priority="34" operator="between">
      <formula>3.5</formula>
      <formula>6</formula>
    </cfRule>
    <cfRule type="cellIs" dxfId="6352" priority="35" operator="lessThan">
      <formula>3.5</formula>
    </cfRule>
    <cfRule type="cellIs" dxfId="6351" priority="36" operator="greaterThan">
      <formula>6</formula>
    </cfRule>
  </conditionalFormatting>
  <conditionalFormatting sqref="H9:H12 H24:H37 H14:H17 H19:H22 H39">
    <cfRule type="cellIs" dxfId="6350" priority="31" operator="between">
      <formula>3.5</formula>
      <formula>6</formula>
    </cfRule>
    <cfRule type="cellIs" dxfId="6349" priority="32" operator="lessThan">
      <formula>3.5</formula>
    </cfRule>
    <cfRule type="cellIs" dxfId="6348" priority="33" operator="greaterThan">
      <formula>6</formula>
    </cfRule>
  </conditionalFormatting>
  <conditionalFormatting sqref="H23">
    <cfRule type="cellIs" dxfId="6347" priority="28" operator="between">
      <formula>3.5</formula>
      <formula>6</formula>
    </cfRule>
    <cfRule type="cellIs" dxfId="6346" priority="29" operator="lessThan">
      <formula>3.5</formula>
    </cfRule>
    <cfRule type="cellIs" dxfId="6345" priority="30" operator="greaterThan">
      <formula>6</formula>
    </cfRule>
  </conditionalFormatting>
  <conditionalFormatting sqref="H13">
    <cfRule type="cellIs" dxfId="6344" priority="25" operator="between">
      <formula>3.5</formula>
      <formula>6</formula>
    </cfRule>
    <cfRule type="cellIs" dxfId="6343" priority="26" operator="lessThan">
      <formula>3.5</formula>
    </cfRule>
    <cfRule type="cellIs" dxfId="6342" priority="27" operator="greaterThan">
      <formula>6</formula>
    </cfRule>
  </conditionalFormatting>
  <conditionalFormatting sqref="H18">
    <cfRule type="cellIs" dxfId="6341" priority="22" operator="between">
      <formula>3.5</formula>
      <formula>6</formula>
    </cfRule>
    <cfRule type="cellIs" dxfId="6340" priority="23" operator="lessThan">
      <formula>3.5</formula>
    </cfRule>
    <cfRule type="cellIs" dxfId="6339" priority="24" operator="greaterThan">
      <formula>6</formula>
    </cfRule>
  </conditionalFormatting>
  <conditionalFormatting sqref="H9:H39">
    <cfRule type="cellIs" dxfId="6338" priority="19" operator="between">
      <formula>3.5</formula>
      <formula>6</formula>
    </cfRule>
    <cfRule type="cellIs" dxfId="6337" priority="20" operator="lessThan">
      <formula>3.5</formula>
    </cfRule>
    <cfRule type="cellIs" dxfId="6336" priority="21" operator="greaterThan">
      <formula>6</formula>
    </cfRule>
  </conditionalFormatting>
  <conditionalFormatting sqref="H9:H39">
    <cfRule type="cellIs" dxfId="6335" priority="16" operator="between">
      <formula>3.5</formula>
      <formula>6</formula>
    </cfRule>
    <cfRule type="cellIs" dxfId="6334" priority="17" operator="lessThan">
      <formula>3.5</formula>
    </cfRule>
    <cfRule type="cellIs" dxfId="6333" priority="18" operator="greaterThan">
      <formula>6</formula>
    </cfRule>
  </conditionalFormatting>
  <conditionalFormatting sqref="H9:H39">
    <cfRule type="cellIs" dxfId="6332" priority="13" operator="between">
      <formula>3.5</formula>
      <formula>6</formula>
    </cfRule>
    <cfRule type="cellIs" dxfId="6331" priority="14" operator="lessThan">
      <formula>3.5</formula>
    </cfRule>
    <cfRule type="cellIs" dxfId="6330" priority="15" operator="greaterThan">
      <formula>6</formula>
    </cfRule>
  </conditionalFormatting>
  <conditionalFormatting sqref="H9:H39">
    <cfRule type="cellIs" dxfId="6329" priority="10" operator="between">
      <formula>3.5</formula>
      <formula>6</formula>
    </cfRule>
    <cfRule type="cellIs" dxfId="6328" priority="11" operator="lessThan">
      <formula>3.5</formula>
    </cfRule>
    <cfRule type="cellIs" dxfId="6327" priority="12" operator="greaterThan">
      <formula>6</formula>
    </cfRule>
  </conditionalFormatting>
  <conditionalFormatting sqref="H9:H39">
    <cfRule type="cellIs" dxfId="6326" priority="7" operator="between">
      <formula>3.5</formula>
      <formula>6</formula>
    </cfRule>
    <cfRule type="cellIs" dxfId="6325" priority="8" operator="lessThan">
      <formula>3.5</formula>
    </cfRule>
    <cfRule type="cellIs" dxfId="6324" priority="9" operator="greaterThan">
      <formula>6</formula>
    </cfRule>
  </conditionalFormatting>
  <conditionalFormatting sqref="H9:H39">
    <cfRule type="cellIs" dxfId="6323" priority="4" operator="between">
      <formula>3.5</formula>
      <formula>6</formula>
    </cfRule>
    <cfRule type="cellIs" dxfId="6322" priority="5" operator="lessThan">
      <formula>3.5</formula>
    </cfRule>
    <cfRule type="cellIs" dxfId="6321" priority="6" operator="greaterThan">
      <formula>6</formula>
    </cfRule>
  </conditionalFormatting>
  <conditionalFormatting sqref="H9:H39">
    <cfRule type="cellIs" dxfId="6320" priority="1" operator="between">
      <formula>3.5</formula>
      <formula>6</formula>
    </cfRule>
    <cfRule type="cellIs" dxfId="6319" priority="2" operator="lessThan">
      <formula>3.5</formula>
    </cfRule>
    <cfRule type="cellIs" dxfId="631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51"/>
      <c r="K3" s="1351"/>
      <c r="L3" s="1351"/>
      <c r="N3" s="442"/>
      <c r="O3" s="442"/>
      <c r="P3" s="442"/>
    </row>
    <row r="4" spans="1:27" s="1356" customFormat="1" ht="12" customHeight="1">
      <c r="A4" s="1648" t="s">
        <v>33</v>
      </c>
      <c r="B4" s="1648"/>
      <c r="C4" s="551" t="str">
        <f>H4</f>
        <v xml:space="preserve">TRANG HOÀNG PHƯƠNG 30*60 nâu-HA </v>
      </c>
      <c r="E4" s="549" t="s">
        <v>228</v>
      </c>
      <c r="F4" s="549" t="s">
        <v>235</v>
      </c>
      <c r="G4" s="550" t="s">
        <v>114</v>
      </c>
      <c r="H4" s="551" t="s">
        <v>1156</v>
      </c>
      <c r="M4" s="143"/>
    </row>
    <row r="5" spans="1:27" s="135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56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53" t="s">
        <v>2</v>
      </c>
      <c r="B7" s="1355" t="s">
        <v>1</v>
      </c>
      <c r="C7" s="1355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52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21410</v>
      </c>
      <c r="E8" s="771">
        <f>E40</f>
        <v>36000</v>
      </c>
      <c r="F8" s="771"/>
      <c r="G8" s="774">
        <v>21410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54">
        <v>1</v>
      </c>
      <c r="B9" s="365">
        <f>'FRIT HGE91-FHG'!B9</f>
        <v>46235</v>
      </c>
      <c r="C9" s="331" t="s">
        <v>285</v>
      </c>
      <c r="D9" s="1451"/>
      <c r="E9" s="1451">
        <f>I9+J9+K9+L9</f>
        <v>2400</v>
      </c>
      <c r="F9" s="1451">
        <f>15700/1.44</f>
        <v>10902.777777777777</v>
      </c>
      <c r="G9" s="1451">
        <f t="shared" ref="G9:G39" si="0">G8+D9-E9</f>
        <v>19010</v>
      </c>
      <c r="H9" s="1452">
        <f>G9/10417</f>
        <v>1.8249016031486993</v>
      </c>
      <c r="I9" s="772">
        <v>2400</v>
      </c>
      <c r="J9" s="772"/>
      <c r="K9" s="772"/>
      <c r="L9" s="772"/>
      <c r="M9" s="650">
        <f>G9/$M$8</f>
        <v>1.7435888028763256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1451"/>
      <c r="E10" s="1451">
        <f t="shared" ref="E10:E39" si="1">I10+J10+K10+L10</f>
        <v>0</v>
      </c>
      <c r="F10" s="1451">
        <f>$F$9</f>
        <v>10902.777777777777</v>
      </c>
      <c r="G10" s="1451">
        <f t="shared" si="0"/>
        <v>19010</v>
      </c>
      <c r="H10" s="1452">
        <f t="shared" ref="H10:H39" si="2">G10/10417</f>
        <v>1.8249016031486993</v>
      </c>
      <c r="I10" s="772"/>
      <c r="J10" s="772"/>
      <c r="K10" s="772"/>
      <c r="L10" s="772"/>
      <c r="M10" s="650">
        <f t="shared" ref="M10:M39" si="3">G10/$M$8</f>
        <v>1.7435888028763256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1451"/>
      <c r="E11" s="1451">
        <f t="shared" si="1"/>
        <v>0</v>
      </c>
      <c r="F11" s="1451">
        <f>$F$9</f>
        <v>10902.777777777777</v>
      </c>
      <c r="G11" s="1451">
        <f t="shared" si="0"/>
        <v>19010</v>
      </c>
      <c r="H11" s="1452">
        <f t="shared" si="2"/>
        <v>1.8249016031486993</v>
      </c>
      <c r="I11" s="772"/>
      <c r="J11" s="772"/>
      <c r="K11" s="772"/>
      <c r="L11" s="772"/>
      <c r="M11" s="650">
        <f t="shared" si="3"/>
        <v>1.7435888028763256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1451"/>
      <c r="E12" s="1451">
        <f t="shared" si="1"/>
        <v>0</v>
      </c>
      <c r="F12" s="1451">
        <f t="shared" ref="F12:F38" si="4">$F$9</f>
        <v>10902.777777777777</v>
      </c>
      <c r="G12" s="1451">
        <f t="shared" si="0"/>
        <v>19010</v>
      </c>
      <c r="H12" s="1452">
        <f t="shared" si="2"/>
        <v>1.8249016031486993</v>
      </c>
      <c r="I12" s="772"/>
      <c r="J12" s="772"/>
      <c r="K12" s="772"/>
      <c r="L12" s="772"/>
      <c r="M12" s="650">
        <f t="shared" si="3"/>
        <v>1.7435888028763256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1451"/>
      <c r="E13" s="1451">
        <f t="shared" si="1"/>
        <v>4800</v>
      </c>
      <c r="F13" s="1451">
        <f t="shared" si="4"/>
        <v>10902.777777777777</v>
      </c>
      <c r="G13" s="1453">
        <f t="shared" si="0"/>
        <v>14210</v>
      </c>
      <c r="H13" s="1452">
        <f t="shared" si="2"/>
        <v>1.3641163482768552</v>
      </c>
      <c r="I13" s="772">
        <v>4800</v>
      </c>
      <c r="J13" s="772"/>
      <c r="K13" s="772"/>
      <c r="L13" s="772"/>
      <c r="M13" s="650">
        <f t="shared" si="3"/>
        <v>1.3033349231390103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1451">
        <v>10100</v>
      </c>
      <c r="E14" s="1451">
        <f t="shared" si="1"/>
        <v>0</v>
      </c>
      <c r="F14" s="1451">
        <f t="shared" si="4"/>
        <v>10902.777777777777</v>
      </c>
      <c r="G14" s="1451">
        <f t="shared" si="0"/>
        <v>24310</v>
      </c>
      <c r="H14" s="1452">
        <f t="shared" si="2"/>
        <v>2.3336853220696936</v>
      </c>
      <c r="I14" s="772"/>
      <c r="J14" s="772"/>
      <c r="K14" s="772"/>
      <c r="L14" s="772"/>
      <c r="M14" s="650">
        <f t="shared" si="3"/>
        <v>2.2297024617529444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1451"/>
      <c r="E15" s="1451">
        <f t="shared" si="1"/>
        <v>4800</v>
      </c>
      <c r="F15" s="1451">
        <f t="shared" si="4"/>
        <v>10902.777777777777</v>
      </c>
      <c r="G15" s="1451">
        <f t="shared" si="0"/>
        <v>19510</v>
      </c>
      <c r="H15" s="1452">
        <f t="shared" si="2"/>
        <v>1.8729000671978497</v>
      </c>
      <c r="I15" s="772">
        <v>4800</v>
      </c>
      <c r="J15" s="772"/>
      <c r="K15" s="772"/>
      <c r="L15" s="772"/>
      <c r="M15" s="650">
        <f t="shared" si="3"/>
        <v>1.7894485820156292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1451"/>
      <c r="E16" s="1451">
        <f t="shared" si="1"/>
        <v>7200</v>
      </c>
      <c r="F16" s="1451">
        <f t="shared" si="4"/>
        <v>10902.777777777777</v>
      </c>
      <c r="G16" s="1451">
        <f t="shared" si="0"/>
        <v>12310</v>
      </c>
      <c r="H16" s="1452">
        <f t="shared" si="2"/>
        <v>1.1817221848900836</v>
      </c>
      <c r="I16" s="772">
        <v>7200</v>
      </c>
      <c r="J16" s="772"/>
      <c r="K16" s="772"/>
      <c r="L16" s="772"/>
      <c r="M16" s="650">
        <f t="shared" si="3"/>
        <v>1.1290677624096563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1451"/>
      <c r="E17" s="1451">
        <f t="shared" si="1"/>
        <v>0</v>
      </c>
      <c r="F17" s="1451">
        <f t="shared" si="4"/>
        <v>10902.777777777777</v>
      </c>
      <c r="G17" s="1451">
        <f t="shared" si="0"/>
        <v>12310</v>
      </c>
      <c r="H17" s="1452">
        <f t="shared" si="2"/>
        <v>1.1817221848900836</v>
      </c>
      <c r="I17" s="772"/>
      <c r="J17" s="772"/>
      <c r="K17" s="772"/>
      <c r="L17" s="772"/>
      <c r="M17" s="650">
        <f t="shared" si="3"/>
        <v>1.1290677624096563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1451"/>
      <c r="E18" s="1451">
        <f t="shared" si="1"/>
        <v>2400</v>
      </c>
      <c r="F18" s="1451">
        <f t="shared" si="4"/>
        <v>10902.777777777777</v>
      </c>
      <c r="G18" s="1453">
        <f t="shared" si="0"/>
        <v>9910</v>
      </c>
      <c r="H18" s="1452">
        <f t="shared" si="2"/>
        <v>0.95132955745416148</v>
      </c>
      <c r="I18" s="772">
        <v>2400</v>
      </c>
      <c r="J18" s="772"/>
      <c r="K18" s="772"/>
      <c r="L18" s="772"/>
      <c r="M18" s="650">
        <f t="shared" si="3"/>
        <v>0.90894082254099873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1451"/>
      <c r="E19" s="1451">
        <f t="shared" si="1"/>
        <v>0</v>
      </c>
      <c r="F19" s="1451">
        <f t="shared" si="4"/>
        <v>10902.777777777777</v>
      </c>
      <c r="G19" s="1451">
        <f t="shared" si="0"/>
        <v>9910</v>
      </c>
      <c r="H19" s="1452">
        <f t="shared" si="2"/>
        <v>0.95132955745416148</v>
      </c>
      <c r="I19" s="772"/>
      <c r="J19" s="772"/>
      <c r="K19" s="772"/>
      <c r="L19" s="772"/>
      <c r="M19" s="650">
        <f t="shared" si="3"/>
        <v>0.90894082254099873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1451">
        <v>10850</v>
      </c>
      <c r="E20" s="1451">
        <f t="shared" si="1"/>
        <v>0</v>
      </c>
      <c r="F20" s="1451">
        <f t="shared" si="4"/>
        <v>10902.777777777777</v>
      </c>
      <c r="G20" s="1451">
        <f t="shared" si="0"/>
        <v>20760</v>
      </c>
      <c r="H20" s="1452">
        <f t="shared" si="2"/>
        <v>1.9928962273207258</v>
      </c>
      <c r="I20" s="772"/>
      <c r="J20" s="772"/>
      <c r="K20" s="772"/>
      <c r="L20" s="772"/>
      <c r="M20" s="650">
        <f t="shared" si="3"/>
        <v>1.9040980298638883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1451"/>
      <c r="E21" s="1451">
        <f t="shared" si="1"/>
        <v>2400</v>
      </c>
      <c r="F21" s="1451">
        <f t="shared" si="4"/>
        <v>10902.777777777777</v>
      </c>
      <c r="G21" s="1451">
        <f t="shared" si="0"/>
        <v>18360</v>
      </c>
      <c r="H21" s="1452">
        <f t="shared" si="2"/>
        <v>1.7625035998848038</v>
      </c>
      <c r="I21" s="772">
        <v>2400</v>
      </c>
      <c r="J21" s="772"/>
      <c r="K21" s="772"/>
      <c r="L21" s="772"/>
      <c r="M21" s="650">
        <f t="shared" si="3"/>
        <v>1.6839710899952307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1451">
        <v>10020</v>
      </c>
      <c r="E22" s="1451">
        <f t="shared" si="1"/>
        <v>4800</v>
      </c>
      <c r="F22" s="1451">
        <f t="shared" si="4"/>
        <v>10902.777777777777</v>
      </c>
      <c r="G22" s="1451">
        <f t="shared" si="0"/>
        <v>23580</v>
      </c>
      <c r="H22" s="1452">
        <f t="shared" si="2"/>
        <v>2.2636075645579341</v>
      </c>
      <c r="I22" s="772">
        <v>4800</v>
      </c>
      <c r="J22" s="772"/>
      <c r="K22" s="772"/>
      <c r="L22" s="772"/>
      <c r="M22" s="650">
        <f t="shared" si="3"/>
        <v>2.1627471842095609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1451">
        <v>10060</v>
      </c>
      <c r="E23" s="1451">
        <f t="shared" si="1"/>
        <v>4800</v>
      </c>
      <c r="F23" s="1451">
        <f t="shared" si="4"/>
        <v>10902.777777777777</v>
      </c>
      <c r="G23" s="1453">
        <f t="shared" si="0"/>
        <v>28840</v>
      </c>
      <c r="H23" s="1452">
        <f t="shared" si="2"/>
        <v>2.7685514063549967</v>
      </c>
      <c r="I23" s="772">
        <v>4800</v>
      </c>
      <c r="J23" s="772"/>
      <c r="K23" s="772"/>
      <c r="L23" s="772"/>
      <c r="M23" s="650">
        <f t="shared" si="3"/>
        <v>2.6451920607550354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1451"/>
      <c r="E24" s="1451">
        <f t="shared" si="1"/>
        <v>0</v>
      </c>
      <c r="F24" s="1451">
        <f t="shared" si="4"/>
        <v>10902.777777777777</v>
      </c>
      <c r="G24" s="1451">
        <f t="shared" si="0"/>
        <v>28840</v>
      </c>
      <c r="H24" s="1452">
        <f t="shared" si="2"/>
        <v>2.7685514063549967</v>
      </c>
      <c r="I24" s="772"/>
      <c r="J24" s="772"/>
      <c r="K24" s="772"/>
      <c r="L24" s="772"/>
      <c r="M24" s="650">
        <f t="shared" si="3"/>
        <v>2.6451920607550354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1451"/>
      <c r="E25" s="1451">
        <f t="shared" si="1"/>
        <v>0</v>
      </c>
      <c r="F25" s="1451">
        <f t="shared" si="4"/>
        <v>10902.777777777777</v>
      </c>
      <c r="G25" s="1451">
        <f t="shared" si="0"/>
        <v>28840</v>
      </c>
      <c r="H25" s="1452">
        <f t="shared" si="2"/>
        <v>2.7685514063549967</v>
      </c>
      <c r="I25" s="772"/>
      <c r="J25" s="772"/>
      <c r="K25" s="772"/>
      <c r="L25" s="772"/>
      <c r="M25" s="650">
        <f t="shared" si="3"/>
        <v>2.6451920607550354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1451"/>
      <c r="E26" s="1451">
        <f t="shared" si="1"/>
        <v>2400</v>
      </c>
      <c r="F26" s="1451">
        <f t="shared" si="4"/>
        <v>10902.777777777777</v>
      </c>
      <c r="G26" s="1451">
        <f t="shared" si="0"/>
        <v>26440</v>
      </c>
      <c r="H26" s="1452">
        <f t="shared" si="2"/>
        <v>2.5381587789190747</v>
      </c>
      <c r="I26" s="772">
        <v>2400</v>
      </c>
      <c r="J26" s="772"/>
      <c r="K26" s="772"/>
      <c r="L26" s="772"/>
      <c r="M26" s="650">
        <f t="shared" si="3"/>
        <v>2.4250651208863778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1451"/>
      <c r="E27" s="1451">
        <f t="shared" si="1"/>
        <v>0</v>
      </c>
      <c r="F27" s="1451">
        <f t="shared" si="4"/>
        <v>10902.777777777777</v>
      </c>
      <c r="G27" s="1451">
        <f t="shared" si="0"/>
        <v>26440</v>
      </c>
      <c r="H27" s="1452">
        <f t="shared" si="2"/>
        <v>2.5381587789190747</v>
      </c>
      <c r="I27" s="772"/>
      <c r="J27" s="772"/>
      <c r="K27" s="772"/>
      <c r="L27" s="772"/>
      <c r="M27" s="650">
        <f t="shared" si="3"/>
        <v>2.4250651208863778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1451"/>
      <c r="E28" s="1451">
        <f t="shared" si="1"/>
        <v>0</v>
      </c>
      <c r="F28" s="1451">
        <f t="shared" si="4"/>
        <v>10902.777777777777</v>
      </c>
      <c r="G28" s="1453">
        <f t="shared" si="0"/>
        <v>26440</v>
      </c>
      <c r="H28" s="1452">
        <f t="shared" si="2"/>
        <v>2.5381587789190747</v>
      </c>
      <c r="I28" s="772"/>
      <c r="J28" s="772"/>
      <c r="K28" s="772"/>
      <c r="L28" s="772"/>
      <c r="M28" s="650">
        <f t="shared" si="3"/>
        <v>2.4250651208863778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1451"/>
      <c r="E29" s="1451">
        <f t="shared" si="1"/>
        <v>0</v>
      </c>
      <c r="F29" s="1451">
        <f t="shared" si="4"/>
        <v>10902.777777777777</v>
      </c>
      <c r="G29" s="1454">
        <f t="shared" si="0"/>
        <v>26440</v>
      </c>
      <c r="H29" s="1452">
        <f t="shared" si="2"/>
        <v>2.5381587789190747</v>
      </c>
      <c r="I29" s="772"/>
      <c r="J29" s="772"/>
      <c r="K29" s="772"/>
      <c r="L29" s="772"/>
      <c r="M29" s="650">
        <f t="shared" si="3"/>
        <v>2.4250651208863778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1451"/>
      <c r="E30" s="1451">
        <f t="shared" si="1"/>
        <v>0</v>
      </c>
      <c r="F30" s="1451">
        <f t="shared" si="4"/>
        <v>10902.777777777777</v>
      </c>
      <c r="G30" s="1454">
        <f t="shared" si="0"/>
        <v>26440</v>
      </c>
      <c r="H30" s="1452">
        <f t="shared" si="2"/>
        <v>2.5381587789190747</v>
      </c>
      <c r="I30" s="772"/>
      <c r="J30" s="772"/>
      <c r="K30" s="772"/>
      <c r="L30" s="772"/>
      <c r="M30" s="650">
        <f t="shared" si="3"/>
        <v>2.4250651208863778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1451"/>
      <c r="E31" s="1451">
        <f t="shared" si="1"/>
        <v>0</v>
      </c>
      <c r="F31" s="1451">
        <f t="shared" si="4"/>
        <v>10902.777777777777</v>
      </c>
      <c r="G31" s="1454">
        <f t="shared" si="0"/>
        <v>26440</v>
      </c>
      <c r="H31" s="1452">
        <f t="shared" si="2"/>
        <v>2.5381587789190747</v>
      </c>
      <c r="I31" s="772"/>
      <c r="J31" s="772"/>
      <c r="K31" s="772"/>
      <c r="L31" s="772"/>
      <c r="M31" s="650">
        <f t="shared" si="3"/>
        <v>2.4250651208863778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1451"/>
      <c r="E32" s="1451">
        <f t="shared" si="1"/>
        <v>0</v>
      </c>
      <c r="F32" s="1451">
        <f t="shared" si="4"/>
        <v>10902.777777777777</v>
      </c>
      <c r="G32" s="1454">
        <f t="shared" si="0"/>
        <v>26440</v>
      </c>
      <c r="H32" s="1452">
        <f t="shared" si="2"/>
        <v>2.5381587789190747</v>
      </c>
      <c r="I32" s="772"/>
      <c r="J32" s="772"/>
      <c r="K32" s="772"/>
      <c r="L32" s="772"/>
      <c r="M32" s="650">
        <f t="shared" si="3"/>
        <v>2.4250651208863778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1451"/>
      <c r="E33" s="1451">
        <f t="shared" si="1"/>
        <v>0</v>
      </c>
      <c r="F33" s="1451">
        <f t="shared" si="4"/>
        <v>10902.777777777777</v>
      </c>
      <c r="G33" s="1455">
        <f t="shared" si="0"/>
        <v>26440</v>
      </c>
      <c r="H33" s="1452">
        <f t="shared" si="2"/>
        <v>2.5381587789190747</v>
      </c>
      <c r="I33" s="772"/>
      <c r="J33" s="772"/>
      <c r="K33" s="772"/>
      <c r="L33" s="772"/>
      <c r="M33" s="650">
        <f t="shared" si="3"/>
        <v>2.4250651208863778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1451"/>
      <c r="E34" s="1451">
        <f t="shared" si="1"/>
        <v>0</v>
      </c>
      <c r="F34" s="1451">
        <f t="shared" si="4"/>
        <v>10902.777777777777</v>
      </c>
      <c r="G34" s="1451">
        <f t="shared" si="0"/>
        <v>26440</v>
      </c>
      <c r="H34" s="1452">
        <f t="shared" si="2"/>
        <v>2.5381587789190747</v>
      </c>
      <c r="I34" s="772"/>
      <c r="J34" s="772"/>
      <c r="K34" s="772"/>
      <c r="L34" s="772"/>
      <c r="M34" s="650">
        <f t="shared" si="3"/>
        <v>2.4250651208863778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1451"/>
      <c r="E35" s="1451">
        <f t="shared" si="1"/>
        <v>0</v>
      </c>
      <c r="F35" s="1451">
        <f t="shared" si="4"/>
        <v>10902.777777777777</v>
      </c>
      <c r="G35" s="1451">
        <f t="shared" si="0"/>
        <v>26440</v>
      </c>
      <c r="H35" s="1452">
        <f t="shared" si="2"/>
        <v>2.5381587789190747</v>
      </c>
      <c r="I35" s="772"/>
      <c r="J35" s="772"/>
      <c r="K35" s="772"/>
      <c r="L35" s="772"/>
      <c r="M35" s="650">
        <f t="shared" si="3"/>
        <v>2.4250651208863778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1451"/>
      <c r="E36" s="1451">
        <f t="shared" si="1"/>
        <v>0</v>
      </c>
      <c r="F36" s="1451">
        <f t="shared" si="4"/>
        <v>10902.777777777777</v>
      </c>
      <c r="G36" s="1451">
        <f t="shared" si="0"/>
        <v>26440</v>
      </c>
      <c r="H36" s="1452">
        <f t="shared" si="2"/>
        <v>2.5381587789190747</v>
      </c>
      <c r="I36" s="772"/>
      <c r="J36" s="772"/>
      <c r="K36" s="772"/>
      <c r="L36" s="772"/>
      <c r="M36" s="650">
        <f t="shared" si="3"/>
        <v>2.4250651208863778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51"/>
      <c r="E37" s="1451">
        <f t="shared" si="1"/>
        <v>0</v>
      </c>
      <c r="F37" s="1451">
        <f t="shared" si="4"/>
        <v>10902.777777777777</v>
      </c>
      <c r="G37" s="1451">
        <f t="shared" si="0"/>
        <v>26440</v>
      </c>
      <c r="H37" s="1452">
        <f t="shared" si="2"/>
        <v>2.5381587789190747</v>
      </c>
      <c r="I37" s="772"/>
      <c r="J37" s="772"/>
      <c r="K37" s="772"/>
      <c r="L37" s="772"/>
      <c r="M37" s="650">
        <f t="shared" si="3"/>
        <v>2.4250651208863778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1"/>
      <c r="E38" s="1451">
        <f t="shared" si="1"/>
        <v>0</v>
      </c>
      <c r="F38" s="1451">
        <f t="shared" si="4"/>
        <v>10902.777777777777</v>
      </c>
      <c r="G38" s="1453">
        <f>G37+D38-E38</f>
        <v>26440</v>
      </c>
      <c r="H38" s="1452">
        <f t="shared" si="2"/>
        <v>2.5381587789190747</v>
      </c>
      <c r="I38" s="772"/>
      <c r="J38" s="772"/>
      <c r="K38" s="772"/>
      <c r="L38" s="772"/>
      <c r="M38" s="650">
        <f t="shared" si="3"/>
        <v>2.4250651208863778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56"/>
      <c r="E39" s="1451">
        <f t="shared" si="1"/>
        <v>0</v>
      </c>
      <c r="F39" s="1451">
        <f>SUM($E$8:E39)/A39</f>
        <v>2322.5806451612902</v>
      </c>
      <c r="G39" s="1451">
        <f t="shared" si="0"/>
        <v>26440</v>
      </c>
      <c r="H39" s="1452">
        <f t="shared" si="2"/>
        <v>2.5381587789190747</v>
      </c>
      <c r="I39" s="772"/>
      <c r="J39" s="772"/>
      <c r="K39" s="772"/>
      <c r="L39" s="772"/>
      <c r="M39" s="650">
        <f t="shared" si="3"/>
        <v>2.4250651208863778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41030</v>
      </c>
      <c r="E40" s="389">
        <f>SUM(E9:E39)</f>
        <v>36000</v>
      </c>
      <c r="F40" s="449"/>
      <c r="G40" s="389">
        <f>G39</f>
        <v>26440</v>
      </c>
      <c r="H40" s="309"/>
      <c r="I40" s="689">
        <f>SUM(I9:I39)</f>
        <v>36000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62440</v>
      </c>
      <c r="E41" s="389">
        <f>E40</f>
        <v>36000</v>
      </c>
      <c r="F41" s="449"/>
      <c r="G41" s="389">
        <f>D41-E41</f>
        <v>26440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36000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317" priority="34" operator="between">
      <formula>3.5</formula>
      <formula>6</formula>
    </cfRule>
    <cfRule type="cellIs" dxfId="6316" priority="35" operator="lessThan">
      <formula>3.5</formula>
    </cfRule>
    <cfRule type="cellIs" dxfId="6315" priority="36" operator="greaterThan">
      <formula>6</formula>
    </cfRule>
  </conditionalFormatting>
  <conditionalFormatting sqref="H9:H12 H24:H37 H14:H17 H19:H22 H39">
    <cfRule type="cellIs" dxfId="6314" priority="31" operator="between">
      <formula>3.5</formula>
      <formula>6</formula>
    </cfRule>
    <cfRule type="cellIs" dxfId="6313" priority="32" operator="lessThan">
      <formula>3.5</formula>
    </cfRule>
    <cfRule type="cellIs" dxfId="6312" priority="33" operator="greaterThan">
      <formula>6</formula>
    </cfRule>
  </conditionalFormatting>
  <conditionalFormatting sqref="H23">
    <cfRule type="cellIs" dxfId="6311" priority="28" operator="between">
      <formula>3.5</formula>
      <formula>6</formula>
    </cfRule>
    <cfRule type="cellIs" dxfId="6310" priority="29" operator="lessThan">
      <formula>3.5</formula>
    </cfRule>
    <cfRule type="cellIs" dxfId="6309" priority="30" operator="greaterThan">
      <formula>6</formula>
    </cfRule>
  </conditionalFormatting>
  <conditionalFormatting sqref="H13">
    <cfRule type="cellIs" dxfId="6308" priority="25" operator="between">
      <formula>3.5</formula>
      <formula>6</formula>
    </cfRule>
    <cfRule type="cellIs" dxfId="6307" priority="26" operator="lessThan">
      <formula>3.5</formula>
    </cfRule>
    <cfRule type="cellIs" dxfId="6306" priority="27" operator="greaterThan">
      <formula>6</formula>
    </cfRule>
  </conditionalFormatting>
  <conditionalFormatting sqref="H18">
    <cfRule type="cellIs" dxfId="6305" priority="22" operator="between">
      <formula>3.5</formula>
      <formula>6</formula>
    </cfRule>
    <cfRule type="cellIs" dxfId="6304" priority="23" operator="lessThan">
      <formula>3.5</formula>
    </cfRule>
    <cfRule type="cellIs" dxfId="6303" priority="24" operator="greaterThan">
      <formula>6</formula>
    </cfRule>
  </conditionalFormatting>
  <conditionalFormatting sqref="H9:H39">
    <cfRule type="cellIs" dxfId="6302" priority="19" operator="between">
      <formula>3.5</formula>
      <formula>6</formula>
    </cfRule>
    <cfRule type="cellIs" dxfId="6301" priority="20" operator="lessThan">
      <formula>3.5</formula>
    </cfRule>
    <cfRule type="cellIs" dxfId="6300" priority="21" operator="greaterThan">
      <formula>6</formula>
    </cfRule>
  </conditionalFormatting>
  <conditionalFormatting sqref="H9:H39">
    <cfRule type="cellIs" dxfId="6299" priority="16" operator="between">
      <formula>3.5</formula>
      <formula>6</formula>
    </cfRule>
    <cfRule type="cellIs" dxfId="6298" priority="17" operator="lessThan">
      <formula>3.5</formula>
    </cfRule>
    <cfRule type="cellIs" dxfId="6297" priority="18" operator="greaterThan">
      <formula>6</formula>
    </cfRule>
  </conditionalFormatting>
  <conditionalFormatting sqref="H9:H39">
    <cfRule type="cellIs" dxfId="6296" priority="13" operator="between">
      <formula>3.5</formula>
      <formula>6</formula>
    </cfRule>
    <cfRule type="cellIs" dxfId="6295" priority="14" operator="lessThan">
      <formula>3.5</formula>
    </cfRule>
    <cfRule type="cellIs" dxfId="6294" priority="15" operator="greaterThan">
      <formula>6</formula>
    </cfRule>
  </conditionalFormatting>
  <conditionalFormatting sqref="H9:H39">
    <cfRule type="cellIs" dxfId="6293" priority="10" operator="between">
      <formula>3.5</formula>
      <formula>6</formula>
    </cfRule>
    <cfRule type="cellIs" dxfId="6292" priority="11" operator="lessThan">
      <formula>3.5</formula>
    </cfRule>
    <cfRule type="cellIs" dxfId="6291" priority="12" operator="greaterThan">
      <formula>6</formula>
    </cfRule>
  </conditionalFormatting>
  <conditionalFormatting sqref="H9:H39">
    <cfRule type="cellIs" dxfId="6290" priority="7" operator="between">
      <formula>3.5</formula>
      <formula>6</formula>
    </cfRule>
    <cfRule type="cellIs" dxfId="6289" priority="8" operator="lessThan">
      <formula>3.5</formula>
    </cfRule>
    <cfRule type="cellIs" dxfId="6288" priority="9" operator="greaterThan">
      <formula>6</formula>
    </cfRule>
  </conditionalFormatting>
  <conditionalFormatting sqref="H9:H39">
    <cfRule type="cellIs" dxfId="6287" priority="4" operator="between">
      <formula>3.5</formula>
      <formula>6</formula>
    </cfRule>
    <cfRule type="cellIs" dxfId="6286" priority="5" operator="lessThan">
      <formula>3.5</formula>
    </cfRule>
    <cfRule type="cellIs" dxfId="6285" priority="6" operator="greaterThan">
      <formula>6</formula>
    </cfRule>
  </conditionalFormatting>
  <conditionalFormatting sqref="H9:H39">
    <cfRule type="cellIs" dxfId="6284" priority="1" operator="between">
      <formula>3.5</formula>
      <formula>6</formula>
    </cfRule>
    <cfRule type="cellIs" dxfId="6283" priority="2" operator="lessThan">
      <formula>3.5</formula>
    </cfRule>
    <cfRule type="cellIs" dxfId="628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486"/>
      <c r="K3" s="1486"/>
      <c r="L3" s="1486"/>
      <c r="N3" s="442"/>
      <c r="O3" s="442"/>
      <c r="P3" s="442"/>
    </row>
    <row r="4" spans="1:27" s="1491" customFormat="1" ht="12" customHeight="1">
      <c r="A4" s="1648" t="s">
        <v>33</v>
      </c>
      <c r="B4" s="1648"/>
      <c r="C4" s="551" t="str">
        <f>H4</f>
        <v xml:space="preserve">TRANG HOÀNG PHƯƠNG 50*50 nâu-HA </v>
      </c>
      <c r="E4" s="549" t="s">
        <v>228</v>
      </c>
      <c r="F4" s="549" t="s">
        <v>235</v>
      </c>
      <c r="G4" s="550" t="s">
        <v>114</v>
      </c>
      <c r="H4" s="551" t="s">
        <v>1249</v>
      </c>
      <c r="M4" s="143"/>
    </row>
    <row r="5" spans="1:27" s="1491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491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488" t="s">
        <v>2</v>
      </c>
      <c r="B7" s="1490" t="s">
        <v>1</v>
      </c>
      <c r="C7" s="1490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487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3700</v>
      </c>
      <c r="E8" s="771">
        <f>E40</f>
        <v>0</v>
      </c>
      <c r="F8" s="771"/>
      <c r="G8" s="774">
        <v>3700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489">
        <v>1</v>
      </c>
      <c r="B9" s="365">
        <f>'FRIT HGE91-FHG'!B9</f>
        <v>46235</v>
      </c>
      <c r="C9" s="331" t="s">
        <v>285</v>
      </c>
      <c r="D9" s="1451"/>
      <c r="E9" s="1451">
        <f>I9+J9+K9+L9</f>
        <v>0</v>
      </c>
      <c r="F9" s="1451">
        <f>15700/1.44</f>
        <v>10902.777777777777</v>
      </c>
      <c r="G9" s="1451">
        <f t="shared" ref="G9:G39" si="0">G8+D9-E9</f>
        <v>3700</v>
      </c>
      <c r="H9" s="1452">
        <f>G9/10417</f>
        <v>0.35518863396371314</v>
      </c>
      <c r="I9" s="772"/>
      <c r="J9" s="772"/>
      <c r="K9" s="772"/>
      <c r="L9" s="772"/>
      <c r="M9" s="650">
        <f>G9/$M$8</f>
        <v>0.33936236563084715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1451"/>
      <c r="E10" s="1451">
        <f t="shared" ref="E10:E39" si="1">I10+J10+K10+L10</f>
        <v>0</v>
      </c>
      <c r="F10" s="1451">
        <f>$F$9</f>
        <v>10902.777777777777</v>
      </c>
      <c r="G10" s="1451">
        <f t="shared" si="0"/>
        <v>3700</v>
      </c>
      <c r="H10" s="1452">
        <f t="shared" ref="H10:H39" si="2">G10/10417</f>
        <v>0.35518863396371314</v>
      </c>
      <c r="I10" s="772"/>
      <c r="J10" s="772"/>
      <c r="K10" s="772"/>
      <c r="L10" s="772"/>
      <c r="M10" s="650">
        <f t="shared" ref="M10:M39" si="3">G10/$M$8</f>
        <v>0.33936236563084715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1451"/>
      <c r="E11" s="1451">
        <f t="shared" si="1"/>
        <v>0</v>
      </c>
      <c r="F11" s="1451">
        <f>$F$9</f>
        <v>10902.777777777777</v>
      </c>
      <c r="G11" s="1451">
        <f t="shared" si="0"/>
        <v>3700</v>
      </c>
      <c r="H11" s="1452">
        <f t="shared" si="2"/>
        <v>0.35518863396371314</v>
      </c>
      <c r="I11" s="772"/>
      <c r="J11" s="772"/>
      <c r="K11" s="772"/>
      <c r="L11" s="772"/>
      <c r="M11" s="650">
        <f t="shared" si="3"/>
        <v>0.33936236563084715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1451"/>
      <c r="E12" s="1451">
        <f t="shared" si="1"/>
        <v>0</v>
      </c>
      <c r="F12" s="1451">
        <f t="shared" ref="F12:F38" si="4">$F$9</f>
        <v>10902.777777777777</v>
      </c>
      <c r="G12" s="1451">
        <f t="shared" si="0"/>
        <v>3700</v>
      </c>
      <c r="H12" s="1452">
        <f t="shared" si="2"/>
        <v>0.35518863396371314</v>
      </c>
      <c r="I12" s="772"/>
      <c r="J12" s="772"/>
      <c r="K12" s="772"/>
      <c r="L12" s="772"/>
      <c r="M12" s="650">
        <f t="shared" si="3"/>
        <v>0.33936236563084715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1451"/>
      <c r="E13" s="1451">
        <f t="shared" si="1"/>
        <v>0</v>
      </c>
      <c r="F13" s="1451">
        <f t="shared" si="4"/>
        <v>10902.777777777777</v>
      </c>
      <c r="G13" s="1453">
        <f t="shared" si="0"/>
        <v>3700</v>
      </c>
      <c r="H13" s="1452">
        <f t="shared" si="2"/>
        <v>0.35518863396371314</v>
      </c>
      <c r="I13" s="772"/>
      <c r="J13" s="772"/>
      <c r="K13" s="772"/>
      <c r="L13" s="772"/>
      <c r="M13" s="650">
        <f t="shared" si="3"/>
        <v>0.33936236563084715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1451"/>
      <c r="E14" s="1451">
        <f t="shared" si="1"/>
        <v>0</v>
      </c>
      <c r="F14" s="1451">
        <f t="shared" si="4"/>
        <v>10902.777777777777</v>
      </c>
      <c r="G14" s="1451">
        <f t="shared" si="0"/>
        <v>3700</v>
      </c>
      <c r="H14" s="1452">
        <f t="shared" si="2"/>
        <v>0.35518863396371314</v>
      </c>
      <c r="I14" s="772"/>
      <c r="J14" s="772"/>
      <c r="K14" s="772"/>
      <c r="L14" s="772"/>
      <c r="M14" s="650">
        <f t="shared" si="3"/>
        <v>0.33936236563084715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1451"/>
      <c r="E15" s="1451">
        <f t="shared" si="1"/>
        <v>0</v>
      </c>
      <c r="F15" s="1451">
        <f t="shared" si="4"/>
        <v>10902.777777777777</v>
      </c>
      <c r="G15" s="1451">
        <f t="shared" si="0"/>
        <v>3700</v>
      </c>
      <c r="H15" s="1452">
        <f t="shared" si="2"/>
        <v>0.35518863396371314</v>
      </c>
      <c r="I15" s="772"/>
      <c r="J15" s="772"/>
      <c r="K15" s="772"/>
      <c r="L15" s="772"/>
      <c r="M15" s="650">
        <f t="shared" si="3"/>
        <v>0.33936236563084715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1451"/>
      <c r="E16" s="1451">
        <f t="shared" si="1"/>
        <v>0</v>
      </c>
      <c r="F16" s="1451">
        <f t="shared" si="4"/>
        <v>10902.777777777777</v>
      </c>
      <c r="G16" s="1451">
        <f t="shared" si="0"/>
        <v>3700</v>
      </c>
      <c r="H16" s="1452">
        <f t="shared" si="2"/>
        <v>0.35518863396371314</v>
      </c>
      <c r="I16" s="772"/>
      <c r="J16" s="772"/>
      <c r="K16" s="772"/>
      <c r="L16" s="772"/>
      <c r="M16" s="650">
        <f t="shared" si="3"/>
        <v>0.33936236563084715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1451"/>
      <c r="E17" s="1451">
        <f t="shared" si="1"/>
        <v>0</v>
      </c>
      <c r="F17" s="1451">
        <f t="shared" si="4"/>
        <v>10902.777777777777</v>
      </c>
      <c r="G17" s="1451">
        <f t="shared" si="0"/>
        <v>3700</v>
      </c>
      <c r="H17" s="1452">
        <f t="shared" si="2"/>
        <v>0.35518863396371314</v>
      </c>
      <c r="I17" s="772"/>
      <c r="J17" s="772"/>
      <c r="K17" s="772"/>
      <c r="L17" s="772"/>
      <c r="M17" s="650">
        <f t="shared" si="3"/>
        <v>0.33936236563084715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1451"/>
      <c r="E18" s="1451">
        <f t="shared" si="1"/>
        <v>0</v>
      </c>
      <c r="F18" s="1451">
        <f t="shared" si="4"/>
        <v>10902.777777777777</v>
      </c>
      <c r="G18" s="1453">
        <f t="shared" si="0"/>
        <v>3700</v>
      </c>
      <c r="H18" s="1452">
        <f t="shared" si="2"/>
        <v>0.35518863396371314</v>
      </c>
      <c r="I18" s="772"/>
      <c r="J18" s="772"/>
      <c r="K18" s="772"/>
      <c r="L18" s="772"/>
      <c r="M18" s="650">
        <f t="shared" si="3"/>
        <v>0.33936236563084715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1451"/>
      <c r="E19" s="1451">
        <f t="shared" si="1"/>
        <v>0</v>
      </c>
      <c r="F19" s="1451">
        <f t="shared" si="4"/>
        <v>10902.777777777777</v>
      </c>
      <c r="G19" s="1451">
        <f t="shared" si="0"/>
        <v>3700</v>
      </c>
      <c r="H19" s="1452">
        <f t="shared" si="2"/>
        <v>0.35518863396371314</v>
      </c>
      <c r="I19" s="772"/>
      <c r="J19" s="772"/>
      <c r="K19" s="772"/>
      <c r="L19" s="772"/>
      <c r="M19" s="650">
        <f t="shared" si="3"/>
        <v>0.33936236563084715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1451"/>
      <c r="E20" s="1451">
        <f t="shared" si="1"/>
        <v>0</v>
      </c>
      <c r="F20" s="1451">
        <f t="shared" si="4"/>
        <v>10902.777777777777</v>
      </c>
      <c r="G20" s="1451">
        <f t="shared" si="0"/>
        <v>3700</v>
      </c>
      <c r="H20" s="1452">
        <f t="shared" si="2"/>
        <v>0.35518863396371314</v>
      </c>
      <c r="I20" s="772"/>
      <c r="J20" s="772"/>
      <c r="K20" s="772"/>
      <c r="L20" s="772"/>
      <c r="M20" s="650">
        <f t="shared" si="3"/>
        <v>0.33936236563084715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1451"/>
      <c r="E21" s="1451">
        <f t="shared" si="1"/>
        <v>0</v>
      </c>
      <c r="F21" s="1451">
        <f t="shared" si="4"/>
        <v>10902.777777777777</v>
      </c>
      <c r="G21" s="1451">
        <f t="shared" si="0"/>
        <v>3700</v>
      </c>
      <c r="H21" s="1452">
        <f t="shared" si="2"/>
        <v>0.35518863396371314</v>
      </c>
      <c r="I21" s="772"/>
      <c r="J21" s="772"/>
      <c r="K21" s="772"/>
      <c r="L21" s="772"/>
      <c r="M21" s="650">
        <f t="shared" si="3"/>
        <v>0.33936236563084715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1451"/>
      <c r="E22" s="1451">
        <f t="shared" si="1"/>
        <v>0</v>
      </c>
      <c r="F22" s="1451">
        <f t="shared" si="4"/>
        <v>10902.777777777777</v>
      </c>
      <c r="G22" s="1451">
        <f t="shared" si="0"/>
        <v>3700</v>
      </c>
      <c r="H22" s="1452">
        <f t="shared" si="2"/>
        <v>0.35518863396371314</v>
      </c>
      <c r="I22" s="772"/>
      <c r="J22" s="772"/>
      <c r="K22" s="772"/>
      <c r="L22" s="772"/>
      <c r="M22" s="650">
        <f t="shared" si="3"/>
        <v>0.33936236563084715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1451"/>
      <c r="E23" s="1451">
        <f t="shared" si="1"/>
        <v>0</v>
      </c>
      <c r="F23" s="1451">
        <f t="shared" si="4"/>
        <v>10902.777777777777</v>
      </c>
      <c r="G23" s="1453">
        <f t="shared" si="0"/>
        <v>3700</v>
      </c>
      <c r="H23" s="1452">
        <f t="shared" si="2"/>
        <v>0.35518863396371314</v>
      </c>
      <c r="I23" s="772"/>
      <c r="J23" s="772"/>
      <c r="K23" s="772"/>
      <c r="L23" s="772"/>
      <c r="M23" s="650">
        <f t="shared" si="3"/>
        <v>0.33936236563084715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1451"/>
      <c r="E24" s="1451">
        <f t="shared" si="1"/>
        <v>0</v>
      </c>
      <c r="F24" s="1451">
        <f t="shared" si="4"/>
        <v>10902.777777777777</v>
      </c>
      <c r="G24" s="1451">
        <f t="shared" si="0"/>
        <v>3700</v>
      </c>
      <c r="H24" s="1452">
        <f t="shared" si="2"/>
        <v>0.35518863396371314</v>
      </c>
      <c r="I24" s="772"/>
      <c r="J24" s="772"/>
      <c r="K24" s="772"/>
      <c r="L24" s="772"/>
      <c r="M24" s="650">
        <f t="shared" si="3"/>
        <v>0.33936236563084715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1451"/>
      <c r="E25" s="1451">
        <f t="shared" si="1"/>
        <v>0</v>
      </c>
      <c r="F25" s="1451">
        <f t="shared" si="4"/>
        <v>10902.777777777777</v>
      </c>
      <c r="G25" s="1451">
        <f t="shared" si="0"/>
        <v>3700</v>
      </c>
      <c r="H25" s="1452">
        <f t="shared" si="2"/>
        <v>0.35518863396371314</v>
      </c>
      <c r="I25" s="772"/>
      <c r="J25" s="772"/>
      <c r="K25" s="772"/>
      <c r="L25" s="772"/>
      <c r="M25" s="650">
        <f t="shared" si="3"/>
        <v>0.33936236563084715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1451"/>
      <c r="E26" s="1451">
        <f t="shared" si="1"/>
        <v>0</v>
      </c>
      <c r="F26" s="1451">
        <f t="shared" si="4"/>
        <v>10902.777777777777</v>
      </c>
      <c r="G26" s="1451">
        <f t="shared" si="0"/>
        <v>3700</v>
      </c>
      <c r="H26" s="1452">
        <f t="shared" si="2"/>
        <v>0.35518863396371314</v>
      </c>
      <c r="I26" s="772"/>
      <c r="J26" s="772"/>
      <c r="K26" s="772"/>
      <c r="L26" s="772"/>
      <c r="M26" s="650">
        <f t="shared" si="3"/>
        <v>0.33936236563084715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1451"/>
      <c r="E27" s="1451">
        <f t="shared" si="1"/>
        <v>0</v>
      </c>
      <c r="F27" s="1451">
        <f t="shared" si="4"/>
        <v>10902.777777777777</v>
      </c>
      <c r="G27" s="1451">
        <f t="shared" si="0"/>
        <v>3700</v>
      </c>
      <c r="H27" s="1452">
        <f t="shared" si="2"/>
        <v>0.35518863396371314</v>
      </c>
      <c r="I27" s="772"/>
      <c r="J27" s="772"/>
      <c r="K27" s="772"/>
      <c r="L27" s="772"/>
      <c r="M27" s="650">
        <f t="shared" si="3"/>
        <v>0.33936236563084715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1451"/>
      <c r="E28" s="1451">
        <f t="shared" si="1"/>
        <v>0</v>
      </c>
      <c r="F28" s="1451">
        <f t="shared" si="4"/>
        <v>10902.777777777777</v>
      </c>
      <c r="G28" s="1453">
        <f t="shared" si="0"/>
        <v>3700</v>
      </c>
      <c r="H28" s="1452">
        <f t="shared" si="2"/>
        <v>0.35518863396371314</v>
      </c>
      <c r="I28" s="772"/>
      <c r="J28" s="772"/>
      <c r="K28" s="772"/>
      <c r="L28" s="772"/>
      <c r="M28" s="650">
        <f t="shared" si="3"/>
        <v>0.33936236563084715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1451"/>
      <c r="E29" s="1451">
        <f t="shared" si="1"/>
        <v>0</v>
      </c>
      <c r="F29" s="1451">
        <f t="shared" si="4"/>
        <v>10902.777777777777</v>
      </c>
      <c r="G29" s="1454">
        <f t="shared" si="0"/>
        <v>3700</v>
      </c>
      <c r="H29" s="1452">
        <f t="shared" si="2"/>
        <v>0.35518863396371314</v>
      </c>
      <c r="I29" s="772"/>
      <c r="J29" s="772"/>
      <c r="K29" s="772"/>
      <c r="L29" s="772"/>
      <c r="M29" s="650">
        <f t="shared" si="3"/>
        <v>0.33936236563084715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1451"/>
      <c r="E30" s="1451">
        <f t="shared" si="1"/>
        <v>0</v>
      </c>
      <c r="F30" s="1451">
        <f t="shared" si="4"/>
        <v>10902.777777777777</v>
      </c>
      <c r="G30" s="1454">
        <f t="shared" si="0"/>
        <v>3700</v>
      </c>
      <c r="H30" s="1452">
        <f t="shared" si="2"/>
        <v>0.35518863396371314</v>
      </c>
      <c r="I30" s="772"/>
      <c r="J30" s="772"/>
      <c r="K30" s="772"/>
      <c r="L30" s="772"/>
      <c r="M30" s="650">
        <f t="shared" si="3"/>
        <v>0.33936236563084715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1451"/>
      <c r="E31" s="1451">
        <f t="shared" si="1"/>
        <v>0</v>
      </c>
      <c r="F31" s="1451">
        <f t="shared" si="4"/>
        <v>10902.777777777777</v>
      </c>
      <c r="G31" s="1454">
        <f t="shared" si="0"/>
        <v>3700</v>
      </c>
      <c r="H31" s="1452">
        <f t="shared" si="2"/>
        <v>0.35518863396371314</v>
      </c>
      <c r="I31" s="772"/>
      <c r="J31" s="772"/>
      <c r="K31" s="772"/>
      <c r="L31" s="772"/>
      <c r="M31" s="650">
        <f t="shared" si="3"/>
        <v>0.33936236563084715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1451"/>
      <c r="E32" s="1451">
        <f t="shared" si="1"/>
        <v>0</v>
      </c>
      <c r="F32" s="1451">
        <f t="shared" si="4"/>
        <v>10902.777777777777</v>
      </c>
      <c r="G32" s="1454">
        <f t="shared" si="0"/>
        <v>3700</v>
      </c>
      <c r="H32" s="1452">
        <f t="shared" si="2"/>
        <v>0.35518863396371314</v>
      </c>
      <c r="I32" s="772"/>
      <c r="J32" s="772"/>
      <c r="K32" s="772"/>
      <c r="L32" s="772"/>
      <c r="M32" s="650">
        <f t="shared" si="3"/>
        <v>0.33936236563084715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1451"/>
      <c r="E33" s="1451">
        <f t="shared" si="1"/>
        <v>0</v>
      </c>
      <c r="F33" s="1451">
        <f t="shared" si="4"/>
        <v>10902.777777777777</v>
      </c>
      <c r="G33" s="1455">
        <f t="shared" si="0"/>
        <v>3700</v>
      </c>
      <c r="H33" s="1452">
        <f t="shared" si="2"/>
        <v>0.35518863396371314</v>
      </c>
      <c r="I33" s="772"/>
      <c r="J33" s="772"/>
      <c r="K33" s="772"/>
      <c r="L33" s="772"/>
      <c r="M33" s="650">
        <f t="shared" si="3"/>
        <v>0.33936236563084715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1451"/>
      <c r="E34" s="1451">
        <f t="shared" si="1"/>
        <v>0</v>
      </c>
      <c r="F34" s="1451">
        <f t="shared" si="4"/>
        <v>10902.777777777777</v>
      </c>
      <c r="G34" s="1451">
        <f t="shared" si="0"/>
        <v>3700</v>
      </c>
      <c r="H34" s="1452">
        <f t="shared" si="2"/>
        <v>0.35518863396371314</v>
      </c>
      <c r="I34" s="772"/>
      <c r="J34" s="772"/>
      <c r="K34" s="772"/>
      <c r="L34" s="772"/>
      <c r="M34" s="650">
        <f t="shared" si="3"/>
        <v>0.33936236563084715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1451"/>
      <c r="E35" s="1451">
        <f t="shared" si="1"/>
        <v>0</v>
      </c>
      <c r="F35" s="1451">
        <f t="shared" si="4"/>
        <v>10902.777777777777</v>
      </c>
      <c r="G35" s="1451">
        <f t="shared" si="0"/>
        <v>3700</v>
      </c>
      <c r="H35" s="1452">
        <f t="shared" si="2"/>
        <v>0.35518863396371314</v>
      </c>
      <c r="I35" s="772"/>
      <c r="J35" s="772"/>
      <c r="K35" s="772"/>
      <c r="L35" s="772"/>
      <c r="M35" s="650">
        <f t="shared" si="3"/>
        <v>0.33936236563084715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1451"/>
      <c r="E36" s="1451">
        <f t="shared" si="1"/>
        <v>0</v>
      </c>
      <c r="F36" s="1451">
        <f t="shared" si="4"/>
        <v>10902.777777777777</v>
      </c>
      <c r="G36" s="1451">
        <f t="shared" si="0"/>
        <v>3700</v>
      </c>
      <c r="H36" s="1452">
        <f t="shared" si="2"/>
        <v>0.35518863396371314</v>
      </c>
      <c r="I36" s="772"/>
      <c r="J36" s="772"/>
      <c r="K36" s="772"/>
      <c r="L36" s="772"/>
      <c r="M36" s="650">
        <f t="shared" si="3"/>
        <v>0.33936236563084715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51"/>
      <c r="E37" s="1451">
        <f t="shared" si="1"/>
        <v>0</v>
      </c>
      <c r="F37" s="1451">
        <f t="shared" si="4"/>
        <v>10902.777777777777</v>
      </c>
      <c r="G37" s="1451">
        <f t="shared" si="0"/>
        <v>3700</v>
      </c>
      <c r="H37" s="1452">
        <f t="shared" si="2"/>
        <v>0.35518863396371314</v>
      </c>
      <c r="I37" s="772"/>
      <c r="J37" s="772"/>
      <c r="K37" s="772"/>
      <c r="L37" s="772"/>
      <c r="M37" s="650">
        <f t="shared" si="3"/>
        <v>0.33936236563084715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1"/>
      <c r="E38" s="1451">
        <f t="shared" si="1"/>
        <v>0</v>
      </c>
      <c r="F38" s="1451">
        <f t="shared" si="4"/>
        <v>10902.777777777777</v>
      </c>
      <c r="G38" s="1453">
        <f>G37+D38-E38</f>
        <v>3700</v>
      </c>
      <c r="H38" s="1452">
        <f t="shared" si="2"/>
        <v>0.35518863396371314</v>
      </c>
      <c r="I38" s="772"/>
      <c r="J38" s="772"/>
      <c r="K38" s="772"/>
      <c r="L38" s="772"/>
      <c r="M38" s="650">
        <f t="shared" si="3"/>
        <v>0.33936236563084715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56"/>
      <c r="E39" s="1451">
        <f t="shared" si="1"/>
        <v>0</v>
      </c>
      <c r="F39" s="1451">
        <f>SUM($E$8:E39)/A39</f>
        <v>0</v>
      </c>
      <c r="G39" s="1451">
        <f t="shared" si="0"/>
        <v>3700</v>
      </c>
      <c r="H39" s="1452">
        <f t="shared" si="2"/>
        <v>0.35518863396371314</v>
      </c>
      <c r="I39" s="772"/>
      <c r="J39" s="772"/>
      <c r="K39" s="772"/>
      <c r="L39" s="772"/>
      <c r="M39" s="650">
        <f t="shared" si="3"/>
        <v>0.33936236563084715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3700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3700</v>
      </c>
      <c r="E41" s="389">
        <f>E40</f>
        <v>0</v>
      </c>
      <c r="F41" s="449"/>
      <c r="G41" s="389">
        <f>D41-E41</f>
        <v>3700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281" priority="34" operator="between">
      <formula>3.5</formula>
      <formula>6</formula>
    </cfRule>
    <cfRule type="cellIs" dxfId="6280" priority="35" operator="lessThan">
      <formula>3.5</formula>
    </cfRule>
    <cfRule type="cellIs" dxfId="6279" priority="36" operator="greaterThan">
      <formula>6</formula>
    </cfRule>
  </conditionalFormatting>
  <conditionalFormatting sqref="H9:H12 H24:H37 H14:H17 H19:H22 H39">
    <cfRule type="cellIs" dxfId="6278" priority="31" operator="between">
      <formula>3.5</formula>
      <formula>6</formula>
    </cfRule>
    <cfRule type="cellIs" dxfId="6277" priority="32" operator="lessThan">
      <formula>3.5</formula>
    </cfRule>
    <cfRule type="cellIs" dxfId="6276" priority="33" operator="greaterThan">
      <formula>6</formula>
    </cfRule>
  </conditionalFormatting>
  <conditionalFormatting sqref="H23">
    <cfRule type="cellIs" dxfId="6275" priority="28" operator="between">
      <formula>3.5</formula>
      <formula>6</formula>
    </cfRule>
    <cfRule type="cellIs" dxfId="6274" priority="29" operator="lessThan">
      <formula>3.5</formula>
    </cfRule>
    <cfRule type="cellIs" dxfId="6273" priority="30" operator="greaterThan">
      <formula>6</formula>
    </cfRule>
  </conditionalFormatting>
  <conditionalFormatting sqref="H13">
    <cfRule type="cellIs" dxfId="6272" priority="25" operator="between">
      <formula>3.5</formula>
      <formula>6</formula>
    </cfRule>
    <cfRule type="cellIs" dxfId="6271" priority="26" operator="lessThan">
      <formula>3.5</formula>
    </cfRule>
    <cfRule type="cellIs" dxfId="6270" priority="27" operator="greaterThan">
      <formula>6</formula>
    </cfRule>
  </conditionalFormatting>
  <conditionalFormatting sqref="H18">
    <cfRule type="cellIs" dxfId="6269" priority="22" operator="between">
      <formula>3.5</formula>
      <formula>6</formula>
    </cfRule>
    <cfRule type="cellIs" dxfId="6268" priority="23" operator="lessThan">
      <formula>3.5</formula>
    </cfRule>
    <cfRule type="cellIs" dxfId="6267" priority="24" operator="greaterThan">
      <formula>6</formula>
    </cfRule>
  </conditionalFormatting>
  <conditionalFormatting sqref="H9:H39">
    <cfRule type="cellIs" dxfId="6266" priority="19" operator="between">
      <formula>3.5</formula>
      <formula>6</formula>
    </cfRule>
    <cfRule type="cellIs" dxfId="6265" priority="20" operator="lessThan">
      <formula>3.5</formula>
    </cfRule>
    <cfRule type="cellIs" dxfId="6264" priority="21" operator="greaterThan">
      <formula>6</formula>
    </cfRule>
  </conditionalFormatting>
  <conditionalFormatting sqref="H9:H39">
    <cfRule type="cellIs" dxfId="6263" priority="16" operator="between">
      <formula>3.5</formula>
      <formula>6</formula>
    </cfRule>
    <cfRule type="cellIs" dxfId="6262" priority="17" operator="lessThan">
      <formula>3.5</formula>
    </cfRule>
    <cfRule type="cellIs" dxfId="6261" priority="18" operator="greaterThan">
      <formula>6</formula>
    </cfRule>
  </conditionalFormatting>
  <conditionalFormatting sqref="H9:H39">
    <cfRule type="cellIs" dxfId="6260" priority="13" operator="between">
      <formula>3.5</formula>
      <formula>6</formula>
    </cfRule>
    <cfRule type="cellIs" dxfId="6259" priority="14" operator="lessThan">
      <formula>3.5</formula>
    </cfRule>
    <cfRule type="cellIs" dxfId="6258" priority="15" operator="greaterThan">
      <formula>6</formula>
    </cfRule>
  </conditionalFormatting>
  <conditionalFormatting sqref="H9:H39">
    <cfRule type="cellIs" dxfId="6257" priority="10" operator="between">
      <formula>3.5</formula>
      <formula>6</formula>
    </cfRule>
    <cfRule type="cellIs" dxfId="6256" priority="11" operator="lessThan">
      <formula>3.5</formula>
    </cfRule>
    <cfRule type="cellIs" dxfId="6255" priority="12" operator="greaterThan">
      <formula>6</formula>
    </cfRule>
  </conditionalFormatting>
  <conditionalFormatting sqref="H9:H39">
    <cfRule type="cellIs" dxfId="6254" priority="7" operator="between">
      <formula>3.5</formula>
      <formula>6</formula>
    </cfRule>
    <cfRule type="cellIs" dxfId="6253" priority="8" operator="lessThan">
      <formula>3.5</formula>
    </cfRule>
    <cfRule type="cellIs" dxfId="6252" priority="9" operator="greaterThan">
      <formula>6</formula>
    </cfRule>
  </conditionalFormatting>
  <conditionalFormatting sqref="H9:H39">
    <cfRule type="cellIs" dxfId="6251" priority="4" operator="between">
      <formula>3.5</formula>
      <formula>6</formula>
    </cfRule>
    <cfRule type="cellIs" dxfId="6250" priority="5" operator="lessThan">
      <formula>3.5</formula>
    </cfRule>
    <cfRule type="cellIs" dxfId="6249" priority="6" operator="greaterThan">
      <formula>6</formula>
    </cfRule>
  </conditionalFormatting>
  <conditionalFormatting sqref="H9:H39">
    <cfRule type="cellIs" dxfId="6248" priority="1" operator="between">
      <formula>3.5</formula>
      <formula>6</formula>
    </cfRule>
    <cfRule type="cellIs" dxfId="6247" priority="2" operator="lessThan">
      <formula>3.5</formula>
    </cfRule>
    <cfRule type="cellIs" dxfId="624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78"/>
      <c r="K3" s="1378"/>
      <c r="L3" s="1378"/>
      <c r="N3" s="442"/>
      <c r="O3" s="442"/>
      <c r="P3" s="442"/>
    </row>
    <row r="4" spans="1:27" s="1383" customFormat="1" ht="12" customHeight="1">
      <c r="A4" s="1648" t="s">
        <v>33</v>
      </c>
      <c r="B4" s="1648"/>
      <c r="C4" s="551" t="str">
        <f>H4</f>
        <v xml:space="preserve">KARPO 30*60 nâu-HA </v>
      </c>
      <c r="E4" s="549" t="s">
        <v>228</v>
      </c>
      <c r="F4" s="549" t="s">
        <v>235</v>
      </c>
      <c r="G4" s="550" t="s">
        <v>114</v>
      </c>
      <c r="H4" s="551" t="s">
        <v>1185</v>
      </c>
      <c r="M4" s="143"/>
    </row>
    <row r="5" spans="1:27" s="1383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83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80" t="s">
        <v>2</v>
      </c>
      <c r="B7" s="1382" t="s">
        <v>1</v>
      </c>
      <c r="C7" s="138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79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10050</v>
      </c>
      <c r="E8" s="771">
        <f>E40</f>
        <v>8450</v>
      </c>
      <c r="F8" s="771"/>
      <c r="G8" s="774">
        <v>10050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81">
        <v>1</v>
      </c>
      <c r="B9" s="365">
        <f>'FRIT HGE91-FHG'!B9</f>
        <v>46235</v>
      </c>
      <c r="C9" s="331" t="s">
        <v>285</v>
      </c>
      <c r="D9" s="1451"/>
      <c r="E9" s="1451">
        <f>I9+J9+K9+L9</f>
        <v>0</v>
      </c>
      <c r="F9" s="1451">
        <f>15700/1.44</f>
        <v>10902.777777777777</v>
      </c>
      <c r="G9" s="1451">
        <f t="shared" ref="G9:G39" si="0">G8+D9-E9</f>
        <v>10050</v>
      </c>
      <c r="H9" s="1452">
        <f>G9/10417</f>
        <v>0.96476912738792364</v>
      </c>
      <c r="I9" s="772"/>
      <c r="J9" s="772"/>
      <c r="K9" s="772"/>
      <c r="L9" s="772"/>
      <c r="M9" s="650">
        <f>G9/$M$8</f>
        <v>0.92178156070000372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1451"/>
      <c r="E10" s="1451">
        <f t="shared" ref="E10:E39" si="1">I10+J10+K10+L10</f>
        <v>0</v>
      </c>
      <c r="F10" s="1451">
        <f>$F$9</f>
        <v>10902.777777777777</v>
      </c>
      <c r="G10" s="1451">
        <f t="shared" si="0"/>
        <v>10050</v>
      </c>
      <c r="H10" s="1452">
        <f t="shared" ref="H10:H39" si="2">G10/10417</f>
        <v>0.96476912738792364</v>
      </c>
      <c r="I10" s="772"/>
      <c r="J10" s="772"/>
      <c r="K10" s="772"/>
      <c r="L10" s="772"/>
      <c r="M10" s="650">
        <f t="shared" ref="M10:M39" si="3">G10/$M$8</f>
        <v>0.92178156070000372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1451"/>
      <c r="E11" s="1451">
        <f t="shared" si="1"/>
        <v>0</v>
      </c>
      <c r="F11" s="1451">
        <f>$F$9</f>
        <v>10902.777777777777</v>
      </c>
      <c r="G11" s="1451">
        <f t="shared" si="0"/>
        <v>10050</v>
      </c>
      <c r="H11" s="1452">
        <f t="shared" si="2"/>
        <v>0.96476912738792364</v>
      </c>
      <c r="I11" s="772"/>
      <c r="J11" s="772"/>
      <c r="K11" s="772"/>
      <c r="L11" s="772"/>
      <c r="M11" s="650">
        <f t="shared" si="3"/>
        <v>0.92178156070000372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1451"/>
      <c r="E12" s="1451">
        <f t="shared" si="1"/>
        <v>1250</v>
      </c>
      <c r="F12" s="1451">
        <f t="shared" ref="F12:F38" si="4">$F$9</f>
        <v>10902.777777777777</v>
      </c>
      <c r="G12" s="1451">
        <f t="shared" si="0"/>
        <v>8800</v>
      </c>
      <c r="H12" s="1452">
        <f t="shared" si="2"/>
        <v>0.84477296726504747</v>
      </c>
      <c r="I12" s="772">
        <v>1250</v>
      </c>
      <c r="J12" s="772"/>
      <c r="K12" s="772"/>
      <c r="L12" s="772"/>
      <c r="M12" s="650">
        <f t="shared" si="3"/>
        <v>0.80713211285174458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1451"/>
      <c r="E13" s="1451">
        <f t="shared" si="1"/>
        <v>2400</v>
      </c>
      <c r="F13" s="1451">
        <f t="shared" si="4"/>
        <v>10902.777777777777</v>
      </c>
      <c r="G13" s="1453">
        <f t="shared" si="0"/>
        <v>6400</v>
      </c>
      <c r="H13" s="1452">
        <f t="shared" si="2"/>
        <v>0.61438033982912543</v>
      </c>
      <c r="I13" s="772">
        <v>2400</v>
      </c>
      <c r="J13" s="772"/>
      <c r="K13" s="772"/>
      <c r="L13" s="772"/>
      <c r="M13" s="650">
        <f t="shared" si="3"/>
        <v>0.58700517298308696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1451"/>
      <c r="E14" s="1451">
        <f t="shared" si="1"/>
        <v>2400</v>
      </c>
      <c r="F14" s="1451">
        <f t="shared" si="4"/>
        <v>10902.777777777777</v>
      </c>
      <c r="G14" s="1451">
        <f t="shared" si="0"/>
        <v>4000</v>
      </c>
      <c r="H14" s="1452">
        <f t="shared" si="2"/>
        <v>0.3839877123932034</v>
      </c>
      <c r="I14" s="772">
        <v>2400</v>
      </c>
      <c r="J14" s="772"/>
      <c r="K14" s="772"/>
      <c r="L14" s="772"/>
      <c r="M14" s="650">
        <f t="shared" si="3"/>
        <v>0.36687823311442935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1451"/>
      <c r="E15" s="1451">
        <f t="shared" si="1"/>
        <v>0</v>
      </c>
      <c r="F15" s="1451">
        <f t="shared" si="4"/>
        <v>10902.777777777777</v>
      </c>
      <c r="G15" s="1451">
        <f t="shared" si="0"/>
        <v>4000</v>
      </c>
      <c r="H15" s="1452">
        <f t="shared" si="2"/>
        <v>0.3839877123932034</v>
      </c>
      <c r="I15" s="772"/>
      <c r="J15" s="772"/>
      <c r="K15" s="772"/>
      <c r="L15" s="772"/>
      <c r="M15" s="650">
        <f t="shared" si="3"/>
        <v>0.36687823311442935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1451"/>
      <c r="E16" s="1451">
        <f t="shared" si="1"/>
        <v>0</v>
      </c>
      <c r="F16" s="1451">
        <f t="shared" si="4"/>
        <v>10902.777777777777</v>
      </c>
      <c r="G16" s="1451">
        <f t="shared" si="0"/>
        <v>4000</v>
      </c>
      <c r="H16" s="1452">
        <f t="shared" si="2"/>
        <v>0.3839877123932034</v>
      </c>
      <c r="I16" s="772"/>
      <c r="J16" s="772"/>
      <c r="K16" s="772"/>
      <c r="L16" s="772"/>
      <c r="M16" s="650">
        <f t="shared" si="3"/>
        <v>0.36687823311442935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1451"/>
      <c r="E17" s="1451">
        <f t="shared" si="1"/>
        <v>0</v>
      </c>
      <c r="F17" s="1451">
        <f t="shared" si="4"/>
        <v>10902.777777777777</v>
      </c>
      <c r="G17" s="1451">
        <f t="shared" si="0"/>
        <v>4000</v>
      </c>
      <c r="H17" s="1452">
        <f t="shared" si="2"/>
        <v>0.3839877123932034</v>
      </c>
      <c r="I17" s="772"/>
      <c r="J17" s="772"/>
      <c r="K17" s="772"/>
      <c r="L17" s="772"/>
      <c r="M17" s="650">
        <f t="shared" si="3"/>
        <v>0.36687823311442935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1451"/>
      <c r="E18" s="1451">
        <f t="shared" si="1"/>
        <v>0</v>
      </c>
      <c r="F18" s="1451">
        <f t="shared" si="4"/>
        <v>10902.777777777777</v>
      </c>
      <c r="G18" s="1453">
        <f t="shared" si="0"/>
        <v>4000</v>
      </c>
      <c r="H18" s="1452">
        <f t="shared" si="2"/>
        <v>0.3839877123932034</v>
      </c>
      <c r="I18" s="772"/>
      <c r="J18" s="772"/>
      <c r="K18" s="772"/>
      <c r="L18" s="772"/>
      <c r="M18" s="650">
        <f t="shared" si="3"/>
        <v>0.36687823311442935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1451">
        <v>8100</v>
      </c>
      <c r="E19" s="1451">
        <f t="shared" si="1"/>
        <v>0</v>
      </c>
      <c r="F19" s="1451">
        <f t="shared" si="4"/>
        <v>10902.777777777777</v>
      </c>
      <c r="G19" s="1451">
        <f t="shared" si="0"/>
        <v>12100</v>
      </c>
      <c r="H19" s="1452">
        <f t="shared" si="2"/>
        <v>1.1615628299894403</v>
      </c>
      <c r="I19" s="772"/>
      <c r="J19" s="772"/>
      <c r="K19" s="772"/>
      <c r="L19" s="772"/>
      <c r="M19" s="650">
        <f t="shared" si="3"/>
        <v>1.1098066551711487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1451">
        <v>2100</v>
      </c>
      <c r="E20" s="1451">
        <f t="shared" si="1"/>
        <v>0</v>
      </c>
      <c r="F20" s="1451">
        <f t="shared" si="4"/>
        <v>10902.777777777777</v>
      </c>
      <c r="G20" s="1451">
        <f t="shared" si="0"/>
        <v>14200</v>
      </c>
      <c r="H20" s="1452">
        <f t="shared" si="2"/>
        <v>1.3631563789958721</v>
      </c>
      <c r="I20" s="772"/>
      <c r="J20" s="772"/>
      <c r="K20" s="772"/>
      <c r="L20" s="772"/>
      <c r="M20" s="650">
        <f t="shared" si="3"/>
        <v>1.3024177275562241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1451"/>
      <c r="E21" s="1451">
        <f t="shared" si="1"/>
        <v>0</v>
      </c>
      <c r="F21" s="1451">
        <f t="shared" si="4"/>
        <v>10902.777777777777</v>
      </c>
      <c r="G21" s="1451">
        <f t="shared" si="0"/>
        <v>14200</v>
      </c>
      <c r="H21" s="1452">
        <f t="shared" si="2"/>
        <v>1.3631563789958721</v>
      </c>
      <c r="I21" s="772"/>
      <c r="J21" s="772"/>
      <c r="K21" s="772"/>
      <c r="L21" s="772"/>
      <c r="M21" s="650">
        <f t="shared" si="3"/>
        <v>1.3024177275562241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1451">
        <v>5050</v>
      </c>
      <c r="E22" s="1451">
        <f t="shared" si="1"/>
        <v>0</v>
      </c>
      <c r="F22" s="1451">
        <f t="shared" si="4"/>
        <v>10902.777777777777</v>
      </c>
      <c r="G22" s="1451">
        <f t="shared" si="0"/>
        <v>19250</v>
      </c>
      <c r="H22" s="1452">
        <f t="shared" si="2"/>
        <v>1.8479408658922913</v>
      </c>
      <c r="I22" s="772"/>
      <c r="J22" s="772"/>
      <c r="K22" s="772"/>
      <c r="L22" s="772"/>
      <c r="M22" s="650">
        <f t="shared" si="3"/>
        <v>1.7656014968631912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1451"/>
      <c r="E23" s="1451">
        <f t="shared" si="1"/>
        <v>2400</v>
      </c>
      <c r="F23" s="1451">
        <f t="shared" si="4"/>
        <v>10902.777777777777</v>
      </c>
      <c r="G23" s="1453">
        <f t="shared" si="0"/>
        <v>16850</v>
      </c>
      <c r="H23" s="1452">
        <f t="shared" si="2"/>
        <v>1.6175482384563693</v>
      </c>
      <c r="I23" s="772">
        <v>2400</v>
      </c>
      <c r="J23" s="772"/>
      <c r="K23" s="772"/>
      <c r="L23" s="772"/>
      <c r="M23" s="650">
        <f t="shared" si="3"/>
        <v>1.5454745569945336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1451"/>
      <c r="E24" s="1451">
        <f t="shared" si="1"/>
        <v>0</v>
      </c>
      <c r="F24" s="1451">
        <f t="shared" si="4"/>
        <v>10902.777777777777</v>
      </c>
      <c r="G24" s="1451">
        <f t="shared" si="0"/>
        <v>16850</v>
      </c>
      <c r="H24" s="1452">
        <f t="shared" si="2"/>
        <v>1.6175482384563693</v>
      </c>
      <c r="I24" s="772"/>
      <c r="J24" s="772"/>
      <c r="K24" s="772"/>
      <c r="L24" s="772"/>
      <c r="M24" s="650">
        <f t="shared" si="3"/>
        <v>1.5454745569945336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1451"/>
      <c r="E25" s="1451">
        <f t="shared" si="1"/>
        <v>0</v>
      </c>
      <c r="F25" s="1451">
        <f t="shared" si="4"/>
        <v>10902.777777777777</v>
      </c>
      <c r="G25" s="1451">
        <f t="shared" si="0"/>
        <v>16850</v>
      </c>
      <c r="H25" s="1452">
        <f t="shared" si="2"/>
        <v>1.6175482384563693</v>
      </c>
      <c r="I25" s="772"/>
      <c r="J25" s="772"/>
      <c r="K25" s="772"/>
      <c r="L25" s="772"/>
      <c r="M25" s="650">
        <f t="shared" si="3"/>
        <v>1.5454745569945336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1451"/>
      <c r="E26" s="1451">
        <f t="shared" si="1"/>
        <v>0</v>
      </c>
      <c r="F26" s="1451">
        <f t="shared" si="4"/>
        <v>10902.777777777777</v>
      </c>
      <c r="G26" s="1451">
        <f t="shared" si="0"/>
        <v>16850</v>
      </c>
      <c r="H26" s="1452">
        <f t="shared" si="2"/>
        <v>1.6175482384563693</v>
      </c>
      <c r="I26" s="772"/>
      <c r="J26" s="772"/>
      <c r="K26" s="772"/>
      <c r="L26" s="772"/>
      <c r="M26" s="650">
        <f t="shared" si="3"/>
        <v>1.5454745569945336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1451"/>
      <c r="E27" s="1451">
        <f t="shared" si="1"/>
        <v>0</v>
      </c>
      <c r="F27" s="1451">
        <f t="shared" si="4"/>
        <v>10902.777777777777</v>
      </c>
      <c r="G27" s="1451">
        <f t="shared" si="0"/>
        <v>16850</v>
      </c>
      <c r="H27" s="1452">
        <f t="shared" si="2"/>
        <v>1.6175482384563693</v>
      </c>
      <c r="I27" s="772"/>
      <c r="J27" s="772"/>
      <c r="K27" s="772"/>
      <c r="L27" s="772"/>
      <c r="M27" s="650">
        <f t="shared" si="3"/>
        <v>1.5454745569945336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1451"/>
      <c r="E28" s="1451">
        <f t="shared" si="1"/>
        <v>0</v>
      </c>
      <c r="F28" s="1451">
        <f t="shared" si="4"/>
        <v>10902.777777777777</v>
      </c>
      <c r="G28" s="1453">
        <f t="shared" si="0"/>
        <v>16850</v>
      </c>
      <c r="H28" s="1452">
        <f t="shared" si="2"/>
        <v>1.6175482384563693</v>
      </c>
      <c r="I28" s="772"/>
      <c r="J28" s="772"/>
      <c r="K28" s="772"/>
      <c r="L28" s="772"/>
      <c r="M28" s="650">
        <f t="shared" si="3"/>
        <v>1.5454745569945336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1451"/>
      <c r="E29" s="1451">
        <f t="shared" si="1"/>
        <v>0</v>
      </c>
      <c r="F29" s="1451">
        <f t="shared" si="4"/>
        <v>10902.777777777777</v>
      </c>
      <c r="G29" s="1454">
        <f t="shared" si="0"/>
        <v>16850</v>
      </c>
      <c r="H29" s="1452">
        <f t="shared" si="2"/>
        <v>1.6175482384563693</v>
      </c>
      <c r="I29" s="772"/>
      <c r="J29" s="772"/>
      <c r="K29" s="772"/>
      <c r="L29" s="772"/>
      <c r="M29" s="650">
        <f t="shared" si="3"/>
        <v>1.5454745569945336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1451"/>
      <c r="E30" s="1451">
        <f t="shared" si="1"/>
        <v>0</v>
      </c>
      <c r="F30" s="1451">
        <f t="shared" si="4"/>
        <v>10902.777777777777</v>
      </c>
      <c r="G30" s="1454">
        <f t="shared" si="0"/>
        <v>16850</v>
      </c>
      <c r="H30" s="1452">
        <f t="shared" si="2"/>
        <v>1.6175482384563693</v>
      </c>
      <c r="I30" s="772"/>
      <c r="J30" s="772"/>
      <c r="K30" s="772"/>
      <c r="L30" s="772"/>
      <c r="M30" s="650">
        <f t="shared" si="3"/>
        <v>1.5454745569945336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1451"/>
      <c r="E31" s="1451">
        <f t="shared" si="1"/>
        <v>0</v>
      </c>
      <c r="F31" s="1451">
        <f t="shared" si="4"/>
        <v>10902.777777777777</v>
      </c>
      <c r="G31" s="1454">
        <f t="shared" si="0"/>
        <v>16850</v>
      </c>
      <c r="H31" s="1452">
        <f t="shared" si="2"/>
        <v>1.6175482384563693</v>
      </c>
      <c r="I31" s="772"/>
      <c r="J31" s="772"/>
      <c r="K31" s="772"/>
      <c r="L31" s="772"/>
      <c r="M31" s="650">
        <f t="shared" si="3"/>
        <v>1.5454745569945336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1451"/>
      <c r="E32" s="1451">
        <f t="shared" si="1"/>
        <v>0</v>
      </c>
      <c r="F32" s="1451">
        <f t="shared" si="4"/>
        <v>10902.777777777777</v>
      </c>
      <c r="G32" s="1454">
        <f t="shared" si="0"/>
        <v>16850</v>
      </c>
      <c r="H32" s="1452">
        <f t="shared" si="2"/>
        <v>1.6175482384563693</v>
      </c>
      <c r="I32" s="772"/>
      <c r="J32" s="772"/>
      <c r="K32" s="772"/>
      <c r="L32" s="772"/>
      <c r="M32" s="650">
        <f t="shared" si="3"/>
        <v>1.5454745569945336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1451"/>
      <c r="E33" s="1451">
        <f t="shared" si="1"/>
        <v>0</v>
      </c>
      <c r="F33" s="1451">
        <f t="shared" si="4"/>
        <v>10902.777777777777</v>
      </c>
      <c r="G33" s="1455">
        <f t="shared" si="0"/>
        <v>16850</v>
      </c>
      <c r="H33" s="1452">
        <f t="shared" si="2"/>
        <v>1.6175482384563693</v>
      </c>
      <c r="I33" s="772"/>
      <c r="J33" s="772"/>
      <c r="K33" s="772"/>
      <c r="L33" s="772"/>
      <c r="M33" s="650">
        <f t="shared" si="3"/>
        <v>1.5454745569945336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1451"/>
      <c r="E34" s="1451">
        <f t="shared" si="1"/>
        <v>0</v>
      </c>
      <c r="F34" s="1451">
        <f t="shared" si="4"/>
        <v>10902.777777777777</v>
      </c>
      <c r="G34" s="1451">
        <f t="shared" si="0"/>
        <v>16850</v>
      </c>
      <c r="H34" s="1452">
        <f t="shared" si="2"/>
        <v>1.6175482384563693</v>
      </c>
      <c r="I34" s="772"/>
      <c r="J34" s="772"/>
      <c r="K34" s="772"/>
      <c r="L34" s="772"/>
      <c r="M34" s="650">
        <f t="shared" si="3"/>
        <v>1.5454745569945336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1451"/>
      <c r="E35" s="1451">
        <f t="shared" si="1"/>
        <v>0</v>
      </c>
      <c r="F35" s="1451">
        <f t="shared" si="4"/>
        <v>10902.777777777777</v>
      </c>
      <c r="G35" s="1451">
        <f t="shared" si="0"/>
        <v>16850</v>
      </c>
      <c r="H35" s="1452">
        <f t="shared" si="2"/>
        <v>1.6175482384563693</v>
      </c>
      <c r="I35" s="772"/>
      <c r="J35" s="772"/>
      <c r="K35" s="772"/>
      <c r="L35" s="772"/>
      <c r="M35" s="650">
        <f t="shared" si="3"/>
        <v>1.5454745569945336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1451"/>
      <c r="E36" s="1451">
        <f t="shared" si="1"/>
        <v>0</v>
      </c>
      <c r="F36" s="1451">
        <f t="shared" si="4"/>
        <v>10902.777777777777</v>
      </c>
      <c r="G36" s="1451">
        <f t="shared" si="0"/>
        <v>16850</v>
      </c>
      <c r="H36" s="1452">
        <f t="shared" si="2"/>
        <v>1.6175482384563693</v>
      </c>
      <c r="I36" s="772"/>
      <c r="J36" s="772"/>
      <c r="K36" s="772"/>
      <c r="L36" s="772"/>
      <c r="M36" s="650">
        <f t="shared" si="3"/>
        <v>1.5454745569945336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51"/>
      <c r="E37" s="1451">
        <f t="shared" si="1"/>
        <v>0</v>
      </c>
      <c r="F37" s="1451">
        <f t="shared" si="4"/>
        <v>10902.777777777777</v>
      </c>
      <c r="G37" s="1451">
        <f t="shared" si="0"/>
        <v>16850</v>
      </c>
      <c r="H37" s="1452">
        <f t="shared" si="2"/>
        <v>1.6175482384563693</v>
      </c>
      <c r="I37" s="772"/>
      <c r="J37" s="772"/>
      <c r="K37" s="772"/>
      <c r="L37" s="772"/>
      <c r="M37" s="650">
        <f t="shared" si="3"/>
        <v>1.5454745569945336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1"/>
      <c r="E38" s="1451">
        <f t="shared" si="1"/>
        <v>0</v>
      </c>
      <c r="F38" s="1451">
        <f t="shared" si="4"/>
        <v>10902.777777777777</v>
      </c>
      <c r="G38" s="1453">
        <f>G37+D38-E38</f>
        <v>16850</v>
      </c>
      <c r="H38" s="1452">
        <f t="shared" si="2"/>
        <v>1.6175482384563693</v>
      </c>
      <c r="I38" s="772"/>
      <c r="J38" s="772"/>
      <c r="K38" s="772"/>
      <c r="L38" s="772"/>
      <c r="M38" s="650">
        <f t="shared" si="3"/>
        <v>1.5454745569945336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56"/>
      <c r="E39" s="1451">
        <f t="shared" si="1"/>
        <v>0</v>
      </c>
      <c r="F39" s="1451">
        <f>SUM($E$8:E39)/A39</f>
        <v>545.16129032258061</v>
      </c>
      <c r="G39" s="1451">
        <f t="shared" si="0"/>
        <v>16850</v>
      </c>
      <c r="H39" s="1452">
        <f t="shared" si="2"/>
        <v>1.6175482384563693</v>
      </c>
      <c r="I39" s="772"/>
      <c r="J39" s="772"/>
      <c r="K39" s="772"/>
      <c r="L39" s="772"/>
      <c r="M39" s="650">
        <f t="shared" si="3"/>
        <v>1.5454745569945336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15250</v>
      </c>
      <c r="E40" s="389">
        <f>SUM(E9:E39)</f>
        <v>8450</v>
      </c>
      <c r="F40" s="449"/>
      <c r="G40" s="389">
        <f>G39</f>
        <v>16850</v>
      </c>
      <c r="H40" s="309"/>
      <c r="I40" s="689">
        <f>SUM(I9:I39)</f>
        <v>8450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25300</v>
      </c>
      <c r="E41" s="389">
        <f>E40</f>
        <v>8450</v>
      </c>
      <c r="F41" s="449"/>
      <c r="G41" s="389">
        <f>D41-E41</f>
        <v>16850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8450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245" priority="34" operator="between">
      <formula>3.5</formula>
      <formula>6</formula>
    </cfRule>
    <cfRule type="cellIs" dxfId="6244" priority="35" operator="lessThan">
      <formula>3.5</formula>
    </cfRule>
    <cfRule type="cellIs" dxfId="6243" priority="36" operator="greaterThan">
      <formula>6</formula>
    </cfRule>
  </conditionalFormatting>
  <conditionalFormatting sqref="H9:H12 H24:H37 H14:H17 H19:H22 H39">
    <cfRule type="cellIs" dxfId="6242" priority="31" operator="between">
      <formula>3.5</formula>
      <formula>6</formula>
    </cfRule>
    <cfRule type="cellIs" dxfId="6241" priority="32" operator="lessThan">
      <formula>3.5</formula>
    </cfRule>
    <cfRule type="cellIs" dxfId="6240" priority="33" operator="greaterThan">
      <formula>6</formula>
    </cfRule>
  </conditionalFormatting>
  <conditionalFormatting sqref="H23">
    <cfRule type="cellIs" dxfId="6239" priority="28" operator="between">
      <formula>3.5</formula>
      <formula>6</formula>
    </cfRule>
    <cfRule type="cellIs" dxfId="6238" priority="29" operator="lessThan">
      <formula>3.5</formula>
    </cfRule>
    <cfRule type="cellIs" dxfId="6237" priority="30" operator="greaterThan">
      <formula>6</formula>
    </cfRule>
  </conditionalFormatting>
  <conditionalFormatting sqref="H13">
    <cfRule type="cellIs" dxfId="6236" priority="25" operator="between">
      <formula>3.5</formula>
      <formula>6</formula>
    </cfRule>
    <cfRule type="cellIs" dxfId="6235" priority="26" operator="lessThan">
      <formula>3.5</formula>
    </cfRule>
    <cfRule type="cellIs" dxfId="6234" priority="27" operator="greaterThan">
      <formula>6</formula>
    </cfRule>
  </conditionalFormatting>
  <conditionalFormatting sqref="H18">
    <cfRule type="cellIs" dxfId="6233" priority="22" operator="between">
      <formula>3.5</formula>
      <formula>6</formula>
    </cfRule>
    <cfRule type="cellIs" dxfId="6232" priority="23" operator="lessThan">
      <formula>3.5</formula>
    </cfRule>
    <cfRule type="cellIs" dxfId="6231" priority="24" operator="greaterThan">
      <formula>6</formula>
    </cfRule>
  </conditionalFormatting>
  <conditionalFormatting sqref="H9:H39">
    <cfRule type="cellIs" dxfId="6230" priority="19" operator="between">
      <formula>3.5</formula>
      <formula>6</formula>
    </cfRule>
    <cfRule type="cellIs" dxfId="6229" priority="20" operator="lessThan">
      <formula>3.5</formula>
    </cfRule>
    <cfRule type="cellIs" dxfId="6228" priority="21" operator="greaterThan">
      <formula>6</formula>
    </cfRule>
  </conditionalFormatting>
  <conditionalFormatting sqref="H9:H39">
    <cfRule type="cellIs" dxfId="6227" priority="16" operator="between">
      <formula>3.5</formula>
      <formula>6</formula>
    </cfRule>
    <cfRule type="cellIs" dxfId="6226" priority="17" operator="lessThan">
      <formula>3.5</formula>
    </cfRule>
    <cfRule type="cellIs" dxfId="6225" priority="18" operator="greaterThan">
      <formula>6</formula>
    </cfRule>
  </conditionalFormatting>
  <conditionalFormatting sqref="H9:H39">
    <cfRule type="cellIs" dxfId="6224" priority="13" operator="between">
      <formula>3.5</formula>
      <formula>6</formula>
    </cfRule>
    <cfRule type="cellIs" dxfId="6223" priority="14" operator="lessThan">
      <formula>3.5</formula>
    </cfRule>
    <cfRule type="cellIs" dxfId="6222" priority="15" operator="greaterThan">
      <formula>6</formula>
    </cfRule>
  </conditionalFormatting>
  <conditionalFormatting sqref="H9:H39">
    <cfRule type="cellIs" dxfId="6221" priority="10" operator="between">
      <formula>3.5</formula>
      <formula>6</formula>
    </cfRule>
    <cfRule type="cellIs" dxfId="6220" priority="11" operator="lessThan">
      <formula>3.5</formula>
    </cfRule>
    <cfRule type="cellIs" dxfId="6219" priority="12" operator="greaterThan">
      <formula>6</formula>
    </cfRule>
  </conditionalFormatting>
  <conditionalFormatting sqref="H9:H39">
    <cfRule type="cellIs" dxfId="6218" priority="7" operator="between">
      <formula>3.5</formula>
      <formula>6</formula>
    </cfRule>
    <cfRule type="cellIs" dxfId="6217" priority="8" operator="lessThan">
      <formula>3.5</formula>
    </cfRule>
    <cfRule type="cellIs" dxfId="6216" priority="9" operator="greaterThan">
      <formula>6</formula>
    </cfRule>
  </conditionalFormatting>
  <conditionalFormatting sqref="H9:H39">
    <cfRule type="cellIs" dxfId="6215" priority="4" operator="between">
      <formula>3.5</formula>
      <formula>6</formula>
    </cfRule>
    <cfRule type="cellIs" dxfId="6214" priority="5" operator="lessThan">
      <formula>3.5</formula>
    </cfRule>
    <cfRule type="cellIs" dxfId="6213" priority="6" operator="greaterThan">
      <formula>6</formula>
    </cfRule>
  </conditionalFormatting>
  <conditionalFormatting sqref="H9:H39">
    <cfRule type="cellIs" dxfId="6212" priority="1" operator="between">
      <formula>3.5</formula>
      <formula>6</formula>
    </cfRule>
    <cfRule type="cellIs" dxfId="6211" priority="2" operator="lessThan">
      <formula>3.5</formula>
    </cfRule>
    <cfRule type="cellIs" dxfId="621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78"/>
      <c r="K3" s="1378"/>
      <c r="L3" s="1378"/>
      <c r="N3" s="442"/>
      <c r="O3" s="442"/>
      <c r="P3" s="442"/>
    </row>
    <row r="4" spans="1:27" s="1383" customFormat="1" ht="12" customHeight="1">
      <c r="A4" s="1648" t="s">
        <v>33</v>
      </c>
      <c r="B4" s="1648"/>
      <c r="C4" s="551" t="str">
        <f>H4</f>
        <v xml:space="preserve">VIDONA 30*60 nâu-HA </v>
      </c>
      <c r="E4" s="549" t="s">
        <v>228</v>
      </c>
      <c r="F4" s="549" t="s">
        <v>235</v>
      </c>
      <c r="G4" s="550" t="s">
        <v>114</v>
      </c>
      <c r="H4" s="551" t="s">
        <v>1187</v>
      </c>
      <c r="M4" s="143"/>
    </row>
    <row r="5" spans="1:27" s="1383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83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80" t="s">
        <v>2</v>
      </c>
      <c r="B7" s="1382" t="s">
        <v>1</v>
      </c>
      <c r="C7" s="138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79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4310</v>
      </c>
      <c r="E8" s="771">
        <f>E40</f>
        <v>3800</v>
      </c>
      <c r="F8" s="771"/>
      <c r="G8" s="774">
        <v>4310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81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4310</v>
      </c>
      <c r="H9" s="451">
        <f>G9/10417</f>
        <v>0.41374676010367667</v>
      </c>
      <c r="I9" s="772"/>
      <c r="J9" s="772"/>
      <c r="K9" s="772"/>
      <c r="L9" s="772"/>
      <c r="M9" s="650">
        <f>G9/$M$8</f>
        <v>0.39531129618079763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4310</v>
      </c>
      <c r="H10" s="451">
        <f t="shared" ref="H10:H39" si="2">G10/10417</f>
        <v>0.41374676010367667</v>
      </c>
      <c r="I10" s="772"/>
      <c r="J10" s="772"/>
      <c r="K10" s="772"/>
      <c r="L10" s="772"/>
      <c r="M10" s="650">
        <f t="shared" ref="M10:M39" si="3">G10/$M$8</f>
        <v>0.39531129618079763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2400</v>
      </c>
      <c r="F11" s="396">
        <f>$F$9</f>
        <v>10902.777777777777</v>
      </c>
      <c r="G11" s="396">
        <f t="shared" si="0"/>
        <v>1910</v>
      </c>
      <c r="H11" s="451">
        <f t="shared" si="2"/>
        <v>0.18335413266775463</v>
      </c>
      <c r="I11" s="772">
        <v>2400</v>
      </c>
      <c r="J11" s="772"/>
      <c r="K11" s="772"/>
      <c r="L11" s="772"/>
      <c r="M11" s="650">
        <f t="shared" si="3"/>
        <v>0.17518435631214002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1910</v>
      </c>
      <c r="H12" s="451">
        <f t="shared" si="2"/>
        <v>0.18335413266775463</v>
      </c>
      <c r="I12" s="772"/>
      <c r="J12" s="772"/>
      <c r="K12" s="772"/>
      <c r="L12" s="772"/>
      <c r="M12" s="650">
        <f t="shared" si="3"/>
        <v>0.17518435631214002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1910</v>
      </c>
      <c r="H13" s="451">
        <f t="shared" si="2"/>
        <v>0.18335413266775463</v>
      </c>
      <c r="I13" s="772"/>
      <c r="J13" s="772"/>
      <c r="K13" s="772"/>
      <c r="L13" s="772"/>
      <c r="M13" s="650">
        <f t="shared" si="3"/>
        <v>0.17518435631214002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1910</v>
      </c>
      <c r="H14" s="451">
        <f t="shared" si="2"/>
        <v>0.18335413266775463</v>
      </c>
      <c r="I14" s="772"/>
      <c r="J14" s="772"/>
      <c r="K14" s="772"/>
      <c r="L14" s="772"/>
      <c r="M14" s="650">
        <f t="shared" si="3"/>
        <v>0.17518435631214002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1400</v>
      </c>
      <c r="F15" s="396">
        <f t="shared" si="4"/>
        <v>10902.777777777777</v>
      </c>
      <c r="G15" s="396">
        <f t="shared" si="0"/>
        <v>510</v>
      </c>
      <c r="H15" s="451">
        <f t="shared" si="2"/>
        <v>4.8958433330133437E-2</v>
      </c>
      <c r="I15" s="772">
        <v>1400</v>
      </c>
      <c r="J15" s="772"/>
      <c r="K15" s="772"/>
      <c r="L15" s="772"/>
      <c r="M15" s="650">
        <f t="shared" si="3"/>
        <v>4.6776974722089741E-2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510</v>
      </c>
      <c r="H16" s="451">
        <f t="shared" si="2"/>
        <v>4.8958433330133437E-2</v>
      </c>
      <c r="I16" s="772"/>
      <c r="J16" s="772"/>
      <c r="K16" s="772"/>
      <c r="L16" s="772"/>
      <c r="M16" s="650">
        <f t="shared" si="3"/>
        <v>4.6776974722089741E-2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510</v>
      </c>
      <c r="H17" s="451">
        <f t="shared" si="2"/>
        <v>4.8958433330133437E-2</v>
      </c>
      <c r="I17" s="772"/>
      <c r="J17" s="772"/>
      <c r="K17" s="772"/>
      <c r="L17" s="772"/>
      <c r="M17" s="650">
        <f t="shared" si="3"/>
        <v>4.6776974722089741E-2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>
        <v>3100</v>
      </c>
      <c r="E18" s="396">
        <f t="shared" si="1"/>
        <v>0</v>
      </c>
      <c r="F18" s="396">
        <f t="shared" si="4"/>
        <v>10902.777777777777</v>
      </c>
      <c r="G18" s="769">
        <f t="shared" si="0"/>
        <v>3610</v>
      </c>
      <c r="H18" s="451">
        <f t="shared" si="2"/>
        <v>0.34654891043486608</v>
      </c>
      <c r="I18" s="772"/>
      <c r="J18" s="772"/>
      <c r="K18" s="772"/>
      <c r="L18" s="772"/>
      <c r="M18" s="650">
        <f t="shared" si="3"/>
        <v>0.3311076053857725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3610</v>
      </c>
      <c r="H19" s="451">
        <f t="shared" si="2"/>
        <v>0.34654891043486608</v>
      </c>
      <c r="I19" s="772"/>
      <c r="J19" s="772"/>
      <c r="K19" s="772"/>
      <c r="L19" s="772"/>
      <c r="M19" s="650">
        <f t="shared" si="3"/>
        <v>0.3311076053857725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3610</v>
      </c>
      <c r="H20" s="451">
        <f t="shared" si="2"/>
        <v>0.34654891043486608</v>
      </c>
      <c r="I20" s="772"/>
      <c r="J20" s="772"/>
      <c r="K20" s="772"/>
      <c r="L20" s="772"/>
      <c r="M20" s="650">
        <f t="shared" si="3"/>
        <v>0.3311076053857725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3610</v>
      </c>
      <c r="H21" s="451">
        <f t="shared" si="2"/>
        <v>0.34654891043486608</v>
      </c>
      <c r="I21" s="772"/>
      <c r="J21" s="772"/>
      <c r="K21" s="772"/>
      <c r="L21" s="772"/>
      <c r="M21" s="650">
        <f t="shared" si="3"/>
        <v>0.3311076053857725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3610</v>
      </c>
      <c r="H22" s="451">
        <f t="shared" si="2"/>
        <v>0.34654891043486608</v>
      </c>
      <c r="I22" s="772"/>
      <c r="J22" s="772"/>
      <c r="K22" s="772"/>
      <c r="L22" s="772"/>
      <c r="M22" s="650">
        <f t="shared" si="3"/>
        <v>0.3311076053857725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3610</v>
      </c>
      <c r="H23" s="451">
        <f t="shared" si="2"/>
        <v>0.34654891043486608</v>
      </c>
      <c r="I23" s="772"/>
      <c r="J23" s="772"/>
      <c r="K23" s="772"/>
      <c r="L23" s="772"/>
      <c r="M23" s="650">
        <f t="shared" si="3"/>
        <v>0.3311076053857725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3610</v>
      </c>
      <c r="H24" s="451">
        <f t="shared" si="2"/>
        <v>0.34654891043486608</v>
      </c>
      <c r="I24" s="772"/>
      <c r="J24" s="772"/>
      <c r="K24" s="772"/>
      <c r="L24" s="772"/>
      <c r="M24" s="650">
        <f t="shared" si="3"/>
        <v>0.3311076053857725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3610</v>
      </c>
      <c r="H25" s="451">
        <f t="shared" si="2"/>
        <v>0.34654891043486608</v>
      </c>
      <c r="I25" s="772"/>
      <c r="J25" s="772"/>
      <c r="K25" s="772"/>
      <c r="L25" s="772"/>
      <c r="M25" s="650">
        <f t="shared" si="3"/>
        <v>0.3311076053857725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3610</v>
      </c>
      <c r="H26" s="451">
        <f t="shared" si="2"/>
        <v>0.34654891043486608</v>
      </c>
      <c r="I26" s="772"/>
      <c r="J26" s="772"/>
      <c r="K26" s="772"/>
      <c r="L26" s="772"/>
      <c r="M26" s="650">
        <f t="shared" si="3"/>
        <v>0.3311076053857725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3610</v>
      </c>
      <c r="H27" s="451">
        <f t="shared" si="2"/>
        <v>0.34654891043486608</v>
      </c>
      <c r="I27" s="772"/>
      <c r="J27" s="772"/>
      <c r="K27" s="772"/>
      <c r="L27" s="772"/>
      <c r="M27" s="650">
        <f t="shared" si="3"/>
        <v>0.3311076053857725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3610</v>
      </c>
      <c r="H28" s="451">
        <f t="shared" si="2"/>
        <v>0.34654891043486608</v>
      </c>
      <c r="I28" s="772"/>
      <c r="J28" s="772"/>
      <c r="K28" s="772"/>
      <c r="L28" s="772"/>
      <c r="M28" s="650">
        <f t="shared" si="3"/>
        <v>0.3311076053857725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3610</v>
      </c>
      <c r="H29" s="451">
        <f t="shared" si="2"/>
        <v>0.34654891043486608</v>
      </c>
      <c r="I29" s="772"/>
      <c r="J29" s="772"/>
      <c r="K29" s="772"/>
      <c r="L29" s="772"/>
      <c r="M29" s="650">
        <f t="shared" si="3"/>
        <v>0.3311076053857725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3610</v>
      </c>
      <c r="H30" s="451">
        <f t="shared" si="2"/>
        <v>0.34654891043486608</v>
      </c>
      <c r="I30" s="772"/>
      <c r="J30" s="772"/>
      <c r="K30" s="772"/>
      <c r="L30" s="772"/>
      <c r="M30" s="650">
        <f t="shared" si="3"/>
        <v>0.3311076053857725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3610</v>
      </c>
      <c r="H31" s="451">
        <f t="shared" si="2"/>
        <v>0.34654891043486608</v>
      </c>
      <c r="I31" s="772"/>
      <c r="J31" s="772"/>
      <c r="K31" s="772"/>
      <c r="L31" s="772"/>
      <c r="M31" s="650">
        <f t="shared" si="3"/>
        <v>0.3311076053857725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3610</v>
      </c>
      <c r="H32" s="451">
        <f t="shared" si="2"/>
        <v>0.34654891043486608</v>
      </c>
      <c r="I32" s="772"/>
      <c r="J32" s="772"/>
      <c r="K32" s="772"/>
      <c r="L32" s="772"/>
      <c r="M32" s="650">
        <f t="shared" si="3"/>
        <v>0.3311076053857725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3610</v>
      </c>
      <c r="H33" s="451">
        <f t="shared" si="2"/>
        <v>0.34654891043486608</v>
      </c>
      <c r="I33" s="772"/>
      <c r="J33" s="772"/>
      <c r="K33" s="772"/>
      <c r="L33" s="772"/>
      <c r="M33" s="650">
        <f t="shared" si="3"/>
        <v>0.3311076053857725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3610</v>
      </c>
      <c r="H34" s="451">
        <f t="shared" si="2"/>
        <v>0.34654891043486608</v>
      </c>
      <c r="I34" s="772"/>
      <c r="J34" s="772"/>
      <c r="K34" s="772"/>
      <c r="L34" s="772"/>
      <c r="M34" s="650">
        <f t="shared" si="3"/>
        <v>0.3311076053857725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3610</v>
      </c>
      <c r="H35" s="451">
        <f t="shared" si="2"/>
        <v>0.34654891043486608</v>
      </c>
      <c r="I35" s="772"/>
      <c r="J35" s="772"/>
      <c r="K35" s="772"/>
      <c r="L35" s="772"/>
      <c r="M35" s="650">
        <f t="shared" si="3"/>
        <v>0.3311076053857725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3610</v>
      </c>
      <c r="H36" s="451">
        <f t="shared" si="2"/>
        <v>0.34654891043486608</v>
      </c>
      <c r="I36" s="772"/>
      <c r="J36" s="772"/>
      <c r="K36" s="772"/>
      <c r="L36" s="772"/>
      <c r="M36" s="650">
        <f t="shared" si="3"/>
        <v>0.3311076053857725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3610</v>
      </c>
      <c r="H37" s="451">
        <f t="shared" si="2"/>
        <v>0.34654891043486608</v>
      </c>
      <c r="I37" s="772"/>
      <c r="J37" s="772"/>
      <c r="K37" s="772"/>
      <c r="L37" s="772"/>
      <c r="M37" s="650">
        <f t="shared" si="3"/>
        <v>0.3311076053857725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3610</v>
      </c>
      <c r="H38" s="451">
        <f t="shared" si="2"/>
        <v>0.34654891043486608</v>
      </c>
      <c r="I38" s="772"/>
      <c r="J38" s="772"/>
      <c r="K38" s="772"/>
      <c r="L38" s="772"/>
      <c r="M38" s="650">
        <f t="shared" si="3"/>
        <v>0.3311076053857725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245.16129032258064</v>
      </c>
      <c r="G39" s="396">
        <f t="shared" si="0"/>
        <v>3610</v>
      </c>
      <c r="H39" s="451">
        <f t="shared" si="2"/>
        <v>0.34654891043486608</v>
      </c>
      <c r="I39" s="772"/>
      <c r="J39" s="772"/>
      <c r="K39" s="772"/>
      <c r="L39" s="772"/>
      <c r="M39" s="650">
        <f t="shared" si="3"/>
        <v>0.3311076053857725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3100</v>
      </c>
      <c r="E40" s="389">
        <f>SUM(E9:E39)</f>
        <v>3800</v>
      </c>
      <c r="F40" s="449"/>
      <c r="G40" s="389">
        <f>G39</f>
        <v>3610</v>
      </c>
      <c r="H40" s="309"/>
      <c r="I40" s="689">
        <f>SUM(I9:I39)</f>
        <v>3800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7410</v>
      </c>
      <c r="E41" s="389">
        <f>E40</f>
        <v>3800</v>
      </c>
      <c r="F41" s="449"/>
      <c r="G41" s="389">
        <f>D41-E41</f>
        <v>3610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3800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209" priority="34" operator="between">
      <formula>3.5</formula>
      <formula>6</formula>
    </cfRule>
    <cfRule type="cellIs" dxfId="6208" priority="35" operator="lessThan">
      <formula>3.5</formula>
    </cfRule>
    <cfRule type="cellIs" dxfId="6207" priority="36" operator="greaterThan">
      <formula>6</formula>
    </cfRule>
  </conditionalFormatting>
  <conditionalFormatting sqref="H9:H12 H24:H37 H14:H17 H19:H22 H39">
    <cfRule type="cellIs" dxfId="6206" priority="31" operator="between">
      <formula>3.5</formula>
      <formula>6</formula>
    </cfRule>
    <cfRule type="cellIs" dxfId="6205" priority="32" operator="lessThan">
      <formula>3.5</formula>
    </cfRule>
    <cfRule type="cellIs" dxfId="6204" priority="33" operator="greaterThan">
      <formula>6</formula>
    </cfRule>
  </conditionalFormatting>
  <conditionalFormatting sqref="H23">
    <cfRule type="cellIs" dxfId="6203" priority="28" operator="between">
      <formula>3.5</formula>
      <formula>6</formula>
    </cfRule>
    <cfRule type="cellIs" dxfId="6202" priority="29" operator="lessThan">
      <formula>3.5</formula>
    </cfRule>
    <cfRule type="cellIs" dxfId="6201" priority="30" operator="greaterThan">
      <formula>6</formula>
    </cfRule>
  </conditionalFormatting>
  <conditionalFormatting sqref="H13">
    <cfRule type="cellIs" dxfId="6200" priority="25" operator="between">
      <formula>3.5</formula>
      <formula>6</formula>
    </cfRule>
    <cfRule type="cellIs" dxfId="6199" priority="26" operator="lessThan">
      <formula>3.5</formula>
    </cfRule>
    <cfRule type="cellIs" dxfId="6198" priority="27" operator="greaterThan">
      <formula>6</formula>
    </cfRule>
  </conditionalFormatting>
  <conditionalFormatting sqref="H18">
    <cfRule type="cellIs" dxfId="6197" priority="22" operator="between">
      <formula>3.5</formula>
      <formula>6</formula>
    </cfRule>
    <cfRule type="cellIs" dxfId="6196" priority="23" operator="lessThan">
      <formula>3.5</formula>
    </cfRule>
    <cfRule type="cellIs" dxfId="6195" priority="24" operator="greaterThan">
      <formula>6</formula>
    </cfRule>
  </conditionalFormatting>
  <conditionalFormatting sqref="H9:H39">
    <cfRule type="cellIs" dxfId="6194" priority="19" operator="between">
      <formula>3.5</formula>
      <formula>6</formula>
    </cfRule>
    <cfRule type="cellIs" dxfId="6193" priority="20" operator="lessThan">
      <formula>3.5</formula>
    </cfRule>
    <cfRule type="cellIs" dxfId="6192" priority="21" operator="greaterThan">
      <formula>6</formula>
    </cfRule>
  </conditionalFormatting>
  <conditionalFormatting sqref="H9:H39">
    <cfRule type="cellIs" dxfId="6191" priority="16" operator="between">
      <formula>3.5</formula>
      <formula>6</formula>
    </cfRule>
    <cfRule type="cellIs" dxfId="6190" priority="17" operator="lessThan">
      <formula>3.5</formula>
    </cfRule>
    <cfRule type="cellIs" dxfId="6189" priority="18" operator="greaterThan">
      <formula>6</formula>
    </cfRule>
  </conditionalFormatting>
  <conditionalFormatting sqref="H9:H39">
    <cfRule type="cellIs" dxfId="6188" priority="13" operator="between">
      <formula>3.5</formula>
      <formula>6</formula>
    </cfRule>
    <cfRule type="cellIs" dxfId="6187" priority="14" operator="lessThan">
      <formula>3.5</formula>
    </cfRule>
    <cfRule type="cellIs" dxfId="6186" priority="15" operator="greaterThan">
      <formula>6</formula>
    </cfRule>
  </conditionalFormatting>
  <conditionalFormatting sqref="H9:H39">
    <cfRule type="cellIs" dxfId="6185" priority="10" operator="between">
      <formula>3.5</formula>
      <formula>6</formula>
    </cfRule>
    <cfRule type="cellIs" dxfId="6184" priority="11" operator="lessThan">
      <formula>3.5</formula>
    </cfRule>
    <cfRule type="cellIs" dxfId="6183" priority="12" operator="greaterThan">
      <formula>6</formula>
    </cfRule>
  </conditionalFormatting>
  <conditionalFormatting sqref="H9:H39">
    <cfRule type="cellIs" dxfId="6182" priority="7" operator="between">
      <formula>3.5</formula>
      <formula>6</formula>
    </cfRule>
    <cfRule type="cellIs" dxfId="6181" priority="8" operator="lessThan">
      <formula>3.5</formula>
    </cfRule>
    <cfRule type="cellIs" dxfId="6180" priority="9" operator="greaterThan">
      <formula>6</formula>
    </cfRule>
  </conditionalFormatting>
  <conditionalFormatting sqref="H9:H39">
    <cfRule type="cellIs" dxfId="6179" priority="4" operator="between">
      <formula>3.5</formula>
      <formula>6</formula>
    </cfRule>
    <cfRule type="cellIs" dxfId="6178" priority="5" operator="lessThan">
      <formula>3.5</formula>
    </cfRule>
    <cfRule type="cellIs" dxfId="6177" priority="6" operator="greaterThan">
      <formula>6</formula>
    </cfRule>
  </conditionalFormatting>
  <conditionalFormatting sqref="H9:H39">
    <cfRule type="cellIs" dxfId="6176" priority="1" operator="between">
      <formula>3.5</formula>
      <formula>6</formula>
    </cfRule>
    <cfRule type="cellIs" dxfId="6175" priority="2" operator="lessThan">
      <formula>3.5</formula>
    </cfRule>
    <cfRule type="cellIs" dxfId="617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D9" sqref="D9:D18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72"/>
      <c r="K3" s="1372"/>
      <c r="L3" s="1372"/>
      <c r="N3" s="442"/>
      <c r="O3" s="442"/>
      <c r="P3" s="442"/>
    </row>
    <row r="4" spans="1:27" s="1377" customFormat="1" ht="12" customHeight="1">
      <c r="A4" s="1648" t="s">
        <v>33</v>
      </c>
      <c r="B4" s="1648"/>
      <c r="C4" s="551" t="str">
        <f>H4</f>
        <v xml:space="preserve">KARPO 50*50 nâu-HA </v>
      </c>
      <c r="E4" s="549" t="s">
        <v>228</v>
      </c>
      <c r="F4" s="549" t="s">
        <v>235</v>
      </c>
      <c r="G4" s="550" t="s">
        <v>114</v>
      </c>
      <c r="H4" s="551" t="s">
        <v>1181</v>
      </c>
      <c r="M4" s="143"/>
    </row>
    <row r="5" spans="1:27" s="137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77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74" t="s">
        <v>2</v>
      </c>
      <c r="B7" s="1376" t="s">
        <v>1</v>
      </c>
      <c r="C7" s="137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73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962</v>
      </c>
      <c r="E8" s="771">
        <f>E40</f>
        <v>0</v>
      </c>
      <c r="F8" s="771"/>
      <c r="G8" s="774">
        <v>962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75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962</v>
      </c>
      <c r="H9" s="451">
        <f>G9/10417</f>
        <v>9.2349044830565427E-2</v>
      </c>
      <c r="I9" s="772"/>
      <c r="J9" s="772"/>
      <c r="K9" s="772"/>
      <c r="L9" s="772"/>
      <c r="M9" s="650">
        <f>G9/$M$8</f>
        <v>8.8234215064020252E-2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962</v>
      </c>
      <c r="H10" s="451">
        <f t="shared" ref="H10:H39" si="2">G10/10417</f>
        <v>9.2349044830565427E-2</v>
      </c>
      <c r="I10" s="772"/>
      <c r="J10" s="772"/>
      <c r="K10" s="772"/>
      <c r="L10" s="772"/>
      <c r="M10" s="650">
        <f t="shared" ref="M10:M39" si="3">G10/$M$8</f>
        <v>8.8234215064020252E-2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962</v>
      </c>
      <c r="H11" s="451">
        <f t="shared" si="2"/>
        <v>9.2349044830565427E-2</v>
      </c>
      <c r="I11" s="772"/>
      <c r="J11" s="772"/>
      <c r="K11" s="772"/>
      <c r="L11" s="772"/>
      <c r="M11" s="650">
        <f t="shared" si="3"/>
        <v>8.8234215064020252E-2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962</v>
      </c>
      <c r="H12" s="451">
        <f t="shared" si="2"/>
        <v>9.2349044830565427E-2</v>
      </c>
      <c r="I12" s="772"/>
      <c r="J12" s="772"/>
      <c r="K12" s="772"/>
      <c r="L12" s="772"/>
      <c r="M12" s="650">
        <f t="shared" si="3"/>
        <v>8.8234215064020252E-2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962</v>
      </c>
      <c r="H13" s="451">
        <f t="shared" si="2"/>
        <v>9.2349044830565427E-2</v>
      </c>
      <c r="I13" s="772"/>
      <c r="J13" s="772"/>
      <c r="K13" s="772"/>
      <c r="L13" s="772"/>
      <c r="M13" s="650">
        <f t="shared" si="3"/>
        <v>8.8234215064020252E-2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962</v>
      </c>
      <c r="H14" s="451">
        <f t="shared" si="2"/>
        <v>9.2349044830565427E-2</v>
      </c>
      <c r="I14" s="772"/>
      <c r="J14" s="772"/>
      <c r="K14" s="772"/>
      <c r="L14" s="772"/>
      <c r="M14" s="650">
        <f t="shared" si="3"/>
        <v>8.8234215064020252E-2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962</v>
      </c>
      <c r="H15" s="451">
        <f t="shared" si="2"/>
        <v>9.2349044830565427E-2</v>
      </c>
      <c r="I15" s="772"/>
      <c r="J15" s="772"/>
      <c r="K15" s="772"/>
      <c r="L15" s="772"/>
      <c r="M15" s="650">
        <f t="shared" si="3"/>
        <v>8.8234215064020252E-2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962</v>
      </c>
      <c r="H16" s="451">
        <f t="shared" si="2"/>
        <v>9.2349044830565427E-2</v>
      </c>
      <c r="I16" s="772"/>
      <c r="J16" s="772"/>
      <c r="K16" s="772"/>
      <c r="L16" s="772"/>
      <c r="M16" s="650">
        <f t="shared" si="3"/>
        <v>8.8234215064020252E-2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962</v>
      </c>
      <c r="H17" s="451">
        <f t="shared" si="2"/>
        <v>9.2349044830565427E-2</v>
      </c>
      <c r="I17" s="772"/>
      <c r="J17" s="772"/>
      <c r="K17" s="772"/>
      <c r="L17" s="772"/>
      <c r="M17" s="650">
        <f t="shared" si="3"/>
        <v>8.8234215064020252E-2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962</v>
      </c>
      <c r="H18" s="451">
        <f t="shared" si="2"/>
        <v>9.2349044830565427E-2</v>
      </c>
      <c r="I18" s="772"/>
      <c r="J18" s="772"/>
      <c r="K18" s="772"/>
      <c r="L18" s="772"/>
      <c r="M18" s="650">
        <f t="shared" si="3"/>
        <v>8.8234215064020252E-2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962</v>
      </c>
      <c r="H19" s="451">
        <f t="shared" si="2"/>
        <v>9.2349044830565427E-2</v>
      </c>
      <c r="I19" s="772"/>
      <c r="J19" s="772"/>
      <c r="K19" s="772"/>
      <c r="L19" s="772"/>
      <c r="M19" s="650">
        <f t="shared" si="3"/>
        <v>8.8234215064020252E-2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962</v>
      </c>
      <c r="H20" s="451">
        <f t="shared" si="2"/>
        <v>9.2349044830565427E-2</v>
      </c>
      <c r="I20" s="772"/>
      <c r="J20" s="772"/>
      <c r="K20" s="772"/>
      <c r="L20" s="772"/>
      <c r="M20" s="650">
        <f t="shared" si="3"/>
        <v>8.8234215064020252E-2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962</v>
      </c>
      <c r="H21" s="451">
        <f t="shared" si="2"/>
        <v>9.2349044830565427E-2</v>
      </c>
      <c r="I21" s="772"/>
      <c r="J21" s="772"/>
      <c r="K21" s="772"/>
      <c r="L21" s="772"/>
      <c r="M21" s="650">
        <f t="shared" si="3"/>
        <v>8.8234215064020252E-2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962</v>
      </c>
      <c r="H22" s="451">
        <f t="shared" si="2"/>
        <v>9.2349044830565427E-2</v>
      </c>
      <c r="I22" s="772"/>
      <c r="J22" s="772"/>
      <c r="K22" s="772"/>
      <c r="L22" s="772"/>
      <c r="M22" s="650">
        <f t="shared" si="3"/>
        <v>8.8234215064020252E-2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962</v>
      </c>
      <c r="H23" s="451">
        <f t="shared" si="2"/>
        <v>9.2349044830565427E-2</v>
      </c>
      <c r="I23" s="772"/>
      <c r="J23" s="772"/>
      <c r="K23" s="772"/>
      <c r="L23" s="772"/>
      <c r="M23" s="650">
        <f t="shared" si="3"/>
        <v>8.8234215064020252E-2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962</v>
      </c>
      <c r="H24" s="451">
        <f t="shared" si="2"/>
        <v>9.2349044830565427E-2</v>
      </c>
      <c r="I24" s="772"/>
      <c r="J24" s="772"/>
      <c r="K24" s="772"/>
      <c r="L24" s="772"/>
      <c r="M24" s="650">
        <f t="shared" si="3"/>
        <v>8.8234215064020252E-2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962</v>
      </c>
      <c r="H25" s="451">
        <f t="shared" si="2"/>
        <v>9.2349044830565427E-2</v>
      </c>
      <c r="I25" s="772"/>
      <c r="J25" s="772"/>
      <c r="K25" s="772"/>
      <c r="L25" s="772"/>
      <c r="M25" s="650">
        <f t="shared" si="3"/>
        <v>8.8234215064020252E-2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962</v>
      </c>
      <c r="H26" s="451">
        <f t="shared" si="2"/>
        <v>9.2349044830565427E-2</v>
      </c>
      <c r="I26" s="772"/>
      <c r="J26" s="772"/>
      <c r="K26" s="772"/>
      <c r="L26" s="772"/>
      <c r="M26" s="650">
        <f t="shared" si="3"/>
        <v>8.8234215064020252E-2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962</v>
      </c>
      <c r="H27" s="451">
        <f t="shared" si="2"/>
        <v>9.2349044830565427E-2</v>
      </c>
      <c r="I27" s="772"/>
      <c r="J27" s="772"/>
      <c r="K27" s="772"/>
      <c r="L27" s="772"/>
      <c r="M27" s="650">
        <f t="shared" si="3"/>
        <v>8.8234215064020252E-2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962</v>
      </c>
      <c r="H28" s="451">
        <f t="shared" si="2"/>
        <v>9.2349044830565427E-2</v>
      </c>
      <c r="I28" s="772"/>
      <c r="J28" s="772"/>
      <c r="K28" s="772"/>
      <c r="L28" s="772"/>
      <c r="M28" s="650">
        <f t="shared" si="3"/>
        <v>8.8234215064020252E-2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962</v>
      </c>
      <c r="H29" s="451">
        <f t="shared" si="2"/>
        <v>9.2349044830565427E-2</v>
      </c>
      <c r="I29" s="772"/>
      <c r="J29" s="772"/>
      <c r="K29" s="772"/>
      <c r="L29" s="772"/>
      <c r="M29" s="650">
        <f t="shared" si="3"/>
        <v>8.8234215064020252E-2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962</v>
      </c>
      <c r="H30" s="451">
        <f t="shared" si="2"/>
        <v>9.2349044830565427E-2</v>
      </c>
      <c r="I30" s="772"/>
      <c r="J30" s="772"/>
      <c r="K30" s="772"/>
      <c r="L30" s="772"/>
      <c r="M30" s="650">
        <f t="shared" si="3"/>
        <v>8.8234215064020252E-2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962</v>
      </c>
      <c r="H31" s="451">
        <f t="shared" si="2"/>
        <v>9.2349044830565427E-2</v>
      </c>
      <c r="I31" s="772"/>
      <c r="J31" s="772"/>
      <c r="K31" s="772"/>
      <c r="L31" s="772"/>
      <c r="M31" s="650">
        <f t="shared" si="3"/>
        <v>8.8234215064020252E-2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962</v>
      </c>
      <c r="H32" s="451">
        <f t="shared" si="2"/>
        <v>9.2349044830565427E-2</v>
      </c>
      <c r="I32" s="772"/>
      <c r="J32" s="772"/>
      <c r="K32" s="772"/>
      <c r="L32" s="772"/>
      <c r="M32" s="650">
        <f t="shared" si="3"/>
        <v>8.8234215064020252E-2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962</v>
      </c>
      <c r="H33" s="451">
        <f t="shared" si="2"/>
        <v>9.2349044830565427E-2</v>
      </c>
      <c r="I33" s="772"/>
      <c r="J33" s="772"/>
      <c r="K33" s="772"/>
      <c r="L33" s="772"/>
      <c r="M33" s="650">
        <f t="shared" si="3"/>
        <v>8.8234215064020252E-2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962</v>
      </c>
      <c r="H34" s="451">
        <f t="shared" si="2"/>
        <v>9.2349044830565427E-2</v>
      </c>
      <c r="I34" s="772"/>
      <c r="J34" s="772"/>
      <c r="K34" s="772"/>
      <c r="L34" s="772"/>
      <c r="M34" s="650">
        <f t="shared" si="3"/>
        <v>8.8234215064020252E-2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962</v>
      </c>
      <c r="H35" s="451">
        <f t="shared" si="2"/>
        <v>9.2349044830565427E-2</v>
      </c>
      <c r="I35" s="772"/>
      <c r="J35" s="772"/>
      <c r="K35" s="772"/>
      <c r="L35" s="772"/>
      <c r="M35" s="650">
        <f t="shared" si="3"/>
        <v>8.8234215064020252E-2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962</v>
      </c>
      <c r="H36" s="451">
        <f t="shared" si="2"/>
        <v>9.2349044830565427E-2</v>
      </c>
      <c r="I36" s="772"/>
      <c r="J36" s="772"/>
      <c r="K36" s="772"/>
      <c r="L36" s="772"/>
      <c r="M36" s="650">
        <f t="shared" si="3"/>
        <v>8.8234215064020252E-2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962</v>
      </c>
      <c r="H37" s="451">
        <f t="shared" si="2"/>
        <v>9.2349044830565427E-2</v>
      </c>
      <c r="I37" s="772"/>
      <c r="J37" s="772"/>
      <c r="K37" s="772"/>
      <c r="L37" s="772"/>
      <c r="M37" s="650">
        <f t="shared" si="3"/>
        <v>8.8234215064020252E-2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962</v>
      </c>
      <c r="H38" s="451">
        <f t="shared" si="2"/>
        <v>9.2349044830565427E-2</v>
      </c>
      <c r="I38" s="772"/>
      <c r="J38" s="772"/>
      <c r="K38" s="772"/>
      <c r="L38" s="772"/>
      <c r="M38" s="650">
        <f t="shared" si="3"/>
        <v>8.8234215064020252E-2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962</v>
      </c>
      <c r="H39" s="451">
        <f t="shared" si="2"/>
        <v>9.2349044830565427E-2</v>
      </c>
      <c r="I39" s="772"/>
      <c r="J39" s="772"/>
      <c r="K39" s="772"/>
      <c r="L39" s="772"/>
      <c r="M39" s="650">
        <f t="shared" si="3"/>
        <v>8.8234215064020252E-2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962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962</v>
      </c>
      <c r="E41" s="389">
        <f>E40</f>
        <v>0</v>
      </c>
      <c r="F41" s="449"/>
      <c r="G41" s="389">
        <f>D41-E41</f>
        <v>962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173" priority="34" operator="between">
      <formula>3.5</formula>
      <formula>6</formula>
    </cfRule>
    <cfRule type="cellIs" dxfId="6172" priority="35" operator="lessThan">
      <formula>3.5</formula>
    </cfRule>
    <cfRule type="cellIs" dxfId="6171" priority="36" operator="greaterThan">
      <formula>6</formula>
    </cfRule>
  </conditionalFormatting>
  <conditionalFormatting sqref="H9:H12 H24:H37 H14:H17 H19:H22 H39">
    <cfRule type="cellIs" dxfId="6170" priority="31" operator="between">
      <formula>3.5</formula>
      <formula>6</formula>
    </cfRule>
    <cfRule type="cellIs" dxfId="6169" priority="32" operator="lessThan">
      <formula>3.5</formula>
    </cfRule>
    <cfRule type="cellIs" dxfId="6168" priority="33" operator="greaterThan">
      <formula>6</formula>
    </cfRule>
  </conditionalFormatting>
  <conditionalFormatting sqref="H23">
    <cfRule type="cellIs" dxfId="6167" priority="28" operator="between">
      <formula>3.5</formula>
      <formula>6</formula>
    </cfRule>
    <cfRule type="cellIs" dxfId="6166" priority="29" operator="lessThan">
      <formula>3.5</formula>
    </cfRule>
    <cfRule type="cellIs" dxfId="6165" priority="30" operator="greaterThan">
      <formula>6</formula>
    </cfRule>
  </conditionalFormatting>
  <conditionalFormatting sqref="H13">
    <cfRule type="cellIs" dxfId="6164" priority="25" operator="between">
      <formula>3.5</formula>
      <formula>6</formula>
    </cfRule>
    <cfRule type="cellIs" dxfId="6163" priority="26" operator="lessThan">
      <formula>3.5</formula>
    </cfRule>
    <cfRule type="cellIs" dxfId="6162" priority="27" operator="greaterThan">
      <formula>6</formula>
    </cfRule>
  </conditionalFormatting>
  <conditionalFormatting sqref="H18">
    <cfRule type="cellIs" dxfId="6161" priority="22" operator="between">
      <formula>3.5</formula>
      <formula>6</formula>
    </cfRule>
    <cfRule type="cellIs" dxfId="6160" priority="23" operator="lessThan">
      <formula>3.5</formula>
    </cfRule>
    <cfRule type="cellIs" dxfId="6159" priority="24" operator="greaterThan">
      <formula>6</formula>
    </cfRule>
  </conditionalFormatting>
  <conditionalFormatting sqref="H9:H39">
    <cfRule type="cellIs" dxfId="6158" priority="19" operator="between">
      <formula>3.5</formula>
      <formula>6</formula>
    </cfRule>
    <cfRule type="cellIs" dxfId="6157" priority="20" operator="lessThan">
      <formula>3.5</formula>
    </cfRule>
    <cfRule type="cellIs" dxfId="6156" priority="21" operator="greaterThan">
      <formula>6</formula>
    </cfRule>
  </conditionalFormatting>
  <conditionalFormatting sqref="H9:H39">
    <cfRule type="cellIs" dxfId="6155" priority="16" operator="between">
      <formula>3.5</formula>
      <formula>6</formula>
    </cfRule>
    <cfRule type="cellIs" dxfId="6154" priority="17" operator="lessThan">
      <formula>3.5</formula>
    </cfRule>
    <cfRule type="cellIs" dxfId="6153" priority="18" operator="greaterThan">
      <formula>6</formula>
    </cfRule>
  </conditionalFormatting>
  <conditionalFormatting sqref="H9:H39">
    <cfRule type="cellIs" dxfId="6152" priority="13" operator="between">
      <formula>3.5</formula>
      <formula>6</formula>
    </cfRule>
    <cfRule type="cellIs" dxfId="6151" priority="14" operator="lessThan">
      <formula>3.5</formula>
    </cfRule>
    <cfRule type="cellIs" dxfId="6150" priority="15" operator="greaterThan">
      <formula>6</formula>
    </cfRule>
  </conditionalFormatting>
  <conditionalFormatting sqref="H9:H39">
    <cfRule type="cellIs" dxfId="6149" priority="10" operator="between">
      <formula>3.5</formula>
      <formula>6</formula>
    </cfRule>
    <cfRule type="cellIs" dxfId="6148" priority="11" operator="lessThan">
      <formula>3.5</formula>
    </cfRule>
    <cfRule type="cellIs" dxfId="6147" priority="12" operator="greaterThan">
      <formula>6</formula>
    </cfRule>
  </conditionalFormatting>
  <conditionalFormatting sqref="H9:H39">
    <cfRule type="cellIs" dxfId="6146" priority="7" operator="between">
      <formula>3.5</formula>
      <formula>6</formula>
    </cfRule>
    <cfRule type="cellIs" dxfId="6145" priority="8" operator="lessThan">
      <formula>3.5</formula>
    </cfRule>
    <cfRule type="cellIs" dxfId="6144" priority="9" operator="greaterThan">
      <formula>6</formula>
    </cfRule>
  </conditionalFormatting>
  <conditionalFormatting sqref="H9:H39">
    <cfRule type="cellIs" dxfId="6143" priority="4" operator="between">
      <formula>3.5</formula>
      <formula>6</formula>
    </cfRule>
    <cfRule type="cellIs" dxfId="6142" priority="5" operator="lessThan">
      <formula>3.5</formula>
    </cfRule>
    <cfRule type="cellIs" dxfId="6141" priority="6" operator="greaterThan">
      <formula>6</formula>
    </cfRule>
  </conditionalFormatting>
  <conditionalFormatting sqref="H9:H39">
    <cfRule type="cellIs" dxfId="6140" priority="1" operator="between">
      <formula>3.5</formula>
      <formula>6</formula>
    </cfRule>
    <cfRule type="cellIs" dxfId="6139" priority="2" operator="lessThan">
      <formula>3.5</formula>
    </cfRule>
    <cfRule type="cellIs" dxfId="613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D13" sqref="D13:D19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72"/>
      <c r="K3" s="1372"/>
      <c r="L3" s="1372"/>
      <c r="N3" s="442"/>
      <c r="O3" s="442"/>
      <c r="P3" s="442"/>
    </row>
    <row r="4" spans="1:27" s="1377" customFormat="1" ht="12" customHeight="1">
      <c r="A4" s="1648" t="s">
        <v>33</v>
      </c>
      <c r="B4" s="1648"/>
      <c r="C4" s="551" t="str">
        <f>H4</f>
        <v xml:space="preserve">VIDONA 50*50 nâu-HA </v>
      </c>
      <c r="E4" s="549" t="s">
        <v>228</v>
      </c>
      <c r="F4" s="549" t="s">
        <v>235</v>
      </c>
      <c r="G4" s="550" t="s">
        <v>114</v>
      </c>
      <c r="H4" s="551" t="s">
        <v>1183</v>
      </c>
      <c r="M4" s="143"/>
    </row>
    <row r="5" spans="1:27" s="137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77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74" t="s">
        <v>2</v>
      </c>
      <c r="B7" s="1376" t="s">
        <v>1</v>
      </c>
      <c r="C7" s="137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73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75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137" priority="34" operator="between">
      <formula>3.5</formula>
      <formula>6</formula>
    </cfRule>
    <cfRule type="cellIs" dxfId="6136" priority="35" operator="lessThan">
      <formula>3.5</formula>
    </cfRule>
    <cfRule type="cellIs" dxfId="6135" priority="36" operator="greaterThan">
      <formula>6</formula>
    </cfRule>
  </conditionalFormatting>
  <conditionalFormatting sqref="H9:H12 H24:H37 H14:H17 H19:H22 H39">
    <cfRule type="cellIs" dxfId="6134" priority="31" operator="between">
      <formula>3.5</formula>
      <formula>6</formula>
    </cfRule>
    <cfRule type="cellIs" dxfId="6133" priority="32" operator="lessThan">
      <formula>3.5</formula>
    </cfRule>
    <cfRule type="cellIs" dxfId="6132" priority="33" operator="greaterThan">
      <formula>6</formula>
    </cfRule>
  </conditionalFormatting>
  <conditionalFormatting sqref="H23">
    <cfRule type="cellIs" dxfId="6131" priority="28" operator="between">
      <formula>3.5</formula>
      <formula>6</formula>
    </cfRule>
    <cfRule type="cellIs" dxfId="6130" priority="29" operator="lessThan">
      <formula>3.5</formula>
    </cfRule>
    <cfRule type="cellIs" dxfId="6129" priority="30" operator="greaterThan">
      <formula>6</formula>
    </cfRule>
  </conditionalFormatting>
  <conditionalFormatting sqref="H13">
    <cfRule type="cellIs" dxfId="6128" priority="25" operator="between">
      <formula>3.5</formula>
      <formula>6</formula>
    </cfRule>
    <cfRule type="cellIs" dxfId="6127" priority="26" operator="lessThan">
      <formula>3.5</formula>
    </cfRule>
    <cfRule type="cellIs" dxfId="6126" priority="27" operator="greaterThan">
      <formula>6</formula>
    </cfRule>
  </conditionalFormatting>
  <conditionalFormatting sqref="H18">
    <cfRule type="cellIs" dxfId="6125" priority="22" operator="between">
      <formula>3.5</formula>
      <formula>6</formula>
    </cfRule>
    <cfRule type="cellIs" dxfId="6124" priority="23" operator="lessThan">
      <formula>3.5</formula>
    </cfRule>
    <cfRule type="cellIs" dxfId="6123" priority="24" operator="greaterThan">
      <formula>6</formula>
    </cfRule>
  </conditionalFormatting>
  <conditionalFormatting sqref="H9:H39">
    <cfRule type="cellIs" dxfId="6122" priority="19" operator="between">
      <formula>3.5</formula>
      <formula>6</formula>
    </cfRule>
    <cfRule type="cellIs" dxfId="6121" priority="20" operator="lessThan">
      <formula>3.5</formula>
    </cfRule>
    <cfRule type="cellIs" dxfId="6120" priority="21" operator="greaterThan">
      <formula>6</formula>
    </cfRule>
  </conditionalFormatting>
  <conditionalFormatting sqref="H9:H39">
    <cfRule type="cellIs" dxfId="6119" priority="16" operator="between">
      <formula>3.5</formula>
      <formula>6</formula>
    </cfRule>
    <cfRule type="cellIs" dxfId="6118" priority="17" operator="lessThan">
      <formula>3.5</formula>
    </cfRule>
    <cfRule type="cellIs" dxfId="6117" priority="18" operator="greaterThan">
      <formula>6</formula>
    </cfRule>
  </conditionalFormatting>
  <conditionalFormatting sqref="H9:H39">
    <cfRule type="cellIs" dxfId="6116" priority="13" operator="between">
      <formula>3.5</formula>
      <formula>6</formula>
    </cfRule>
    <cfRule type="cellIs" dxfId="6115" priority="14" operator="lessThan">
      <formula>3.5</formula>
    </cfRule>
    <cfRule type="cellIs" dxfId="6114" priority="15" operator="greaterThan">
      <formula>6</formula>
    </cfRule>
  </conditionalFormatting>
  <conditionalFormatting sqref="H9:H39">
    <cfRule type="cellIs" dxfId="6113" priority="10" operator="between">
      <formula>3.5</formula>
      <formula>6</formula>
    </cfRule>
    <cfRule type="cellIs" dxfId="6112" priority="11" operator="lessThan">
      <formula>3.5</formula>
    </cfRule>
    <cfRule type="cellIs" dxfId="6111" priority="12" operator="greaterThan">
      <formula>6</formula>
    </cfRule>
  </conditionalFormatting>
  <conditionalFormatting sqref="H9:H39">
    <cfRule type="cellIs" dxfId="6110" priority="7" operator="between">
      <formula>3.5</formula>
      <formula>6</formula>
    </cfRule>
    <cfRule type="cellIs" dxfId="6109" priority="8" operator="lessThan">
      <formula>3.5</formula>
    </cfRule>
    <cfRule type="cellIs" dxfId="6108" priority="9" operator="greaterThan">
      <formula>6</formula>
    </cfRule>
  </conditionalFormatting>
  <conditionalFormatting sqref="H9:H39">
    <cfRule type="cellIs" dxfId="6107" priority="4" operator="between">
      <formula>3.5</formula>
      <formula>6</formula>
    </cfRule>
    <cfRule type="cellIs" dxfId="6106" priority="5" operator="lessThan">
      <formula>3.5</formula>
    </cfRule>
    <cfRule type="cellIs" dxfId="6105" priority="6" operator="greaterThan">
      <formula>6</formula>
    </cfRule>
  </conditionalFormatting>
  <conditionalFormatting sqref="H9:H39">
    <cfRule type="cellIs" dxfId="6104" priority="1" operator="between">
      <formula>3.5</formula>
      <formula>6</formula>
    </cfRule>
    <cfRule type="cellIs" dxfId="6103" priority="2" operator="lessThan">
      <formula>3.5</formula>
    </cfRule>
    <cfRule type="cellIs" dxfId="610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J10" sqref="J10:J37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414"/>
      <c r="K3" s="1414"/>
      <c r="L3" s="1414"/>
      <c r="N3" s="442"/>
      <c r="O3" s="442"/>
      <c r="P3" s="442"/>
    </row>
    <row r="4" spans="1:27" s="1419" customFormat="1" ht="12" customHeight="1">
      <c r="A4" s="1648" t="s">
        <v>33</v>
      </c>
      <c r="B4" s="1648"/>
      <c r="C4" s="551" t="str">
        <f>H4</f>
        <v xml:space="preserve">VIDONA 40*80 5v nâu-HA </v>
      </c>
      <c r="E4" s="549" t="s">
        <v>228</v>
      </c>
      <c r="F4" s="549" t="s">
        <v>235</v>
      </c>
      <c r="G4" s="550" t="s">
        <v>114</v>
      </c>
      <c r="H4" s="551" t="s">
        <v>1226</v>
      </c>
      <c r="M4" s="143"/>
    </row>
    <row r="5" spans="1:27" s="141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419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416" t="s">
        <v>2</v>
      </c>
      <c r="B7" s="1418" t="s">
        <v>1</v>
      </c>
      <c r="C7" s="141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415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417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101" priority="34" operator="between">
      <formula>3.5</formula>
      <formula>6</formula>
    </cfRule>
    <cfRule type="cellIs" dxfId="6100" priority="35" operator="lessThan">
      <formula>3.5</formula>
    </cfRule>
    <cfRule type="cellIs" dxfId="6099" priority="36" operator="greaterThan">
      <formula>6</formula>
    </cfRule>
  </conditionalFormatting>
  <conditionalFormatting sqref="H9:H12 H24:H37 H14:H17 H19:H22 H39">
    <cfRule type="cellIs" dxfId="6098" priority="31" operator="between">
      <formula>3.5</formula>
      <formula>6</formula>
    </cfRule>
    <cfRule type="cellIs" dxfId="6097" priority="32" operator="lessThan">
      <formula>3.5</formula>
    </cfRule>
    <cfRule type="cellIs" dxfId="6096" priority="33" operator="greaterThan">
      <formula>6</formula>
    </cfRule>
  </conditionalFormatting>
  <conditionalFormatting sqref="H23">
    <cfRule type="cellIs" dxfId="6095" priority="28" operator="between">
      <formula>3.5</formula>
      <formula>6</formula>
    </cfRule>
    <cfRule type="cellIs" dxfId="6094" priority="29" operator="lessThan">
      <formula>3.5</formula>
    </cfRule>
    <cfRule type="cellIs" dxfId="6093" priority="30" operator="greaterThan">
      <formula>6</formula>
    </cfRule>
  </conditionalFormatting>
  <conditionalFormatting sqref="H13">
    <cfRule type="cellIs" dxfId="6092" priority="25" operator="between">
      <formula>3.5</formula>
      <formula>6</formula>
    </cfRule>
    <cfRule type="cellIs" dxfId="6091" priority="26" operator="lessThan">
      <formula>3.5</formula>
    </cfRule>
    <cfRule type="cellIs" dxfId="6090" priority="27" operator="greaterThan">
      <formula>6</formula>
    </cfRule>
  </conditionalFormatting>
  <conditionalFormatting sqref="H18">
    <cfRule type="cellIs" dxfId="6089" priority="22" operator="between">
      <formula>3.5</formula>
      <formula>6</formula>
    </cfRule>
    <cfRule type="cellIs" dxfId="6088" priority="23" operator="lessThan">
      <formula>3.5</formula>
    </cfRule>
    <cfRule type="cellIs" dxfId="6087" priority="24" operator="greaterThan">
      <formula>6</formula>
    </cfRule>
  </conditionalFormatting>
  <conditionalFormatting sqref="H9:H39">
    <cfRule type="cellIs" dxfId="6086" priority="19" operator="between">
      <formula>3.5</formula>
      <formula>6</formula>
    </cfRule>
    <cfRule type="cellIs" dxfId="6085" priority="20" operator="lessThan">
      <formula>3.5</formula>
    </cfRule>
    <cfRule type="cellIs" dxfId="6084" priority="21" operator="greaterThan">
      <formula>6</formula>
    </cfRule>
  </conditionalFormatting>
  <conditionalFormatting sqref="H9:H39">
    <cfRule type="cellIs" dxfId="6083" priority="16" operator="between">
      <formula>3.5</formula>
      <formula>6</formula>
    </cfRule>
    <cfRule type="cellIs" dxfId="6082" priority="17" operator="lessThan">
      <formula>3.5</formula>
    </cfRule>
    <cfRule type="cellIs" dxfId="6081" priority="18" operator="greaterThan">
      <formula>6</formula>
    </cfRule>
  </conditionalFormatting>
  <conditionalFormatting sqref="H9:H39">
    <cfRule type="cellIs" dxfId="6080" priority="13" operator="between">
      <formula>3.5</formula>
      <formula>6</formula>
    </cfRule>
    <cfRule type="cellIs" dxfId="6079" priority="14" operator="lessThan">
      <formula>3.5</formula>
    </cfRule>
    <cfRule type="cellIs" dxfId="6078" priority="15" operator="greaterThan">
      <formula>6</formula>
    </cfRule>
  </conditionalFormatting>
  <conditionalFormatting sqref="H9:H39">
    <cfRule type="cellIs" dxfId="6077" priority="10" operator="between">
      <formula>3.5</formula>
      <formula>6</formula>
    </cfRule>
    <cfRule type="cellIs" dxfId="6076" priority="11" operator="lessThan">
      <formula>3.5</formula>
    </cfRule>
    <cfRule type="cellIs" dxfId="6075" priority="12" operator="greaterThan">
      <formula>6</formula>
    </cfRule>
  </conditionalFormatting>
  <conditionalFormatting sqref="H9:H39">
    <cfRule type="cellIs" dxfId="6074" priority="7" operator="between">
      <formula>3.5</formula>
      <formula>6</formula>
    </cfRule>
    <cfRule type="cellIs" dxfId="6073" priority="8" operator="lessThan">
      <formula>3.5</formula>
    </cfRule>
    <cfRule type="cellIs" dxfId="6072" priority="9" operator="greaterThan">
      <formula>6</formula>
    </cfRule>
  </conditionalFormatting>
  <conditionalFormatting sqref="H9:H39">
    <cfRule type="cellIs" dxfId="6071" priority="4" operator="between">
      <formula>3.5</formula>
      <formula>6</formula>
    </cfRule>
    <cfRule type="cellIs" dxfId="6070" priority="5" operator="lessThan">
      <formula>3.5</formula>
    </cfRule>
    <cfRule type="cellIs" dxfId="6069" priority="6" operator="greaterThan">
      <formula>6</formula>
    </cfRule>
  </conditionalFormatting>
  <conditionalFormatting sqref="H9:H39">
    <cfRule type="cellIs" dxfId="6068" priority="1" operator="between">
      <formula>3.5</formula>
      <formula>6</formula>
    </cfRule>
    <cfRule type="cellIs" dxfId="6067" priority="2" operator="lessThan">
      <formula>3.5</formula>
    </cfRule>
    <cfRule type="cellIs" dxfId="606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394"/>
      <c r="K3" s="1394"/>
      <c r="L3" s="1394"/>
      <c r="N3" s="442"/>
      <c r="O3" s="442"/>
      <c r="P3" s="442"/>
    </row>
    <row r="4" spans="1:27" s="1399" customFormat="1" ht="12" customHeight="1">
      <c r="A4" s="1648" t="s">
        <v>33</v>
      </c>
      <c r="B4" s="1648"/>
      <c r="C4" s="551" t="str">
        <f>H4</f>
        <v xml:space="preserve">VINA PHACON 30*60 nâu-HA </v>
      </c>
      <c r="E4" s="549" t="s">
        <v>228</v>
      </c>
      <c r="F4" s="549" t="s">
        <v>235</v>
      </c>
      <c r="G4" s="550" t="s">
        <v>114</v>
      </c>
      <c r="H4" s="551" t="s">
        <v>1195</v>
      </c>
      <c r="M4" s="143"/>
    </row>
    <row r="5" spans="1:27" s="139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399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396" t="s">
        <v>2</v>
      </c>
      <c r="B7" s="1398" t="s">
        <v>1</v>
      </c>
      <c r="C7" s="139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395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6615</v>
      </c>
      <c r="E8" s="771">
        <f>E40</f>
        <v>12000</v>
      </c>
      <c r="F8" s="771"/>
      <c r="G8" s="774">
        <v>6615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397">
        <v>1</v>
      </c>
      <c r="B9" s="365">
        <f>'FRIT HGE91-FHG'!B9</f>
        <v>46235</v>
      </c>
      <c r="C9" s="331" t="s">
        <v>285</v>
      </c>
      <c r="D9" s="1451"/>
      <c r="E9" s="1451">
        <f>I9+J9+K9+L9</f>
        <v>0</v>
      </c>
      <c r="F9" s="1451">
        <f>15700/1.44</f>
        <v>10902.777777777777</v>
      </c>
      <c r="G9" s="1451">
        <f t="shared" ref="G9:G39" si="0">G8+D9-E9</f>
        <v>6615</v>
      </c>
      <c r="H9" s="1452">
        <f>G9/10417</f>
        <v>0.63501967937026016</v>
      </c>
      <c r="I9" s="772"/>
      <c r="J9" s="772"/>
      <c r="K9" s="772"/>
      <c r="L9" s="772"/>
      <c r="M9" s="650">
        <f>G9/$M$8</f>
        <v>0.60672487801298758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1451"/>
      <c r="E10" s="1451">
        <f t="shared" ref="E10:E39" si="1">I10+J10+K10+L10</f>
        <v>0</v>
      </c>
      <c r="F10" s="1451">
        <f>$F$9</f>
        <v>10902.777777777777</v>
      </c>
      <c r="G10" s="1451">
        <f t="shared" si="0"/>
        <v>6615</v>
      </c>
      <c r="H10" s="1452">
        <f t="shared" ref="H10:H39" si="2">G10/10417</f>
        <v>0.63501967937026016</v>
      </c>
      <c r="I10" s="772"/>
      <c r="J10" s="772"/>
      <c r="K10" s="772"/>
      <c r="L10" s="772"/>
      <c r="M10" s="650">
        <f t="shared" ref="M10:M39" si="3">G10/$M$8</f>
        <v>0.60672487801298758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1451"/>
      <c r="E11" s="1451">
        <f t="shared" si="1"/>
        <v>2400</v>
      </c>
      <c r="F11" s="1451">
        <f>$F$9</f>
        <v>10902.777777777777</v>
      </c>
      <c r="G11" s="1451">
        <f t="shared" si="0"/>
        <v>4215</v>
      </c>
      <c r="H11" s="1452">
        <f t="shared" si="2"/>
        <v>0.40462705193433812</v>
      </c>
      <c r="I11" s="772">
        <v>2400</v>
      </c>
      <c r="J11" s="772"/>
      <c r="K11" s="772"/>
      <c r="L11" s="772"/>
      <c r="M11" s="650">
        <f t="shared" si="3"/>
        <v>0.38659793814432991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1451"/>
      <c r="E12" s="1451">
        <f t="shared" si="1"/>
        <v>0</v>
      </c>
      <c r="F12" s="1451">
        <f t="shared" ref="F12:F38" si="4">$F$9</f>
        <v>10902.777777777777</v>
      </c>
      <c r="G12" s="1451">
        <f t="shared" si="0"/>
        <v>4215</v>
      </c>
      <c r="H12" s="1452">
        <f t="shared" si="2"/>
        <v>0.40462705193433812</v>
      </c>
      <c r="I12" s="772"/>
      <c r="J12" s="772"/>
      <c r="K12" s="772"/>
      <c r="L12" s="772"/>
      <c r="M12" s="650">
        <f t="shared" si="3"/>
        <v>0.38659793814432991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1451">
        <v>9894</v>
      </c>
      <c r="E13" s="1451">
        <f t="shared" si="1"/>
        <v>2400</v>
      </c>
      <c r="F13" s="1451">
        <f t="shared" si="4"/>
        <v>10902.777777777777</v>
      </c>
      <c r="G13" s="1453">
        <f t="shared" si="0"/>
        <v>11709</v>
      </c>
      <c r="H13" s="1452">
        <f t="shared" si="2"/>
        <v>1.1240280311030046</v>
      </c>
      <c r="I13" s="772">
        <v>2400</v>
      </c>
      <c r="J13" s="772"/>
      <c r="K13" s="772"/>
      <c r="L13" s="772"/>
      <c r="M13" s="650">
        <f t="shared" si="3"/>
        <v>1.0739443078842132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1451"/>
      <c r="E14" s="1451">
        <f t="shared" si="1"/>
        <v>0</v>
      </c>
      <c r="F14" s="1451">
        <f t="shared" si="4"/>
        <v>10902.777777777777</v>
      </c>
      <c r="G14" s="1451">
        <f t="shared" si="0"/>
        <v>11709</v>
      </c>
      <c r="H14" s="1452">
        <f t="shared" si="2"/>
        <v>1.1240280311030046</v>
      </c>
      <c r="I14" s="772"/>
      <c r="J14" s="772"/>
      <c r="K14" s="772"/>
      <c r="L14" s="772"/>
      <c r="M14" s="650">
        <f t="shared" si="3"/>
        <v>1.0739443078842132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1451"/>
      <c r="E15" s="1451">
        <f t="shared" si="1"/>
        <v>0</v>
      </c>
      <c r="F15" s="1451">
        <f t="shared" si="4"/>
        <v>10902.777777777777</v>
      </c>
      <c r="G15" s="1451">
        <f t="shared" si="0"/>
        <v>11709</v>
      </c>
      <c r="H15" s="1452">
        <f t="shared" si="2"/>
        <v>1.1240280311030046</v>
      </c>
      <c r="I15" s="772"/>
      <c r="J15" s="772"/>
      <c r="K15" s="772"/>
      <c r="L15" s="772"/>
      <c r="M15" s="650">
        <f t="shared" si="3"/>
        <v>1.0739443078842132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1451"/>
      <c r="E16" s="1451">
        <f t="shared" si="1"/>
        <v>0</v>
      </c>
      <c r="F16" s="1451">
        <f t="shared" si="4"/>
        <v>10902.777777777777</v>
      </c>
      <c r="G16" s="1451">
        <f t="shared" si="0"/>
        <v>11709</v>
      </c>
      <c r="H16" s="1452">
        <f t="shared" si="2"/>
        <v>1.1240280311030046</v>
      </c>
      <c r="I16" s="772"/>
      <c r="J16" s="772"/>
      <c r="K16" s="772"/>
      <c r="L16" s="772"/>
      <c r="M16" s="650">
        <f t="shared" si="3"/>
        <v>1.0739443078842132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1451"/>
      <c r="E17" s="1451">
        <f t="shared" si="1"/>
        <v>0</v>
      </c>
      <c r="F17" s="1451">
        <f t="shared" si="4"/>
        <v>10902.777777777777</v>
      </c>
      <c r="G17" s="1451">
        <f t="shared" si="0"/>
        <v>11709</v>
      </c>
      <c r="H17" s="1452">
        <f t="shared" si="2"/>
        <v>1.1240280311030046</v>
      </c>
      <c r="I17" s="772"/>
      <c r="J17" s="772"/>
      <c r="K17" s="772"/>
      <c r="L17" s="772"/>
      <c r="M17" s="650">
        <f t="shared" si="3"/>
        <v>1.0739443078842132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1451">
        <v>8400</v>
      </c>
      <c r="E18" s="1451">
        <f t="shared" si="1"/>
        <v>0</v>
      </c>
      <c r="F18" s="1451">
        <f t="shared" si="4"/>
        <v>10902.777777777777</v>
      </c>
      <c r="G18" s="1453">
        <f t="shared" si="0"/>
        <v>20109</v>
      </c>
      <c r="H18" s="1452">
        <f t="shared" si="2"/>
        <v>1.9304022271287318</v>
      </c>
      <c r="I18" s="772"/>
      <c r="J18" s="772"/>
      <c r="K18" s="772"/>
      <c r="L18" s="772"/>
      <c r="M18" s="650">
        <f t="shared" si="3"/>
        <v>1.8443885974245149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1451">
        <v>1760</v>
      </c>
      <c r="E19" s="1451">
        <f t="shared" si="1"/>
        <v>0</v>
      </c>
      <c r="F19" s="1451">
        <f t="shared" si="4"/>
        <v>10902.777777777777</v>
      </c>
      <c r="G19" s="1451">
        <f t="shared" si="0"/>
        <v>21869</v>
      </c>
      <c r="H19" s="1452">
        <f t="shared" si="2"/>
        <v>2.0993568205817414</v>
      </c>
      <c r="I19" s="772"/>
      <c r="J19" s="772"/>
      <c r="K19" s="772"/>
      <c r="L19" s="772"/>
      <c r="M19" s="650">
        <f t="shared" si="3"/>
        <v>2.0058150199948637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1451"/>
      <c r="E20" s="1451">
        <f t="shared" si="1"/>
        <v>2400</v>
      </c>
      <c r="F20" s="1451">
        <f t="shared" si="4"/>
        <v>10902.777777777777</v>
      </c>
      <c r="G20" s="1451">
        <f t="shared" si="0"/>
        <v>19469</v>
      </c>
      <c r="H20" s="1452">
        <f t="shared" si="2"/>
        <v>1.8689641931458194</v>
      </c>
      <c r="I20" s="772">
        <v>2400</v>
      </c>
      <c r="J20" s="772"/>
      <c r="K20" s="772"/>
      <c r="L20" s="772"/>
      <c r="M20" s="650">
        <f t="shared" si="3"/>
        <v>1.7856880801262063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1451"/>
      <c r="E21" s="1451">
        <f t="shared" si="1"/>
        <v>0</v>
      </c>
      <c r="F21" s="1451">
        <f t="shared" si="4"/>
        <v>10902.777777777777</v>
      </c>
      <c r="G21" s="1451">
        <f t="shared" si="0"/>
        <v>19469</v>
      </c>
      <c r="H21" s="1452">
        <f t="shared" si="2"/>
        <v>1.8689641931458194</v>
      </c>
      <c r="I21" s="772"/>
      <c r="J21" s="772"/>
      <c r="K21" s="772"/>
      <c r="L21" s="772"/>
      <c r="M21" s="650">
        <f t="shared" si="3"/>
        <v>1.7856880801262063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1451"/>
      <c r="E22" s="1451">
        <f t="shared" si="1"/>
        <v>2400</v>
      </c>
      <c r="F22" s="1451">
        <f t="shared" si="4"/>
        <v>10902.777777777777</v>
      </c>
      <c r="G22" s="1451">
        <f t="shared" si="0"/>
        <v>17069</v>
      </c>
      <c r="H22" s="1452">
        <f t="shared" si="2"/>
        <v>1.6385715657098974</v>
      </c>
      <c r="I22" s="772">
        <v>2400</v>
      </c>
      <c r="J22" s="772"/>
      <c r="K22" s="772"/>
      <c r="L22" s="772"/>
      <c r="M22" s="650">
        <f t="shared" si="3"/>
        <v>1.5655611402575487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1451"/>
      <c r="E23" s="1451">
        <f t="shared" si="1"/>
        <v>2400</v>
      </c>
      <c r="F23" s="1451">
        <f t="shared" si="4"/>
        <v>10902.777777777777</v>
      </c>
      <c r="G23" s="1453">
        <f t="shared" si="0"/>
        <v>14669</v>
      </c>
      <c r="H23" s="1452">
        <f t="shared" si="2"/>
        <v>1.4081789382739753</v>
      </c>
      <c r="I23" s="772">
        <v>2400</v>
      </c>
      <c r="J23" s="772"/>
      <c r="K23" s="772"/>
      <c r="L23" s="772"/>
      <c r="M23" s="650">
        <f t="shared" si="3"/>
        <v>1.3454342003888911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1451"/>
      <c r="E24" s="1451">
        <f t="shared" si="1"/>
        <v>0</v>
      </c>
      <c r="F24" s="1451">
        <f t="shared" si="4"/>
        <v>10902.777777777777</v>
      </c>
      <c r="G24" s="1451">
        <f t="shared" si="0"/>
        <v>14669</v>
      </c>
      <c r="H24" s="1452">
        <f t="shared" si="2"/>
        <v>1.4081789382739753</v>
      </c>
      <c r="I24" s="772"/>
      <c r="J24" s="772"/>
      <c r="K24" s="772"/>
      <c r="L24" s="772"/>
      <c r="M24" s="650">
        <f t="shared" si="3"/>
        <v>1.3454342003888911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1451"/>
      <c r="E25" s="1451">
        <f t="shared" si="1"/>
        <v>0</v>
      </c>
      <c r="F25" s="1451">
        <f t="shared" si="4"/>
        <v>10902.777777777777</v>
      </c>
      <c r="G25" s="1451">
        <f t="shared" si="0"/>
        <v>14669</v>
      </c>
      <c r="H25" s="1452">
        <f t="shared" si="2"/>
        <v>1.4081789382739753</v>
      </c>
      <c r="I25" s="772"/>
      <c r="J25" s="772"/>
      <c r="K25" s="772"/>
      <c r="L25" s="772"/>
      <c r="M25" s="650">
        <f t="shared" si="3"/>
        <v>1.3454342003888911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1451"/>
      <c r="E26" s="1451">
        <f t="shared" si="1"/>
        <v>0</v>
      </c>
      <c r="F26" s="1451">
        <f t="shared" si="4"/>
        <v>10902.777777777777</v>
      </c>
      <c r="G26" s="1451">
        <f t="shared" si="0"/>
        <v>14669</v>
      </c>
      <c r="H26" s="1452">
        <f t="shared" si="2"/>
        <v>1.4081789382739753</v>
      </c>
      <c r="I26" s="772"/>
      <c r="J26" s="772"/>
      <c r="K26" s="772"/>
      <c r="L26" s="772"/>
      <c r="M26" s="650">
        <f t="shared" si="3"/>
        <v>1.3454342003888911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1451"/>
      <c r="E27" s="1451">
        <f t="shared" si="1"/>
        <v>0</v>
      </c>
      <c r="F27" s="1451">
        <f t="shared" si="4"/>
        <v>10902.777777777777</v>
      </c>
      <c r="G27" s="1451">
        <f t="shared" si="0"/>
        <v>14669</v>
      </c>
      <c r="H27" s="1452">
        <f t="shared" si="2"/>
        <v>1.4081789382739753</v>
      </c>
      <c r="I27" s="772"/>
      <c r="J27" s="772"/>
      <c r="K27" s="772"/>
      <c r="L27" s="772"/>
      <c r="M27" s="650">
        <f t="shared" si="3"/>
        <v>1.3454342003888911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1451"/>
      <c r="E28" s="1451">
        <f t="shared" si="1"/>
        <v>0</v>
      </c>
      <c r="F28" s="1451">
        <f t="shared" si="4"/>
        <v>10902.777777777777</v>
      </c>
      <c r="G28" s="1453">
        <f t="shared" si="0"/>
        <v>14669</v>
      </c>
      <c r="H28" s="1452">
        <f t="shared" si="2"/>
        <v>1.4081789382739753</v>
      </c>
      <c r="I28" s="772"/>
      <c r="J28" s="772"/>
      <c r="K28" s="772"/>
      <c r="L28" s="772"/>
      <c r="M28" s="650">
        <f t="shared" si="3"/>
        <v>1.3454342003888911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1451"/>
      <c r="E29" s="1451">
        <f t="shared" si="1"/>
        <v>0</v>
      </c>
      <c r="F29" s="1451">
        <f t="shared" si="4"/>
        <v>10902.777777777777</v>
      </c>
      <c r="G29" s="1454">
        <f t="shared" si="0"/>
        <v>14669</v>
      </c>
      <c r="H29" s="1452">
        <f t="shared" si="2"/>
        <v>1.4081789382739753</v>
      </c>
      <c r="I29" s="772"/>
      <c r="J29" s="772"/>
      <c r="K29" s="772"/>
      <c r="L29" s="772"/>
      <c r="M29" s="650">
        <f t="shared" si="3"/>
        <v>1.3454342003888911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1451"/>
      <c r="E30" s="1451">
        <f t="shared" si="1"/>
        <v>0</v>
      </c>
      <c r="F30" s="1451">
        <f t="shared" si="4"/>
        <v>10902.777777777777</v>
      </c>
      <c r="G30" s="1454">
        <f t="shared" si="0"/>
        <v>14669</v>
      </c>
      <c r="H30" s="1452">
        <f t="shared" si="2"/>
        <v>1.4081789382739753</v>
      </c>
      <c r="I30" s="772"/>
      <c r="J30" s="772"/>
      <c r="K30" s="772"/>
      <c r="L30" s="772"/>
      <c r="M30" s="650">
        <f t="shared" si="3"/>
        <v>1.3454342003888911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1451"/>
      <c r="E31" s="1451">
        <f t="shared" si="1"/>
        <v>0</v>
      </c>
      <c r="F31" s="1451">
        <f t="shared" si="4"/>
        <v>10902.777777777777</v>
      </c>
      <c r="G31" s="1454">
        <f t="shared" si="0"/>
        <v>14669</v>
      </c>
      <c r="H31" s="1452">
        <f t="shared" si="2"/>
        <v>1.4081789382739753</v>
      </c>
      <c r="I31" s="772"/>
      <c r="J31" s="772"/>
      <c r="K31" s="772"/>
      <c r="L31" s="772"/>
      <c r="M31" s="650">
        <f t="shared" si="3"/>
        <v>1.3454342003888911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1451"/>
      <c r="E32" s="1451">
        <f t="shared" si="1"/>
        <v>0</v>
      </c>
      <c r="F32" s="1451">
        <f t="shared" si="4"/>
        <v>10902.777777777777</v>
      </c>
      <c r="G32" s="1454">
        <f t="shared" si="0"/>
        <v>14669</v>
      </c>
      <c r="H32" s="1452">
        <f t="shared" si="2"/>
        <v>1.4081789382739753</v>
      </c>
      <c r="I32" s="772"/>
      <c r="J32" s="772"/>
      <c r="K32" s="772"/>
      <c r="L32" s="772"/>
      <c r="M32" s="650">
        <f t="shared" si="3"/>
        <v>1.3454342003888911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1451"/>
      <c r="E33" s="1451">
        <f t="shared" si="1"/>
        <v>0</v>
      </c>
      <c r="F33" s="1451">
        <f t="shared" si="4"/>
        <v>10902.777777777777</v>
      </c>
      <c r="G33" s="1455">
        <f t="shared" si="0"/>
        <v>14669</v>
      </c>
      <c r="H33" s="1452">
        <f t="shared" si="2"/>
        <v>1.4081789382739753</v>
      </c>
      <c r="I33" s="772"/>
      <c r="J33" s="772"/>
      <c r="K33" s="772"/>
      <c r="L33" s="772"/>
      <c r="M33" s="650">
        <f t="shared" si="3"/>
        <v>1.3454342003888911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1451"/>
      <c r="E34" s="1451">
        <f t="shared" si="1"/>
        <v>0</v>
      </c>
      <c r="F34" s="1451">
        <f t="shared" si="4"/>
        <v>10902.777777777777</v>
      </c>
      <c r="G34" s="1451">
        <f t="shared" si="0"/>
        <v>14669</v>
      </c>
      <c r="H34" s="1452">
        <f t="shared" si="2"/>
        <v>1.4081789382739753</v>
      </c>
      <c r="I34" s="772"/>
      <c r="J34" s="772"/>
      <c r="K34" s="772"/>
      <c r="L34" s="772"/>
      <c r="M34" s="650">
        <f t="shared" si="3"/>
        <v>1.3454342003888911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1451"/>
      <c r="E35" s="1451">
        <f t="shared" si="1"/>
        <v>0</v>
      </c>
      <c r="F35" s="1451">
        <f t="shared" si="4"/>
        <v>10902.777777777777</v>
      </c>
      <c r="G35" s="1451">
        <f t="shared" si="0"/>
        <v>14669</v>
      </c>
      <c r="H35" s="1452">
        <f t="shared" si="2"/>
        <v>1.4081789382739753</v>
      </c>
      <c r="I35" s="772"/>
      <c r="J35" s="772"/>
      <c r="K35" s="772"/>
      <c r="L35" s="772"/>
      <c r="M35" s="650">
        <f t="shared" si="3"/>
        <v>1.3454342003888911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1451"/>
      <c r="E36" s="1451">
        <f t="shared" si="1"/>
        <v>0</v>
      </c>
      <c r="F36" s="1451">
        <f t="shared" si="4"/>
        <v>10902.777777777777</v>
      </c>
      <c r="G36" s="1451">
        <f t="shared" si="0"/>
        <v>14669</v>
      </c>
      <c r="H36" s="1452">
        <f t="shared" si="2"/>
        <v>1.4081789382739753</v>
      </c>
      <c r="I36" s="772"/>
      <c r="J36" s="772"/>
      <c r="K36" s="772"/>
      <c r="L36" s="772"/>
      <c r="M36" s="650">
        <f t="shared" si="3"/>
        <v>1.3454342003888911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51"/>
      <c r="E37" s="1451">
        <f t="shared" si="1"/>
        <v>0</v>
      </c>
      <c r="F37" s="1451">
        <f t="shared" si="4"/>
        <v>10902.777777777777</v>
      </c>
      <c r="G37" s="1451">
        <f t="shared" si="0"/>
        <v>14669</v>
      </c>
      <c r="H37" s="1452">
        <f t="shared" si="2"/>
        <v>1.4081789382739753</v>
      </c>
      <c r="I37" s="772"/>
      <c r="J37" s="772"/>
      <c r="K37" s="772"/>
      <c r="L37" s="772"/>
      <c r="M37" s="650">
        <f t="shared" si="3"/>
        <v>1.3454342003888911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1"/>
      <c r="E38" s="1451">
        <f t="shared" si="1"/>
        <v>0</v>
      </c>
      <c r="F38" s="1451">
        <f t="shared" si="4"/>
        <v>10902.777777777777</v>
      </c>
      <c r="G38" s="1453">
        <f>G37+D38-E38</f>
        <v>14669</v>
      </c>
      <c r="H38" s="1452">
        <f t="shared" si="2"/>
        <v>1.4081789382739753</v>
      </c>
      <c r="I38" s="772"/>
      <c r="J38" s="772"/>
      <c r="K38" s="772"/>
      <c r="L38" s="772"/>
      <c r="M38" s="650">
        <f t="shared" si="3"/>
        <v>1.3454342003888911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56"/>
      <c r="E39" s="1451">
        <f t="shared" si="1"/>
        <v>0</v>
      </c>
      <c r="F39" s="1451">
        <f>SUM($E$8:E39)/A39</f>
        <v>774.19354838709683</v>
      </c>
      <c r="G39" s="1451">
        <f t="shared" si="0"/>
        <v>14669</v>
      </c>
      <c r="H39" s="1452">
        <f t="shared" si="2"/>
        <v>1.4081789382739753</v>
      </c>
      <c r="I39" s="772"/>
      <c r="J39" s="772"/>
      <c r="K39" s="772"/>
      <c r="L39" s="772"/>
      <c r="M39" s="650">
        <f t="shared" si="3"/>
        <v>1.3454342003888911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20054</v>
      </c>
      <c r="E40" s="389">
        <f>SUM(E9:E39)</f>
        <v>12000</v>
      </c>
      <c r="F40" s="449"/>
      <c r="G40" s="389">
        <f>G39</f>
        <v>14669</v>
      </c>
      <c r="H40" s="309"/>
      <c r="I40" s="689">
        <f>SUM(I9:I39)</f>
        <v>12000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26669</v>
      </c>
      <c r="E41" s="389">
        <f>E40</f>
        <v>12000</v>
      </c>
      <c r="F41" s="449"/>
      <c r="G41" s="389">
        <f>D41-E41</f>
        <v>14669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12000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065" priority="34" operator="between">
      <formula>3.5</formula>
      <formula>6</formula>
    </cfRule>
    <cfRule type="cellIs" dxfId="6064" priority="35" operator="lessThan">
      <formula>3.5</formula>
    </cfRule>
    <cfRule type="cellIs" dxfId="6063" priority="36" operator="greaterThan">
      <formula>6</formula>
    </cfRule>
  </conditionalFormatting>
  <conditionalFormatting sqref="H9:H12 H24:H37 H14:H17 H19:H22 H39">
    <cfRule type="cellIs" dxfId="6062" priority="31" operator="between">
      <formula>3.5</formula>
      <formula>6</formula>
    </cfRule>
    <cfRule type="cellIs" dxfId="6061" priority="32" operator="lessThan">
      <formula>3.5</formula>
    </cfRule>
    <cfRule type="cellIs" dxfId="6060" priority="33" operator="greaterThan">
      <formula>6</formula>
    </cfRule>
  </conditionalFormatting>
  <conditionalFormatting sqref="H23">
    <cfRule type="cellIs" dxfId="6059" priority="28" operator="between">
      <formula>3.5</formula>
      <formula>6</formula>
    </cfRule>
    <cfRule type="cellIs" dxfId="6058" priority="29" operator="lessThan">
      <formula>3.5</formula>
    </cfRule>
    <cfRule type="cellIs" dxfId="6057" priority="30" operator="greaterThan">
      <formula>6</formula>
    </cfRule>
  </conditionalFormatting>
  <conditionalFormatting sqref="H13">
    <cfRule type="cellIs" dxfId="6056" priority="25" operator="between">
      <formula>3.5</formula>
      <formula>6</formula>
    </cfRule>
    <cfRule type="cellIs" dxfId="6055" priority="26" operator="lessThan">
      <formula>3.5</formula>
    </cfRule>
    <cfRule type="cellIs" dxfId="6054" priority="27" operator="greaterThan">
      <formula>6</formula>
    </cfRule>
  </conditionalFormatting>
  <conditionalFormatting sqref="H18">
    <cfRule type="cellIs" dxfId="6053" priority="22" operator="between">
      <formula>3.5</formula>
      <formula>6</formula>
    </cfRule>
    <cfRule type="cellIs" dxfId="6052" priority="23" operator="lessThan">
      <formula>3.5</formula>
    </cfRule>
    <cfRule type="cellIs" dxfId="6051" priority="24" operator="greaterThan">
      <formula>6</formula>
    </cfRule>
  </conditionalFormatting>
  <conditionalFormatting sqref="H9:H39">
    <cfRule type="cellIs" dxfId="6050" priority="19" operator="between">
      <formula>3.5</formula>
      <formula>6</formula>
    </cfRule>
    <cfRule type="cellIs" dxfId="6049" priority="20" operator="lessThan">
      <formula>3.5</formula>
    </cfRule>
    <cfRule type="cellIs" dxfId="6048" priority="21" operator="greaterThan">
      <formula>6</formula>
    </cfRule>
  </conditionalFormatting>
  <conditionalFormatting sqref="H9:H39">
    <cfRule type="cellIs" dxfId="6047" priority="16" operator="between">
      <formula>3.5</formula>
      <formula>6</formula>
    </cfRule>
    <cfRule type="cellIs" dxfId="6046" priority="17" operator="lessThan">
      <formula>3.5</formula>
    </cfRule>
    <cfRule type="cellIs" dxfId="6045" priority="18" operator="greaterThan">
      <formula>6</formula>
    </cfRule>
  </conditionalFormatting>
  <conditionalFormatting sqref="H9:H39">
    <cfRule type="cellIs" dxfId="6044" priority="13" operator="between">
      <formula>3.5</formula>
      <formula>6</formula>
    </cfRule>
    <cfRule type="cellIs" dxfId="6043" priority="14" operator="lessThan">
      <formula>3.5</formula>
    </cfRule>
    <cfRule type="cellIs" dxfId="6042" priority="15" operator="greaterThan">
      <formula>6</formula>
    </cfRule>
  </conditionalFormatting>
  <conditionalFormatting sqref="H9:H39">
    <cfRule type="cellIs" dxfId="6041" priority="10" operator="between">
      <formula>3.5</formula>
      <formula>6</formula>
    </cfRule>
    <cfRule type="cellIs" dxfId="6040" priority="11" operator="lessThan">
      <formula>3.5</formula>
    </cfRule>
    <cfRule type="cellIs" dxfId="6039" priority="12" operator="greaterThan">
      <formula>6</formula>
    </cfRule>
  </conditionalFormatting>
  <conditionalFormatting sqref="H9:H39">
    <cfRule type="cellIs" dxfId="6038" priority="7" operator="between">
      <formula>3.5</formula>
      <formula>6</formula>
    </cfRule>
    <cfRule type="cellIs" dxfId="6037" priority="8" operator="lessThan">
      <formula>3.5</formula>
    </cfRule>
    <cfRule type="cellIs" dxfId="6036" priority="9" operator="greaterThan">
      <formula>6</formula>
    </cfRule>
  </conditionalFormatting>
  <conditionalFormatting sqref="H9:H39">
    <cfRule type="cellIs" dxfId="6035" priority="4" operator="between">
      <formula>3.5</formula>
      <formula>6</formula>
    </cfRule>
    <cfRule type="cellIs" dxfId="6034" priority="5" operator="lessThan">
      <formula>3.5</formula>
    </cfRule>
    <cfRule type="cellIs" dxfId="6033" priority="6" operator="greaterThan">
      <formula>6</formula>
    </cfRule>
  </conditionalFormatting>
  <conditionalFormatting sqref="H9:H39">
    <cfRule type="cellIs" dxfId="6032" priority="1" operator="between">
      <formula>3.5</formula>
      <formula>6</formula>
    </cfRule>
    <cfRule type="cellIs" dxfId="6031" priority="2" operator="lessThan">
      <formula>3.5</formula>
    </cfRule>
    <cfRule type="cellIs" dxfId="603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A49"/>
  <sheetViews>
    <sheetView zoomScale="90" zoomScaleNormal="90" workbookViewId="0">
      <pane ySplit="8" topLeftCell="A18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400"/>
      <c r="K3" s="1400"/>
      <c r="L3" s="1400"/>
      <c r="N3" s="442"/>
      <c r="O3" s="442"/>
      <c r="P3" s="442"/>
    </row>
    <row r="4" spans="1:27" s="1405" customFormat="1" ht="12" customHeight="1">
      <c r="A4" s="1648" t="s">
        <v>33</v>
      </c>
      <c r="B4" s="1648"/>
      <c r="C4" s="551" t="str">
        <f>H4</f>
        <v xml:space="preserve">VINA PHACON 40*80 5v nâu-HA </v>
      </c>
      <c r="E4" s="549" t="s">
        <v>228</v>
      </c>
      <c r="F4" s="549" t="s">
        <v>235</v>
      </c>
      <c r="G4" s="550" t="s">
        <v>114</v>
      </c>
      <c r="H4" s="551" t="s">
        <v>1197</v>
      </c>
      <c r="M4" s="143"/>
    </row>
    <row r="5" spans="1:27" s="1405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405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402" t="s">
        <v>2</v>
      </c>
      <c r="B7" s="1404" t="s">
        <v>1</v>
      </c>
      <c r="C7" s="1404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401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403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6029" priority="34" operator="between">
      <formula>3.5</formula>
      <formula>6</formula>
    </cfRule>
    <cfRule type="cellIs" dxfId="6028" priority="35" operator="lessThan">
      <formula>3.5</formula>
    </cfRule>
    <cfRule type="cellIs" dxfId="6027" priority="36" operator="greaterThan">
      <formula>6</formula>
    </cfRule>
  </conditionalFormatting>
  <conditionalFormatting sqref="H9:H12 H24:H37 H14:H17 H19:H22 H39">
    <cfRule type="cellIs" dxfId="6026" priority="31" operator="between">
      <formula>3.5</formula>
      <formula>6</formula>
    </cfRule>
    <cfRule type="cellIs" dxfId="6025" priority="32" operator="lessThan">
      <formula>3.5</formula>
    </cfRule>
    <cfRule type="cellIs" dxfId="6024" priority="33" operator="greaterThan">
      <formula>6</formula>
    </cfRule>
  </conditionalFormatting>
  <conditionalFormatting sqref="H23">
    <cfRule type="cellIs" dxfId="6023" priority="28" operator="between">
      <formula>3.5</formula>
      <formula>6</formula>
    </cfRule>
    <cfRule type="cellIs" dxfId="6022" priority="29" operator="lessThan">
      <formula>3.5</formula>
    </cfRule>
    <cfRule type="cellIs" dxfId="6021" priority="30" operator="greaterThan">
      <formula>6</formula>
    </cfRule>
  </conditionalFormatting>
  <conditionalFormatting sqref="H13">
    <cfRule type="cellIs" dxfId="6020" priority="25" operator="between">
      <formula>3.5</formula>
      <formula>6</formula>
    </cfRule>
    <cfRule type="cellIs" dxfId="6019" priority="26" operator="lessThan">
      <formula>3.5</formula>
    </cfRule>
    <cfRule type="cellIs" dxfId="6018" priority="27" operator="greaterThan">
      <formula>6</formula>
    </cfRule>
  </conditionalFormatting>
  <conditionalFormatting sqref="H18">
    <cfRule type="cellIs" dxfId="6017" priority="22" operator="between">
      <formula>3.5</formula>
      <formula>6</formula>
    </cfRule>
    <cfRule type="cellIs" dxfId="6016" priority="23" operator="lessThan">
      <formula>3.5</formula>
    </cfRule>
    <cfRule type="cellIs" dxfId="6015" priority="24" operator="greaterThan">
      <formula>6</formula>
    </cfRule>
  </conditionalFormatting>
  <conditionalFormatting sqref="H9:H39">
    <cfRule type="cellIs" dxfId="6014" priority="19" operator="between">
      <formula>3.5</formula>
      <formula>6</formula>
    </cfRule>
    <cfRule type="cellIs" dxfId="6013" priority="20" operator="lessThan">
      <formula>3.5</formula>
    </cfRule>
    <cfRule type="cellIs" dxfId="6012" priority="21" operator="greaterThan">
      <formula>6</formula>
    </cfRule>
  </conditionalFormatting>
  <conditionalFormatting sqref="H9:H39">
    <cfRule type="cellIs" dxfId="6011" priority="16" operator="between">
      <formula>3.5</formula>
      <formula>6</formula>
    </cfRule>
    <cfRule type="cellIs" dxfId="6010" priority="17" operator="lessThan">
      <formula>3.5</formula>
    </cfRule>
    <cfRule type="cellIs" dxfId="6009" priority="18" operator="greaterThan">
      <formula>6</formula>
    </cfRule>
  </conditionalFormatting>
  <conditionalFormatting sqref="H9:H39">
    <cfRule type="cellIs" dxfId="6008" priority="13" operator="between">
      <formula>3.5</formula>
      <formula>6</formula>
    </cfRule>
    <cfRule type="cellIs" dxfId="6007" priority="14" operator="lessThan">
      <formula>3.5</formula>
    </cfRule>
    <cfRule type="cellIs" dxfId="6006" priority="15" operator="greaterThan">
      <formula>6</formula>
    </cfRule>
  </conditionalFormatting>
  <conditionalFormatting sqref="H9:H39">
    <cfRule type="cellIs" dxfId="6005" priority="10" operator="between">
      <formula>3.5</formula>
      <formula>6</formula>
    </cfRule>
    <cfRule type="cellIs" dxfId="6004" priority="11" operator="lessThan">
      <formula>3.5</formula>
    </cfRule>
    <cfRule type="cellIs" dxfId="6003" priority="12" operator="greaterThan">
      <formula>6</formula>
    </cfRule>
  </conditionalFormatting>
  <conditionalFormatting sqref="H9:H39">
    <cfRule type="cellIs" dxfId="6002" priority="7" operator="between">
      <formula>3.5</formula>
      <formula>6</formula>
    </cfRule>
    <cfRule type="cellIs" dxfId="6001" priority="8" operator="lessThan">
      <formula>3.5</formula>
    </cfRule>
    <cfRule type="cellIs" dxfId="6000" priority="9" operator="greaterThan">
      <formula>6</formula>
    </cfRule>
  </conditionalFormatting>
  <conditionalFormatting sqref="H9:H39">
    <cfRule type="cellIs" dxfId="5999" priority="4" operator="between">
      <formula>3.5</formula>
      <formula>6</formula>
    </cfRule>
    <cfRule type="cellIs" dxfId="5998" priority="5" operator="lessThan">
      <formula>3.5</formula>
    </cfRule>
    <cfRule type="cellIs" dxfId="5997" priority="6" operator="greaterThan">
      <formula>6</formula>
    </cfRule>
  </conditionalFormatting>
  <conditionalFormatting sqref="H9:H39">
    <cfRule type="cellIs" dxfId="5996" priority="1" operator="between">
      <formula>3.5</formula>
      <formula>6</formula>
    </cfRule>
    <cfRule type="cellIs" dxfId="5995" priority="2" operator="lessThan">
      <formula>3.5</formula>
    </cfRule>
    <cfRule type="cellIs" dxfId="599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464"/>
      <c r="K3" s="1464"/>
      <c r="L3" s="1464"/>
      <c r="N3" s="442"/>
      <c r="O3" s="442"/>
      <c r="P3" s="442"/>
    </row>
    <row r="4" spans="1:27" s="1469" customFormat="1" ht="12" customHeight="1">
      <c r="A4" s="1648" t="s">
        <v>33</v>
      </c>
      <c r="B4" s="1648"/>
      <c r="C4" s="551" t="str">
        <f>H4</f>
        <v xml:space="preserve">PADOVA 40*80 5v nâu-HA </v>
      </c>
      <c r="E4" s="549" t="s">
        <v>228</v>
      </c>
      <c r="F4" s="549" t="s">
        <v>235</v>
      </c>
      <c r="G4" s="550" t="s">
        <v>114</v>
      </c>
      <c r="H4" s="551" t="s">
        <v>1233</v>
      </c>
      <c r="M4" s="143"/>
    </row>
    <row r="5" spans="1:27" s="1469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469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466" t="s">
        <v>2</v>
      </c>
      <c r="B7" s="1468" t="s">
        <v>1</v>
      </c>
      <c r="C7" s="1468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465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467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 t="shared" si="0"/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>
        <v>5050</v>
      </c>
      <c r="E26" s="396">
        <f t="shared" si="1"/>
        <v>0</v>
      </c>
      <c r="F26" s="396">
        <f t="shared" si="4"/>
        <v>10902.777777777777</v>
      </c>
      <c r="G26" s="396">
        <f t="shared" si="0"/>
        <v>5050</v>
      </c>
      <c r="H26" s="451">
        <f t="shared" si="2"/>
        <v>0.48478448689641934</v>
      </c>
      <c r="I26" s="772"/>
      <c r="J26" s="772"/>
      <c r="K26" s="772"/>
      <c r="L26" s="772"/>
      <c r="M26" s="650">
        <f t="shared" si="3"/>
        <v>0.46318376930696703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5050</v>
      </c>
      <c r="H27" s="451">
        <f t="shared" si="2"/>
        <v>0.48478448689641934</v>
      </c>
      <c r="I27" s="772"/>
      <c r="J27" s="772"/>
      <c r="K27" s="772"/>
      <c r="L27" s="772"/>
      <c r="M27" s="650">
        <f t="shared" si="3"/>
        <v>0.46318376930696703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5050</v>
      </c>
      <c r="H28" s="451">
        <f t="shared" si="2"/>
        <v>0.48478448689641934</v>
      </c>
      <c r="I28" s="772"/>
      <c r="J28" s="772"/>
      <c r="K28" s="772"/>
      <c r="L28" s="772"/>
      <c r="M28" s="650">
        <f t="shared" si="3"/>
        <v>0.46318376930696703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5050</v>
      </c>
      <c r="H29" s="451">
        <f t="shared" si="2"/>
        <v>0.48478448689641934</v>
      </c>
      <c r="I29" s="772"/>
      <c r="J29" s="772"/>
      <c r="K29" s="772"/>
      <c r="L29" s="772"/>
      <c r="M29" s="650">
        <f t="shared" si="3"/>
        <v>0.46318376930696703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5050</v>
      </c>
      <c r="H30" s="451">
        <f t="shared" si="2"/>
        <v>0.48478448689641934</v>
      </c>
      <c r="I30" s="772"/>
      <c r="J30" s="772"/>
      <c r="K30" s="772"/>
      <c r="L30" s="772"/>
      <c r="M30" s="650">
        <f t="shared" si="3"/>
        <v>0.46318376930696703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5050</v>
      </c>
      <c r="H31" s="451">
        <f t="shared" si="2"/>
        <v>0.48478448689641934</v>
      </c>
      <c r="I31" s="772"/>
      <c r="J31" s="772"/>
      <c r="K31" s="772"/>
      <c r="L31" s="772"/>
      <c r="M31" s="650">
        <f t="shared" si="3"/>
        <v>0.46318376930696703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5050</v>
      </c>
      <c r="H32" s="451">
        <f t="shared" si="2"/>
        <v>0.48478448689641934</v>
      </c>
      <c r="I32" s="772"/>
      <c r="J32" s="772"/>
      <c r="K32" s="772"/>
      <c r="L32" s="772"/>
      <c r="M32" s="650">
        <f t="shared" si="3"/>
        <v>0.46318376930696703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5050</v>
      </c>
      <c r="H33" s="451">
        <f t="shared" si="2"/>
        <v>0.48478448689641934</v>
      </c>
      <c r="I33" s="772"/>
      <c r="J33" s="772"/>
      <c r="K33" s="772"/>
      <c r="L33" s="772"/>
      <c r="M33" s="650">
        <f t="shared" si="3"/>
        <v>0.46318376930696703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5050</v>
      </c>
      <c r="H34" s="451">
        <f t="shared" si="2"/>
        <v>0.48478448689641934</v>
      </c>
      <c r="I34" s="772"/>
      <c r="J34" s="772"/>
      <c r="K34" s="772"/>
      <c r="L34" s="772"/>
      <c r="M34" s="650">
        <f t="shared" si="3"/>
        <v>0.46318376930696703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5050</v>
      </c>
      <c r="H35" s="451">
        <f t="shared" si="2"/>
        <v>0.48478448689641934</v>
      </c>
      <c r="I35" s="772"/>
      <c r="J35" s="772"/>
      <c r="K35" s="772"/>
      <c r="L35" s="772"/>
      <c r="M35" s="650">
        <f t="shared" si="3"/>
        <v>0.46318376930696703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5050</v>
      </c>
      <c r="H36" s="451">
        <f t="shared" si="2"/>
        <v>0.48478448689641934</v>
      </c>
      <c r="I36" s="772"/>
      <c r="J36" s="772"/>
      <c r="K36" s="772"/>
      <c r="L36" s="772"/>
      <c r="M36" s="650">
        <f t="shared" si="3"/>
        <v>0.46318376930696703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5050</v>
      </c>
      <c r="H37" s="451">
        <f t="shared" si="2"/>
        <v>0.48478448689641934</v>
      </c>
      <c r="I37" s="772"/>
      <c r="J37" s="772"/>
      <c r="K37" s="772"/>
      <c r="L37" s="772"/>
      <c r="M37" s="650">
        <f t="shared" si="3"/>
        <v>0.46318376930696703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5050</v>
      </c>
      <c r="H38" s="451">
        <f t="shared" si="2"/>
        <v>0.48478448689641934</v>
      </c>
      <c r="I38" s="772"/>
      <c r="J38" s="772"/>
      <c r="K38" s="772"/>
      <c r="L38" s="772"/>
      <c r="M38" s="650">
        <f t="shared" si="3"/>
        <v>0.46318376930696703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5050</v>
      </c>
      <c r="H39" s="451">
        <f t="shared" si="2"/>
        <v>0.48478448689641934</v>
      </c>
      <c r="I39" s="772"/>
      <c r="J39" s="772"/>
      <c r="K39" s="772"/>
      <c r="L39" s="772"/>
      <c r="M39" s="650">
        <f t="shared" si="3"/>
        <v>0.46318376930696703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5050</v>
      </c>
      <c r="E40" s="389">
        <f>SUM(E9:E39)</f>
        <v>0</v>
      </c>
      <c r="F40" s="449"/>
      <c r="G40" s="389">
        <f>G39</f>
        <v>5050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5050</v>
      </c>
      <c r="E41" s="389">
        <f>E40</f>
        <v>0</v>
      </c>
      <c r="F41" s="449"/>
      <c r="G41" s="389">
        <f>D41-E41</f>
        <v>5050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5993" priority="34" operator="between">
      <formula>3.5</formula>
      <formula>6</formula>
    </cfRule>
    <cfRule type="cellIs" dxfId="5992" priority="35" operator="lessThan">
      <formula>3.5</formula>
    </cfRule>
    <cfRule type="cellIs" dxfId="5991" priority="36" operator="greaterThan">
      <formula>6</formula>
    </cfRule>
  </conditionalFormatting>
  <conditionalFormatting sqref="H9:H12 H24:H37 H14:H17 H19:H22 H39">
    <cfRule type="cellIs" dxfId="5990" priority="31" operator="between">
      <formula>3.5</formula>
      <formula>6</formula>
    </cfRule>
    <cfRule type="cellIs" dxfId="5989" priority="32" operator="lessThan">
      <formula>3.5</formula>
    </cfRule>
    <cfRule type="cellIs" dxfId="5988" priority="33" operator="greaterThan">
      <formula>6</formula>
    </cfRule>
  </conditionalFormatting>
  <conditionalFormatting sqref="H23">
    <cfRule type="cellIs" dxfId="5987" priority="28" operator="between">
      <formula>3.5</formula>
      <formula>6</formula>
    </cfRule>
    <cfRule type="cellIs" dxfId="5986" priority="29" operator="lessThan">
      <formula>3.5</formula>
    </cfRule>
    <cfRule type="cellIs" dxfId="5985" priority="30" operator="greaterThan">
      <formula>6</formula>
    </cfRule>
  </conditionalFormatting>
  <conditionalFormatting sqref="H13">
    <cfRule type="cellIs" dxfId="5984" priority="25" operator="between">
      <formula>3.5</formula>
      <formula>6</formula>
    </cfRule>
    <cfRule type="cellIs" dxfId="5983" priority="26" operator="lessThan">
      <formula>3.5</formula>
    </cfRule>
    <cfRule type="cellIs" dxfId="5982" priority="27" operator="greaterThan">
      <formula>6</formula>
    </cfRule>
  </conditionalFormatting>
  <conditionalFormatting sqref="H18">
    <cfRule type="cellIs" dxfId="5981" priority="22" operator="between">
      <formula>3.5</formula>
      <formula>6</formula>
    </cfRule>
    <cfRule type="cellIs" dxfId="5980" priority="23" operator="lessThan">
      <formula>3.5</formula>
    </cfRule>
    <cfRule type="cellIs" dxfId="5979" priority="24" operator="greaterThan">
      <formula>6</formula>
    </cfRule>
  </conditionalFormatting>
  <conditionalFormatting sqref="H9:H39">
    <cfRule type="cellIs" dxfId="5978" priority="19" operator="between">
      <formula>3.5</formula>
      <formula>6</formula>
    </cfRule>
    <cfRule type="cellIs" dxfId="5977" priority="20" operator="lessThan">
      <formula>3.5</formula>
    </cfRule>
    <cfRule type="cellIs" dxfId="5976" priority="21" operator="greaterThan">
      <formula>6</formula>
    </cfRule>
  </conditionalFormatting>
  <conditionalFormatting sqref="H9:H39">
    <cfRule type="cellIs" dxfId="5975" priority="16" operator="between">
      <formula>3.5</formula>
      <formula>6</formula>
    </cfRule>
    <cfRule type="cellIs" dxfId="5974" priority="17" operator="lessThan">
      <formula>3.5</formula>
    </cfRule>
    <cfRule type="cellIs" dxfId="5973" priority="18" operator="greaterThan">
      <formula>6</formula>
    </cfRule>
  </conditionalFormatting>
  <conditionalFormatting sqref="H9:H39">
    <cfRule type="cellIs" dxfId="5972" priority="13" operator="between">
      <formula>3.5</formula>
      <formula>6</formula>
    </cfRule>
    <cfRule type="cellIs" dxfId="5971" priority="14" operator="lessThan">
      <formula>3.5</formula>
    </cfRule>
    <cfRule type="cellIs" dxfId="5970" priority="15" operator="greaterThan">
      <formula>6</formula>
    </cfRule>
  </conditionalFormatting>
  <conditionalFormatting sqref="H9:H39">
    <cfRule type="cellIs" dxfId="5969" priority="10" operator="between">
      <formula>3.5</formula>
      <formula>6</formula>
    </cfRule>
    <cfRule type="cellIs" dxfId="5968" priority="11" operator="lessThan">
      <formula>3.5</formula>
    </cfRule>
    <cfRule type="cellIs" dxfId="5967" priority="12" operator="greaterThan">
      <formula>6</formula>
    </cfRule>
  </conditionalFormatting>
  <conditionalFormatting sqref="H9:H39">
    <cfRule type="cellIs" dxfId="5966" priority="7" operator="between">
      <formula>3.5</formula>
      <formula>6</formula>
    </cfRule>
    <cfRule type="cellIs" dxfId="5965" priority="8" operator="lessThan">
      <formula>3.5</formula>
    </cfRule>
    <cfRule type="cellIs" dxfId="5964" priority="9" operator="greaterThan">
      <formula>6</formula>
    </cfRule>
  </conditionalFormatting>
  <conditionalFormatting sqref="H9:H39">
    <cfRule type="cellIs" dxfId="5963" priority="4" operator="between">
      <formula>3.5</formula>
      <formula>6</formula>
    </cfRule>
    <cfRule type="cellIs" dxfId="5962" priority="5" operator="lessThan">
      <formula>3.5</formula>
    </cfRule>
    <cfRule type="cellIs" dxfId="5961" priority="6" operator="greaterThan">
      <formula>6</formula>
    </cfRule>
  </conditionalFormatting>
  <conditionalFormatting sqref="H9:H39">
    <cfRule type="cellIs" dxfId="5960" priority="1" operator="between">
      <formula>3.5</formula>
      <formula>6</formula>
    </cfRule>
    <cfRule type="cellIs" dxfId="5959" priority="2" operator="lessThan">
      <formula>3.5</formula>
    </cfRule>
    <cfRule type="cellIs" dxfId="595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A49"/>
  <sheetViews>
    <sheetView zoomScale="90" zoomScaleNormal="90" workbookViewId="0">
      <pane ySplit="8" topLeftCell="A9" activePane="bottomLeft" state="frozen"/>
      <selection activeCell="L8" sqref="L8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476"/>
      <c r="K3" s="1476"/>
      <c r="L3" s="1476"/>
      <c r="N3" s="442"/>
      <c r="O3" s="442"/>
      <c r="P3" s="442"/>
    </row>
    <row r="4" spans="1:27" s="1481" customFormat="1" ht="12" customHeight="1">
      <c r="A4" s="1648" t="s">
        <v>33</v>
      </c>
      <c r="B4" s="1648"/>
      <c r="C4" s="551" t="str">
        <f>H4</f>
        <v xml:space="preserve">PADOVA 30*60 nâu-HA </v>
      </c>
      <c r="E4" s="549" t="s">
        <v>228</v>
      </c>
      <c r="F4" s="549" t="s">
        <v>235</v>
      </c>
      <c r="G4" s="550" t="s">
        <v>114</v>
      </c>
      <c r="H4" s="551" t="s">
        <v>1239</v>
      </c>
      <c r="M4" s="143"/>
    </row>
    <row r="5" spans="1:27" s="1481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481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478" t="s">
        <v>2</v>
      </c>
      <c r="B7" s="1480" t="s">
        <v>1</v>
      </c>
      <c r="C7" s="1480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477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6090</v>
      </c>
      <c r="E8" s="771">
        <f>E40</f>
        <v>21600</v>
      </c>
      <c r="F8" s="771"/>
      <c r="G8" s="774">
        <v>6090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479">
        <v>1</v>
      </c>
      <c r="B9" s="365">
        <f>'FRIT HGE91-FHG'!B9</f>
        <v>46235</v>
      </c>
      <c r="C9" s="331" t="s">
        <v>285</v>
      </c>
      <c r="D9" s="396"/>
      <c r="E9" s="396">
        <f>I9+J9+K9+L9</f>
        <v>4800</v>
      </c>
      <c r="F9" s="396">
        <f>15700/1.44</f>
        <v>10902.777777777777</v>
      </c>
      <c r="G9" s="396">
        <f t="shared" ref="G9:G39" si="0">G8+D9-E9</f>
        <v>1290</v>
      </c>
      <c r="H9" s="451">
        <f>G9/10417</f>
        <v>0.1238360372468081</v>
      </c>
      <c r="I9" s="772">
        <v>4800</v>
      </c>
      <c r="J9" s="772"/>
      <c r="K9" s="772"/>
      <c r="L9" s="772"/>
      <c r="M9" s="650">
        <f>G9/$M$8</f>
        <v>0.11831823017940346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1290</v>
      </c>
      <c r="H10" s="451">
        <f t="shared" ref="H10:H39" si="2">G10/10417</f>
        <v>0.1238360372468081</v>
      </c>
      <c r="I10" s="772"/>
      <c r="J10" s="772"/>
      <c r="K10" s="772"/>
      <c r="L10" s="772"/>
      <c r="M10" s="650">
        <f t="shared" ref="M10:M39" si="3">G10/$M$8</f>
        <v>0.11831823017940346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>
        <v>5050</v>
      </c>
      <c r="E11" s="396">
        <f t="shared" si="1"/>
        <v>0</v>
      </c>
      <c r="F11" s="396">
        <f>$F$9</f>
        <v>10902.777777777777</v>
      </c>
      <c r="G11" s="396">
        <f t="shared" si="0"/>
        <v>6340</v>
      </c>
      <c r="H11" s="451">
        <f t="shared" si="2"/>
        <v>0.60862052414322743</v>
      </c>
      <c r="I11" s="772"/>
      <c r="J11" s="772"/>
      <c r="K11" s="772"/>
      <c r="L11" s="772"/>
      <c r="M11" s="650">
        <f t="shared" si="3"/>
        <v>0.58150199948637049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6340</v>
      </c>
      <c r="H12" s="451">
        <f t="shared" si="2"/>
        <v>0.60862052414322743</v>
      </c>
      <c r="I12" s="772"/>
      <c r="J12" s="772"/>
      <c r="K12" s="772"/>
      <c r="L12" s="772"/>
      <c r="M12" s="650">
        <f t="shared" si="3"/>
        <v>0.58150199948637049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6340</v>
      </c>
      <c r="H13" s="451">
        <f t="shared" si="2"/>
        <v>0.60862052414322743</v>
      </c>
      <c r="I13" s="772"/>
      <c r="J13" s="772"/>
      <c r="K13" s="772"/>
      <c r="L13" s="772"/>
      <c r="M13" s="650">
        <f t="shared" si="3"/>
        <v>0.58150199948637049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>
        <v>5100</v>
      </c>
      <c r="E14" s="396">
        <f t="shared" si="1"/>
        <v>0</v>
      </c>
      <c r="F14" s="396">
        <f t="shared" si="4"/>
        <v>10902.777777777777</v>
      </c>
      <c r="G14" s="396">
        <f t="shared" si="0"/>
        <v>11440</v>
      </c>
      <c r="H14" s="451">
        <f t="shared" si="2"/>
        <v>1.0982048574445618</v>
      </c>
      <c r="I14" s="772"/>
      <c r="J14" s="772"/>
      <c r="K14" s="772"/>
      <c r="L14" s="772"/>
      <c r="M14" s="650">
        <f t="shared" si="3"/>
        <v>1.0492717467072679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4800</v>
      </c>
      <c r="F15" s="396">
        <f t="shared" si="4"/>
        <v>10902.777777777777</v>
      </c>
      <c r="G15" s="396">
        <f t="shared" si="0"/>
        <v>6640</v>
      </c>
      <c r="H15" s="451">
        <f t="shared" si="2"/>
        <v>0.63741960257271768</v>
      </c>
      <c r="I15" s="772">
        <v>4800</v>
      </c>
      <c r="J15" s="772"/>
      <c r="K15" s="772"/>
      <c r="L15" s="772"/>
      <c r="M15" s="650">
        <f t="shared" si="3"/>
        <v>0.60901786696995275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4800</v>
      </c>
      <c r="F16" s="396">
        <f t="shared" si="4"/>
        <v>10902.777777777777</v>
      </c>
      <c r="G16" s="396">
        <f t="shared" si="0"/>
        <v>1840</v>
      </c>
      <c r="H16" s="451">
        <f t="shared" si="2"/>
        <v>0.17663434770087358</v>
      </c>
      <c r="I16" s="772">
        <v>4800</v>
      </c>
      <c r="J16" s="772"/>
      <c r="K16" s="772"/>
      <c r="L16" s="772"/>
      <c r="M16" s="650">
        <f t="shared" si="3"/>
        <v>0.1687639872326375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 t="shared" si="0"/>
        <v>1840</v>
      </c>
      <c r="H17" s="451">
        <f t="shared" si="2"/>
        <v>0.17663434770087358</v>
      </c>
      <c r="I17" s="772"/>
      <c r="J17" s="772"/>
      <c r="K17" s="772"/>
      <c r="L17" s="772"/>
      <c r="M17" s="650">
        <f t="shared" si="3"/>
        <v>0.1687639872326375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>
        <v>10150</v>
      </c>
      <c r="E18" s="396">
        <f t="shared" si="1"/>
        <v>0</v>
      </c>
      <c r="F18" s="396">
        <f t="shared" si="4"/>
        <v>10902.777777777777</v>
      </c>
      <c r="G18" s="769">
        <f t="shared" si="0"/>
        <v>11990</v>
      </c>
      <c r="H18" s="451">
        <f t="shared" si="2"/>
        <v>1.1510031678986272</v>
      </c>
      <c r="I18" s="772"/>
      <c r="J18" s="772"/>
      <c r="K18" s="772"/>
      <c r="L18" s="772"/>
      <c r="M18" s="650">
        <f t="shared" si="3"/>
        <v>1.099717503760502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11990</v>
      </c>
      <c r="H19" s="451">
        <f t="shared" si="2"/>
        <v>1.1510031678986272</v>
      </c>
      <c r="I19" s="772"/>
      <c r="J19" s="772"/>
      <c r="K19" s="772"/>
      <c r="L19" s="772"/>
      <c r="M19" s="650">
        <f t="shared" si="3"/>
        <v>1.099717503760502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11990</v>
      </c>
      <c r="H20" s="451">
        <f t="shared" si="2"/>
        <v>1.1510031678986272</v>
      </c>
      <c r="I20" s="772"/>
      <c r="J20" s="772"/>
      <c r="K20" s="772"/>
      <c r="L20" s="772"/>
      <c r="M20" s="650">
        <f t="shared" si="3"/>
        <v>1.099717503760502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2400</v>
      </c>
      <c r="F21" s="396">
        <f t="shared" si="4"/>
        <v>10902.777777777777</v>
      </c>
      <c r="G21" s="396">
        <f t="shared" si="0"/>
        <v>9590</v>
      </c>
      <c r="H21" s="451">
        <f t="shared" si="2"/>
        <v>0.92061054046270518</v>
      </c>
      <c r="I21" s="772">
        <v>2400</v>
      </c>
      <c r="J21" s="772"/>
      <c r="K21" s="772"/>
      <c r="L21" s="772"/>
      <c r="M21" s="650">
        <f t="shared" si="3"/>
        <v>0.87959056389184431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9590</v>
      </c>
      <c r="H22" s="451">
        <f t="shared" si="2"/>
        <v>0.92061054046270518</v>
      </c>
      <c r="I22" s="772"/>
      <c r="J22" s="772"/>
      <c r="K22" s="772"/>
      <c r="L22" s="772"/>
      <c r="M22" s="650">
        <f t="shared" si="3"/>
        <v>0.87959056389184431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9590</v>
      </c>
      <c r="H23" s="451">
        <f t="shared" si="2"/>
        <v>0.92061054046270518</v>
      </c>
      <c r="I23" s="772"/>
      <c r="J23" s="772"/>
      <c r="K23" s="772"/>
      <c r="L23" s="772"/>
      <c r="M23" s="650">
        <f t="shared" si="3"/>
        <v>0.87959056389184431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9590</v>
      </c>
      <c r="H24" s="451">
        <f t="shared" si="2"/>
        <v>0.92061054046270518</v>
      </c>
      <c r="I24" s="772"/>
      <c r="J24" s="772"/>
      <c r="K24" s="772"/>
      <c r="L24" s="772"/>
      <c r="M24" s="650">
        <f t="shared" si="3"/>
        <v>0.87959056389184431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4800</v>
      </c>
      <c r="F25" s="396">
        <f t="shared" si="4"/>
        <v>10902.777777777777</v>
      </c>
      <c r="G25" s="396">
        <f t="shared" si="0"/>
        <v>4790</v>
      </c>
      <c r="H25" s="451">
        <f t="shared" si="2"/>
        <v>0.45982528559086111</v>
      </c>
      <c r="I25" s="772">
        <v>4800</v>
      </c>
      <c r="J25" s="772"/>
      <c r="K25" s="772"/>
      <c r="L25" s="772"/>
      <c r="M25" s="650">
        <f t="shared" si="3"/>
        <v>0.43933668415452914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4790</v>
      </c>
      <c r="H26" s="451">
        <f t="shared" si="2"/>
        <v>0.45982528559086111</v>
      </c>
      <c r="I26" s="772"/>
      <c r="J26" s="772"/>
      <c r="K26" s="772"/>
      <c r="L26" s="772"/>
      <c r="M26" s="650">
        <f t="shared" si="3"/>
        <v>0.43933668415452914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4790</v>
      </c>
      <c r="H27" s="451">
        <f t="shared" si="2"/>
        <v>0.45982528559086111</v>
      </c>
      <c r="I27" s="772"/>
      <c r="J27" s="772"/>
      <c r="K27" s="772"/>
      <c r="L27" s="772"/>
      <c r="M27" s="650">
        <f t="shared" si="3"/>
        <v>0.43933668415452914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4790</v>
      </c>
      <c r="H28" s="451">
        <f t="shared" si="2"/>
        <v>0.45982528559086111</v>
      </c>
      <c r="I28" s="772"/>
      <c r="J28" s="772"/>
      <c r="K28" s="772"/>
      <c r="L28" s="772"/>
      <c r="M28" s="650">
        <f t="shared" si="3"/>
        <v>0.43933668415452914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4790</v>
      </c>
      <c r="H29" s="451">
        <f t="shared" si="2"/>
        <v>0.45982528559086111</v>
      </c>
      <c r="I29" s="772"/>
      <c r="J29" s="772"/>
      <c r="K29" s="772"/>
      <c r="L29" s="772"/>
      <c r="M29" s="650">
        <f t="shared" si="3"/>
        <v>0.43933668415452914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4790</v>
      </c>
      <c r="H30" s="451">
        <f t="shared" si="2"/>
        <v>0.45982528559086111</v>
      </c>
      <c r="I30" s="772"/>
      <c r="J30" s="772"/>
      <c r="K30" s="772"/>
      <c r="L30" s="772"/>
      <c r="M30" s="650">
        <f t="shared" si="3"/>
        <v>0.43933668415452914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4790</v>
      </c>
      <c r="H31" s="451">
        <f t="shared" si="2"/>
        <v>0.45982528559086111</v>
      </c>
      <c r="I31" s="772"/>
      <c r="J31" s="772"/>
      <c r="K31" s="772"/>
      <c r="L31" s="772"/>
      <c r="M31" s="650">
        <f t="shared" si="3"/>
        <v>0.43933668415452914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4790</v>
      </c>
      <c r="H32" s="451">
        <f t="shared" si="2"/>
        <v>0.45982528559086111</v>
      </c>
      <c r="I32" s="772"/>
      <c r="J32" s="772"/>
      <c r="K32" s="772"/>
      <c r="L32" s="772"/>
      <c r="M32" s="650">
        <f t="shared" si="3"/>
        <v>0.43933668415452914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4790</v>
      </c>
      <c r="H33" s="451">
        <f t="shared" si="2"/>
        <v>0.45982528559086111</v>
      </c>
      <c r="I33" s="772"/>
      <c r="J33" s="772"/>
      <c r="K33" s="772"/>
      <c r="L33" s="772"/>
      <c r="M33" s="650">
        <f t="shared" si="3"/>
        <v>0.43933668415452914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4790</v>
      </c>
      <c r="H34" s="451">
        <f t="shared" si="2"/>
        <v>0.45982528559086111</v>
      </c>
      <c r="I34" s="772"/>
      <c r="J34" s="772"/>
      <c r="K34" s="772"/>
      <c r="L34" s="772"/>
      <c r="M34" s="650">
        <f t="shared" si="3"/>
        <v>0.43933668415452914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4790</v>
      </c>
      <c r="H35" s="451">
        <f t="shared" si="2"/>
        <v>0.45982528559086111</v>
      </c>
      <c r="I35" s="772"/>
      <c r="J35" s="772"/>
      <c r="K35" s="772"/>
      <c r="L35" s="772"/>
      <c r="M35" s="650">
        <f t="shared" si="3"/>
        <v>0.43933668415452914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4790</v>
      </c>
      <c r="H36" s="451">
        <f t="shared" si="2"/>
        <v>0.45982528559086111</v>
      </c>
      <c r="I36" s="772"/>
      <c r="J36" s="772"/>
      <c r="K36" s="772"/>
      <c r="L36" s="772"/>
      <c r="M36" s="650">
        <f t="shared" si="3"/>
        <v>0.43933668415452914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4790</v>
      </c>
      <c r="H37" s="451">
        <f t="shared" si="2"/>
        <v>0.45982528559086111</v>
      </c>
      <c r="I37" s="772"/>
      <c r="J37" s="772"/>
      <c r="K37" s="772"/>
      <c r="L37" s="772"/>
      <c r="M37" s="650">
        <f t="shared" si="3"/>
        <v>0.43933668415452914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4790</v>
      </c>
      <c r="H38" s="451">
        <f t="shared" si="2"/>
        <v>0.45982528559086111</v>
      </c>
      <c r="I38" s="772"/>
      <c r="J38" s="772"/>
      <c r="K38" s="772"/>
      <c r="L38" s="772"/>
      <c r="M38" s="650">
        <f t="shared" si="3"/>
        <v>0.43933668415452914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1393.5483870967741</v>
      </c>
      <c r="G39" s="396">
        <f t="shared" si="0"/>
        <v>4790</v>
      </c>
      <c r="H39" s="451">
        <f t="shared" si="2"/>
        <v>0.45982528559086111</v>
      </c>
      <c r="I39" s="772"/>
      <c r="J39" s="772"/>
      <c r="K39" s="772"/>
      <c r="L39" s="772"/>
      <c r="M39" s="650">
        <f t="shared" si="3"/>
        <v>0.43933668415452914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20300</v>
      </c>
      <c r="E40" s="389">
        <f>SUM(E9:E39)</f>
        <v>21600</v>
      </c>
      <c r="F40" s="449"/>
      <c r="G40" s="389">
        <f>G39</f>
        <v>4790</v>
      </c>
      <c r="H40" s="309"/>
      <c r="I40" s="689">
        <f>SUM(I9:I39)</f>
        <v>21600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26390</v>
      </c>
      <c r="E41" s="389">
        <f>E40</f>
        <v>21600</v>
      </c>
      <c r="F41" s="449"/>
      <c r="G41" s="389">
        <f>D41-E41</f>
        <v>4790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21600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5957" priority="34" operator="between">
      <formula>3.5</formula>
      <formula>6</formula>
    </cfRule>
    <cfRule type="cellIs" dxfId="5956" priority="35" operator="lessThan">
      <formula>3.5</formula>
    </cfRule>
    <cfRule type="cellIs" dxfId="5955" priority="36" operator="greaterThan">
      <formula>6</formula>
    </cfRule>
  </conditionalFormatting>
  <conditionalFormatting sqref="H9:H12 H24:H37 H14:H17 H19:H22 H39">
    <cfRule type="cellIs" dxfId="5954" priority="31" operator="between">
      <formula>3.5</formula>
      <formula>6</formula>
    </cfRule>
    <cfRule type="cellIs" dxfId="5953" priority="32" operator="lessThan">
      <formula>3.5</formula>
    </cfRule>
    <cfRule type="cellIs" dxfId="5952" priority="33" operator="greaterThan">
      <formula>6</formula>
    </cfRule>
  </conditionalFormatting>
  <conditionalFormatting sqref="H23">
    <cfRule type="cellIs" dxfId="5951" priority="28" operator="between">
      <formula>3.5</formula>
      <formula>6</formula>
    </cfRule>
    <cfRule type="cellIs" dxfId="5950" priority="29" operator="lessThan">
      <formula>3.5</formula>
    </cfRule>
    <cfRule type="cellIs" dxfId="5949" priority="30" operator="greaterThan">
      <formula>6</formula>
    </cfRule>
  </conditionalFormatting>
  <conditionalFormatting sqref="H13">
    <cfRule type="cellIs" dxfId="5948" priority="25" operator="between">
      <formula>3.5</formula>
      <formula>6</formula>
    </cfRule>
    <cfRule type="cellIs" dxfId="5947" priority="26" operator="lessThan">
      <formula>3.5</formula>
    </cfRule>
    <cfRule type="cellIs" dxfId="5946" priority="27" operator="greaterThan">
      <formula>6</formula>
    </cfRule>
  </conditionalFormatting>
  <conditionalFormatting sqref="H18">
    <cfRule type="cellIs" dxfId="5945" priority="22" operator="between">
      <formula>3.5</formula>
      <formula>6</formula>
    </cfRule>
    <cfRule type="cellIs" dxfId="5944" priority="23" operator="lessThan">
      <formula>3.5</formula>
    </cfRule>
    <cfRule type="cellIs" dxfId="5943" priority="24" operator="greaterThan">
      <formula>6</formula>
    </cfRule>
  </conditionalFormatting>
  <conditionalFormatting sqref="H9:H39">
    <cfRule type="cellIs" dxfId="5942" priority="19" operator="between">
      <formula>3.5</formula>
      <formula>6</formula>
    </cfRule>
    <cfRule type="cellIs" dxfId="5941" priority="20" operator="lessThan">
      <formula>3.5</formula>
    </cfRule>
    <cfRule type="cellIs" dxfId="5940" priority="21" operator="greaterThan">
      <formula>6</formula>
    </cfRule>
  </conditionalFormatting>
  <conditionalFormatting sqref="H9:H39">
    <cfRule type="cellIs" dxfId="5939" priority="16" operator="between">
      <formula>3.5</formula>
      <formula>6</formula>
    </cfRule>
    <cfRule type="cellIs" dxfId="5938" priority="17" operator="lessThan">
      <formula>3.5</formula>
    </cfRule>
    <cfRule type="cellIs" dxfId="5937" priority="18" operator="greaterThan">
      <formula>6</formula>
    </cfRule>
  </conditionalFormatting>
  <conditionalFormatting sqref="H9:H39">
    <cfRule type="cellIs" dxfId="5936" priority="13" operator="between">
      <formula>3.5</formula>
      <formula>6</formula>
    </cfRule>
    <cfRule type="cellIs" dxfId="5935" priority="14" operator="lessThan">
      <formula>3.5</formula>
    </cfRule>
    <cfRule type="cellIs" dxfId="5934" priority="15" operator="greaterThan">
      <formula>6</formula>
    </cfRule>
  </conditionalFormatting>
  <conditionalFormatting sqref="H9:H39">
    <cfRule type="cellIs" dxfId="5933" priority="10" operator="between">
      <formula>3.5</formula>
      <formula>6</formula>
    </cfRule>
    <cfRule type="cellIs" dxfId="5932" priority="11" operator="lessThan">
      <formula>3.5</formula>
    </cfRule>
    <cfRule type="cellIs" dxfId="5931" priority="12" operator="greaterThan">
      <formula>6</formula>
    </cfRule>
  </conditionalFormatting>
  <conditionalFormatting sqref="H9:H39">
    <cfRule type="cellIs" dxfId="5930" priority="7" operator="between">
      <formula>3.5</formula>
      <formula>6</formula>
    </cfRule>
    <cfRule type="cellIs" dxfId="5929" priority="8" operator="lessThan">
      <formula>3.5</formula>
    </cfRule>
    <cfRule type="cellIs" dxfId="5928" priority="9" operator="greaterThan">
      <formula>6</formula>
    </cfRule>
  </conditionalFormatting>
  <conditionalFormatting sqref="H9:H39">
    <cfRule type="cellIs" dxfId="5927" priority="4" operator="between">
      <formula>3.5</formula>
      <formula>6</formula>
    </cfRule>
    <cfRule type="cellIs" dxfId="5926" priority="5" operator="lessThan">
      <formula>3.5</formula>
    </cfRule>
    <cfRule type="cellIs" dxfId="5925" priority="6" operator="greaterThan">
      <formula>6</formula>
    </cfRule>
  </conditionalFormatting>
  <conditionalFormatting sqref="H9:H39">
    <cfRule type="cellIs" dxfId="5924" priority="1" operator="between">
      <formula>3.5</formula>
      <formula>6</formula>
    </cfRule>
    <cfRule type="cellIs" dxfId="5923" priority="2" operator="lessThan">
      <formula>3.5</formula>
    </cfRule>
    <cfRule type="cellIs" dxfId="592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A49"/>
  <sheetViews>
    <sheetView zoomScale="90" zoomScaleNormal="90" workbookViewId="0">
      <pane ySplit="8" topLeftCell="A12" activePane="bottomLeft" state="frozen"/>
      <selection activeCell="L8" sqref="L8"/>
      <selection pane="bottomLeft" activeCell="D22" sqref="D22:D30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2" width="8.7109375" style="42" customWidth="1"/>
    <col min="13" max="13" width="11.5703125" style="143" bestFit="1" customWidth="1"/>
    <col min="14" max="16" width="7.5703125" style="42" customWidth="1"/>
    <col min="17" max="16384" width="9.28515625" style="42"/>
  </cols>
  <sheetData>
    <row r="1" spans="1:2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3"/>
      <c r="Q1" s="323"/>
      <c r="R1" s="324"/>
      <c r="S1" s="324"/>
      <c r="T1" s="324"/>
      <c r="U1" s="324"/>
      <c r="V1" s="324"/>
      <c r="W1" s="324"/>
      <c r="X1" s="324"/>
      <c r="Y1" s="324"/>
      <c r="Z1" s="324"/>
      <c r="AA1" s="324"/>
    </row>
    <row r="2" spans="1:2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M2" s="323"/>
      <c r="N2" s="142"/>
      <c r="Q2" s="323"/>
      <c r="R2" s="324"/>
      <c r="S2" s="324"/>
      <c r="T2" s="324"/>
      <c r="U2" s="324"/>
      <c r="V2" s="324"/>
      <c r="W2" s="324"/>
      <c r="X2" s="324"/>
      <c r="Y2" s="324"/>
      <c r="Z2" s="324"/>
    </row>
    <row r="3" spans="1:27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492"/>
      <c r="K3" s="1492"/>
      <c r="L3" s="1492"/>
      <c r="N3" s="442"/>
      <c r="O3" s="442"/>
      <c r="P3" s="442"/>
    </row>
    <row r="4" spans="1:27" s="1497" customFormat="1" ht="12" customHeight="1">
      <c r="A4" s="1648" t="s">
        <v>33</v>
      </c>
      <c r="B4" s="1648"/>
      <c r="C4" s="551" t="str">
        <f>H4</f>
        <v xml:space="preserve">PADOVA 30*60 nâu-HA </v>
      </c>
      <c r="E4" s="549" t="s">
        <v>228</v>
      </c>
      <c r="F4" s="549" t="s">
        <v>235</v>
      </c>
      <c r="G4" s="550" t="s">
        <v>114</v>
      </c>
      <c r="H4" s="551" t="s">
        <v>1239</v>
      </c>
      <c r="M4" s="143"/>
    </row>
    <row r="5" spans="1:27" s="1497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">
        <v>5</v>
      </c>
      <c r="I5" s="324">
        <f>'FRIT HGE91-FHG'!I5</f>
        <v>2026</v>
      </c>
      <c r="J5" s="324"/>
      <c r="K5" s="324"/>
      <c r="L5" s="324"/>
      <c r="M5" s="143"/>
    </row>
    <row r="6" spans="1:27" s="1497" customFormat="1" ht="12" customHeight="1">
      <c r="B6" s="453"/>
      <c r="C6" s="453"/>
      <c r="D6" s="453"/>
      <c r="E6" s="453"/>
      <c r="F6" s="453"/>
      <c r="G6" s="453">
        <v>75250</v>
      </c>
      <c r="H6" s="508" t="s">
        <v>293</v>
      </c>
      <c r="I6" s="375" t="s">
        <v>149</v>
      </c>
      <c r="J6" s="324"/>
      <c r="K6" s="324"/>
      <c r="L6" s="324"/>
      <c r="M6" s="442"/>
    </row>
    <row r="7" spans="1:27" s="305" customFormat="1" ht="28.5" customHeight="1">
      <c r="A7" s="1494" t="s">
        <v>2</v>
      </c>
      <c r="B7" s="1496" t="s">
        <v>1</v>
      </c>
      <c r="C7" s="1496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493" t="s">
        <v>30</v>
      </c>
      <c r="I7" s="697" t="s">
        <v>341</v>
      </c>
      <c r="J7" s="697" t="s">
        <v>244</v>
      </c>
      <c r="K7" s="697" t="s">
        <v>344</v>
      </c>
      <c r="L7" s="697" t="s">
        <v>921</v>
      </c>
      <c r="M7" s="143"/>
    </row>
    <row r="8" spans="1:27" s="305" customFormat="1" ht="12" customHeight="1">
      <c r="A8" s="1650" t="s">
        <v>3</v>
      </c>
      <c r="B8" s="1651"/>
      <c r="C8" s="1652"/>
      <c r="D8" s="771">
        <f>G8</f>
        <v>0</v>
      </c>
      <c r="E8" s="771">
        <f>E40</f>
        <v>0</v>
      </c>
      <c r="F8" s="771"/>
      <c r="G8" s="774">
        <v>0</v>
      </c>
      <c r="H8" s="450"/>
      <c r="I8" s="772"/>
      <c r="J8" s="772"/>
      <c r="K8" s="772"/>
      <c r="L8" s="772"/>
      <c r="M8" s="143">
        <v>10902.8</v>
      </c>
    </row>
    <row r="9" spans="1:27" s="305" customFormat="1" ht="12" customHeight="1">
      <c r="A9" s="1495">
        <v>1</v>
      </c>
      <c r="B9" s="365">
        <f>'FRIT HGE91-FHG'!B9</f>
        <v>46235</v>
      </c>
      <c r="C9" s="331" t="s">
        <v>285</v>
      </c>
      <c r="D9" s="396"/>
      <c r="E9" s="396">
        <f>I9+J9+K9+L9</f>
        <v>0</v>
      </c>
      <c r="F9" s="396">
        <f>15700/1.44</f>
        <v>10902.777777777777</v>
      </c>
      <c r="G9" s="396">
        <f t="shared" ref="G9:G39" si="0">G8+D9-E9</f>
        <v>0</v>
      </c>
      <c r="H9" s="451">
        <f>G9/10417</f>
        <v>0</v>
      </c>
      <c r="I9" s="772"/>
      <c r="J9" s="772"/>
      <c r="K9" s="772"/>
      <c r="L9" s="772"/>
      <c r="M9" s="650">
        <f>G9/$M$8</f>
        <v>0</v>
      </c>
    </row>
    <row r="10" spans="1:27" s="333" customFormat="1" ht="12" customHeight="1">
      <c r="A10" s="330">
        <v>2</v>
      </c>
      <c r="B10" s="365">
        <f>'FRIT HGE91-FHG'!B10</f>
        <v>46236</v>
      </c>
      <c r="C10" s="331" t="s">
        <v>348</v>
      </c>
      <c r="D10" s="396"/>
      <c r="E10" s="396">
        <f t="shared" ref="E10:E39" si="1">I10+J10+K10+L10</f>
        <v>0</v>
      </c>
      <c r="F10" s="396">
        <f>$F$9</f>
        <v>10902.777777777777</v>
      </c>
      <c r="G10" s="396">
        <f t="shared" si="0"/>
        <v>0</v>
      </c>
      <c r="H10" s="451">
        <f t="shared" ref="H10:H39" si="2">G10/10417</f>
        <v>0</v>
      </c>
      <c r="I10" s="772"/>
      <c r="J10" s="772"/>
      <c r="K10" s="772"/>
      <c r="L10" s="772"/>
      <c r="M10" s="650">
        <f t="shared" ref="M10:M39" si="3">G10/$M$8</f>
        <v>0</v>
      </c>
    </row>
    <row r="11" spans="1:27" s="333" customFormat="1" ht="12" customHeight="1">
      <c r="A11" s="330">
        <v>3</v>
      </c>
      <c r="B11" s="365">
        <f>'FRIT HGE91-FHG'!B11</f>
        <v>46237</v>
      </c>
      <c r="C11" s="331" t="s">
        <v>348</v>
      </c>
      <c r="D11" s="396"/>
      <c r="E11" s="396">
        <f t="shared" si="1"/>
        <v>0</v>
      </c>
      <c r="F11" s="396">
        <f>$F$9</f>
        <v>10902.777777777777</v>
      </c>
      <c r="G11" s="396">
        <f t="shared" si="0"/>
        <v>0</v>
      </c>
      <c r="H11" s="451">
        <f t="shared" si="2"/>
        <v>0</v>
      </c>
      <c r="I11" s="772"/>
      <c r="J11" s="772"/>
      <c r="K11" s="772"/>
      <c r="L11" s="772"/>
      <c r="M11" s="650">
        <f t="shared" si="3"/>
        <v>0</v>
      </c>
    </row>
    <row r="12" spans="1:27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396"/>
      <c r="E12" s="396">
        <f t="shared" si="1"/>
        <v>0</v>
      </c>
      <c r="F12" s="396">
        <f t="shared" ref="F12:F38" si="4">$F$9</f>
        <v>10902.777777777777</v>
      </c>
      <c r="G12" s="396">
        <f t="shared" si="0"/>
        <v>0</v>
      </c>
      <c r="H12" s="451">
        <f t="shared" si="2"/>
        <v>0</v>
      </c>
      <c r="I12" s="772"/>
      <c r="J12" s="772"/>
      <c r="K12" s="772"/>
      <c r="L12" s="772"/>
      <c r="M12" s="650">
        <f t="shared" si="3"/>
        <v>0</v>
      </c>
    </row>
    <row r="13" spans="1:27" s="367" customFormat="1" ht="12" customHeight="1">
      <c r="A13" s="425">
        <v>5</v>
      </c>
      <c r="B13" s="365">
        <f>'FRIT HGE91-FHG'!B13</f>
        <v>46239</v>
      </c>
      <c r="C13" s="331" t="s">
        <v>348</v>
      </c>
      <c r="D13" s="396"/>
      <c r="E13" s="396">
        <f t="shared" si="1"/>
        <v>0</v>
      </c>
      <c r="F13" s="396">
        <f t="shared" si="4"/>
        <v>10902.777777777777</v>
      </c>
      <c r="G13" s="769">
        <f t="shared" si="0"/>
        <v>0</v>
      </c>
      <c r="H13" s="451">
        <f t="shared" si="2"/>
        <v>0</v>
      </c>
      <c r="I13" s="772"/>
      <c r="J13" s="772"/>
      <c r="K13" s="772"/>
      <c r="L13" s="772"/>
      <c r="M13" s="650">
        <f t="shared" si="3"/>
        <v>0</v>
      </c>
    </row>
    <row r="14" spans="1:27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1"/>
        <v>0</v>
      </c>
      <c r="F14" s="396">
        <f t="shared" si="4"/>
        <v>10902.777777777777</v>
      </c>
      <c r="G14" s="396">
        <f>G13+D14-E14</f>
        <v>0</v>
      </c>
      <c r="H14" s="451">
        <f t="shared" si="2"/>
        <v>0</v>
      </c>
      <c r="I14" s="772"/>
      <c r="J14" s="772"/>
      <c r="K14" s="772"/>
      <c r="L14" s="772"/>
      <c r="M14" s="650">
        <f t="shared" si="3"/>
        <v>0</v>
      </c>
    </row>
    <row r="15" spans="1:27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1"/>
        <v>0</v>
      </c>
      <c r="F15" s="396">
        <f t="shared" si="4"/>
        <v>10902.777777777777</v>
      </c>
      <c r="G15" s="396">
        <f t="shared" si="0"/>
        <v>0</v>
      </c>
      <c r="H15" s="451">
        <f t="shared" si="2"/>
        <v>0</v>
      </c>
      <c r="I15" s="772"/>
      <c r="J15" s="772"/>
      <c r="K15" s="772"/>
      <c r="L15" s="772"/>
      <c r="M15" s="650">
        <f t="shared" si="3"/>
        <v>0</v>
      </c>
    </row>
    <row r="16" spans="1:27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96"/>
      <c r="E16" s="396">
        <f t="shared" si="1"/>
        <v>0</v>
      </c>
      <c r="F16" s="396">
        <f t="shared" si="4"/>
        <v>10902.777777777777</v>
      </c>
      <c r="G16" s="396">
        <f t="shared" si="0"/>
        <v>0</v>
      </c>
      <c r="H16" s="451">
        <f t="shared" si="2"/>
        <v>0</v>
      </c>
      <c r="I16" s="772"/>
      <c r="J16" s="772"/>
      <c r="K16" s="772"/>
      <c r="L16" s="772"/>
      <c r="M16" s="650">
        <f t="shared" si="3"/>
        <v>0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96"/>
      <c r="E17" s="396">
        <f t="shared" si="1"/>
        <v>0</v>
      </c>
      <c r="F17" s="396">
        <f t="shared" si="4"/>
        <v>10902.777777777777</v>
      </c>
      <c r="G17" s="396">
        <f>G16+D17-E17</f>
        <v>0</v>
      </c>
      <c r="H17" s="451">
        <f t="shared" si="2"/>
        <v>0</v>
      </c>
      <c r="I17" s="772"/>
      <c r="J17" s="772"/>
      <c r="K17" s="772"/>
      <c r="L17" s="772"/>
      <c r="M17" s="650">
        <f t="shared" si="3"/>
        <v>0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96"/>
      <c r="E18" s="396">
        <f t="shared" si="1"/>
        <v>0</v>
      </c>
      <c r="F18" s="396">
        <f t="shared" si="4"/>
        <v>10902.777777777777</v>
      </c>
      <c r="G18" s="769">
        <f t="shared" si="0"/>
        <v>0</v>
      </c>
      <c r="H18" s="451">
        <f t="shared" si="2"/>
        <v>0</v>
      </c>
      <c r="I18" s="772"/>
      <c r="J18" s="772"/>
      <c r="K18" s="772"/>
      <c r="L18" s="772"/>
      <c r="M18" s="650">
        <f t="shared" si="3"/>
        <v>0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96"/>
      <c r="E19" s="396">
        <f t="shared" si="1"/>
        <v>0</v>
      </c>
      <c r="F19" s="396">
        <f t="shared" si="4"/>
        <v>10902.777777777777</v>
      </c>
      <c r="G19" s="396">
        <f t="shared" si="0"/>
        <v>0</v>
      </c>
      <c r="H19" s="451">
        <f t="shared" si="2"/>
        <v>0</v>
      </c>
      <c r="I19" s="772"/>
      <c r="J19" s="772"/>
      <c r="K19" s="772"/>
      <c r="L19" s="772"/>
      <c r="M19" s="650">
        <f t="shared" si="3"/>
        <v>0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96"/>
      <c r="E20" s="396">
        <f t="shared" si="1"/>
        <v>0</v>
      </c>
      <c r="F20" s="396">
        <f t="shared" si="4"/>
        <v>10902.777777777777</v>
      </c>
      <c r="G20" s="396">
        <f t="shared" si="0"/>
        <v>0</v>
      </c>
      <c r="H20" s="451">
        <f t="shared" si="2"/>
        <v>0</v>
      </c>
      <c r="I20" s="772"/>
      <c r="J20" s="772"/>
      <c r="K20" s="772"/>
      <c r="L20" s="772"/>
      <c r="M20" s="650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96"/>
      <c r="E21" s="396">
        <f t="shared" si="1"/>
        <v>0</v>
      </c>
      <c r="F21" s="396">
        <f t="shared" si="4"/>
        <v>10902.777777777777</v>
      </c>
      <c r="G21" s="396">
        <f t="shared" si="0"/>
        <v>0</v>
      </c>
      <c r="H21" s="451">
        <f t="shared" si="2"/>
        <v>0</v>
      </c>
      <c r="I21" s="772"/>
      <c r="J21" s="772"/>
      <c r="K21" s="772"/>
      <c r="L21" s="772"/>
      <c r="M21" s="650">
        <f t="shared" si="3"/>
        <v>0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96"/>
      <c r="E22" s="396">
        <f t="shared" si="1"/>
        <v>0</v>
      </c>
      <c r="F22" s="396">
        <f t="shared" si="4"/>
        <v>10902.777777777777</v>
      </c>
      <c r="G22" s="396">
        <f t="shared" si="0"/>
        <v>0</v>
      </c>
      <c r="H22" s="451">
        <f t="shared" si="2"/>
        <v>0</v>
      </c>
      <c r="I22" s="772"/>
      <c r="J22" s="772"/>
      <c r="K22" s="772"/>
      <c r="L22" s="772"/>
      <c r="M22" s="650">
        <f t="shared" si="3"/>
        <v>0</v>
      </c>
    </row>
    <row r="23" spans="1:13" s="367" customFormat="1" ht="12.75" customHeight="1">
      <c r="A23" s="425">
        <v>15</v>
      </c>
      <c r="B23" s="365">
        <f>'FRIT HGE91-FHG'!B23</f>
        <v>46249</v>
      </c>
      <c r="C23" s="331" t="s">
        <v>285</v>
      </c>
      <c r="D23" s="396"/>
      <c r="E23" s="396">
        <f t="shared" si="1"/>
        <v>0</v>
      </c>
      <c r="F23" s="396">
        <f t="shared" si="4"/>
        <v>10902.777777777777</v>
      </c>
      <c r="G23" s="769">
        <f t="shared" si="0"/>
        <v>0</v>
      </c>
      <c r="H23" s="451">
        <f t="shared" si="2"/>
        <v>0</v>
      </c>
      <c r="I23" s="772"/>
      <c r="J23" s="772"/>
      <c r="K23" s="772"/>
      <c r="L23" s="772"/>
      <c r="M23" s="650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96"/>
      <c r="E24" s="396">
        <f t="shared" si="1"/>
        <v>0</v>
      </c>
      <c r="F24" s="396">
        <f t="shared" si="4"/>
        <v>10902.777777777777</v>
      </c>
      <c r="G24" s="396">
        <f t="shared" si="0"/>
        <v>0</v>
      </c>
      <c r="H24" s="451">
        <f t="shared" si="2"/>
        <v>0</v>
      </c>
      <c r="I24" s="772"/>
      <c r="J24" s="772"/>
      <c r="K24" s="772"/>
      <c r="L24" s="772"/>
      <c r="M24" s="650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96"/>
      <c r="E25" s="396">
        <f t="shared" si="1"/>
        <v>0</v>
      </c>
      <c r="F25" s="396">
        <f t="shared" si="4"/>
        <v>10902.777777777777</v>
      </c>
      <c r="G25" s="396">
        <f t="shared" si="0"/>
        <v>0</v>
      </c>
      <c r="H25" s="451">
        <f t="shared" si="2"/>
        <v>0</v>
      </c>
      <c r="I25" s="772"/>
      <c r="J25" s="772"/>
      <c r="K25" s="772"/>
      <c r="L25" s="772"/>
      <c r="M25" s="650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96"/>
      <c r="E26" s="396">
        <f t="shared" si="1"/>
        <v>0</v>
      </c>
      <c r="F26" s="396">
        <f t="shared" si="4"/>
        <v>10902.777777777777</v>
      </c>
      <c r="G26" s="396">
        <f t="shared" si="0"/>
        <v>0</v>
      </c>
      <c r="H26" s="451">
        <f t="shared" si="2"/>
        <v>0</v>
      </c>
      <c r="I26" s="772"/>
      <c r="J26" s="772"/>
      <c r="K26" s="772"/>
      <c r="L26" s="772"/>
      <c r="M26" s="650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96"/>
      <c r="E27" s="396">
        <f t="shared" si="1"/>
        <v>0</v>
      </c>
      <c r="F27" s="396">
        <f t="shared" si="4"/>
        <v>10902.777777777777</v>
      </c>
      <c r="G27" s="396">
        <f t="shared" si="0"/>
        <v>0</v>
      </c>
      <c r="H27" s="451">
        <f t="shared" si="2"/>
        <v>0</v>
      </c>
      <c r="I27" s="772"/>
      <c r="J27" s="772"/>
      <c r="K27" s="772"/>
      <c r="L27" s="772"/>
      <c r="M27" s="650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96"/>
      <c r="E28" s="396">
        <f t="shared" si="1"/>
        <v>0</v>
      </c>
      <c r="F28" s="396">
        <f t="shared" si="4"/>
        <v>10902.777777777777</v>
      </c>
      <c r="G28" s="769">
        <f t="shared" si="0"/>
        <v>0</v>
      </c>
      <c r="H28" s="451">
        <f t="shared" si="2"/>
        <v>0</v>
      </c>
      <c r="I28" s="772"/>
      <c r="J28" s="772"/>
      <c r="K28" s="772"/>
      <c r="L28" s="772"/>
      <c r="M28" s="650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96"/>
      <c r="E29" s="396">
        <f t="shared" si="1"/>
        <v>0</v>
      </c>
      <c r="F29" s="396">
        <f t="shared" si="4"/>
        <v>10902.777777777777</v>
      </c>
      <c r="G29" s="393">
        <f t="shared" si="0"/>
        <v>0</v>
      </c>
      <c r="H29" s="451">
        <f t="shared" si="2"/>
        <v>0</v>
      </c>
      <c r="I29" s="772"/>
      <c r="J29" s="772"/>
      <c r="K29" s="772"/>
      <c r="L29" s="772"/>
      <c r="M29" s="650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96"/>
      <c r="E30" s="396">
        <f t="shared" si="1"/>
        <v>0</v>
      </c>
      <c r="F30" s="396">
        <f t="shared" si="4"/>
        <v>10902.777777777777</v>
      </c>
      <c r="G30" s="393">
        <f t="shared" si="0"/>
        <v>0</v>
      </c>
      <c r="H30" s="451">
        <f t="shared" si="2"/>
        <v>0</v>
      </c>
      <c r="I30" s="772"/>
      <c r="J30" s="772"/>
      <c r="K30" s="772"/>
      <c r="L30" s="772"/>
      <c r="M30" s="650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96"/>
      <c r="E31" s="396">
        <f t="shared" si="1"/>
        <v>0</v>
      </c>
      <c r="F31" s="396">
        <f t="shared" si="4"/>
        <v>10902.777777777777</v>
      </c>
      <c r="G31" s="393">
        <f t="shared" si="0"/>
        <v>0</v>
      </c>
      <c r="H31" s="451">
        <f t="shared" si="2"/>
        <v>0</v>
      </c>
      <c r="I31" s="772"/>
      <c r="J31" s="772"/>
      <c r="K31" s="772"/>
      <c r="L31" s="772"/>
      <c r="M31" s="650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96"/>
      <c r="E32" s="396">
        <f t="shared" si="1"/>
        <v>0</v>
      </c>
      <c r="F32" s="396">
        <f t="shared" si="4"/>
        <v>10902.777777777777</v>
      </c>
      <c r="G32" s="393">
        <f t="shared" si="0"/>
        <v>0</v>
      </c>
      <c r="H32" s="451">
        <f t="shared" si="2"/>
        <v>0</v>
      </c>
      <c r="I32" s="772"/>
      <c r="J32" s="772"/>
      <c r="K32" s="772"/>
      <c r="L32" s="772"/>
      <c r="M32" s="650">
        <f t="shared" si="3"/>
        <v>0</v>
      </c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96"/>
      <c r="E33" s="396">
        <f t="shared" si="1"/>
        <v>0</v>
      </c>
      <c r="F33" s="396">
        <f t="shared" si="4"/>
        <v>10902.777777777777</v>
      </c>
      <c r="G33" s="770">
        <f t="shared" si="0"/>
        <v>0</v>
      </c>
      <c r="H33" s="451">
        <f t="shared" si="2"/>
        <v>0</v>
      </c>
      <c r="I33" s="772"/>
      <c r="J33" s="772"/>
      <c r="K33" s="772"/>
      <c r="L33" s="772"/>
      <c r="M33" s="650">
        <f t="shared" si="3"/>
        <v>0</v>
      </c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96"/>
      <c r="E34" s="396">
        <f t="shared" si="1"/>
        <v>0</v>
      </c>
      <c r="F34" s="396">
        <f t="shared" si="4"/>
        <v>10902.777777777777</v>
      </c>
      <c r="G34" s="396">
        <f t="shared" si="0"/>
        <v>0</v>
      </c>
      <c r="H34" s="451">
        <f t="shared" si="2"/>
        <v>0</v>
      </c>
      <c r="I34" s="772"/>
      <c r="J34" s="772"/>
      <c r="K34" s="772"/>
      <c r="L34" s="772"/>
      <c r="M34" s="650">
        <f t="shared" si="3"/>
        <v>0</v>
      </c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396"/>
      <c r="E35" s="396">
        <f t="shared" si="1"/>
        <v>0</v>
      </c>
      <c r="F35" s="396">
        <f t="shared" si="4"/>
        <v>10902.777777777777</v>
      </c>
      <c r="G35" s="396">
        <f t="shared" si="0"/>
        <v>0</v>
      </c>
      <c r="H35" s="451">
        <f t="shared" si="2"/>
        <v>0</v>
      </c>
      <c r="I35" s="772"/>
      <c r="J35" s="772"/>
      <c r="K35" s="772"/>
      <c r="L35" s="772"/>
      <c r="M35" s="650">
        <f t="shared" si="3"/>
        <v>0</v>
      </c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346</v>
      </c>
      <c r="D36" s="396"/>
      <c r="E36" s="396">
        <f t="shared" si="1"/>
        <v>0</v>
      </c>
      <c r="F36" s="396">
        <f t="shared" si="4"/>
        <v>10902.777777777777</v>
      </c>
      <c r="G36" s="396">
        <f t="shared" si="0"/>
        <v>0</v>
      </c>
      <c r="H36" s="451">
        <f t="shared" si="2"/>
        <v>0</v>
      </c>
      <c r="I36" s="772"/>
      <c r="J36" s="772"/>
      <c r="K36" s="772"/>
      <c r="L36" s="772"/>
      <c r="M36" s="650">
        <f t="shared" si="3"/>
        <v>0</v>
      </c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96"/>
      <c r="E37" s="396">
        <f t="shared" si="1"/>
        <v>0</v>
      </c>
      <c r="F37" s="396">
        <f t="shared" si="4"/>
        <v>10902.777777777777</v>
      </c>
      <c r="G37" s="396">
        <f t="shared" si="0"/>
        <v>0</v>
      </c>
      <c r="H37" s="451">
        <f t="shared" si="2"/>
        <v>0</v>
      </c>
      <c r="I37" s="772"/>
      <c r="J37" s="772"/>
      <c r="K37" s="772"/>
      <c r="L37" s="772"/>
      <c r="M37" s="650">
        <f t="shared" si="3"/>
        <v>0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96"/>
      <c r="E38" s="396">
        <f t="shared" si="1"/>
        <v>0</v>
      </c>
      <c r="F38" s="396">
        <f t="shared" si="4"/>
        <v>10902.777777777777</v>
      </c>
      <c r="G38" s="769">
        <f>G37+D38-E38</f>
        <v>0</v>
      </c>
      <c r="H38" s="451">
        <f t="shared" si="2"/>
        <v>0</v>
      </c>
      <c r="I38" s="772"/>
      <c r="J38" s="772"/>
      <c r="K38" s="772"/>
      <c r="L38" s="772"/>
      <c r="M38" s="650">
        <f t="shared" si="3"/>
        <v>0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1"/>
        <v>0</v>
      </c>
      <c r="F39" s="396">
        <f>SUM($E$8:E39)/A39</f>
        <v>0</v>
      </c>
      <c r="G39" s="396">
        <f t="shared" si="0"/>
        <v>0</v>
      </c>
      <c r="H39" s="451">
        <f t="shared" si="2"/>
        <v>0</v>
      </c>
      <c r="I39" s="772"/>
      <c r="J39" s="772"/>
      <c r="K39" s="772"/>
      <c r="L39" s="772"/>
      <c r="M39" s="650">
        <f t="shared" si="3"/>
        <v>0</v>
      </c>
    </row>
    <row r="40" spans="1:14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689">
        <f>SUM(I9:I39)</f>
        <v>0</v>
      </c>
      <c r="J40" s="689">
        <f t="shared" ref="J40:L40" si="5">SUM(J9:J39)</f>
        <v>0</v>
      </c>
      <c r="K40" s="689">
        <f t="shared" si="5"/>
        <v>0</v>
      </c>
      <c r="L40" s="689">
        <f t="shared" si="5"/>
        <v>0</v>
      </c>
    </row>
    <row r="41" spans="1:14" s="374" customFormat="1" ht="11.2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689"/>
      <c r="L41" s="689"/>
    </row>
    <row r="42" spans="1:14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  <c r="L42" s="343"/>
    </row>
    <row r="43" spans="1:14" s="324" customFormat="1" ht="12.75">
      <c r="D43" s="343"/>
      <c r="E43" s="343"/>
      <c r="F43" s="343"/>
      <c r="G43" s="343"/>
      <c r="H43" s="343"/>
      <c r="I43" s="343">
        <f>E40+'ESPANA 30x60-VH'!E40</f>
        <v>0</v>
      </c>
      <c r="J43" s="343"/>
      <c r="K43" s="343"/>
      <c r="L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</row>
    <row r="46" spans="1:14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  <c r="L46" s="343"/>
    </row>
    <row r="47" spans="1:14">
      <c r="N47" s="151"/>
    </row>
    <row r="48" spans="1:14">
      <c r="N48" s="151"/>
    </row>
    <row r="49" spans="14:14">
      <c r="N49" s="151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5921" priority="34" operator="between">
      <formula>3.5</formula>
      <formula>6</formula>
    </cfRule>
    <cfRule type="cellIs" dxfId="5920" priority="35" operator="lessThan">
      <formula>3.5</formula>
    </cfRule>
    <cfRule type="cellIs" dxfId="5919" priority="36" operator="greaterThan">
      <formula>6</formula>
    </cfRule>
  </conditionalFormatting>
  <conditionalFormatting sqref="H9:H12 H24:H37 H14:H17 H19:H22 H39">
    <cfRule type="cellIs" dxfId="5918" priority="31" operator="between">
      <formula>3.5</formula>
      <formula>6</formula>
    </cfRule>
    <cfRule type="cellIs" dxfId="5917" priority="32" operator="lessThan">
      <formula>3.5</formula>
    </cfRule>
    <cfRule type="cellIs" dxfId="5916" priority="33" operator="greaterThan">
      <formula>6</formula>
    </cfRule>
  </conditionalFormatting>
  <conditionalFormatting sqref="H23">
    <cfRule type="cellIs" dxfId="5915" priority="28" operator="between">
      <formula>3.5</formula>
      <formula>6</formula>
    </cfRule>
    <cfRule type="cellIs" dxfId="5914" priority="29" operator="lessThan">
      <formula>3.5</formula>
    </cfRule>
    <cfRule type="cellIs" dxfId="5913" priority="30" operator="greaterThan">
      <formula>6</formula>
    </cfRule>
  </conditionalFormatting>
  <conditionalFormatting sqref="H13">
    <cfRule type="cellIs" dxfId="5912" priority="25" operator="between">
      <formula>3.5</formula>
      <formula>6</formula>
    </cfRule>
    <cfRule type="cellIs" dxfId="5911" priority="26" operator="lessThan">
      <formula>3.5</formula>
    </cfRule>
    <cfRule type="cellIs" dxfId="5910" priority="27" operator="greaterThan">
      <formula>6</formula>
    </cfRule>
  </conditionalFormatting>
  <conditionalFormatting sqref="H18">
    <cfRule type="cellIs" dxfId="5909" priority="22" operator="between">
      <formula>3.5</formula>
      <formula>6</formula>
    </cfRule>
    <cfRule type="cellIs" dxfId="5908" priority="23" operator="lessThan">
      <formula>3.5</formula>
    </cfRule>
    <cfRule type="cellIs" dxfId="5907" priority="24" operator="greaterThan">
      <formula>6</formula>
    </cfRule>
  </conditionalFormatting>
  <conditionalFormatting sqref="H9:H39">
    <cfRule type="cellIs" dxfId="5906" priority="19" operator="between">
      <formula>3.5</formula>
      <formula>6</formula>
    </cfRule>
    <cfRule type="cellIs" dxfId="5905" priority="20" operator="lessThan">
      <formula>3.5</formula>
    </cfRule>
    <cfRule type="cellIs" dxfId="5904" priority="21" operator="greaterThan">
      <formula>6</formula>
    </cfRule>
  </conditionalFormatting>
  <conditionalFormatting sqref="H9:H39">
    <cfRule type="cellIs" dxfId="5903" priority="16" operator="between">
      <formula>3.5</formula>
      <formula>6</formula>
    </cfRule>
    <cfRule type="cellIs" dxfId="5902" priority="17" operator="lessThan">
      <formula>3.5</formula>
    </cfRule>
    <cfRule type="cellIs" dxfId="5901" priority="18" operator="greaterThan">
      <formula>6</formula>
    </cfRule>
  </conditionalFormatting>
  <conditionalFormatting sqref="H9:H39">
    <cfRule type="cellIs" dxfId="5900" priority="13" operator="between">
      <formula>3.5</formula>
      <formula>6</formula>
    </cfRule>
    <cfRule type="cellIs" dxfId="5899" priority="14" operator="lessThan">
      <formula>3.5</formula>
    </cfRule>
    <cfRule type="cellIs" dxfId="5898" priority="15" operator="greaterThan">
      <formula>6</formula>
    </cfRule>
  </conditionalFormatting>
  <conditionalFormatting sqref="H9:H39">
    <cfRule type="cellIs" dxfId="5897" priority="10" operator="between">
      <formula>3.5</formula>
      <formula>6</formula>
    </cfRule>
    <cfRule type="cellIs" dxfId="5896" priority="11" operator="lessThan">
      <formula>3.5</formula>
    </cfRule>
    <cfRule type="cellIs" dxfId="5895" priority="12" operator="greaterThan">
      <formula>6</formula>
    </cfRule>
  </conditionalFormatting>
  <conditionalFormatting sqref="H9:H39">
    <cfRule type="cellIs" dxfId="5894" priority="7" operator="between">
      <formula>3.5</formula>
      <formula>6</formula>
    </cfRule>
    <cfRule type="cellIs" dxfId="5893" priority="8" operator="lessThan">
      <formula>3.5</formula>
    </cfRule>
    <cfRule type="cellIs" dxfId="5892" priority="9" operator="greaterThan">
      <formula>6</formula>
    </cfRule>
  </conditionalFormatting>
  <conditionalFormatting sqref="H9:H39">
    <cfRule type="cellIs" dxfId="5891" priority="4" operator="between">
      <formula>3.5</formula>
      <formula>6</formula>
    </cfRule>
    <cfRule type="cellIs" dxfId="5890" priority="5" operator="lessThan">
      <formula>3.5</formula>
    </cfRule>
    <cfRule type="cellIs" dxfId="5889" priority="6" operator="greaterThan">
      <formula>6</formula>
    </cfRule>
  </conditionalFormatting>
  <conditionalFormatting sqref="H9:H39">
    <cfRule type="cellIs" dxfId="5888" priority="1" operator="between">
      <formula>3.5</formula>
      <formula>6</formula>
    </cfRule>
    <cfRule type="cellIs" dxfId="5887" priority="2" operator="lessThan">
      <formula>3.5</formula>
    </cfRule>
    <cfRule type="cellIs" dxfId="588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23622047244094491" footer="0.19685039370078741"/>
  <pageSetup paperSize="8" orientation="landscape" horizontalDpi="4294967292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49"/>
  <sheetViews>
    <sheetView zoomScale="90" zoomScaleNormal="90" workbookViewId="0">
      <pane ySplit="8" topLeftCell="A18" activePane="bottomLeft" state="frozen"/>
      <selection pane="bottomLeft" activeCell="D23" sqref="D23:D25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385</v>
      </c>
      <c r="E4" s="549" t="s">
        <v>228</v>
      </c>
      <c r="F4" s="549" t="s">
        <v>235</v>
      </c>
      <c r="G4" s="550" t="s">
        <v>114</v>
      </c>
      <c r="H4" s="551" t="s">
        <v>390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43"/>
    </row>
    <row r="8" spans="1:26" s="305" customFormat="1" ht="12" customHeight="1">
      <c r="A8" s="1650" t="s">
        <v>3</v>
      </c>
      <c r="B8" s="1651"/>
      <c r="C8" s="1652"/>
      <c r="D8" s="771">
        <f>G8</f>
        <v>4000</v>
      </c>
      <c r="E8" s="771"/>
      <c r="F8" s="771"/>
      <c r="G8" s="774">
        <v>4000</v>
      </c>
      <c r="H8" s="450"/>
      <c r="I8" s="772"/>
      <c r="J8" s="772"/>
      <c r="K8" s="772"/>
      <c r="L8" s="143">
        <v>5.3</v>
      </c>
    </row>
    <row r="9" spans="1:26" s="305" customFormat="1" ht="12" customHeight="1">
      <c r="A9" s="761">
        <v>1</v>
      </c>
      <c r="B9" s="365">
        <f>'FRIT HGE91-FHG'!B9</f>
        <v>46235</v>
      </c>
      <c r="C9" s="331" t="s">
        <v>285</v>
      </c>
      <c r="D9" s="396"/>
      <c r="E9" s="396">
        <f>I9+J9+K9</f>
        <v>0</v>
      </c>
      <c r="F9" s="396">
        <f>15700/1.44</f>
        <v>10902.777777777777</v>
      </c>
      <c r="G9" s="396">
        <f>G8+D9-E9</f>
        <v>4000</v>
      </c>
      <c r="H9" s="451">
        <f>G9/F9</f>
        <v>0.36687898089171977</v>
      </c>
      <c r="I9" s="767"/>
      <c r="J9" s="767"/>
      <c r="K9" s="767"/>
      <c r="L9" s="650">
        <f>G9/$L$8</f>
        <v>754.71698113207549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104</v>
      </c>
      <c r="D10" s="396"/>
      <c r="E10" s="396">
        <f t="shared" ref="E10:E39" si="0">I10+J10+K10</f>
        <v>0</v>
      </c>
      <c r="F10" s="396">
        <f>$F$9</f>
        <v>10902.777777777777</v>
      </c>
      <c r="G10" s="396">
        <f t="shared" ref="G10:G39" si="1">G9+D10-E10</f>
        <v>4000</v>
      </c>
      <c r="H10" s="451">
        <f t="shared" ref="H10:H39" si="2">G10/F10</f>
        <v>0.36687898089171977</v>
      </c>
      <c r="I10" s="767"/>
      <c r="J10" s="767"/>
      <c r="K10" s="767"/>
      <c r="L10" s="650">
        <f t="shared" ref="L10:L39" si="3">G10/$L$8</f>
        <v>754.71698113207549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0"/>
        <v>0</v>
      </c>
      <c r="F11" s="396">
        <f>$F$9</f>
        <v>10902.777777777777</v>
      </c>
      <c r="G11" s="396">
        <f t="shared" si="1"/>
        <v>4000</v>
      </c>
      <c r="H11" s="451">
        <f t="shared" si="2"/>
        <v>0.36687898089171977</v>
      </c>
      <c r="I11" s="767"/>
      <c r="J11" s="767"/>
      <c r="K11" s="767"/>
      <c r="L11" s="650">
        <f t="shared" si="3"/>
        <v>754.71698113207549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0"/>
        <v>0</v>
      </c>
      <c r="F12" s="396">
        <f t="shared" ref="F12:F39" si="4">$F$9</f>
        <v>10902.777777777777</v>
      </c>
      <c r="G12" s="396">
        <f t="shared" si="1"/>
        <v>4000</v>
      </c>
      <c r="H12" s="451">
        <f t="shared" si="2"/>
        <v>0.36687898089171977</v>
      </c>
      <c r="I12" s="767"/>
      <c r="J12" s="767"/>
      <c r="K12" s="767"/>
      <c r="L12" s="650">
        <f t="shared" si="3"/>
        <v>754.71698113207549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96"/>
      <c r="E13" s="396">
        <f t="shared" si="0"/>
        <v>0</v>
      </c>
      <c r="F13" s="396">
        <f t="shared" si="4"/>
        <v>10902.777777777777</v>
      </c>
      <c r="G13" s="769">
        <f t="shared" si="1"/>
        <v>4000</v>
      </c>
      <c r="H13" s="451">
        <f t="shared" si="2"/>
        <v>0.36687898089171977</v>
      </c>
      <c r="I13" s="767"/>
      <c r="J13" s="767"/>
      <c r="K13" s="767"/>
      <c r="L13" s="650">
        <f t="shared" si="3"/>
        <v>754.71698113207549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96"/>
      <c r="E14" s="396">
        <f t="shared" si="0"/>
        <v>0</v>
      </c>
      <c r="F14" s="396">
        <f t="shared" si="4"/>
        <v>10902.777777777777</v>
      </c>
      <c r="G14" s="396">
        <f t="shared" si="1"/>
        <v>4000</v>
      </c>
      <c r="H14" s="451">
        <f t="shared" si="2"/>
        <v>0.36687898089171977</v>
      </c>
      <c r="I14" s="767"/>
      <c r="J14" s="767"/>
      <c r="K14" s="767"/>
      <c r="L14" s="650">
        <f t="shared" si="3"/>
        <v>754.71698113207549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96"/>
      <c r="E15" s="396">
        <f t="shared" si="0"/>
        <v>0</v>
      </c>
      <c r="F15" s="396">
        <f t="shared" si="4"/>
        <v>10902.777777777777</v>
      </c>
      <c r="G15" s="396">
        <f t="shared" si="1"/>
        <v>4000</v>
      </c>
      <c r="H15" s="451">
        <f t="shared" si="2"/>
        <v>0.36687898089171977</v>
      </c>
      <c r="I15" s="767"/>
      <c r="J15" s="767"/>
      <c r="K15" s="767"/>
      <c r="L15" s="650">
        <f t="shared" si="3"/>
        <v>754.71698113207549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0"/>
        <v>0</v>
      </c>
      <c r="F16" s="396">
        <f t="shared" si="4"/>
        <v>10902.777777777777</v>
      </c>
      <c r="G16" s="396">
        <f t="shared" si="1"/>
        <v>4000</v>
      </c>
      <c r="H16" s="451">
        <f t="shared" si="2"/>
        <v>0.36687898089171977</v>
      </c>
      <c r="I16" s="767"/>
      <c r="J16" s="767"/>
      <c r="K16" s="767"/>
      <c r="L16" s="650">
        <f t="shared" si="3"/>
        <v>754.71698113207549</v>
      </c>
    </row>
    <row r="17" spans="1:12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0"/>
        <v>0</v>
      </c>
      <c r="F17" s="396">
        <f t="shared" si="4"/>
        <v>10902.777777777777</v>
      </c>
      <c r="G17" s="396">
        <f t="shared" si="1"/>
        <v>4000</v>
      </c>
      <c r="H17" s="451">
        <f t="shared" si="2"/>
        <v>0.36687898089171977</v>
      </c>
      <c r="I17" s="767"/>
      <c r="J17" s="767"/>
      <c r="K17" s="767"/>
      <c r="L17" s="650">
        <f t="shared" si="3"/>
        <v>754.71698113207549</v>
      </c>
    </row>
    <row r="18" spans="1:12" s="367" customFormat="1" ht="12" customHeight="1">
      <c r="A18" s="425">
        <v>10</v>
      </c>
      <c r="B18" s="365">
        <f>'FRIT HGE91-FHG'!B18</f>
        <v>46244</v>
      </c>
      <c r="C18" s="331" t="s">
        <v>348</v>
      </c>
      <c r="D18" s="768"/>
      <c r="E18" s="396">
        <f t="shared" si="0"/>
        <v>0</v>
      </c>
      <c r="F18" s="396">
        <f t="shared" si="4"/>
        <v>10902.777777777777</v>
      </c>
      <c r="G18" s="769">
        <f t="shared" si="1"/>
        <v>4000</v>
      </c>
      <c r="H18" s="451">
        <f t="shared" si="2"/>
        <v>0.36687898089171977</v>
      </c>
      <c r="I18" s="767"/>
      <c r="J18" s="767"/>
      <c r="K18" s="767"/>
      <c r="L18" s="650">
        <f t="shared" si="3"/>
        <v>754.71698113207549</v>
      </c>
    </row>
    <row r="19" spans="1:12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0"/>
        <v>0</v>
      </c>
      <c r="F19" s="396">
        <f t="shared" si="4"/>
        <v>10902.777777777777</v>
      </c>
      <c r="G19" s="396">
        <f t="shared" si="1"/>
        <v>4000</v>
      </c>
      <c r="H19" s="451">
        <f t="shared" si="2"/>
        <v>0.36687898089171977</v>
      </c>
      <c r="I19" s="767"/>
      <c r="J19" s="767"/>
      <c r="K19" s="767"/>
      <c r="L19" s="650">
        <f t="shared" si="3"/>
        <v>754.71698113207549</v>
      </c>
    </row>
    <row r="20" spans="1:12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0"/>
        <v>0</v>
      </c>
      <c r="F20" s="396">
        <f t="shared" si="4"/>
        <v>10902.777777777777</v>
      </c>
      <c r="G20" s="396">
        <f t="shared" si="1"/>
        <v>4000</v>
      </c>
      <c r="H20" s="451">
        <f t="shared" si="2"/>
        <v>0.36687898089171977</v>
      </c>
      <c r="I20" s="767"/>
      <c r="J20" s="767"/>
      <c r="K20" s="767"/>
      <c r="L20" s="650">
        <f t="shared" si="3"/>
        <v>754.71698113207549</v>
      </c>
    </row>
    <row r="21" spans="1:12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0"/>
        <v>0</v>
      </c>
      <c r="F21" s="396">
        <f t="shared" si="4"/>
        <v>10902.777777777777</v>
      </c>
      <c r="G21" s="396">
        <f t="shared" si="1"/>
        <v>4000</v>
      </c>
      <c r="H21" s="451">
        <f t="shared" si="2"/>
        <v>0.36687898089171977</v>
      </c>
      <c r="I21" s="767"/>
      <c r="J21" s="767"/>
      <c r="K21" s="767"/>
      <c r="L21" s="650">
        <f t="shared" si="3"/>
        <v>754.71698113207549</v>
      </c>
    </row>
    <row r="22" spans="1:12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0"/>
        <v>0</v>
      </c>
      <c r="F22" s="396">
        <f t="shared" si="4"/>
        <v>10902.777777777777</v>
      </c>
      <c r="G22" s="396">
        <f t="shared" si="1"/>
        <v>4000</v>
      </c>
      <c r="H22" s="451">
        <f t="shared" si="2"/>
        <v>0.36687898089171977</v>
      </c>
      <c r="I22" s="767"/>
      <c r="J22" s="767"/>
      <c r="K22" s="767"/>
      <c r="L22" s="650">
        <f t="shared" si="3"/>
        <v>754.71698113207549</v>
      </c>
    </row>
    <row r="23" spans="1:12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0"/>
        <v>0</v>
      </c>
      <c r="F23" s="396">
        <f t="shared" si="4"/>
        <v>10902.777777777777</v>
      </c>
      <c r="G23" s="769">
        <f t="shared" si="1"/>
        <v>4000</v>
      </c>
      <c r="H23" s="451">
        <f t="shared" si="2"/>
        <v>0.36687898089171977</v>
      </c>
      <c r="I23" s="767"/>
      <c r="J23" s="767"/>
      <c r="K23" s="767"/>
      <c r="L23" s="650">
        <f t="shared" si="3"/>
        <v>754.71698113207549</v>
      </c>
    </row>
    <row r="24" spans="1:12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0"/>
        <v>0</v>
      </c>
      <c r="F24" s="396">
        <f t="shared" si="4"/>
        <v>10902.777777777777</v>
      </c>
      <c r="G24" s="396">
        <f t="shared" si="1"/>
        <v>4000</v>
      </c>
      <c r="H24" s="451">
        <f t="shared" si="2"/>
        <v>0.36687898089171977</v>
      </c>
      <c r="I24" s="767"/>
      <c r="J24" s="767"/>
      <c r="K24" s="767"/>
      <c r="L24" s="650">
        <f t="shared" si="3"/>
        <v>754.71698113207549</v>
      </c>
    </row>
    <row r="25" spans="1:12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0"/>
        <v>0</v>
      </c>
      <c r="F25" s="396">
        <f t="shared" si="4"/>
        <v>10902.777777777777</v>
      </c>
      <c r="G25" s="396">
        <f t="shared" si="1"/>
        <v>4000</v>
      </c>
      <c r="H25" s="451">
        <f t="shared" si="2"/>
        <v>0.36687898089171977</v>
      </c>
      <c r="I25" s="767"/>
      <c r="J25" s="767"/>
      <c r="K25" s="767"/>
      <c r="L25" s="650">
        <f t="shared" si="3"/>
        <v>754.71698113207549</v>
      </c>
    </row>
    <row r="26" spans="1:12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0"/>
        <v>0</v>
      </c>
      <c r="F26" s="396">
        <f t="shared" si="4"/>
        <v>10902.777777777777</v>
      </c>
      <c r="G26" s="396">
        <f t="shared" si="1"/>
        <v>4000</v>
      </c>
      <c r="H26" s="451">
        <f t="shared" si="2"/>
        <v>0.36687898089171977</v>
      </c>
      <c r="I26" s="767"/>
      <c r="J26" s="767"/>
      <c r="K26" s="767"/>
      <c r="L26" s="650">
        <f t="shared" si="3"/>
        <v>754.71698113207549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0"/>
        <v>0</v>
      </c>
      <c r="F27" s="396">
        <f t="shared" si="4"/>
        <v>10902.777777777777</v>
      </c>
      <c r="G27" s="396">
        <f t="shared" si="1"/>
        <v>4000</v>
      </c>
      <c r="H27" s="451">
        <f t="shared" si="2"/>
        <v>0.36687898089171977</v>
      </c>
      <c r="I27" s="767"/>
      <c r="J27" s="767"/>
      <c r="K27" s="767"/>
      <c r="L27" s="650">
        <f t="shared" si="3"/>
        <v>754.71698113207549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0"/>
        <v>0</v>
      </c>
      <c r="F28" s="396">
        <f t="shared" si="4"/>
        <v>10902.777777777777</v>
      </c>
      <c r="G28" s="769">
        <f t="shared" si="1"/>
        <v>4000</v>
      </c>
      <c r="H28" s="451">
        <f t="shared" si="2"/>
        <v>0.36687898089171977</v>
      </c>
      <c r="I28" s="767"/>
      <c r="J28" s="767"/>
      <c r="K28" s="767"/>
      <c r="L28" s="650">
        <f t="shared" si="3"/>
        <v>754.71698113207549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0"/>
        <v>0</v>
      </c>
      <c r="F29" s="396">
        <f t="shared" si="4"/>
        <v>10902.777777777777</v>
      </c>
      <c r="G29" s="393">
        <f t="shared" si="1"/>
        <v>4000</v>
      </c>
      <c r="H29" s="451">
        <f t="shared" si="2"/>
        <v>0.36687898089171977</v>
      </c>
      <c r="I29" s="767"/>
      <c r="J29" s="767"/>
      <c r="K29" s="767"/>
      <c r="L29" s="650">
        <f t="shared" si="3"/>
        <v>754.71698113207549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0"/>
        <v>0</v>
      </c>
      <c r="F30" s="396">
        <f t="shared" si="4"/>
        <v>10902.777777777777</v>
      </c>
      <c r="G30" s="393">
        <f t="shared" si="1"/>
        <v>4000</v>
      </c>
      <c r="H30" s="451">
        <f t="shared" si="2"/>
        <v>0.36687898089171977</v>
      </c>
      <c r="I30" s="767"/>
      <c r="J30" s="767"/>
      <c r="K30" s="767"/>
      <c r="L30" s="650">
        <f t="shared" si="3"/>
        <v>754.71698113207549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0"/>
        <v>0</v>
      </c>
      <c r="F31" s="396">
        <f t="shared" si="4"/>
        <v>10902.777777777777</v>
      </c>
      <c r="G31" s="393">
        <f t="shared" si="1"/>
        <v>4000</v>
      </c>
      <c r="H31" s="451">
        <f t="shared" si="2"/>
        <v>0.36687898089171977</v>
      </c>
      <c r="I31" s="767"/>
      <c r="J31" s="767"/>
      <c r="K31" s="767"/>
      <c r="L31" s="650">
        <f t="shared" si="3"/>
        <v>754.71698113207549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0"/>
        <v>0</v>
      </c>
      <c r="F32" s="396">
        <f t="shared" si="4"/>
        <v>10902.777777777777</v>
      </c>
      <c r="G32" s="393">
        <f t="shared" si="1"/>
        <v>4000</v>
      </c>
      <c r="H32" s="451">
        <f t="shared" si="2"/>
        <v>0.36687898089171977</v>
      </c>
      <c r="I32" s="767"/>
      <c r="J32" s="767"/>
      <c r="K32" s="767"/>
      <c r="L32" s="650">
        <f t="shared" si="3"/>
        <v>754.71698113207549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0"/>
        <v>0</v>
      </c>
      <c r="F33" s="396">
        <f t="shared" si="4"/>
        <v>10902.777777777777</v>
      </c>
      <c r="G33" s="770">
        <f t="shared" si="1"/>
        <v>4000</v>
      </c>
      <c r="H33" s="451">
        <f t="shared" si="2"/>
        <v>0.36687898089171977</v>
      </c>
      <c r="I33" s="767"/>
      <c r="J33" s="767"/>
      <c r="K33" s="767"/>
      <c r="L33" s="650">
        <f t="shared" si="3"/>
        <v>754.71698113207549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0"/>
        <v>0</v>
      </c>
      <c r="F34" s="396">
        <f t="shared" si="4"/>
        <v>10902.777777777777</v>
      </c>
      <c r="G34" s="396">
        <f t="shared" si="1"/>
        <v>4000</v>
      </c>
      <c r="H34" s="451">
        <f t="shared" si="2"/>
        <v>0.36687898089171977</v>
      </c>
      <c r="I34" s="767"/>
      <c r="J34" s="767"/>
      <c r="K34" s="767"/>
      <c r="L34" s="650">
        <f t="shared" si="3"/>
        <v>754.71698113207549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0"/>
        <v>0</v>
      </c>
      <c r="F35" s="396">
        <f t="shared" si="4"/>
        <v>10902.777777777777</v>
      </c>
      <c r="G35" s="396">
        <f t="shared" si="1"/>
        <v>4000</v>
      </c>
      <c r="H35" s="451">
        <f t="shared" si="2"/>
        <v>0.36687898089171977</v>
      </c>
      <c r="I35" s="767"/>
      <c r="J35" s="767"/>
      <c r="K35" s="767"/>
      <c r="L35" s="650">
        <f t="shared" si="3"/>
        <v>754.71698113207549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0"/>
        <v>0</v>
      </c>
      <c r="F36" s="396">
        <f t="shared" si="4"/>
        <v>10902.777777777777</v>
      </c>
      <c r="G36" s="396">
        <f t="shared" si="1"/>
        <v>4000</v>
      </c>
      <c r="H36" s="451">
        <f t="shared" si="2"/>
        <v>0.36687898089171977</v>
      </c>
      <c r="I36" s="767"/>
      <c r="J36" s="767"/>
      <c r="K36" s="767"/>
      <c r="L36" s="650">
        <f t="shared" si="3"/>
        <v>754.71698113207549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0"/>
        <v>0</v>
      </c>
      <c r="F37" s="396">
        <f t="shared" si="4"/>
        <v>10902.777777777777</v>
      </c>
      <c r="G37" s="396">
        <f t="shared" si="1"/>
        <v>4000</v>
      </c>
      <c r="H37" s="451">
        <f t="shared" si="2"/>
        <v>0.36687898089171977</v>
      </c>
      <c r="I37" s="767"/>
      <c r="J37" s="767"/>
      <c r="K37" s="767"/>
      <c r="L37" s="650">
        <f t="shared" si="3"/>
        <v>754.71698113207549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0"/>
        <v>0</v>
      </c>
      <c r="F38" s="396">
        <f t="shared" si="4"/>
        <v>10902.777777777777</v>
      </c>
      <c r="G38" s="769">
        <f t="shared" si="1"/>
        <v>4000</v>
      </c>
      <c r="H38" s="451">
        <f t="shared" si="2"/>
        <v>0.36687898089171977</v>
      </c>
      <c r="I38" s="767"/>
      <c r="J38" s="767"/>
      <c r="K38" s="767"/>
      <c r="L38" s="650">
        <f t="shared" si="3"/>
        <v>754.71698113207549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0"/>
        <v>0</v>
      </c>
      <c r="F39" s="396">
        <f t="shared" si="4"/>
        <v>10902.777777777777</v>
      </c>
      <c r="G39" s="396">
        <f t="shared" si="1"/>
        <v>4000</v>
      </c>
      <c r="H39" s="451">
        <f t="shared" si="2"/>
        <v>0.36687898089171977</v>
      </c>
      <c r="I39" s="767"/>
      <c r="J39" s="767"/>
      <c r="K39" s="767"/>
      <c r="L39" s="650">
        <f t="shared" si="3"/>
        <v>754.71698113207549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4000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4000</v>
      </c>
      <c r="E41" s="389">
        <f>E40</f>
        <v>0</v>
      </c>
      <c r="F41" s="449"/>
      <c r="G41" s="389">
        <f>D41-E41</f>
        <v>4000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8:C8"/>
    <mergeCell ref="A40:C40"/>
    <mergeCell ref="A41:C41"/>
    <mergeCell ref="A3:I3"/>
    <mergeCell ref="A4:B4"/>
  </mergeCells>
  <conditionalFormatting sqref="H9:H39">
    <cfRule type="cellIs" dxfId="5885" priority="22" operator="between">
      <formula>3.5</formula>
      <formula>6</formula>
    </cfRule>
    <cfRule type="cellIs" dxfId="5884" priority="23" operator="lessThan">
      <formula>3.5</formula>
    </cfRule>
    <cfRule type="cellIs" dxfId="5883" priority="24" operator="greaterThan">
      <formula>6</formula>
    </cfRule>
  </conditionalFormatting>
  <conditionalFormatting sqref="H9:H39">
    <cfRule type="cellIs" dxfId="5882" priority="19" operator="between">
      <formula>3.5</formula>
      <formula>6</formula>
    </cfRule>
    <cfRule type="cellIs" dxfId="5881" priority="20" operator="lessThan">
      <formula>3.5</formula>
    </cfRule>
    <cfRule type="cellIs" dxfId="5880" priority="21" operator="greaterThan">
      <formula>6</formula>
    </cfRule>
  </conditionalFormatting>
  <conditionalFormatting sqref="H9:H39">
    <cfRule type="cellIs" dxfId="5879" priority="16" operator="between">
      <formula>3.5</formula>
      <formula>6</formula>
    </cfRule>
    <cfRule type="cellIs" dxfId="5878" priority="17" operator="lessThan">
      <formula>3.5</formula>
    </cfRule>
    <cfRule type="cellIs" dxfId="5877" priority="18" operator="greaterThan">
      <formula>6</formula>
    </cfRule>
  </conditionalFormatting>
  <conditionalFormatting sqref="H9:H39">
    <cfRule type="cellIs" dxfId="5876" priority="13" operator="between">
      <formula>3.5</formula>
      <formula>6</formula>
    </cfRule>
    <cfRule type="cellIs" dxfId="5875" priority="14" operator="lessThan">
      <formula>3.5</formula>
    </cfRule>
    <cfRule type="cellIs" dxfId="5874" priority="15" operator="greaterThan">
      <formula>6</formula>
    </cfRule>
  </conditionalFormatting>
  <conditionalFormatting sqref="H9:H39">
    <cfRule type="cellIs" dxfId="5873" priority="10" operator="between">
      <formula>3.5</formula>
      <formula>6</formula>
    </cfRule>
    <cfRule type="cellIs" dxfId="5872" priority="11" operator="lessThan">
      <formula>3.5</formula>
    </cfRule>
    <cfRule type="cellIs" dxfId="5871" priority="12" operator="greaterThan">
      <formula>6</formula>
    </cfRule>
  </conditionalFormatting>
  <conditionalFormatting sqref="H9:H39">
    <cfRule type="cellIs" dxfId="5870" priority="7" operator="between">
      <formula>3.5</formula>
      <formula>6</formula>
    </cfRule>
    <cfRule type="cellIs" dxfId="5869" priority="8" operator="lessThan">
      <formula>3.5</formula>
    </cfRule>
    <cfRule type="cellIs" dxfId="5868" priority="9" operator="greaterThan">
      <formula>6</formula>
    </cfRule>
  </conditionalFormatting>
  <conditionalFormatting sqref="H9:H39">
    <cfRule type="cellIs" dxfId="5867" priority="4" operator="between">
      <formula>3.5</formula>
      <formula>6</formula>
    </cfRule>
    <cfRule type="cellIs" dxfId="5866" priority="5" operator="lessThan">
      <formula>3.5</formula>
    </cfRule>
    <cfRule type="cellIs" dxfId="5865" priority="6" operator="greaterThan">
      <formula>6</formula>
    </cfRule>
  </conditionalFormatting>
  <conditionalFormatting sqref="H9:H39">
    <cfRule type="cellIs" dxfId="5864" priority="1" operator="between">
      <formula>3.5</formula>
      <formula>6</formula>
    </cfRule>
    <cfRule type="cellIs" dxfId="5863" priority="2" operator="lessThan">
      <formula>3.5</formula>
    </cfRule>
    <cfRule type="cellIs" dxfId="5862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49"/>
  <sheetViews>
    <sheetView zoomScale="90" zoomScaleNormal="90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757"/>
      <c r="K3" s="757"/>
      <c r="M3" s="442"/>
      <c r="N3" s="442"/>
      <c r="O3" s="442"/>
    </row>
    <row r="4" spans="1:26" s="766" customFormat="1" ht="12" customHeight="1">
      <c r="A4" s="1648" t="s">
        <v>33</v>
      </c>
      <c r="B4" s="1648"/>
      <c r="C4" s="548" t="s">
        <v>384</v>
      </c>
      <c r="E4" s="549" t="s">
        <v>228</v>
      </c>
      <c r="F4" s="549" t="s">
        <v>235</v>
      </c>
      <c r="G4" s="550" t="s">
        <v>114</v>
      </c>
      <c r="H4" s="551" t="s">
        <v>391</v>
      </c>
      <c r="L4" s="143"/>
    </row>
    <row r="5" spans="1:26" s="766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766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760" t="s">
        <v>2</v>
      </c>
      <c r="B7" s="762" t="s">
        <v>1</v>
      </c>
      <c r="C7" s="762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759" t="s">
        <v>30</v>
      </c>
      <c r="I7" s="697" t="s">
        <v>341</v>
      </c>
      <c r="J7" s="697" t="s">
        <v>244</v>
      </c>
      <c r="K7" s="697" t="s">
        <v>344</v>
      </c>
      <c r="L7" s="143" t="s">
        <v>354</v>
      </c>
    </row>
    <row r="8" spans="1:26" s="305" customFormat="1" ht="12" customHeight="1">
      <c r="A8" s="1650" t="s">
        <v>3</v>
      </c>
      <c r="B8" s="1651"/>
      <c r="C8" s="1652"/>
      <c r="D8" s="771">
        <f>G8</f>
        <v>8500</v>
      </c>
      <c r="E8" s="771"/>
      <c r="F8" s="771"/>
      <c r="G8" s="774">
        <v>8500</v>
      </c>
      <c r="H8" s="450"/>
      <c r="I8" s="772"/>
      <c r="J8" s="772"/>
      <c r="K8" s="772"/>
      <c r="L8" s="143"/>
      <c r="M8" s="305">
        <v>5.3</v>
      </c>
    </row>
    <row r="9" spans="1:26" s="305" customFormat="1" ht="12" customHeight="1">
      <c r="A9" s="761">
        <v>1</v>
      </c>
      <c r="B9" s="365">
        <f>'FRIT HGE91-FHG'!B9</f>
        <v>46235</v>
      </c>
      <c r="C9" s="331" t="s">
        <v>348</v>
      </c>
      <c r="D9" s="396"/>
      <c r="E9" s="396">
        <f>I9+J9+K9+L9</f>
        <v>0</v>
      </c>
      <c r="F9" s="396">
        <f>15700/1.44</f>
        <v>10902.777777777777</v>
      </c>
      <c r="G9" s="396">
        <f>G8+D9-E9</f>
        <v>8500</v>
      </c>
      <c r="H9" s="451">
        <f>G9/F9</f>
        <v>0.77961783439490451</v>
      </c>
      <c r="I9" s="767"/>
      <c r="J9" s="772"/>
      <c r="K9" s="767"/>
      <c r="L9" s="650"/>
      <c r="M9" s="305">
        <f>G9/$M$8</f>
        <v>1603.7735849056605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0">I10+J10+K10+L10</f>
        <v>0</v>
      </c>
      <c r="F10" s="396">
        <f>$F$9</f>
        <v>10902.777777777777</v>
      </c>
      <c r="G10" s="396">
        <f t="shared" ref="G10:G39" si="1">G9+D10-E10</f>
        <v>8500</v>
      </c>
      <c r="H10" s="451">
        <f t="shared" ref="H10:H39" si="2">G10/F10</f>
        <v>0.77961783439490451</v>
      </c>
      <c r="I10" s="767"/>
      <c r="J10" s="772"/>
      <c r="K10" s="767"/>
      <c r="L10" s="650"/>
      <c r="M10" s="333">
        <f t="shared" ref="M10:M39" si="3">G10/$M$8</f>
        <v>1603.7735849056605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0"/>
        <v>0</v>
      </c>
      <c r="F11" s="396">
        <f>$F$9</f>
        <v>10902.777777777777</v>
      </c>
      <c r="G11" s="396">
        <f t="shared" si="1"/>
        <v>8500</v>
      </c>
      <c r="H11" s="451">
        <f t="shared" si="2"/>
        <v>0.77961783439490451</v>
      </c>
      <c r="I11" s="767"/>
      <c r="J11" s="772"/>
      <c r="K11" s="767"/>
      <c r="L11" s="650"/>
      <c r="M11" s="333">
        <f t="shared" si="3"/>
        <v>1603.7735849056605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0"/>
        <v>0</v>
      </c>
      <c r="F12" s="396">
        <f t="shared" ref="F12:F39" si="4">$F$9</f>
        <v>10902.777777777777</v>
      </c>
      <c r="G12" s="396">
        <f t="shared" si="1"/>
        <v>8500</v>
      </c>
      <c r="H12" s="451">
        <f t="shared" si="2"/>
        <v>0.77961783439490451</v>
      </c>
      <c r="I12" s="767"/>
      <c r="J12" s="772"/>
      <c r="K12" s="767"/>
      <c r="L12" s="650"/>
      <c r="M12" s="367">
        <f t="shared" si="3"/>
        <v>1603.7735849056605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768"/>
      <c r="E13" s="396">
        <f t="shared" si="0"/>
        <v>0</v>
      </c>
      <c r="F13" s="396">
        <f t="shared" si="4"/>
        <v>10902.777777777777</v>
      </c>
      <c r="G13" s="769">
        <f t="shared" si="1"/>
        <v>8500</v>
      </c>
      <c r="H13" s="451">
        <f t="shared" si="2"/>
        <v>0.77961783439490451</v>
      </c>
      <c r="I13" s="767"/>
      <c r="J13" s="772"/>
      <c r="K13" s="767"/>
      <c r="L13" s="650"/>
      <c r="M13" s="367">
        <f t="shared" si="3"/>
        <v>1603.7735849056605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0"/>
        <v>0</v>
      </c>
      <c r="F14" s="396">
        <f t="shared" si="4"/>
        <v>10902.777777777777</v>
      </c>
      <c r="G14" s="396">
        <f t="shared" si="1"/>
        <v>8500</v>
      </c>
      <c r="H14" s="451">
        <f t="shared" si="2"/>
        <v>0.77961783439490451</v>
      </c>
      <c r="I14" s="767"/>
      <c r="J14" s="772"/>
      <c r="K14" s="767"/>
      <c r="L14" s="650"/>
      <c r="M14" s="367">
        <f t="shared" si="3"/>
        <v>1603.7735849056605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0"/>
        <v>0</v>
      </c>
      <c r="F15" s="396">
        <f t="shared" si="4"/>
        <v>10902.777777777777</v>
      </c>
      <c r="G15" s="396">
        <f t="shared" si="1"/>
        <v>8500</v>
      </c>
      <c r="H15" s="451">
        <f t="shared" si="2"/>
        <v>0.77961783439490451</v>
      </c>
      <c r="I15" s="767"/>
      <c r="J15" s="772"/>
      <c r="K15" s="767"/>
      <c r="L15" s="650"/>
      <c r="M15" s="367">
        <f t="shared" si="3"/>
        <v>1603.7735849056605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0"/>
        <v>0</v>
      </c>
      <c r="F16" s="396">
        <f t="shared" si="4"/>
        <v>10902.777777777777</v>
      </c>
      <c r="G16" s="396">
        <f t="shared" si="1"/>
        <v>8500</v>
      </c>
      <c r="H16" s="451">
        <f t="shared" si="2"/>
        <v>0.77961783439490451</v>
      </c>
      <c r="I16" s="767"/>
      <c r="J16" s="772"/>
      <c r="K16" s="767"/>
      <c r="L16" s="650"/>
      <c r="M16" s="367">
        <f t="shared" si="3"/>
        <v>1603.7735849056605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0"/>
        <v>0</v>
      </c>
      <c r="F17" s="396">
        <f t="shared" si="4"/>
        <v>10902.777777777777</v>
      </c>
      <c r="G17" s="396">
        <f t="shared" si="1"/>
        <v>8500</v>
      </c>
      <c r="H17" s="451">
        <f t="shared" si="2"/>
        <v>0.77961783439490451</v>
      </c>
      <c r="I17" s="767"/>
      <c r="J17" s="772"/>
      <c r="K17" s="767"/>
      <c r="L17" s="650"/>
      <c r="M17" s="367">
        <f t="shared" si="3"/>
        <v>1603.7735849056605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0"/>
        <v>0</v>
      </c>
      <c r="F18" s="396">
        <f t="shared" si="4"/>
        <v>10902.777777777777</v>
      </c>
      <c r="G18" s="769">
        <f t="shared" si="1"/>
        <v>8500</v>
      </c>
      <c r="H18" s="451">
        <f t="shared" si="2"/>
        <v>0.77961783439490451</v>
      </c>
      <c r="I18" s="767"/>
      <c r="J18" s="772"/>
      <c r="K18" s="767"/>
      <c r="L18" s="650"/>
      <c r="M18" s="367">
        <f t="shared" si="3"/>
        <v>1603.7735849056605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0"/>
        <v>0</v>
      </c>
      <c r="F19" s="396">
        <f t="shared" si="4"/>
        <v>10902.777777777777</v>
      </c>
      <c r="G19" s="396">
        <f t="shared" si="1"/>
        <v>8500</v>
      </c>
      <c r="H19" s="451">
        <f t="shared" si="2"/>
        <v>0.77961783439490451</v>
      </c>
      <c r="I19" s="767"/>
      <c r="J19" s="772"/>
      <c r="K19" s="767"/>
      <c r="L19" s="650"/>
      <c r="M19" s="367">
        <f t="shared" si="3"/>
        <v>1603.7735849056605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0"/>
        <v>0</v>
      </c>
      <c r="F20" s="396">
        <f t="shared" si="4"/>
        <v>10902.777777777777</v>
      </c>
      <c r="G20" s="396">
        <f t="shared" si="1"/>
        <v>8500</v>
      </c>
      <c r="H20" s="451">
        <f t="shared" si="2"/>
        <v>0.77961783439490451</v>
      </c>
      <c r="I20" s="767"/>
      <c r="J20" s="772"/>
      <c r="K20" s="767"/>
      <c r="L20" s="650"/>
      <c r="M20" s="367">
        <f t="shared" si="3"/>
        <v>1603.7735849056605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0"/>
        <v>500</v>
      </c>
      <c r="F21" s="396">
        <f t="shared" si="4"/>
        <v>10902.777777777777</v>
      </c>
      <c r="G21" s="396">
        <f t="shared" si="1"/>
        <v>8000</v>
      </c>
      <c r="H21" s="451">
        <f t="shared" si="2"/>
        <v>0.73375796178343955</v>
      </c>
      <c r="I21" s="767"/>
      <c r="J21" s="772">
        <v>500</v>
      </c>
      <c r="K21" s="767"/>
      <c r="L21" s="650"/>
      <c r="M21" s="367">
        <f t="shared" si="3"/>
        <v>1509.433962264151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0"/>
        <v>0</v>
      </c>
      <c r="F22" s="396">
        <f t="shared" si="4"/>
        <v>10902.777777777777</v>
      </c>
      <c r="G22" s="396">
        <f t="shared" si="1"/>
        <v>8000</v>
      </c>
      <c r="H22" s="451">
        <f t="shared" si="2"/>
        <v>0.73375796178343955</v>
      </c>
      <c r="I22" s="767"/>
      <c r="J22" s="772"/>
      <c r="K22" s="767"/>
      <c r="L22" s="650"/>
      <c r="M22" s="367">
        <f t="shared" si="3"/>
        <v>1509.433962264151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0"/>
        <v>0</v>
      </c>
      <c r="F23" s="396">
        <f t="shared" si="4"/>
        <v>10902.777777777777</v>
      </c>
      <c r="G23" s="769">
        <f t="shared" si="1"/>
        <v>8000</v>
      </c>
      <c r="H23" s="451">
        <f t="shared" si="2"/>
        <v>0.73375796178343955</v>
      </c>
      <c r="I23" s="767"/>
      <c r="J23" s="772"/>
      <c r="K23" s="767"/>
      <c r="L23" s="650"/>
      <c r="M23" s="367">
        <f t="shared" si="3"/>
        <v>1509.433962264151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0"/>
        <v>0</v>
      </c>
      <c r="F24" s="396">
        <f t="shared" si="4"/>
        <v>10902.777777777777</v>
      </c>
      <c r="G24" s="396">
        <f t="shared" si="1"/>
        <v>8000</v>
      </c>
      <c r="H24" s="451">
        <f t="shared" si="2"/>
        <v>0.73375796178343955</v>
      </c>
      <c r="I24" s="767"/>
      <c r="J24" s="772"/>
      <c r="K24" s="767"/>
      <c r="L24" s="650"/>
      <c r="M24" s="367">
        <f t="shared" si="3"/>
        <v>1509.433962264151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0"/>
        <v>0</v>
      </c>
      <c r="F25" s="396">
        <f t="shared" si="4"/>
        <v>10902.777777777777</v>
      </c>
      <c r="G25" s="396">
        <f t="shared" si="1"/>
        <v>8000</v>
      </c>
      <c r="H25" s="451">
        <f t="shared" si="2"/>
        <v>0.73375796178343955</v>
      </c>
      <c r="I25" s="767"/>
      <c r="J25" s="772"/>
      <c r="K25" s="767"/>
      <c r="L25" s="650"/>
      <c r="M25" s="367">
        <f t="shared" si="3"/>
        <v>1509.433962264151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0"/>
        <v>0</v>
      </c>
      <c r="F26" s="396">
        <f t="shared" si="4"/>
        <v>10902.777777777777</v>
      </c>
      <c r="G26" s="396">
        <f t="shared" si="1"/>
        <v>8000</v>
      </c>
      <c r="H26" s="451">
        <f t="shared" si="2"/>
        <v>0.73375796178343955</v>
      </c>
      <c r="I26" s="767"/>
      <c r="J26" s="772"/>
      <c r="K26" s="767"/>
      <c r="L26" s="650"/>
      <c r="M26" s="367">
        <f t="shared" si="3"/>
        <v>1509.433962264151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0"/>
        <v>0</v>
      </c>
      <c r="F27" s="396">
        <f t="shared" si="4"/>
        <v>10902.777777777777</v>
      </c>
      <c r="G27" s="396">
        <f t="shared" si="1"/>
        <v>8000</v>
      </c>
      <c r="H27" s="451">
        <f t="shared" si="2"/>
        <v>0.73375796178343955</v>
      </c>
      <c r="I27" s="767"/>
      <c r="J27" s="772"/>
      <c r="K27" s="767"/>
      <c r="L27" s="650"/>
      <c r="M27" s="367">
        <f t="shared" si="3"/>
        <v>1509.433962264151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0"/>
        <v>0</v>
      </c>
      <c r="F28" s="396">
        <f t="shared" si="4"/>
        <v>10902.777777777777</v>
      </c>
      <c r="G28" s="769">
        <f t="shared" si="1"/>
        <v>8000</v>
      </c>
      <c r="H28" s="451">
        <f t="shared" si="2"/>
        <v>0.73375796178343955</v>
      </c>
      <c r="I28" s="767"/>
      <c r="J28" s="772"/>
      <c r="K28" s="767"/>
      <c r="L28" s="650"/>
      <c r="M28" s="367">
        <f t="shared" si="3"/>
        <v>1509.433962264151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0"/>
        <v>0</v>
      </c>
      <c r="F29" s="396">
        <f t="shared" si="4"/>
        <v>10902.777777777777</v>
      </c>
      <c r="G29" s="393">
        <f t="shared" si="1"/>
        <v>8000</v>
      </c>
      <c r="H29" s="451">
        <f t="shared" si="2"/>
        <v>0.73375796178343955</v>
      </c>
      <c r="I29" s="767"/>
      <c r="J29" s="772"/>
      <c r="K29" s="767"/>
      <c r="L29" s="650"/>
      <c r="M29" s="367">
        <f t="shared" si="3"/>
        <v>1509.433962264151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0"/>
        <v>0</v>
      </c>
      <c r="F30" s="396">
        <f t="shared" si="4"/>
        <v>10902.777777777777</v>
      </c>
      <c r="G30" s="393">
        <f t="shared" si="1"/>
        <v>8000</v>
      </c>
      <c r="H30" s="451">
        <f t="shared" si="2"/>
        <v>0.73375796178343955</v>
      </c>
      <c r="I30" s="767"/>
      <c r="J30" s="772"/>
      <c r="K30" s="767"/>
      <c r="L30" s="650"/>
      <c r="M30" s="367">
        <f t="shared" si="3"/>
        <v>1509.433962264151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0"/>
        <v>0</v>
      </c>
      <c r="F31" s="396">
        <f t="shared" si="4"/>
        <v>10902.777777777777</v>
      </c>
      <c r="G31" s="393">
        <f t="shared" si="1"/>
        <v>8000</v>
      </c>
      <c r="H31" s="451">
        <f t="shared" si="2"/>
        <v>0.73375796178343955</v>
      </c>
      <c r="I31" s="767"/>
      <c r="J31" s="772"/>
      <c r="K31" s="767"/>
      <c r="L31" s="650"/>
      <c r="M31" s="367">
        <f t="shared" si="3"/>
        <v>1509.433962264151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0"/>
        <v>0</v>
      </c>
      <c r="F32" s="396">
        <f t="shared" si="4"/>
        <v>10902.777777777777</v>
      </c>
      <c r="G32" s="393">
        <f t="shared" si="1"/>
        <v>8000</v>
      </c>
      <c r="H32" s="451">
        <f t="shared" si="2"/>
        <v>0.73375796178343955</v>
      </c>
      <c r="I32" s="767"/>
      <c r="J32" s="772"/>
      <c r="K32" s="767"/>
      <c r="L32" s="650"/>
      <c r="M32" s="367">
        <f t="shared" si="3"/>
        <v>1509.433962264151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0"/>
        <v>0</v>
      </c>
      <c r="F33" s="396">
        <f t="shared" si="4"/>
        <v>10902.777777777777</v>
      </c>
      <c r="G33" s="770">
        <f t="shared" si="1"/>
        <v>8000</v>
      </c>
      <c r="H33" s="451">
        <f t="shared" si="2"/>
        <v>0.73375796178343955</v>
      </c>
      <c r="I33" s="767"/>
      <c r="J33" s="772"/>
      <c r="K33" s="767"/>
      <c r="L33" s="650"/>
      <c r="M33" s="367">
        <f t="shared" si="3"/>
        <v>1509.433962264151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0"/>
        <v>0</v>
      </c>
      <c r="F34" s="396">
        <f t="shared" si="4"/>
        <v>10902.777777777777</v>
      </c>
      <c r="G34" s="396">
        <f t="shared" si="1"/>
        <v>8000</v>
      </c>
      <c r="H34" s="451">
        <f t="shared" si="2"/>
        <v>0.73375796178343955</v>
      </c>
      <c r="I34" s="767"/>
      <c r="J34" s="772"/>
      <c r="K34" s="767"/>
      <c r="L34" s="650"/>
      <c r="M34" s="367">
        <f t="shared" si="3"/>
        <v>1509.433962264151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0"/>
        <v>0</v>
      </c>
      <c r="F35" s="396">
        <f t="shared" si="4"/>
        <v>10902.777777777777</v>
      </c>
      <c r="G35" s="396">
        <f t="shared" si="1"/>
        <v>8000</v>
      </c>
      <c r="H35" s="451">
        <f t="shared" si="2"/>
        <v>0.73375796178343955</v>
      </c>
      <c r="I35" s="767"/>
      <c r="J35" s="767"/>
      <c r="K35" s="767"/>
      <c r="L35" s="650"/>
      <c r="M35" s="367">
        <f t="shared" si="3"/>
        <v>1509.433962264151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0"/>
        <v>0</v>
      </c>
      <c r="F36" s="396">
        <f t="shared" si="4"/>
        <v>10902.777777777777</v>
      </c>
      <c r="G36" s="396">
        <f t="shared" si="1"/>
        <v>8000</v>
      </c>
      <c r="H36" s="451">
        <f t="shared" si="2"/>
        <v>0.73375796178343955</v>
      </c>
      <c r="I36" s="767"/>
      <c r="J36" s="767"/>
      <c r="K36" s="767"/>
      <c r="L36" s="650"/>
      <c r="M36" s="367">
        <f t="shared" si="3"/>
        <v>1509.433962264151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0"/>
        <v>0</v>
      </c>
      <c r="F37" s="396">
        <f t="shared" si="4"/>
        <v>10902.777777777777</v>
      </c>
      <c r="G37" s="396">
        <f t="shared" si="1"/>
        <v>8000</v>
      </c>
      <c r="H37" s="451">
        <f t="shared" si="2"/>
        <v>0.73375796178343955</v>
      </c>
      <c r="I37" s="767"/>
      <c r="J37" s="767"/>
      <c r="K37" s="767"/>
      <c r="L37" s="650"/>
      <c r="M37" s="367">
        <f t="shared" si="3"/>
        <v>1509.433962264151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0"/>
        <v>0</v>
      </c>
      <c r="F38" s="396">
        <f t="shared" si="4"/>
        <v>10902.777777777777</v>
      </c>
      <c r="G38" s="769">
        <f t="shared" si="1"/>
        <v>8000</v>
      </c>
      <c r="H38" s="451">
        <f t="shared" si="2"/>
        <v>0.73375796178343955</v>
      </c>
      <c r="I38" s="767"/>
      <c r="J38" s="767"/>
      <c r="K38" s="767"/>
      <c r="L38" s="650"/>
      <c r="M38" s="367">
        <f t="shared" si="3"/>
        <v>1509.433962264151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0"/>
        <v>0</v>
      </c>
      <c r="F39" s="396">
        <f t="shared" si="4"/>
        <v>10902.777777777777</v>
      </c>
      <c r="G39" s="396">
        <f t="shared" si="1"/>
        <v>8000</v>
      </c>
      <c r="H39" s="451">
        <f t="shared" si="2"/>
        <v>0.73375796178343955</v>
      </c>
      <c r="I39" s="767"/>
      <c r="J39" s="767"/>
      <c r="K39" s="767"/>
      <c r="L39" s="650"/>
      <c r="M39" s="367">
        <f t="shared" si="3"/>
        <v>1509.433962264151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500</v>
      </c>
      <c r="F40" s="449"/>
      <c r="G40" s="389">
        <f>G39</f>
        <v>8000</v>
      </c>
      <c r="H40" s="309"/>
      <c r="I40" s="689">
        <f>SUM(I9:I39)</f>
        <v>0</v>
      </c>
      <c r="J40" s="772"/>
      <c r="K40" s="689">
        <f t="shared" ref="K40" si="5">SUM(K9:K39)</f>
        <v>0</v>
      </c>
      <c r="L40" s="374">
        <f>SUM(L9:L39)</f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8500</v>
      </c>
      <c r="E41" s="389">
        <f>E40</f>
        <v>500</v>
      </c>
      <c r="F41" s="449"/>
      <c r="G41" s="389">
        <f>D41-E41</f>
        <v>8000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5861" priority="22" operator="between">
      <formula>3.5</formula>
      <formula>6</formula>
    </cfRule>
    <cfRule type="cellIs" dxfId="5860" priority="23" operator="lessThan">
      <formula>3.5</formula>
    </cfRule>
    <cfRule type="cellIs" dxfId="5859" priority="24" operator="greaterThan">
      <formula>6</formula>
    </cfRule>
  </conditionalFormatting>
  <conditionalFormatting sqref="H9:H39">
    <cfRule type="cellIs" dxfId="5858" priority="19" operator="between">
      <formula>3.5</formula>
      <formula>6</formula>
    </cfRule>
    <cfRule type="cellIs" dxfId="5857" priority="20" operator="lessThan">
      <formula>3.5</formula>
    </cfRule>
    <cfRule type="cellIs" dxfId="5856" priority="21" operator="greaterThan">
      <formula>6</formula>
    </cfRule>
  </conditionalFormatting>
  <conditionalFormatting sqref="H9:H39">
    <cfRule type="cellIs" dxfId="5855" priority="16" operator="between">
      <formula>3.5</formula>
      <formula>6</formula>
    </cfRule>
    <cfRule type="cellIs" dxfId="5854" priority="17" operator="lessThan">
      <formula>3.5</formula>
    </cfRule>
    <cfRule type="cellIs" dxfId="5853" priority="18" operator="greaterThan">
      <formula>6</formula>
    </cfRule>
  </conditionalFormatting>
  <conditionalFormatting sqref="H9:H39">
    <cfRule type="cellIs" dxfId="5852" priority="13" operator="between">
      <formula>3.5</formula>
      <formula>6</formula>
    </cfRule>
    <cfRule type="cellIs" dxfId="5851" priority="14" operator="lessThan">
      <formula>3.5</formula>
    </cfRule>
    <cfRule type="cellIs" dxfId="5850" priority="15" operator="greaterThan">
      <formula>6</formula>
    </cfRule>
  </conditionalFormatting>
  <conditionalFormatting sqref="H9:H39">
    <cfRule type="cellIs" dxfId="5849" priority="10" operator="between">
      <formula>3.5</formula>
      <formula>6</formula>
    </cfRule>
    <cfRule type="cellIs" dxfId="5848" priority="11" operator="lessThan">
      <formula>3.5</formula>
    </cfRule>
    <cfRule type="cellIs" dxfId="5847" priority="12" operator="greaterThan">
      <formula>6</formula>
    </cfRule>
  </conditionalFormatting>
  <conditionalFormatting sqref="H9:H39">
    <cfRule type="cellIs" dxfId="5846" priority="7" operator="between">
      <formula>3.5</formula>
      <formula>6</formula>
    </cfRule>
    <cfRule type="cellIs" dxfId="5845" priority="8" operator="lessThan">
      <formula>3.5</formula>
    </cfRule>
    <cfRule type="cellIs" dxfId="5844" priority="9" operator="greaterThan">
      <formula>6</formula>
    </cfRule>
  </conditionalFormatting>
  <conditionalFormatting sqref="H9:H39">
    <cfRule type="cellIs" dxfId="5843" priority="4" operator="between">
      <formula>3.5</formula>
      <formula>6</formula>
    </cfRule>
    <cfRule type="cellIs" dxfId="5842" priority="5" operator="lessThan">
      <formula>3.5</formula>
    </cfRule>
    <cfRule type="cellIs" dxfId="5841" priority="6" operator="greaterThan">
      <formula>6</formula>
    </cfRule>
  </conditionalFormatting>
  <conditionalFormatting sqref="H9:H39">
    <cfRule type="cellIs" dxfId="5840" priority="1" operator="between">
      <formula>3.5</formula>
      <formula>6</formula>
    </cfRule>
    <cfRule type="cellIs" dxfId="5839" priority="2" operator="lessThan">
      <formula>3.5</formula>
    </cfRule>
    <cfRule type="cellIs" dxfId="5838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49"/>
  <sheetViews>
    <sheetView zoomScale="90" zoomScaleNormal="90" workbookViewId="0">
      <pane ySplit="8" topLeftCell="A15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990"/>
      <c r="K3" s="990"/>
      <c r="M3" s="442"/>
      <c r="N3" s="442"/>
      <c r="O3" s="442"/>
    </row>
    <row r="4" spans="1:26" s="995" customFormat="1" ht="12" customHeight="1">
      <c r="A4" s="1648" t="s">
        <v>33</v>
      </c>
      <c r="B4" s="1648"/>
      <c r="C4" s="551" t="str">
        <f>H4</f>
        <v>VỎ PHẾ 50x50-HA</v>
      </c>
      <c r="E4" s="549" t="s">
        <v>228</v>
      </c>
      <c r="F4" s="549" t="s">
        <v>235</v>
      </c>
      <c r="G4" s="550" t="s">
        <v>114</v>
      </c>
      <c r="H4" s="551" t="s">
        <v>794</v>
      </c>
      <c r="L4" s="143"/>
    </row>
    <row r="5" spans="1:26" s="995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995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992" t="s">
        <v>2</v>
      </c>
      <c r="B7" s="994" t="s">
        <v>1</v>
      </c>
      <c r="C7" s="994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991" t="s">
        <v>30</v>
      </c>
      <c r="I7" s="697" t="s">
        <v>341</v>
      </c>
      <c r="J7" s="697" t="s">
        <v>244</v>
      </c>
      <c r="K7" s="697" t="s">
        <v>344</v>
      </c>
      <c r="L7" s="143" t="s">
        <v>354</v>
      </c>
    </row>
    <row r="8" spans="1:26" s="305" customFormat="1" ht="12" customHeight="1">
      <c r="A8" s="1650" t="s">
        <v>3</v>
      </c>
      <c r="B8" s="1651"/>
      <c r="C8" s="1652"/>
      <c r="D8" s="771">
        <f>G8</f>
        <v>4200</v>
      </c>
      <c r="E8" s="771"/>
      <c r="F8" s="771"/>
      <c r="G8" s="774">
        <v>4200</v>
      </c>
      <c r="H8" s="450"/>
      <c r="I8" s="772"/>
      <c r="J8" s="772"/>
      <c r="K8" s="772"/>
      <c r="L8" s="143"/>
      <c r="M8" s="305">
        <v>5.3</v>
      </c>
    </row>
    <row r="9" spans="1:26" s="305" customFormat="1" ht="12" customHeight="1">
      <c r="A9" s="993">
        <v>1</v>
      </c>
      <c r="B9" s="365">
        <f>'FRIT HGE91-FHG'!B9</f>
        <v>46235</v>
      </c>
      <c r="C9" s="331" t="s">
        <v>348</v>
      </c>
      <c r="D9" s="396"/>
      <c r="E9" s="396">
        <f>I9+J9+K9+L9</f>
        <v>0</v>
      </c>
      <c r="F9" s="396">
        <f>15700/1.44</f>
        <v>10902.777777777777</v>
      </c>
      <c r="G9" s="396">
        <f>G8+D9-E9</f>
        <v>4200</v>
      </c>
      <c r="H9" s="451">
        <f>G9/F9</f>
        <v>0.38522292993630575</v>
      </c>
      <c r="I9" s="767"/>
      <c r="J9" s="767"/>
      <c r="K9" s="767"/>
      <c r="L9" s="650"/>
      <c r="M9" s="305">
        <f>G9/$M$8</f>
        <v>792.45283018867929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0">I10+J10+K10+L10</f>
        <v>0</v>
      </c>
      <c r="F10" s="396">
        <f>$F$9</f>
        <v>10902.777777777777</v>
      </c>
      <c r="G10" s="396">
        <f t="shared" ref="G10:G39" si="1">G9+D10-E10</f>
        <v>4200</v>
      </c>
      <c r="H10" s="451">
        <f t="shared" ref="H10:H39" si="2">G10/F10</f>
        <v>0.38522292993630575</v>
      </c>
      <c r="I10" s="767"/>
      <c r="J10" s="767"/>
      <c r="K10" s="767"/>
      <c r="L10" s="650"/>
      <c r="M10" s="333">
        <f t="shared" ref="M10:M39" si="3">G10/$M$8</f>
        <v>792.45283018867929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0"/>
        <v>0</v>
      </c>
      <c r="F11" s="396">
        <f>$F$9</f>
        <v>10902.777777777777</v>
      </c>
      <c r="G11" s="396">
        <f t="shared" si="1"/>
        <v>4200</v>
      </c>
      <c r="H11" s="451">
        <f t="shared" si="2"/>
        <v>0.38522292993630575</v>
      </c>
      <c r="I11" s="767"/>
      <c r="J11" s="767"/>
      <c r="K11" s="767"/>
      <c r="L11" s="650"/>
      <c r="M11" s="333">
        <f t="shared" si="3"/>
        <v>792.45283018867929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0"/>
        <v>0</v>
      </c>
      <c r="F12" s="396">
        <f t="shared" ref="F12:F39" si="4">$F$9</f>
        <v>10902.777777777777</v>
      </c>
      <c r="G12" s="396">
        <f t="shared" si="1"/>
        <v>4200</v>
      </c>
      <c r="H12" s="451">
        <f t="shared" si="2"/>
        <v>0.38522292993630575</v>
      </c>
      <c r="I12" s="767"/>
      <c r="J12" s="767"/>
      <c r="K12" s="767"/>
      <c r="L12" s="650"/>
      <c r="M12" s="367">
        <f t="shared" si="3"/>
        <v>792.45283018867929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768"/>
      <c r="E13" s="396">
        <f t="shared" si="0"/>
        <v>0</v>
      </c>
      <c r="F13" s="396">
        <f t="shared" si="4"/>
        <v>10902.777777777777</v>
      </c>
      <c r="G13" s="769">
        <f t="shared" si="1"/>
        <v>4200</v>
      </c>
      <c r="H13" s="451">
        <f t="shared" si="2"/>
        <v>0.38522292993630575</v>
      </c>
      <c r="I13" s="767"/>
      <c r="J13" s="767"/>
      <c r="K13" s="767"/>
      <c r="L13" s="650"/>
      <c r="M13" s="367">
        <f t="shared" si="3"/>
        <v>792.45283018867929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0"/>
        <v>0</v>
      </c>
      <c r="F14" s="396">
        <f t="shared" si="4"/>
        <v>10902.777777777777</v>
      </c>
      <c r="G14" s="396">
        <f t="shared" si="1"/>
        <v>4200</v>
      </c>
      <c r="H14" s="451">
        <f t="shared" si="2"/>
        <v>0.38522292993630575</v>
      </c>
      <c r="I14" s="767"/>
      <c r="J14" s="767"/>
      <c r="K14" s="767"/>
      <c r="L14" s="650"/>
      <c r="M14" s="367">
        <f t="shared" si="3"/>
        <v>792.45283018867929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0"/>
        <v>0</v>
      </c>
      <c r="F15" s="396">
        <f t="shared" si="4"/>
        <v>10902.777777777777</v>
      </c>
      <c r="G15" s="396">
        <f t="shared" si="1"/>
        <v>4200</v>
      </c>
      <c r="H15" s="451">
        <f t="shared" si="2"/>
        <v>0.38522292993630575</v>
      </c>
      <c r="I15" s="767"/>
      <c r="J15" s="767"/>
      <c r="K15" s="767"/>
      <c r="L15" s="650"/>
      <c r="M15" s="367">
        <f t="shared" si="3"/>
        <v>792.45283018867929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0"/>
        <v>0</v>
      </c>
      <c r="F16" s="396">
        <f t="shared" si="4"/>
        <v>10902.777777777777</v>
      </c>
      <c r="G16" s="396">
        <f t="shared" si="1"/>
        <v>4200</v>
      </c>
      <c r="H16" s="451">
        <f t="shared" si="2"/>
        <v>0.38522292993630575</v>
      </c>
      <c r="I16" s="767"/>
      <c r="J16" s="767"/>
      <c r="K16" s="767"/>
      <c r="L16" s="650"/>
      <c r="M16" s="367">
        <f t="shared" si="3"/>
        <v>792.45283018867929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0"/>
        <v>0</v>
      </c>
      <c r="F17" s="396">
        <f t="shared" si="4"/>
        <v>10902.777777777777</v>
      </c>
      <c r="G17" s="396">
        <f t="shared" si="1"/>
        <v>4200</v>
      </c>
      <c r="H17" s="451">
        <f t="shared" si="2"/>
        <v>0.38522292993630575</v>
      </c>
      <c r="I17" s="767"/>
      <c r="J17" s="767"/>
      <c r="K17" s="767"/>
      <c r="L17" s="650"/>
      <c r="M17" s="367">
        <f t="shared" si="3"/>
        <v>792.45283018867929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0"/>
        <v>0</v>
      </c>
      <c r="F18" s="396">
        <f t="shared" si="4"/>
        <v>10902.777777777777</v>
      </c>
      <c r="G18" s="769">
        <f t="shared" si="1"/>
        <v>4200</v>
      </c>
      <c r="H18" s="451">
        <f t="shared" si="2"/>
        <v>0.38522292993630575</v>
      </c>
      <c r="I18" s="767"/>
      <c r="J18" s="767"/>
      <c r="K18" s="767"/>
      <c r="L18" s="650"/>
      <c r="M18" s="367">
        <f t="shared" si="3"/>
        <v>792.45283018867929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0"/>
        <v>0</v>
      </c>
      <c r="F19" s="396">
        <f t="shared" si="4"/>
        <v>10902.777777777777</v>
      </c>
      <c r="G19" s="396">
        <f t="shared" si="1"/>
        <v>4200</v>
      </c>
      <c r="H19" s="451">
        <f t="shared" si="2"/>
        <v>0.38522292993630575</v>
      </c>
      <c r="I19" s="767"/>
      <c r="J19" s="767"/>
      <c r="K19" s="767"/>
      <c r="L19" s="650"/>
      <c r="M19" s="367">
        <f t="shared" si="3"/>
        <v>792.45283018867929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0"/>
        <v>500</v>
      </c>
      <c r="F20" s="396">
        <f t="shared" si="4"/>
        <v>10902.777777777777</v>
      </c>
      <c r="G20" s="396">
        <f t="shared" si="1"/>
        <v>3700</v>
      </c>
      <c r="H20" s="451">
        <f t="shared" si="2"/>
        <v>0.33936305732484079</v>
      </c>
      <c r="I20" s="767"/>
      <c r="J20" s="767">
        <v>500</v>
      </c>
      <c r="K20" s="767"/>
      <c r="L20" s="650"/>
      <c r="M20" s="367">
        <f t="shared" si="3"/>
        <v>698.11320754716985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0"/>
        <v>0</v>
      </c>
      <c r="F21" s="396">
        <f t="shared" si="4"/>
        <v>10902.777777777777</v>
      </c>
      <c r="G21" s="396">
        <f t="shared" si="1"/>
        <v>3700</v>
      </c>
      <c r="H21" s="451">
        <f t="shared" si="2"/>
        <v>0.33936305732484079</v>
      </c>
      <c r="I21" s="767"/>
      <c r="J21" s="767"/>
      <c r="K21" s="767"/>
      <c r="L21" s="650"/>
      <c r="M21" s="367">
        <f t="shared" si="3"/>
        <v>698.11320754716985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0"/>
        <v>0</v>
      </c>
      <c r="F22" s="396">
        <f t="shared" si="4"/>
        <v>10902.777777777777</v>
      </c>
      <c r="G22" s="396">
        <f t="shared" si="1"/>
        <v>3700</v>
      </c>
      <c r="H22" s="451">
        <f t="shared" si="2"/>
        <v>0.33936305732484079</v>
      </c>
      <c r="I22" s="767"/>
      <c r="J22" s="767"/>
      <c r="K22" s="767"/>
      <c r="L22" s="650"/>
      <c r="M22" s="367">
        <f t="shared" si="3"/>
        <v>698.11320754716985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0"/>
        <v>0</v>
      </c>
      <c r="F23" s="396">
        <f t="shared" si="4"/>
        <v>10902.777777777777</v>
      </c>
      <c r="G23" s="769">
        <f t="shared" si="1"/>
        <v>3700</v>
      </c>
      <c r="H23" s="451">
        <f t="shared" si="2"/>
        <v>0.33936305732484079</v>
      </c>
      <c r="I23" s="767"/>
      <c r="J23" s="767"/>
      <c r="K23" s="767"/>
      <c r="L23" s="650"/>
      <c r="M23" s="367">
        <f t="shared" si="3"/>
        <v>698.11320754716985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0"/>
        <v>0</v>
      </c>
      <c r="F24" s="396">
        <f t="shared" si="4"/>
        <v>10902.777777777777</v>
      </c>
      <c r="G24" s="396">
        <f t="shared" si="1"/>
        <v>3700</v>
      </c>
      <c r="H24" s="451">
        <f t="shared" si="2"/>
        <v>0.33936305732484079</v>
      </c>
      <c r="I24" s="767"/>
      <c r="J24" s="767"/>
      <c r="K24" s="767"/>
      <c r="L24" s="650"/>
      <c r="M24" s="367">
        <f t="shared" si="3"/>
        <v>698.11320754716985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0"/>
        <v>0</v>
      </c>
      <c r="F25" s="396">
        <f t="shared" si="4"/>
        <v>10902.777777777777</v>
      </c>
      <c r="G25" s="396">
        <f t="shared" si="1"/>
        <v>3700</v>
      </c>
      <c r="H25" s="451">
        <f t="shared" si="2"/>
        <v>0.33936305732484079</v>
      </c>
      <c r="I25" s="767"/>
      <c r="J25" s="767"/>
      <c r="K25" s="767"/>
      <c r="L25" s="650"/>
      <c r="M25" s="367">
        <f t="shared" si="3"/>
        <v>698.11320754716985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0"/>
        <v>0</v>
      </c>
      <c r="F26" s="396">
        <f t="shared" si="4"/>
        <v>10902.777777777777</v>
      </c>
      <c r="G26" s="396">
        <f t="shared" si="1"/>
        <v>3700</v>
      </c>
      <c r="H26" s="451">
        <f t="shared" si="2"/>
        <v>0.33936305732484079</v>
      </c>
      <c r="I26" s="767"/>
      <c r="J26" s="767"/>
      <c r="K26" s="767"/>
      <c r="L26" s="650"/>
      <c r="M26" s="367">
        <f t="shared" si="3"/>
        <v>698.11320754716985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0"/>
        <v>0</v>
      </c>
      <c r="F27" s="396">
        <f t="shared" si="4"/>
        <v>10902.777777777777</v>
      </c>
      <c r="G27" s="396">
        <f t="shared" si="1"/>
        <v>3700</v>
      </c>
      <c r="H27" s="451">
        <f t="shared" si="2"/>
        <v>0.33936305732484079</v>
      </c>
      <c r="I27" s="767"/>
      <c r="J27" s="767"/>
      <c r="K27" s="767"/>
      <c r="L27" s="650"/>
      <c r="M27" s="367">
        <f t="shared" si="3"/>
        <v>698.11320754716985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0"/>
        <v>0</v>
      </c>
      <c r="F28" s="396">
        <f t="shared" si="4"/>
        <v>10902.777777777777</v>
      </c>
      <c r="G28" s="769">
        <f t="shared" si="1"/>
        <v>3700</v>
      </c>
      <c r="H28" s="451">
        <f t="shared" si="2"/>
        <v>0.33936305732484079</v>
      </c>
      <c r="I28" s="767"/>
      <c r="J28" s="767"/>
      <c r="K28" s="767"/>
      <c r="L28" s="650"/>
      <c r="M28" s="367">
        <f t="shared" si="3"/>
        <v>698.11320754716985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0"/>
        <v>0</v>
      </c>
      <c r="F29" s="396">
        <f t="shared" si="4"/>
        <v>10902.777777777777</v>
      </c>
      <c r="G29" s="393">
        <f t="shared" si="1"/>
        <v>3700</v>
      </c>
      <c r="H29" s="451">
        <f t="shared" si="2"/>
        <v>0.33936305732484079</v>
      </c>
      <c r="I29" s="767"/>
      <c r="J29" s="767"/>
      <c r="K29" s="767"/>
      <c r="L29" s="650"/>
      <c r="M29" s="367">
        <f t="shared" si="3"/>
        <v>698.11320754716985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0"/>
        <v>0</v>
      </c>
      <c r="F30" s="396">
        <f t="shared" si="4"/>
        <v>10902.777777777777</v>
      </c>
      <c r="G30" s="393">
        <f t="shared" si="1"/>
        <v>3700</v>
      </c>
      <c r="H30" s="451">
        <f t="shared" si="2"/>
        <v>0.33936305732484079</v>
      </c>
      <c r="I30" s="767"/>
      <c r="J30" s="767"/>
      <c r="K30" s="767"/>
      <c r="L30" s="650"/>
      <c r="M30" s="367">
        <f t="shared" si="3"/>
        <v>698.11320754716985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0"/>
        <v>0</v>
      </c>
      <c r="F31" s="396">
        <f t="shared" si="4"/>
        <v>10902.777777777777</v>
      </c>
      <c r="G31" s="393">
        <f t="shared" si="1"/>
        <v>3700</v>
      </c>
      <c r="H31" s="451">
        <f t="shared" si="2"/>
        <v>0.33936305732484079</v>
      </c>
      <c r="I31" s="767"/>
      <c r="J31" s="767"/>
      <c r="K31" s="767"/>
      <c r="L31" s="650"/>
      <c r="M31" s="367">
        <f t="shared" si="3"/>
        <v>698.11320754716985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0"/>
        <v>0</v>
      </c>
      <c r="F32" s="396">
        <f t="shared" si="4"/>
        <v>10902.777777777777</v>
      </c>
      <c r="G32" s="393">
        <f t="shared" si="1"/>
        <v>3700</v>
      </c>
      <c r="H32" s="451">
        <f t="shared" si="2"/>
        <v>0.33936305732484079</v>
      </c>
      <c r="I32" s="767"/>
      <c r="J32" s="767"/>
      <c r="K32" s="767"/>
      <c r="L32" s="650"/>
      <c r="M32" s="367">
        <f t="shared" si="3"/>
        <v>698.11320754716985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0"/>
        <v>0</v>
      </c>
      <c r="F33" s="396">
        <f t="shared" si="4"/>
        <v>10902.777777777777</v>
      </c>
      <c r="G33" s="770">
        <f t="shared" si="1"/>
        <v>3700</v>
      </c>
      <c r="H33" s="451">
        <f t="shared" si="2"/>
        <v>0.33936305732484079</v>
      </c>
      <c r="I33" s="767"/>
      <c r="J33" s="767"/>
      <c r="K33" s="767"/>
      <c r="L33" s="650"/>
      <c r="M33" s="367">
        <f t="shared" si="3"/>
        <v>698.11320754716985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0"/>
        <v>0</v>
      </c>
      <c r="F34" s="396">
        <f t="shared" si="4"/>
        <v>10902.777777777777</v>
      </c>
      <c r="G34" s="396">
        <f t="shared" si="1"/>
        <v>3700</v>
      </c>
      <c r="H34" s="451">
        <f t="shared" si="2"/>
        <v>0.33936305732484079</v>
      </c>
      <c r="I34" s="767"/>
      <c r="J34" s="767"/>
      <c r="K34" s="767"/>
      <c r="L34" s="650"/>
      <c r="M34" s="367">
        <f t="shared" si="3"/>
        <v>698.11320754716985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0"/>
        <v>0</v>
      </c>
      <c r="F35" s="396">
        <f t="shared" si="4"/>
        <v>10902.777777777777</v>
      </c>
      <c r="G35" s="396">
        <f t="shared" si="1"/>
        <v>3700</v>
      </c>
      <c r="H35" s="451">
        <f t="shared" si="2"/>
        <v>0.33936305732484079</v>
      </c>
      <c r="I35" s="767"/>
      <c r="J35" s="767"/>
      <c r="K35" s="767"/>
      <c r="L35" s="650"/>
      <c r="M35" s="367">
        <f t="shared" si="3"/>
        <v>698.11320754716985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0"/>
        <v>0</v>
      </c>
      <c r="F36" s="396">
        <f t="shared" si="4"/>
        <v>10902.777777777777</v>
      </c>
      <c r="G36" s="396">
        <f t="shared" si="1"/>
        <v>3700</v>
      </c>
      <c r="H36" s="451">
        <f t="shared" si="2"/>
        <v>0.33936305732484079</v>
      </c>
      <c r="I36" s="767"/>
      <c r="J36" s="767"/>
      <c r="K36" s="767"/>
      <c r="L36" s="650"/>
      <c r="M36" s="367">
        <f t="shared" si="3"/>
        <v>698.11320754716985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0"/>
        <v>0</v>
      </c>
      <c r="F37" s="396">
        <f t="shared" si="4"/>
        <v>10902.777777777777</v>
      </c>
      <c r="G37" s="396">
        <f t="shared" si="1"/>
        <v>3700</v>
      </c>
      <c r="H37" s="451">
        <f t="shared" si="2"/>
        <v>0.33936305732484079</v>
      </c>
      <c r="I37" s="767"/>
      <c r="J37" s="767"/>
      <c r="K37" s="767"/>
      <c r="L37" s="650"/>
      <c r="M37" s="367">
        <f t="shared" si="3"/>
        <v>698.11320754716985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0"/>
        <v>0</v>
      </c>
      <c r="F38" s="396">
        <f t="shared" si="4"/>
        <v>10902.777777777777</v>
      </c>
      <c r="G38" s="769">
        <f t="shared" si="1"/>
        <v>3700</v>
      </c>
      <c r="H38" s="451">
        <f t="shared" si="2"/>
        <v>0.33936305732484079</v>
      </c>
      <c r="I38" s="767"/>
      <c r="J38" s="767"/>
      <c r="K38" s="767"/>
      <c r="L38" s="650"/>
      <c r="M38" s="367">
        <f t="shared" si="3"/>
        <v>698.11320754716985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0"/>
        <v>0</v>
      </c>
      <c r="F39" s="396">
        <f t="shared" si="4"/>
        <v>10902.777777777777</v>
      </c>
      <c r="G39" s="396">
        <f t="shared" si="1"/>
        <v>3700</v>
      </c>
      <c r="H39" s="451">
        <f t="shared" si="2"/>
        <v>0.33936305732484079</v>
      </c>
      <c r="I39" s="767"/>
      <c r="J39" s="767"/>
      <c r="K39" s="767"/>
      <c r="L39" s="650"/>
      <c r="M39" s="367">
        <f t="shared" si="3"/>
        <v>698.11320754716985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500</v>
      </c>
      <c r="F40" s="449"/>
      <c r="G40" s="389">
        <f>G39</f>
        <v>3700</v>
      </c>
      <c r="H40" s="309"/>
      <c r="I40" s="689">
        <f>SUM(I9:I39)</f>
        <v>0</v>
      </c>
      <c r="J40" s="689">
        <f t="shared" ref="J40:K40" si="5">SUM(J9:J39)</f>
        <v>500</v>
      </c>
      <c r="K40" s="689">
        <f t="shared" si="5"/>
        <v>0</v>
      </c>
      <c r="L40" s="374">
        <f>SUM(L9:L39)</f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4200</v>
      </c>
      <c r="E41" s="389">
        <f>E40</f>
        <v>500</v>
      </c>
      <c r="F41" s="449"/>
      <c r="G41" s="389">
        <f>D41-E41</f>
        <v>3700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5837" priority="22" operator="between">
      <formula>3.5</formula>
      <formula>6</formula>
    </cfRule>
    <cfRule type="cellIs" dxfId="5836" priority="23" operator="lessThan">
      <formula>3.5</formula>
    </cfRule>
    <cfRule type="cellIs" dxfId="5835" priority="24" operator="greaterThan">
      <formula>6</formula>
    </cfRule>
  </conditionalFormatting>
  <conditionalFormatting sqref="H9:H39">
    <cfRule type="cellIs" dxfId="5834" priority="19" operator="between">
      <formula>3.5</formula>
      <formula>6</formula>
    </cfRule>
    <cfRule type="cellIs" dxfId="5833" priority="20" operator="lessThan">
      <formula>3.5</formula>
    </cfRule>
    <cfRule type="cellIs" dxfId="5832" priority="21" operator="greaterThan">
      <formula>6</formula>
    </cfRule>
  </conditionalFormatting>
  <conditionalFormatting sqref="H9:H39">
    <cfRule type="cellIs" dxfId="5831" priority="16" operator="between">
      <formula>3.5</formula>
      <formula>6</formula>
    </cfRule>
    <cfRule type="cellIs" dxfId="5830" priority="17" operator="lessThan">
      <formula>3.5</formula>
    </cfRule>
    <cfRule type="cellIs" dxfId="5829" priority="18" operator="greaterThan">
      <formula>6</formula>
    </cfRule>
  </conditionalFormatting>
  <conditionalFormatting sqref="H9:H39">
    <cfRule type="cellIs" dxfId="5828" priority="13" operator="between">
      <formula>3.5</formula>
      <formula>6</formula>
    </cfRule>
    <cfRule type="cellIs" dxfId="5827" priority="14" operator="lessThan">
      <formula>3.5</formula>
    </cfRule>
    <cfRule type="cellIs" dxfId="5826" priority="15" operator="greaterThan">
      <formula>6</formula>
    </cfRule>
  </conditionalFormatting>
  <conditionalFormatting sqref="H9:H39">
    <cfRule type="cellIs" dxfId="5825" priority="10" operator="between">
      <formula>3.5</formula>
      <formula>6</formula>
    </cfRule>
    <cfRule type="cellIs" dxfId="5824" priority="11" operator="lessThan">
      <formula>3.5</formula>
    </cfRule>
    <cfRule type="cellIs" dxfId="5823" priority="12" operator="greaterThan">
      <formula>6</formula>
    </cfRule>
  </conditionalFormatting>
  <conditionalFormatting sqref="H9:H39">
    <cfRule type="cellIs" dxfId="5822" priority="7" operator="between">
      <formula>3.5</formula>
      <formula>6</formula>
    </cfRule>
    <cfRule type="cellIs" dxfId="5821" priority="8" operator="lessThan">
      <formula>3.5</formula>
    </cfRule>
    <cfRule type="cellIs" dxfId="5820" priority="9" operator="greaterThan">
      <formula>6</formula>
    </cfRule>
  </conditionalFormatting>
  <conditionalFormatting sqref="H9:H39">
    <cfRule type="cellIs" dxfId="5819" priority="4" operator="between">
      <formula>3.5</formula>
      <formula>6</formula>
    </cfRule>
    <cfRule type="cellIs" dxfId="5818" priority="5" operator="lessThan">
      <formula>3.5</formula>
    </cfRule>
    <cfRule type="cellIs" dxfId="5817" priority="6" operator="greaterThan">
      <formula>6</formula>
    </cfRule>
  </conditionalFormatting>
  <conditionalFormatting sqref="H9:H39">
    <cfRule type="cellIs" dxfId="5816" priority="1" operator="between">
      <formula>3.5</formula>
      <formula>6</formula>
    </cfRule>
    <cfRule type="cellIs" dxfId="5815" priority="2" operator="lessThan">
      <formula>3.5</formula>
    </cfRule>
    <cfRule type="cellIs" dxfId="5814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49"/>
  <sheetViews>
    <sheetView zoomScale="90" zoomScaleNormal="90" workbookViewId="0">
      <pane ySplit="8" topLeftCell="A27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990"/>
      <c r="K3" s="990"/>
      <c r="M3" s="442"/>
      <c r="N3" s="442"/>
      <c r="O3" s="442"/>
    </row>
    <row r="4" spans="1:26" s="995" customFormat="1" ht="12" customHeight="1">
      <c r="A4" s="1648" t="s">
        <v>33</v>
      </c>
      <c r="B4" s="1648"/>
      <c r="C4" s="551" t="str">
        <f>H4</f>
        <v xml:space="preserve">VỎ PHẾ 40x60-HA giấy nâu </v>
      </c>
      <c r="E4" s="549" t="s">
        <v>228</v>
      </c>
      <c r="F4" s="549" t="s">
        <v>235</v>
      </c>
      <c r="G4" s="550" t="s">
        <v>114</v>
      </c>
      <c r="H4" s="551" t="s">
        <v>874</v>
      </c>
      <c r="L4" s="143"/>
    </row>
    <row r="5" spans="1:26" s="995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995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992" t="s">
        <v>2</v>
      </c>
      <c r="B7" s="994" t="s">
        <v>1</v>
      </c>
      <c r="C7" s="994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991" t="s">
        <v>30</v>
      </c>
      <c r="I7" s="697" t="s">
        <v>341</v>
      </c>
      <c r="J7" s="697" t="s">
        <v>244</v>
      </c>
      <c r="K7" s="697" t="s">
        <v>344</v>
      </c>
      <c r="L7" s="143" t="s">
        <v>354</v>
      </c>
    </row>
    <row r="8" spans="1:26" s="305" customFormat="1" ht="12" customHeight="1">
      <c r="A8" s="1650" t="s">
        <v>3</v>
      </c>
      <c r="B8" s="1651"/>
      <c r="C8" s="1652"/>
      <c r="D8" s="771">
        <f>G8</f>
        <v>9080</v>
      </c>
      <c r="E8" s="771"/>
      <c r="F8" s="771"/>
      <c r="G8" s="774">
        <v>9080</v>
      </c>
      <c r="H8" s="450"/>
      <c r="I8" s="772"/>
      <c r="J8" s="772"/>
      <c r="K8" s="772"/>
      <c r="L8" s="143"/>
      <c r="M8" s="305">
        <v>5.3</v>
      </c>
    </row>
    <row r="9" spans="1:26" s="305" customFormat="1" ht="12" customHeight="1">
      <c r="A9" s="993">
        <v>1</v>
      </c>
      <c r="B9" s="365">
        <f>'FRIT HGE91-FHG'!B9</f>
        <v>46235</v>
      </c>
      <c r="C9" s="331" t="s">
        <v>348</v>
      </c>
      <c r="D9" s="396"/>
      <c r="E9" s="396">
        <f>I9+J9+K9+L9</f>
        <v>0</v>
      </c>
      <c r="F9" s="396">
        <f>15700/1.44</f>
        <v>10902.777777777777</v>
      </c>
      <c r="G9" s="396">
        <f>G8+D9-E9</f>
        <v>9080</v>
      </c>
      <c r="H9" s="451">
        <f>G9/F9</f>
        <v>0.8328152866242039</v>
      </c>
      <c r="I9" s="767"/>
      <c r="J9" s="767"/>
      <c r="K9" s="767"/>
      <c r="L9" s="650"/>
      <c r="M9" s="305">
        <f>G9/$M$8</f>
        <v>1713.2075471698113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0">I10+J10+K10+L10</f>
        <v>0</v>
      </c>
      <c r="F10" s="396">
        <f>$F$9</f>
        <v>10902.777777777777</v>
      </c>
      <c r="G10" s="396">
        <f t="shared" ref="G10:G39" si="1">G9+D10-E10</f>
        <v>9080</v>
      </c>
      <c r="H10" s="451">
        <f t="shared" ref="H10:H39" si="2">G10/F10</f>
        <v>0.8328152866242039</v>
      </c>
      <c r="I10" s="767"/>
      <c r="J10" s="767"/>
      <c r="K10" s="767"/>
      <c r="L10" s="650"/>
      <c r="M10" s="333">
        <f t="shared" ref="M10:M39" si="3">G10/$M$8</f>
        <v>1713.2075471698113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0"/>
        <v>0</v>
      </c>
      <c r="F11" s="396">
        <f>$F$9</f>
        <v>10902.777777777777</v>
      </c>
      <c r="G11" s="396">
        <f t="shared" si="1"/>
        <v>9080</v>
      </c>
      <c r="H11" s="451">
        <f t="shared" si="2"/>
        <v>0.8328152866242039</v>
      </c>
      <c r="I11" s="767"/>
      <c r="J11" s="767"/>
      <c r="K11" s="767"/>
      <c r="L11" s="650"/>
      <c r="M11" s="333">
        <f t="shared" si="3"/>
        <v>1713.2075471698113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0"/>
        <v>0</v>
      </c>
      <c r="F12" s="396">
        <f t="shared" ref="F12:F39" si="4">$F$9</f>
        <v>10902.777777777777</v>
      </c>
      <c r="G12" s="396">
        <f t="shared" si="1"/>
        <v>9080</v>
      </c>
      <c r="H12" s="451">
        <f t="shared" si="2"/>
        <v>0.8328152866242039</v>
      </c>
      <c r="I12" s="767"/>
      <c r="J12" s="767"/>
      <c r="K12" s="767"/>
      <c r="L12" s="650"/>
      <c r="M12" s="367">
        <f t="shared" si="3"/>
        <v>1713.2075471698113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768"/>
      <c r="E13" s="396">
        <f t="shared" si="0"/>
        <v>0</v>
      </c>
      <c r="F13" s="396">
        <f t="shared" si="4"/>
        <v>10902.777777777777</v>
      </c>
      <c r="G13" s="769">
        <f t="shared" si="1"/>
        <v>9080</v>
      </c>
      <c r="H13" s="451">
        <f t="shared" si="2"/>
        <v>0.8328152866242039</v>
      </c>
      <c r="I13" s="767"/>
      <c r="J13" s="767"/>
      <c r="K13" s="767"/>
      <c r="L13" s="650"/>
      <c r="M13" s="367">
        <f t="shared" si="3"/>
        <v>1713.2075471698113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0"/>
        <v>0</v>
      </c>
      <c r="F14" s="396">
        <f t="shared" si="4"/>
        <v>10902.777777777777</v>
      </c>
      <c r="G14" s="396">
        <f t="shared" si="1"/>
        <v>9080</v>
      </c>
      <c r="H14" s="451">
        <f t="shared" si="2"/>
        <v>0.8328152866242039</v>
      </c>
      <c r="I14" s="767"/>
      <c r="J14" s="767"/>
      <c r="K14" s="767"/>
      <c r="L14" s="650"/>
      <c r="M14" s="367">
        <f t="shared" si="3"/>
        <v>1713.2075471698113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0"/>
        <v>0</v>
      </c>
      <c r="F15" s="396">
        <f t="shared" si="4"/>
        <v>10902.777777777777</v>
      </c>
      <c r="G15" s="396">
        <f t="shared" si="1"/>
        <v>9080</v>
      </c>
      <c r="H15" s="451">
        <f t="shared" si="2"/>
        <v>0.8328152866242039</v>
      </c>
      <c r="I15" s="767"/>
      <c r="J15" s="767"/>
      <c r="K15" s="767"/>
      <c r="L15" s="650"/>
      <c r="M15" s="367">
        <f t="shared" si="3"/>
        <v>1713.2075471698113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0"/>
        <v>0</v>
      </c>
      <c r="F16" s="396">
        <f t="shared" si="4"/>
        <v>10902.777777777777</v>
      </c>
      <c r="G16" s="396">
        <f t="shared" si="1"/>
        <v>9080</v>
      </c>
      <c r="H16" s="451">
        <f t="shared" si="2"/>
        <v>0.8328152866242039</v>
      </c>
      <c r="I16" s="767"/>
      <c r="J16" s="767"/>
      <c r="K16" s="767"/>
      <c r="L16" s="650"/>
      <c r="M16" s="367">
        <f t="shared" si="3"/>
        <v>1713.2075471698113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0"/>
        <v>0</v>
      </c>
      <c r="F17" s="396">
        <f t="shared" si="4"/>
        <v>10902.777777777777</v>
      </c>
      <c r="G17" s="396">
        <f t="shared" si="1"/>
        <v>9080</v>
      </c>
      <c r="H17" s="451">
        <f t="shared" si="2"/>
        <v>0.8328152866242039</v>
      </c>
      <c r="I17" s="767"/>
      <c r="J17" s="767"/>
      <c r="K17" s="767"/>
      <c r="L17" s="650"/>
      <c r="M17" s="367">
        <f t="shared" si="3"/>
        <v>1713.2075471698113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0"/>
        <v>0</v>
      </c>
      <c r="F18" s="396">
        <f t="shared" si="4"/>
        <v>10902.777777777777</v>
      </c>
      <c r="G18" s="769">
        <f t="shared" si="1"/>
        <v>9080</v>
      </c>
      <c r="H18" s="451">
        <f t="shared" si="2"/>
        <v>0.8328152866242039</v>
      </c>
      <c r="I18" s="767"/>
      <c r="J18" s="767"/>
      <c r="K18" s="767"/>
      <c r="L18" s="650"/>
      <c r="M18" s="367">
        <f t="shared" si="3"/>
        <v>1713.2075471698113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0"/>
        <v>0</v>
      </c>
      <c r="F19" s="396">
        <f t="shared" si="4"/>
        <v>10902.777777777777</v>
      </c>
      <c r="G19" s="396">
        <f t="shared" si="1"/>
        <v>9080</v>
      </c>
      <c r="H19" s="451">
        <f t="shared" si="2"/>
        <v>0.8328152866242039</v>
      </c>
      <c r="I19" s="767"/>
      <c r="J19" s="767"/>
      <c r="K19" s="767"/>
      <c r="L19" s="650"/>
      <c r="M19" s="367">
        <f t="shared" si="3"/>
        <v>1713.2075471698113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0"/>
        <v>0</v>
      </c>
      <c r="F20" s="396">
        <f t="shared" si="4"/>
        <v>10902.777777777777</v>
      </c>
      <c r="G20" s="396">
        <f t="shared" si="1"/>
        <v>9080</v>
      </c>
      <c r="H20" s="451">
        <f t="shared" si="2"/>
        <v>0.8328152866242039</v>
      </c>
      <c r="I20" s="767"/>
      <c r="J20" s="767"/>
      <c r="K20" s="767"/>
      <c r="L20" s="650"/>
      <c r="M20" s="367">
        <f t="shared" si="3"/>
        <v>1713.2075471698113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0"/>
        <v>0</v>
      </c>
      <c r="F21" s="396">
        <f t="shared" si="4"/>
        <v>10902.777777777777</v>
      </c>
      <c r="G21" s="396">
        <f t="shared" si="1"/>
        <v>9080</v>
      </c>
      <c r="H21" s="451">
        <f t="shared" si="2"/>
        <v>0.8328152866242039</v>
      </c>
      <c r="I21" s="767"/>
      <c r="J21" s="767"/>
      <c r="K21" s="767"/>
      <c r="L21" s="650"/>
      <c r="M21" s="367">
        <f t="shared" si="3"/>
        <v>1713.2075471698113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0"/>
        <v>0</v>
      </c>
      <c r="F22" s="396">
        <f t="shared" si="4"/>
        <v>10902.777777777777</v>
      </c>
      <c r="G22" s="396">
        <f t="shared" si="1"/>
        <v>9080</v>
      </c>
      <c r="H22" s="451">
        <f t="shared" si="2"/>
        <v>0.8328152866242039</v>
      </c>
      <c r="I22" s="767"/>
      <c r="J22" s="767"/>
      <c r="K22" s="767"/>
      <c r="L22" s="650"/>
      <c r="M22" s="367">
        <f t="shared" si="3"/>
        <v>1713.2075471698113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0"/>
        <v>0</v>
      </c>
      <c r="F23" s="396">
        <f t="shared" si="4"/>
        <v>10902.777777777777</v>
      </c>
      <c r="G23" s="769">
        <f t="shared" si="1"/>
        <v>9080</v>
      </c>
      <c r="H23" s="451">
        <f t="shared" si="2"/>
        <v>0.8328152866242039</v>
      </c>
      <c r="I23" s="767"/>
      <c r="J23" s="767"/>
      <c r="K23" s="767"/>
      <c r="L23" s="650"/>
      <c r="M23" s="367">
        <f t="shared" si="3"/>
        <v>1713.2075471698113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0"/>
        <v>0</v>
      </c>
      <c r="F24" s="396">
        <f t="shared" si="4"/>
        <v>10902.777777777777</v>
      </c>
      <c r="G24" s="396">
        <f t="shared" si="1"/>
        <v>9080</v>
      </c>
      <c r="H24" s="451">
        <f t="shared" si="2"/>
        <v>0.8328152866242039</v>
      </c>
      <c r="I24" s="767"/>
      <c r="J24" s="767"/>
      <c r="K24" s="767"/>
      <c r="L24" s="650"/>
      <c r="M24" s="367">
        <f t="shared" si="3"/>
        <v>1713.2075471698113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0"/>
        <v>0</v>
      </c>
      <c r="F25" s="396">
        <f t="shared" si="4"/>
        <v>10902.777777777777</v>
      </c>
      <c r="G25" s="396">
        <f t="shared" si="1"/>
        <v>9080</v>
      </c>
      <c r="H25" s="451">
        <f t="shared" si="2"/>
        <v>0.8328152866242039</v>
      </c>
      <c r="I25" s="767"/>
      <c r="J25" s="767"/>
      <c r="K25" s="767"/>
      <c r="L25" s="650"/>
      <c r="M25" s="367">
        <f t="shared" si="3"/>
        <v>1713.2075471698113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0"/>
        <v>0</v>
      </c>
      <c r="F26" s="396">
        <f t="shared" si="4"/>
        <v>10902.777777777777</v>
      </c>
      <c r="G26" s="396">
        <f t="shared" si="1"/>
        <v>9080</v>
      </c>
      <c r="H26" s="451">
        <f t="shared" si="2"/>
        <v>0.8328152866242039</v>
      </c>
      <c r="I26" s="767"/>
      <c r="J26" s="767"/>
      <c r="K26" s="767"/>
      <c r="L26" s="650"/>
      <c r="M26" s="367">
        <f t="shared" si="3"/>
        <v>1713.2075471698113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0"/>
        <v>0</v>
      </c>
      <c r="F27" s="396">
        <f t="shared" si="4"/>
        <v>10902.777777777777</v>
      </c>
      <c r="G27" s="396">
        <f t="shared" si="1"/>
        <v>9080</v>
      </c>
      <c r="H27" s="451">
        <f t="shared" si="2"/>
        <v>0.8328152866242039</v>
      </c>
      <c r="I27" s="767"/>
      <c r="J27" s="767"/>
      <c r="K27" s="767"/>
      <c r="L27" s="650"/>
      <c r="M27" s="367">
        <f t="shared" si="3"/>
        <v>1713.2075471698113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0"/>
        <v>0</v>
      </c>
      <c r="F28" s="396">
        <f t="shared" si="4"/>
        <v>10902.777777777777</v>
      </c>
      <c r="G28" s="769">
        <f t="shared" si="1"/>
        <v>9080</v>
      </c>
      <c r="H28" s="451">
        <f t="shared" si="2"/>
        <v>0.8328152866242039</v>
      </c>
      <c r="I28" s="767"/>
      <c r="J28" s="767"/>
      <c r="K28" s="767"/>
      <c r="L28" s="650"/>
      <c r="M28" s="367">
        <f t="shared" si="3"/>
        <v>1713.2075471698113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0"/>
        <v>0</v>
      </c>
      <c r="F29" s="396">
        <f t="shared" si="4"/>
        <v>10902.777777777777</v>
      </c>
      <c r="G29" s="393">
        <f t="shared" si="1"/>
        <v>9080</v>
      </c>
      <c r="H29" s="451">
        <f t="shared" si="2"/>
        <v>0.8328152866242039</v>
      </c>
      <c r="I29" s="767"/>
      <c r="J29" s="767"/>
      <c r="K29" s="767"/>
      <c r="L29" s="650"/>
      <c r="M29" s="367">
        <f t="shared" si="3"/>
        <v>1713.2075471698113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0"/>
        <v>0</v>
      </c>
      <c r="F30" s="396">
        <f t="shared" si="4"/>
        <v>10902.777777777777</v>
      </c>
      <c r="G30" s="393">
        <f t="shared" si="1"/>
        <v>9080</v>
      </c>
      <c r="H30" s="451">
        <f t="shared" si="2"/>
        <v>0.8328152866242039</v>
      </c>
      <c r="I30" s="767"/>
      <c r="J30" s="767"/>
      <c r="K30" s="767"/>
      <c r="L30" s="650"/>
      <c r="M30" s="367">
        <f t="shared" si="3"/>
        <v>1713.2075471698113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0"/>
        <v>0</v>
      </c>
      <c r="F31" s="396">
        <f t="shared" si="4"/>
        <v>10902.777777777777</v>
      </c>
      <c r="G31" s="393">
        <f t="shared" si="1"/>
        <v>9080</v>
      </c>
      <c r="H31" s="451">
        <f t="shared" si="2"/>
        <v>0.8328152866242039</v>
      </c>
      <c r="I31" s="767"/>
      <c r="J31" s="767"/>
      <c r="K31" s="767"/>
      <c r="L31" s="650"/>
      <c r="M31" s="367">
        <f t="shared" si="3"/>
        <v>1713.2075471698113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0"/>
        <v>0</v>
      </c>
      <c r="F32" s="396">
        <f t="shared" si="4"/>
        <v>10902.777777777777</v>
      </c>
      <c r="G32" s="393">
        <f t="shared" si="1"/>
        <v>9080</v>
      </c>
      <c r="H32" s="451">
        <f t="shared" si="2"/>
        <v>0.8328152866242039</v>
      </c>
      <c r="I32" s="767"/>
      <c r="J32" s="767"/>
      <c r="K32" s="767"/>
      <c r="L32" s="650"/>
      <c r="M32" s="367">
        <f t="shared" si="3"/>
        <v>1713.2075471698113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0"/>
        <v>0</v>
      </c>
      <c r="F33" s="396">
        <f t="shared" si="4"/>
        <v>10902.777777777777</v>
      </c>
      <c r="G33" s="770">
        <f t="shared" si="1"/>
        <v>9080</v>
      </c>
      <c r="H33" s="451">
        <f t="shared" si="2"/>
        <v>0.8328152866242039</v>
      </c>
      <c r="I33" s="767"/>
      <c r="J33" s="767"/>
      <c r="K33" s="767"/>
      <c r="L33" s="650"/>
      <c r="M33" s="367">
        <f t="shared" si="3"/>
        <v>1713.2075471698113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0"/>
        <v>0</v>
      </c>
      <c r="F34" s="396">
        <f t="shared" si="4"/>
        <v>10902.777777777777</v>
      </c>
      <c r="G34" s="396">
        <f t="shared" si="1"/>
        <v>9080</v>
      </c>
      <c r="H34" s="451">
        <f t="shared" si="2"/>
        <v>0.8328152866242039</v>
      </c>
      <c r="I34" s="767"/>
      <c r="J34" s="767"/>
      <c r="K34" s="767"/>
      <c r="L34" s="650"/>
      <c r="M34" s="367">
        <f t="shared" si="3"/>
        <v>1713.2075471698113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0"/>
        <v>0</v>
      </c>
      <c r="F35" s="396">
        <f t="shared" si="4"/>
        <v>10902.777777777777</v>
      </c>
      <c r="G35" s="396">
        <f t="shared" si="1"/>
        <v>9080</v>
      </c>
      <c r="H35" s="451">
        <f t="shared" si="2"/>
        <v>0.8328152866242039</v>
      </c>
      <c r="I35" s="767"/>
      <c r="J35" s="767"/>
      <c r="K35" s="767"/>
      <c r="L35" s="650"/>
      <c r="M35" s="367">
        <f t="shared" si="3"/>
        <v>1713.2075471698113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0"/>
        <v>0</v>
      </c>
      <c r="F36" s="396">
        <f t="shared" si="4"/>
        <v>10902.777777777777</v>
      </c>
      <c r="G36" s="396">
        <f t="shared" si="1"/>
        <v>9080</v>
      </c>
      <c r="H36" s="451">
        <f t="shared" si="2"/>
        <v>0.8328152866242039</v>
      </c>
      <c r="I36" s="767"/>
      <c r="J36" s="767"/>
      <c r="K36" s="767"/>
      <c r="L36" s="650"/>
      <c r="M36" s="367">
        <f t="shared" si="3"/>
        <v>1713.2075471698113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0"/>
        <v>0</v>
      </c>
      <c r="F37" s="396">
        <f t="shared" si="4"/>
        <v>10902.777777777777</v>
      </c>
      <c r="G37" s="396">
        <f t="shared" si="1"/>
        <v>9080</v>
      </c>
      <c r="H37" s="451">
        <f t="shared" si="2"/>
        <v>0.8328152866242039</v>
      </c>
      <c r="I37" s="767"/>
      <c r="J37" s="767"/>
      <c r="K37" s="767"/>
      <c r="L37" s="650"/>
      <c r="M37" s="367">
        <f t="shared" si="3"/>
        <v>1713.2075471698113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0"/>
        <v>0</v>
      </c>
      <c r="F38" s="396">
        <f t="shared" si="4"/>
        <v>10902.777777777777</v>
      </c>
      <c r="G38" s="769">
        <f t="shared" si="1"/>
        <v>9080</v>
      </c>
      <c r="H38" s="451">
        <f t="shared" si="2"/>
        <v>0.8328152866242039</v>
      </c>
      <c r="I38" s="767"/>
      <c r="J38" s="767"/>
      <c r="K38" s="767"/>
      <c r="L38" s="650"/>
      <c r="M38" s="367">
        <f t="shared" si="3"/>
        <v>1713.2075471698113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0"/>
        <v>0</v>
      </c>
      <c r="F39" s="396">
        <f t="shared" si="4"/>
        <v>10902.777777777777</v>
      </c>
      <c r="G39" s="396">
        <f t="shared" si="1"/>
        <v>9080</v>
      </c>
      <c r="H39" s="451">
        <f t="shared" si="2"/>
        <v>0.8328152866242039</v>
      </c>
      <c r="I39" s="767"/>
      <c r="J39" s="767"/>
      <c r="K39" s="767"/>
      <c r="L39" s="650"/>
      <c r="M39" s="367">
        <f t="shared" si="3"/>
        <v>1713.2075471698113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9080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  <c r="L40" s="374">
        <f>SUM(L9:L39)</f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9080</v>
      </c>
      <c r="E41" s="389">
        <f>E40</f>
        <v>0</v>
      </c>
      <c r="F41" s="449"/>
      <c r="G41" s="389">
        <f>D41-E41</f>
        <v>9080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5813" priority="22" operator="between">
      <formula>3.5</formula>
      <formula>6</formula>
    </cfRule>
    <cfRule type="cellIs" dxfId="5812" priority="23" operator="lessThan">
      <formula>3.5</formula>
    </cfRule>
    <cfRule type="cellIs" dxfId="5811" priority="24" operator="greaterThan">
      <formula>6</formula>
    </cfRule>
  </conditionalFormatting>
  <conditionalFormatting sqref="H9:H39">
    <cfRule type="cellIs" dxfId="5810" priority="19" operator="between">
      <formula>3.5</formula>
      <formula>6</formula>
    </cfRule>
    <cfRule type="cellIs" dxfId="5809" priority="20" operator="lessThan">
      <formula>3.5</formula>
    </cfRule>
    <cfRule type="cellIs" dxfId="5808" priority="21" operator="greaterThan">
      <formula>6</formula>
    </cfRule>
  </conditionalFormatting>
  <conditionalFormatting sqref="H9:H39">
    <cfRule type="cellIs" dxfId="5807" priority="16" operator="between">
      <formula>3.5</formula>
      <formula>6</formula>
    </cfRule>
    <cfRule type="cellIs" dxfId="5806" priority="17" operator="lessThan">
      <formula>3.5</formula>
    </cfRule>
    <cfRule type="cellIs" dxfId="5805" priority="18" operator="greaterThan">
      <formula>6</formula>
    </cfRule>
  </conditionalFormatting>
  <conditionalFormatting sqref="H9:H39">
    <cfRule type="cellIs" dxfId="5804" priority="13" operator="between">
      <formula>3.5</formula>
      <formula>6</formula>
    </cfRule>
    <cfRule type="cellIs" dxfId="5803" priority="14" operator="lessThan">
      <formula>3.5</formula>
    </cfRule>
    <cfRule type="cellIs" dxfId="5802" priority="15" operator="greaterThan">
      <formula>6</formula>
    </cfRule>
  </conditionalFormatting>
  <conditionalFormatting sqref="H9:H39">
    <cfRule type="cellIs" dxfId="5801" priority="10" operator="between">
      <formula>3.5</formula>
      <formula>6</formula>
    </cfRule>
    <cfRule type="cellIs" dxfId="5800" priority="11" operator="lessThan">
      <formula>3.5</formula>
    </cfRule>
    <cfRule type="cellIs" dxfId="5799" priority="12" operator="greaterThan">
      <formula>6</formula>
    </cfRule>
  </conditionalFormatting>
  <conditionalFormatting sqref="H9:H39">
    <cfRule type="cellIs" dxfId="5798" priority="7" operator="between">
      <formula>3.5</formula>
      <formula>6</formula>
    </cfRule>
    <cfRule type="cellIs" dxfId="5797" priority="8" operator="lessThan">
      <formula>3.5</formula>
    </cfRule>
    <cfRule type="cellIs" dxfId="5796" priority="9" operator="greaterThan">
      <formula>6</formula>
    </cfRule>
  </conditionalFormatting>
  <conditionalFormatting sqref="H9:H39">
    <cfRule type="cellIs" dxfId="5795" priority="4" operator="between">
      <formula>3.5</formula>
      <formula>6</formula>
    </cfRule>
    <cfRule type="cellIs" dxfId="5794" priority="5" operator="lessThan">
      <formula>3.5</formula>
    </cfRule>
    <cfRule type="cellIs" dxfId="5793" priority="6" operator="greaterThan">
      <formula>6</formula>
    </cfRule>
  </conditionalFormatting>
  <conditionalFormatting sqref="H9:H39">
    <cfRule type="cellIs" dxfId="5792" priority="1" operator="between">
      <formula>3.5</formula>
      <formula>6</formula>
    </cfRule>
    <cfRule type="cellIs" dxfId="5791" priority="2" operator="lessThan">
      <formula>3.5</formula>
    </cfRule>
    <cfRule type="cellIs" dxfId="5790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49"/>
  <sheetViews>
    <sheetView zoomScale="90" zoomScaleNormal="90" workbookViewId="0">
      <pane ySplit="8" topLeftCell="A18" activePane="bottomLeft" state="frozen"/>
      <selection pane="bottomLeft" activeCell="J17" sqref="J17:J22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42578125" style="42" customWidth="1"/>
    <col min="4" max="6" width="17.140625" style="6" customWidth="1"/>
    <col min="7" max="7" width="14.42578125" style="6" customWidth="1"/>
    <col min="8" max="8" width="15.42578125" style="42" customWidth="1"/>
    <col min="9" max="11" width="8.7109375" style="42" customWidth="1"/>
    <col min="12" max="12" width="11.5703125" style="143" bestFit="1" customWidth="1"/>
    <col min="13" max="15" width="7.5703125" style="42" customWidth="1"/>
    <col min="16" max="16384" width="9.28515625" style="42"/>
  </cols>
  <sheetData>
    <row r="1" spans="1:26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125"/>
      <c r="K3" s="1125"/>
      <c r="M3" s="442"/>
      <c r="N3" s="442"/>
      <c r="O3" s="442"/>
    </row>
    <row r="4" spans="1:26" s="1134" customFormat="1" ht="12" customHeight="1">
      <c r="A4" s="1648" t="s">
        <v>33</v>
      </c>
      <c r="B4" s="1648"/>
      <c r="C4" s="551" t="str">
        <f>H4</f>
        <v xml:space="preserve">VỎ PHẾ 60x60-HA giấy nâu </v>
      </c>
      <c r="E4" s="549" t="s">
        <v>228</v>
      </c>
      <c r="F4" s="549" t="s">
        <v>235</v>
      </c>
      <c r="G4" s="550" t="s">
        <v>114</v>
      </c>
      <c r="H4" s="551" t="s">
        <v>927</v>
      </c>
      <c r="L4" s="143"/>
    </row>
    <row r="5" spans="1:26" s="1134" customFormat="1" ht="12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143"/>
    </row>
    <row r="6" spans="1:26" s="1134" customFormat="1" ht="12" customHeight="1">
      <c r="B6" s="453"/>
      <c r="C6" s="453"/>
      <c r="D6" s="453"/>
      <c r="E6" s="453"/>
      <c r="F6" s="453"/>
      <c r="G6" s="453"/>
      <c r="H6" s="508" t="s">
        <v>293</v>
      </c>
      <c r="I6" s="375" t="s">
        <v>149</v>
      </c>
      <c r="J6" s="324"/>
      <c r="K6" s="324"/>
      <c r="L6" s="442"/>
    </row>
    <row r="7" spans="1:26" s="305" customFormat="1" ht="28.5" customHeight="1">
      <c r="A7" s="1128" t="s">
        <v>2</v>
      </c>
      <c r="B7" s="1130" t="s">
        <v>1</v>
      </c>
      <c r="C7" s="1130" t="s">
        <v>24</v>
      </c>
      <c r="D7" s="773" t="s">
        <v>250</v>
      </c>
      <c r="E7" s="773" t="s">
        <v>249</v>
      </c>
      <c r="F7" s="773" t="s">
        <v>265</v>
      </c>
      <c r="G7" s="773" t="s">
        <v>253</v>
      </c>
      <c r="H7" s="1127" t="s">
        <v>30</v>
      </c>
      <c r="I7" s="697" t="s">
        <v>341</v>
      </c>
      <c r="J7" s="697" t="s">
        <v>244</v>
      </c>
      <c r="K7" s="697" t="s">
        <v>344</v>
      </c>
      <c r="L7" s="143" t="s">
        <v>354</v>
      </c>
    </row>
    <row r="8" spans="1:26" s="305" customFormat="1" ht="12" customHeight="1">
      <c r="A8" s="1650" t="s">
        <v>3</v>
      </c>
      <c r="B8" s="1651"/>
      <c r="C8" s="1652"/>
      <c r="D8" s="771">
        <f>G8</f>
        <v>1530</v>
      </c>
      <c r="E8" s="771"/>
      <c r="F8" s="771"/>
      <c r="G8" s="774">
        <v>1530</v>
      </c>
      <c r="H8" s="450"/>
      <c r="I8" s="772"/>
      <c r="J8" s="772"/>
      <c r="K8" s="772"/>
      <c r="L8" s="143"/>
      <c r="M8" s="305">
        <v>5.3</v>
      </c>
    </row>
    <row r="9" spans="1:26" s="305" customFormat="1" ht="12" customHeight="1">
      <c r="A9" s="1129">
        <v>1</v>
      </c>
      <c r="B9" s="365">
        <f>'FRIT HGE91-FHG'!B9</f>
        <v>46235</v>
      </c>
      <c r="C9" s="331" t="s">
        <v>348</v>
      </c>
      <c r="D9" s="396"/>
      <c r="E9" s="396">
        <f>I9+J9+K9+L9</f>
        <v>0</v>
      </c>
      <c r="F9" s="396">
        <f>15700/1.44</f>
        <v>10902.777777777777</v>
      </c>
      <c r="G9" s="396">
        <f>G8+D9-E9</f>
        <v>1530</v>
      </c>
      <c r="H9" s="451">
        <f>G9/F9</f>
        <v>0.1403312101910828</v>
      </c>
      <c r="I9" s="767"/>
      <c r="J9" s="772"/>
      <c r="K9" s="767"/>
      <c r="L9" s="650"/>
      <c r="M9" s="305">
        <f>G9/$M$8</f>
        <v>288.67924528301887</v>
      </c>
    </row>
    <row r="10" spans="1:26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96"/>
      <c r="E10" s="396">
        <f t="shared" ref="E10:E39" si="0">I10+J10+K10+L10</f>
        <v>0</v>
      </c>
      <c r="F10" s="396">
        <f>$F$9</f>
        <v>10902.777777777777</v>
      </c>
      <c r="G10" s="396">
        <f t="shared" ref="G10:G39" si="1">G9+D10-E10</f>
        <v>1530</v>
      </c>
      <c r="H10" s="451">
        <f t="shared" ref="H10:H39" si="2">G10/F10</f>
        <v>0.1403312101910828</v>
      </c>
      <c r="I10" s="767"/>
      <c r="J10" s="772"/>
      <c r="K10" s="767"/>
      <c r="L10" s="650"/>
      <c r="M10" s="333">
        <f t="shared" ref="M10:M39" si="3">G10/$M$8</f>
        <v>288.67924528301887</v>
      </c>
    </row>
    <row r="11" spans="1:26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96"/>
      <c r="E11" s="396">
        <f t="shared" si="0"/>
        <v>0</v>
      </c>
      <c r="F11" s="396">
        <f>$F$9</f>
        <v>10902.777777777777</v>
      </c>
      <c r="G11" s="396">
        <f t="shared" si="1"/>
        <v>1530</v>
      </c>
      <c r="H11" s="451">
        <f t="shared" si="2"/>
        <v>0.1403312101910828</v>
      </c>
      <c r="I11" s="767"/>
      <c r="J11" s="772"/>
      <c r="K11" s="767"/>
      <c r="L11" s="650"/>
      <c r="M11" s="333">
        <f t="shared" si="3"/>
        <v>288.67924528301887</v>
      </c>
    </row>
    <row r="12" spans="1:26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96"/>
      <c r="E12" s="396">
        <f t="shared" si="0"/>
        <v>0</v>
      </c>
      <c r="F12" s="396">
        <f t="shared" ref="F12:F39" si="4">$F$9</f>
        <v>10902.777777777777</v>
      </c>
      <c r="G12" s="396">
        <f t="shared" si="1"/>
        <v>1530</v>
      </c>
      <c r="H12" s="451">
        <f t="shared" si="2"/>
        <v>0.1403312101910828</v>
      </c>
      <c r="I12" s="767"/>
      <c r="J12" s="772"/>
      <c r="K12" s="767"/>
      <c r="L12" s="650"/>
      <c r="M12" s="367">
        <f t="shared" si="3"/>
        <v>288.67924528301887</v>
      </c>
    </row>
    <row r="13" spans="1:26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768"/>
      <c r="E13" s="396">
        <f t="shared" si="0"/>
        <v>0</v>
      </c>
      <c r="F13" s="396">
        <f t="shared" si="4"/>
        <v>10902.777777777777</v>
      </c>
      <c r="G13" s="769">
        <f t="shared" si="1"/>
        <v>1530</v>
      </c>
      <c r="H13" s="451">
        <f t="shared" si="2"/>
        <v>0.1403312101910828</v>
      </c>
      <c r="I13" s="767"/>
      <c r="J13" s="772"/>
      <c r="K13" s="767"/>
      <c r="L13" s="650"/>
      <c r="M13" s="367">
        <f t="shared" si="3"/>
        <v>288.67924528301887</v>
      </c>
    </row>
    <row r="14" spans="1:26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768"/>
      <c r="E14" s="396">
        <f t="shared" si="0"/>
        <v>0</v>
      </c>
      <c r="F14" s="396">
        <f t="shared" si="4"/>
        <v>10902.777777777777</v>
      </c>
      <c r="G14" s="396">
        <f t="shared" si="1"/>
        <v>1530</v>
      </c>
      <c r="H14" s="451">
        <f t="shared" si="2"/>
        <v>0.1403312101910828</v>
      </c>
      <c r="I14" s="767"/>
      <c r="J14" s="772"/>
      <c r="K14" s="767"/>
      <c r="L14" s="650"/>
      <c r="M14" s="367">
        <f t="shared" si="3"/>
        <v>288.67924528301887</v>
      </c>
    </row>
    <row r="15" spans="1:26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768"/>
      <c r="E15" s="396">
        <f t="shared" si="0"/>
        <v>0</v>
      </c>
      <c r="F15" s="396">
        <f t="shared" si="4"/>
        <v>10902.777777777777</v>
      </c>
      <c r="G15" s="396">
        <f t="shared" si="1"/>
        <v>1530</v>
      </c>
      <c r="H15" s="451">
        <f t="shared" si="2"/>
        <v>0.1403312101910828</v>
      </c>
      <c r="I15" s="767"/>
      <c r="J15" s="772"/>
      <c r="K15" s="767"/>
      <c r="L15" s="650"/>
      <c r="M15" s="367">
        <f t="shared" si="3"/>
        <v>288.67924528301887</v>
      </c>
    </row>
    <row r="16" spans="1:26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768"/>
      <c r="E16" s="396">
        <f t="shared" si="0"/>
        <v>0</v>
      </c>
      <c r="F16" s="396">
        <f t="shared" si="4"/>
        <v>10902.777777777777</v>
      </c>
      <c r="G16" s="396">
        <f t="shared" si="1"/>
        <v>1530</v>
      </c>
      <c r="H16" s="451">
        <f t="shared" si="2"/>
        <v>0.1403312101910828</v>
      </c>
      <c r="I16" s="767"/>
      <c r="J16" s="772"/>
      <c r="K16" s="767"/>
      <c r="L16" s="650"/>
      <c r="M16" s="367">
        <f t="shared" si="3"/>
        <v>288.67924528301887</v>
      </c>
    </row>
    <row r="17" spans="1:13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768"/>
      <c r="E17" s="396">
        <f t="shared" si="0"/>
        <v>0</v>
      </c>
      <c r="F17" s="396">
        <f t="shared" si="4"/>
        <v>10902.777777777777</v>
      </c>
      <c r="G17" s="396">
        <f t="shared" si="1"/>
        <v>1530</v>
      </c>
      <c r="H17" s="451">
        <f t="shared" si="2"/>
        <v>0.1403312101910828</v>
      </c>
      <c r="I17" s="767"/>
      <c r="J17" s="772"/>
      <c r="K17" s="767"/>
      <c r="L17" s="650"/>
      <c r="M17" s="367">
        <f t="shared" si="3"/>
        <v>288.67924528301887</v>
      </c>
    </row>
    <row r="18" spans="1:13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768"/>
      <c r="E18" s="396">
        <f t="shared" si="0"/>
        <v>0</v>
      </c>
      <c r="F18" s="396">
        <f t="shared" si="4"/>
        <v>10902.777777777777</v>
      </c>
      <c r="G18" s="769">
        <f t="shared" si="1"/>
        <v>1530</v>
      </c>
      <c r="H18" s="451">
        <f t="shared" si="2"/>
        <v>0.1403312101910828</v>
      </c>
      <c r="I18" s="767"/>
      <c r="J18" s="772"/>
      <c r="K18" s="767"/>
      <c r="L18" s="650"/>
      <c r="M18" s="367">
        <f t="shared" si="3"/>
        <v>288.67924528301887</v>
      </c>
    </row>
    <row r="19" spans="1:13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768"/>
      <c r="E19" s="396">
        <f t="shared" si="0"/>
        <v>0</v>
      </c>
      <c r="F19" s="396">
        <f t="shared" si="4"/>
        <v>10902.777777777777</v>
      </c>
      <c r="G19" s="396">
        <f t="shared" si="1"/>
        <v>1530</v>
      </c>
      <c r="H19" s="451">
        <f t="shared" si="2"/>
        <v>0.1403312101910828</v>
      </c>
      <c r="I19" s="767"/>
      <c r="J19" s="772"/>
      <c r="K19" s="767"/>
      <c r="L19" s="650"/>
      <c r="M19" s="367">
        <f t="shared" si="3"/>
        <v>288.67924528301887</v>
      </c>
    </row>
    <row r="20" spans="1:13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768"/>
      <c r="E20" s="396">
        <f t="shared" si="0"/>
        <v>0</v>
      </c>
      <c r="F20" s="396">
        <f t="shared" si="4"/>
        <v>10902.777777777777</v>
      </c>
      <c r="G20" s="396">
        <f t="shared" si="1"/>
        <v>1530</v>
      </c>
      <c r="H20" s="451">
        <f t="shared" si="2"/>
        <v>0.1403312101910828</v>
      </c>
      <c r="I20" s="767"/>
      <c r="J20" s="772"/>
      <c r="K20" s="767"/>
      <c r="L20" s="650"/>
      <c r="M20" s="367">
        <f t="shared" si="3"/>
        <v>288.67924528301887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768"/>
      <c r="E21" s="396">
        <f t="shared" si="0"/>
        <v>0</v>
      </c>
      <c r="F21" s="396">
        <f t="shared" si="4"/>
        <v>10902.777777777777</v>
      </c>
      <c r="G21" s="396">
        <f t="shared" si="1"/>
        <v>1530</v>
      </c>
      <c r="H21" s="451">
        <f t="shared" si="2"/>
        <v>0.1403312101910828</v>
      </c>
      <c r="I21" s="767"/>
      <c r="J21" s="772"/>
      <c r="K21" s="767"/>
      <c r="L21" s="650"/>
      <c r="M21" s="367">
        <f t="shared" si="3"/>
        <v>288.67924528301887</v>
      </c>
    </row>
    <row r="22" spans="1:13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768"/>
      <c r="E22" s="396">
        <f t="shared" si="0"/>
        <v>0</v>
      </c>
      <c r="F22" s="396">
        <f t="shared" si="4"/>
        <v>10902.777777777777</v>
      </c>
      <c r="G22" s="396">
        <f t="shared" si="1"/>
        <v>1530</v>
      </c>
      <c r="H22" s="451">
        <f t="shared" si="2"/>
        <v>0.1403312101910828</v>
      </c>
      <c r="I22" s="767"/>
      <c r="J22" s="772"/>
      <c r="K22" s="767"/>
      <c r="L22" s="650"/>
      <c r="M22" s="367">
        <f t="shared" si="3"/>
        <v>288.67924528301887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768"/>
      <c r="E23" s="396">
        <f t="shared" si="0"/>
        <v>0</v>
      </c>
      <c r="F23" s="396">
        <f t="shared" si="4"/>
        <v>10902.777777777777</v>
      </c>
      <c r="G23" s="769">
        <f t="shared" si="1"/>
        <v>1530</v>
      </c>
      <c r="H23" s="451">
        <f t="shared" si="2"/>
        <v>0.1403312101910828</v>
      </c>
      <c r="I23" s="767"/>
      <c r="J23" s="772"/>
      <c r="K23" s="767"/>
      <c r="L23" s="650"/>
      <c r="M23" s="367">
        <f t="shared" si="3"/>
        <v>288.67924528301887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768"/>
      <c r="E24" s="396">
        <f t="shared" si="0"/>
        <v>0</v>
      </c>
      <c r="F24" s="396">
        <f t="shared" si="4"/>
        <v>10902.777777777777</v>
      </c>
      <c r="G24" s="396">
        <f t="shared" si="1"/>
        <v>1530</v>
      </c>
      <c r="H24" s="451">
        <f t="shared" si="2"/>
        <v>0.1403312101910828</v>
      </c>
      <c r="I24" s="767"/>
      <c r="J24" s="772"/>
      <c r="K24" s="767"/>
      <c r="L24" s="650"/>
      <c r="M24" s="367">
        <f t="shared" si="3"/>
        <v>288.67924528301887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768"/>
      <c r="E25" s="396">
        <f t="shared" si="0"/>
        <v>0</v>
      </c>
      <c r="F25" s="396">
        <f t="shared" si="4"/>
        <v>10902.777777777777</v>
      </c>
      <c r="G25" s="396">
        <f t="shared" si="1"/>
        <v>1530</v>
      </c>
      <c r="H25" s="451">
        <f t="shared" si="2"/>
        <v>0.1403312101910828</v>
      </c>
      <c r="I25" s="767"/>
      <c r="J25" s="772"/>
      <c r="K25" s="767"/>
      <c r="L25" s="650"/>
      <c r="M25" s="367">
        <f t="shared" si="3"/>
        <v>288.67924528301887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768"/>
      <c r="E26" s="396">
        <f t="shared" si="0"/>
        <v>0</v>
      </c>
      <c r="F26" s="396">
        <f t="shared" si="4"/>
        <v>10902.777777777777</v>
      </c>
      <c r="G26" s="396">
        <f t="shared" si="1"/>
        <v>1530</v>
      </c>
      <c r="H26" s="451">
        <f t="shared" si="2"/>
        <v>0.1403312101910828</v>
      </c>
      <c r="I26" s="767"/>
      <c r="J26" s="772"/>
      <c r="K26" s="767"/>
      <c r="L26" s="650"/>
      <c r="M26" s="367">
        <f t="shared" si="3"/>
        <v>288.67924528301887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768"/>
      <c r="E27" s="396">
        <f t="shared" si="0"/>
        <v>0</v>
      </c>
      <c r="F27" s="396">
        <f t="shared" si="4"/>
        <v>10902.777777777777</v>
      </c>
      <c r="G27" s="396">
        <f t="shared" si="1"/>
        <v>1530</v>
      </c>
      <c r="H27" s="451">
        <f t="shared" si="2"/>
        <v>0.1403312101910828</v>
      </c>
      <c r="I27" s="767"/>
      <c r="J27" s="772"/>
      <c r="K27" s="767"/>
      <c r="L27" s="650"/>
      <c r="M27" s="367">
        <f t="shared" si="3"/>
        <v>288.67924528301887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768"/>
      <c r="E28" s="396">
        <f t="shared" si="0"/>
        <v>0</v>
      </c>
      <c r="F28" s="396">
        <f t="shared" si="4"/>
        <v>10902.777777777777</v>
      </c>
      <c r="G28" s="769">
        <f t="shared" si="1"/>
        <v>1530</v>
      </c>
      <c r="H28" s="451">
        <f t="shared" si="2"/>
        <v>0.1403312101910828</v>
      </c>
      <c r="I28" s="767"/>
      <c r="J28" s="772"/>
      <c r="K28" s="767"/>
      <c r="L28" s="650"/>
      <c r="M28" s="367">
        <f t="shared" si="3"/>
        <v>288.67924528301887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768"/>
      <c r="E29" s="396">
        <f t="shared" si="0"/>
        <v>0</v>
      </c>
      <c r="F29" s="396">
        <f t="shared" si="4"/>
        <v>10902.777777777777</v>
      </c>
      <c r="G29" s="393">
        <f t="shared" si="1"/>
        <v>1530</v>
      </c>
      <c r="H29" s="451">
        <f t="shared" si="2"/>
        <v>0.1403312101910828</v>
      </c>
      <c r="I29" s="767"/>
      <c r="J29" s="772"/>
      <c r="K29" s="767"/>
      <c r="L29" s="650"/>
      <c r="M29" s="367">
        <f t="shared" si="3"/>
        <v>288.67924528301887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768"/>
      <c r="E30" s="396">
        <f t="shared" si="0"/>
        <v>0</v>
      </c>
      <c r="F30" s="396">
        <f t="shared" si="4"/>
        <v>10902.777777777777</v>
      </c>
      <c r="G30" s="393">
        <f t="shared" si="1"/>
        <v>1530</v>
      </c>
      <c r="H30" s="451">
        <f t="shared" si="2"/>
        <v>0.1403312101910828</v>
      </c>
      <c r="I30" s="767"/>
      <c r="J30" s="772"/>
      <c r="K30" s="767"/>
      <c r="L30" s="650"/>
      <c r="M30" s="367">
        <f t="shared" si="3"/>
        <v>288.67924528301887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768"/>
      <c r="E31" s="396">
        <f t="shared" si="0"/>
        <v>0</v>
      </c>
      <c r="F31" s="396">
        <f t="shared" si="4"/>
        <v>10902.777777777777</v>
      </c>
      <c r="G31" s="393">
        <f t="shared" si="1"/>
        <v>1530</v>
      </c>
      <c r="H31" s="451">
        <f t="shared" si="2"/>
        <v>0.1403312101910828</v>
      </c>
      <c r="I31" s="767"/>
      <c r="J31" s="772"/>
      <c r="K31" s="767"/>
      <c r="L31" s="650"/>
      <c r="M31" s="367">
        <f t="shared" si="3"/>
        <v>288.67924528301887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768"/>
      <c r="E32" s="396">
        <f t="shared" si="0"/>
        <v>0</v>
      </c>
      <c r="F32" s="396">
        <f t="shared" si="4"/>
        <v>10902.777777777777</v>
      </c>
      <c r="G32" s="393">
        <f t="shared" si="1"/>
        <v>1530</v>
      </c>
      <c r="H32" s="451">
        <f t="shared" si="2"/>
        <v>0.1403312101910828</v>
      </c>
      <c r="I32" s="767"/>
      <c r="J32" s="772"/>
      <c r="K32" s="767"/>
      <c r="L32" s="650"/>
      <c r="M32" s="367">
        <f t="shared" si="3"/>
        <v>288.67924528301887</v>
      </c>
    </row>
    <row r="33" spans="1:13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768"/>
      <c r="E33" s="396">
        <f t="shared" si="0"/>
        <v>0</v>
      </c>
      <c r="F33" s="396">
        <f t="shared" si="4"/>
        <v>10902.777777777777</v>
      </c>
      <c r="G33" s="770">
        <f t="shared" si="1"/>
        <v>1530</v>
      </c>
      <c r="H33" s="451">
        <f t="shared" si="2"/>
        <v>0.1403312101910828</v>
      </c>
      <c r="I33" s="767"/>
      <c r="J33" s="772"/>
      <c r="K33" s="767"/>
      <c r="L33" s="650"/>
      <c r="M33" s="367">
        <f t="shared" si="3"/>
        <v>288.67924528301887</v>
      </c>
    </row>
    <row r="34" spans="1:13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768"/>
      <c r="E34" s="396">
        <f t="shared" si="0"/>
        <v>0</v>
      </c>
      <c r="F34" s="396">
        <f t="shared" si="4"/>
        <v>10902.777777777777</v>
      </c>
      <c r="G34" s="396">
        <f t="shared" si="1"/>
        <v>1530</v>
      </c>
      <c r="H34" s="451">
        <f t="shared" si="2"/>
        <v>0.1403312101910828</v>
      </c>
      <c r="I34" s="767"/>
      <c r="J34" s="772"/>
      <c r="K34" s="767"/>
      <c r="L34" s="650"/>
      <c r="M34" s="367">
        <f t="shared" si="3"/>
        <v>288.67924528301887</v>
      </c>
    </row>
    <row r="35" spans="1:13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768"/>
      <c r="E35" s="396">
        <f t="shared" si="0"/>
        <v>0</v>
      </c>
      <c r="F35" s="396">
        <f t="shared" si="4"/>
        <v>10902.777777777777</v>
      </c>
      <c r="G35" s="396">
        <f t="shared" si="1"/>
        <v>1530</v>
      </c>
      <c r="H35" s="451">
        <f t="shared" si="2"/>
        <v>0.1403312101910828</v>
      </c>
      <c r="I35" s="767"/>
      <c r="J35" s="772"/>
      <c r="K35" s="767"/>
      <c r="L35" s="650"/>
      <c r="M35" s="367">
        <f t="shared" si="3"/>
        <v>288.67924528301887</v>
      </c>
    </row>
    <row r="36" spans="1:13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768"/>
      <c r="E36" s="396">
        <f t="shared" si="0"/>
        <v>0</v>
      </c>
      <c r="F36" s="396">
        <f t="shared" si="4"/>
        <v>10902.777777777777</v>
      </c>
      <c r="G36" s="396">
        <f t="shared" si="1"/>
        <v>1530</v>
      </c>
      <c r="H36" s="451">
        <f t="shared" si="2"/>
        <v>0.1403312101910828</v>
      </c>
      <c r="I36" s="767"/>
      <c r="J36" s="772"/>
      <c r="K36" s="767"/>
      <c r="L36" s="650"/>
      <c r="M36" s="367">
        <f t="shared" si="3"/>
        <v>288.67924528301887</v>
      </c>
    </row>
    <row r="37" spans="1:13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768"/>
      <c r="E37" s="396">
        <f t="shared" si="0"/>
        <v>0</v>
      </c>
      <c r="F37" s="396">
        <f t="shared" si="4"/>
        <v>10902.777777777777</v>
      </c>
      <c r="G37" s="396">
        <f t="shared" si="1"/>
        <v>1530</v>
      </c>
      <c r="H37" s="451">
        <f t="shared" si="2"/>
        <v>0.1403312101910828</v>
      </c>
      <c r="I37" s="767"/>
      <c r="J37" s="772"/>
      <c r="K37" s="767"/>
      <c r="L37" s="650"/>
      <c r="M37" s="367">
        <f t="shared" si="3"/>
        <v>288.67924528301887</v>
      </c>
    </row>
    <row r="38" spans="1:13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768"/>
      <c r="E38" s="396">
        <f t="shared" si="0"/>
        <v>0</v>
      </c>
      <c r="F38" s="396">
        <f t="shared" si="4"/>
        <v>10902.777777777777</v>
      </c>
      <c r="G38" s="769">
        <f t="shared" si="1"/>
        <v>1530</v>
      </c>
      <c r="H38" s="451">
        <f t="shared" si="2"/>
        <v>0.1403312101910828</v>
      </c>
      <c r="I38" s="767"/>
      <c r="J38" s="772"/>
      <c r="K38" s="767"/>
      <c r="L38" s="650"/>
      <c r="M38" s="367">
        <f t="shared" si="3"/>
        <v>288.67924528301887</v>
      </c>
    </row>
    <row r="39" spans="1:13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768"/>
      <c r="E39" s="396">
        <f t="shared" si="0"/>
        <v>0</v>
      </c>
      <c r="F39" s="396">
        <f t="shared" si="4"/>
        <v>10902.777777777777</v>
      </c>
      <c r="G39" s="396">
        <f t="shared" si="1"/>
        <v>1530</v>
      </c>
      <c r="H39" s="451">
        <f t="shared" si="2"/>
        <v>0.1403312101910828</v>
      </c>
      <c r="I39" s="767"/>
      <c r="J39" s="767"/>
      <c r="K39" s="767"/>
      <c r="L39" s="650"/>
      <c r="M39" s="367">
        <f t="shared" si="3"/>
        <v>288.67924528301887</v>
      </c>
    </row>
    <row r="40" spans="1:13" s="374" customFormat="1" ht="11.2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1530</v>
      </c>
      <c r="H40" s="309"/>
      <c r="I40" s="689">
        <f>SUM(I9:I39)</f>
        <v>0</v>
      </c>
      <c r="J40" s="689">
        <f t="shared" ref="J40:K40" si="5">SUM(J9:J39)</f>
        <v>0</v>
      </c>
      <c r="K40" s="689">
        <f t="shared" si="5"/>
        <v>0</v>
      </c>
      <c r="L40" s="374">
        <f>SUM(L9:L39)</f>
        <v>0</v>
      </c>
    </row>
    <row r="41" spans="1:13" s="374" customFormat="1" ht="11.25" customHeight="1">
      <c r="A41" s="1647" t="s">
        <v>15</v>
      </c>
      <c r="B41" s="1647"/>
      <c r="C41" s="1647"/>
      <c r="D41" s="448">
        <f>D8+D40</f>
        <v>1530</v>
      </c>
      <c r="E41" s="389">
        <f>E40</f>
        <v>0</v>
      </c>
      <c r="F41" s="449"/>
      <c r="G41" s="389">
        <f>D41-E41</f>
        <v>1530</v>
      </c>
      <c r="H41" s="309"/>
      <c r="I41" s="689"/>
      <c r="J41" s="689"/>
      <c r="K41" s="689"/>
    </row>
    <row r="42" spans="1:13" s="324" customFormat="1" ht="12.75">
      <c r="D42" s="343"/>
      <c r="E42" s="343"/>
      <c r="F42" s="343"/>
      <c r="G42" s="343" t="s">
        <v>227</v>
      </c>
      <c r="H42" s="343"/>
      <c r="I42" s="343"/>
      <c r="J42" s="343"/>
      <c r="K42" s="343"/>
    </row>
    <row r="43" spans="1:13" s="324" customFormat="1" ht="12.75">
      <c r="D43" s="343"/>
      <c r="E43" s="343"/>
      <c r="F43" s="343"/>
      <c r="G43" s="343"/>
      <c r="H43" s="343"/>
      <c r="I43" s="343"/>
      <c r="J43" s="343"/>
      <c r="K43" s="343"/>
    </row>
    <row r="44" spans="1:13" s="324" customFormat="1" ht="12.75">
      <c r="D44" s="343"/>
      <c r="E44" s="343"/>
      <c r="F44" s="343"/>
      <c r="G44" s="343"/>
      <c r="H44" s="343"/>
      <c r="I44" s="343"/>
      <c r="J44" s="343"/>
      <c r="K44" s="343"/>
    </row>
    <row r="45" spans="1:13" s="324" customFormat="1" ht="12.75">
      <c r="D45" s="343"/>
      <c r="E45" s="343"/>
      <c r="F45" s="343"/>
      <c r="G45" s="343"/>
      <c r="H45" s="343"/>
      <c r="I45" s="343"/>
      <c r="J45" s="343"/>
      <c r="K45" s="343"/>
    </row>
    <row r="46" spans="1:13" s="324" customFormat="1" ht="12.75">
      <c r="D46" s="343"/>
      <c r="E46" s="343"/>
      <c r="F46" s="343"/>
      <c r="G46" s="343" t="s">
        <v>333</v>
      </c>
      <c r="H46" s="343"/>
      <c r="I46" s="343"/>
      <c r="J46" s="343"/>
      <c r="K46" s="343"/>
    </row>
    <row r="47" spans="1:13">
      <c r="M47" s="151"/>
    </row>
    <row r="48" spans="1:13">
      <c r="M48" s="151"/>
    </row>
    <row r="49" spans="13:13">
      <c r="M49" s="151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5789" priority="22" operator="between">
      <formula>3.5</formula>
      <formula>6</formula>
    </cfRule>
    <cfRule type="cellIs" dxfId="5788" priority="23" operator="lessThan">
      <formula>3.5</formula>
    </cfRule>
    <cfRule type="cellIs" dxfId="5787" priority="24" operator="greaterThan">
      <formula>6</formula>
    </cfRule>
  </conditionalFormatting>
  <conditionalFormatting sqref="H9:H39">
    <cfRule type="cellIs" dxfId="5786" priority="19" operator="between">
      <formula>3.5</formula>
      <formula>6</formula>
    </cfRule>
    <cfRule type="cellIs" dxfId="5785" priority="20" operator="lessThan">
      <formula>3.5</formula>
    </cfRule>
    <cfRule type="cellIs" dxfId="5784" priority="21" operator="greaterThan">
      <formula>6</formula>
    </cfRule>
  </conditionalFormatting>
  <conditionalFormatting sqref="H9:H39">
    <cfRule type="cellIs" dxfId="5783" priority="16" operator="between">
      <formula>3.5</formula>
      <formula>6</formula>
    </cfRule>
    <cfRule type="cellIs" dxfId="5782" priority="17" operator="lessThan">
      <formula>3.5</formula>
    </cfRule>
    <cfRule type="cellIs" dxfId="5781" priority="18" operator="greaterThan">
      <formula>6</formula>
    </cfRule>
  </conditionalFormatting>
  <conditionalFormatting sqref="H9:H39">
    <cfRule type="cellIs" dxfId="5780" priority="13" operator="between">
      <formula>3.5</formula>
      <formula>6</formula>
    </cfRule>
    <cfRule type="cellIs" dxfId="5779" priority="14" operator="lessThan">
      <formula>3.5</formula>
    </cfRule>
    <cfRule type="cellIs" dxfId="5778" priority="15" operator="greaterThan">
      <formula>6</formula>
    </cfRule>
  </conditionalFormatting>
  <conditionalFormatting sqref="H9:H39">
    <cfRule type="cellIs" dxfId="5777" priority="10" operator="between">
      <formula>3.5</formula>
      <formula>6</formula>
    </cfRule>
    <cfRule type="cellIs" dxfId="5776" priority="11" operator="lessThan">
      <formula>3.5</formula>
    </cfRule>
    <cfRule type="cellIs" dxfId="5775" priority="12" operator="greaterThan">
      <formula>6</formula>
    </cfRule>
  </conditionalFormatting>
  <conditionalFormatting sqref="H9:H39">
    <cfRule type="cellIs" dxfId="5774" priority="7" operator="between">
      <formula>3.5</formula>
      <formula>6</formula>
    </cfRule>
    <cfRule type="cellIs" dxfId="5773" priority="8" operator="lessThan">
      <formula>3.5</formula>
    </cfRule>
    <cfRule type="cellIs" dxfId="5772" priority="9" operator="greaterThan">
      <formula>6</formula>
    </cfRule>
  </conditionalFormatting>
  <conditionalFormatting sqref="H9:H39">
    <cfRule type="cellIs" dxfId="5771" priority="4" operator="between">
      <formula>3.5</formula>
      <formula>6</formula>
    </cfRule>
    <cfRule type="cellIs" dxfId="5770" priority="5" operator="lessThan">
      <formula>3.5</formula>
    </cfRule>
    <cfRule type="cellIs" dxfId="5769" priority="6" operator="greaterThan">
      <formula>6</formula>
    </cfRule>
  </conditionalFormatting>
  <conditionalFormatting sqref="H9:H39">
    <cfRule type="cellIs" dxfId="5768" priority="1" operator="between">
      <formula>3.5</formula>
      <formula>6</formula>
    </cfRule>
    <cfRule type="cellIs" dxfId="5767" priority="2" operator="lessThan">
      <formula>3.5</formula>
    </cfRule>
    <cfRule type="cellIs" dxfId="5766" priority="3" operator="greaterThan">
      <formula>6</formula>
    </cfRule>
  </conditionalFormatting>
  <hyperlinks>
    <hyperlink ref="I6" location="'TỔNG HỢP THÁNG'!A1" display="'TỔNG HỢP THÁNG'!A1"/>
  </hyperlinks>
  <pageMargins left="0.39370078740157483" right="0" top="0" bottom="0" header="0.19685039370078741" footer="0.19685039370078741"/>
  <pageSetup paperSize="8" orientation="landscape" horizontalDpi="4294967292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E49"/>
  <sheetViews>
    <sheetView zoomScale="90" zoomScaleNormal="90" workbookViewId="0">
      <pane ySplit="8" topLeftCell="A9" activePane="bottomLeft" state="frozen"/>
      <selection pane="bottomLeft" activeCell="J10" sqref="J10:J14"/>
    </sheetView>
  </sheetViews>
  <sheetFormatPr defaultColWidth="9.28515625" defaultRowHeight="16.5"/>
  <cols>
    <col min="1" max="1" width="5.42578125" style="42" customWidth="1"/>
    <col min="2" max="2" width="8.28515625" style="42" customWidth="1"/>
    <col min="3" max="3" width="14.42578125" style="42" customWidth="1"/>
    <col min="4" max="5" width="16.85546875" style="6" customWidth="1"/>
    <col min="6" max="6" width="14.28515625" style="6" customWidth="1"/>
    <col min="7" max="7" width="16.85546875" style="6" customWidth="1"/>
    <col min="8" max="8" width="12.5703125" style="42" customWidth="1"/>
    <col min="9" max="11" width="10.5703125" style="42" customWidth="1"/>
    <col min="12" max="12" width="9.28515625" style="42"/>
    <col min="13" max="13" width="8.28515625" style="42" customWidth="1"/>
    <col min="14" max="14" width="4.42578125" style="42" customWidth="1"/>
    <col min="15" max="15" width="6.85546875" style="42" customWidth="1"/>
    <col min="16" max="16" width="5.5703125" style="42" customWidth="1"/>
    <col min="17" max="22" width="0" style="42" hidden="1" customWidth="1"/>
    <col min="23" max="23" width="6.7109375" style="42" hidden="1" customWidth="1"/>
    <col min="24" max="24" width="5.85546875" style="42" hidden="1" customWidth="1"/>
    <col min="25" max="26" width="9.5703125" style="42" customWidth="1"/>
    <col min="27" max="27" width="5.5703125" style="42" customWidth="1"/>
    <col min="28" max="28" width="7.42578125" style="143" customWidth="1"/>
    <col min="29" max="16384" width="9.28515625" style="42"/>
  </cols>
  <sheetData>
    <row r="1" spans="1:31" s="143" customFormat="1" ht="13.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AB1" s="323"/>
    </row>
    <row r="2" spans="1:31" s="143" customFormat="1" ht="13.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4"/>
      <c r="N2" s="324"/>
      <c r="O2" s="324">
        <v>12480</v>
      </c>
      <c r="P2" s="324"/>
      <c r="Q2" s="324"/>
      <c r="R2" s="324"/>
      <c r="S2" s="324"/>
      <c r="AB2" s="323"/>
    </row>
    <row r="3" spans="1:31" s="143" customFormat="1" ht="19.5" customHeight="1">
      <c r="A3" s="1644" t="s">
        <v>0</v>
      </c>
      <c r="B3" s="1644"/>
      <c r="C3" s="1644"/>
      <c r="D3" s="1644"/>
      <c r="E3" s="1644"/>
      <c r="F3" s="1644"/>
      <c r="G3" s="1644"/>
      <c r="H3" s="1644"/>
      <c r="I3" s="1644"/>
      <c r="J3" s="686"/>
      <c r="K3" s="790"/>
    </row>
    <row r="4" spans="1:31" s="452" customFormat="1" ht="18.75" customHeight="1">
      <c r="A4" s="1648" t="s">
        <v>33</v>
      </c>
      <c r="B4" s="1648"/>
      <c r="C4" s="551" t="str">
        <f>H4</f>
        <v>PALLET GỖ 1100x1100x85</v>
      </c>
      <c r="E4" s="549" t="s">
        <v>228</v>
      </c>
      <c r="F4" s="549" t="s">
        <v>236</v>
      </c>
      <c r="G4" s="549" t="s">
        <v>114</v>
      </c>
      <c r="H4" s="551" t="s">
        <v>1236</v>
      </c>
      <c r="J4" s="687"/>
      <c r="K4" s="791"/>
      <c r="P4" s="452">
        <f>91+104+67+60</f>
        <v>322</v>
      </c>
      <c r="Z4" s="744"/>
      <c r="AB4" s="143"/>
    </row>
    <row r="5" spans="1:31" s="452" customFormat="1" ht="11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Z5" s="744"/>
      <c r="AB5" s="143"/>
    </row>
    <row r="6" spans="1:31" s="452" customFormat="1" ht="14.25" customHeight="1">
      <c r="B6" s="453"/>
      <c r="C6" s="453"/>
      <c r="D6" s="453"/>
      <c r="E6" s="453"/>
      <c r="F6" s="453"/>
      <c r="G6" s="453">
        <v>1514</v>
      </c>
      <c r="H6" s="552" t="s">
        <v>40</v>
      </c>
      <c r="I6" s="577" t="s">
        <v>149</v>
      </c>
      <c r="J6" s="324"/>
      <c r="K6" s="324"/>
      <c r="Z6" s="744"/>
      <c r="AB6" s="143"/>
    </row>
    <row r="7" spans="1:31" s="305" customFormat="1" ht="28.5" customHeight="1">
      <c r="A7" s="381" t="s">
        <v>2</v>
      </c>
      <c r="B7" s="380" t="s">
        <v>1</v>
      </c>
      <c r="C7" s="380" t="s">
        <v>24</v>
      </c>
      <c r="D7" s="379" t="s">
        <v>250</v>
      </c>
      <c r="E7" s="379" t="s">
        <v>249</v>
      </c>
      <c r="F7" s="379" t="s">
        <v>265</v>
      </c>
      <c r="G7" s="379" t="s">
        <v>253</v>
      </c>
      <c r="H7" s="379" t="s">
        <v>30</v>
      </c>
      <c r="I7" s="688"/>
      <c r="J7" s="688"/>
      <c r="K7" s="792"/>
      <c r="Y7" s="1655" t="s">
        <v>350</v>
      </c>
      <c r="Z7" s="1656"/>
      <c r="AB7" s="143"/>
    </row>
    <row r="8" spans="1:31" s="305" customFormat="1" ht="12" customHeight="1">
      <c r="A8" s="1650" t="s">
        <v>3</v>
      </c>
      <c r="B8" s="1651"/>
      <c r="C8" s="1652"/>
      <c r="D8" s="387">
        <f>G8</f>
        <v>0</v>
      </c>
      <c r="E8" s="387">
        <f>E40</f>
        <v>0</v>
      </c>
      <c r="F8" s="387"/>
      <c r="G8" s="624">
        <v>0</v>
      </c>
      <c r="H8" s="309"/>
      <c r="I8" s="697" t="s">
        <v>341</v>
      </c>
      <c r="J8" s="697" t="s">
        <v>244</v>
      </c>
      <c r="K8" s="793" t="s">
        <v>821</v>
      </c>
      <c r="L8" s="701" t="s">
        <v>1</v>
      </c>
      <c r="M8" s="313" t="s">
        <v>205</v>
      </c>
      <c r="N8" s="313" t="s">
        <v>332</v>
      </c>
      <c r="O8" s="313" t="s">
        <v>242</v>
      </c>
      <c r="P8" s="313" t="s">
        <v>332</v>
      </c>
      <c r="Q8" s="313" t="s">
        <v>207</v>
      </c>
      <c r="R8" s="313" t="s">
        <v>206</v>
      </c>
      <c r="S8" s="313" t="s">
        <v>210</v>
      </c>
      <c r="T8" s="313" t="s">
        <v>206</v>
      </c>
      <c r="U8" s="313" t="s">
        <v>208</v>
      </c>
      <c r="V8" s="313" t="s">
        <v>206</v>
      </c>
      <c r="W8" s="313" t="s">
        <v>241</v>
      </c>
      <c r="X8" s="313" t="s">
        <v>206</v>
      </c>
      <c r="Y8" s="313" t="s">
        <v>362</v>
      </c>
      <c r="Z8" s="313" t="s">
        <v>363</v>
      </c>
      <c r="AA8" s="313" t="s">
        <v>332</v>
      </c>
      <c r="AB8" s="143">
        <v>181.7</v>
      </c>
    </row>
    <row r="9" spans="1:31" s="333" customFormat="1" ht="12" customHeight="1">
      <c r="A9" s="330">
        <v>1</v>
      </c>
      <c r="B9" s="365">
        <f>'FRIT HGE91-FHG'!B9</f>
        <v>46235</v>
      </c>
      <c r="C9" s="331" t="s">
        <v>346</v>
      </c>
      <c r="D9" s="1445">
        <f>M9+O9+Y9+Z9</f>
        <v>0</v>
      </c>
      <c r="E9" s="1445">
        <f>I9+J9+K9</f>
        <v>0</v>
      </c>
      <c r="F9" s="1445">
        <f>15700/1.44/60</f>
        <v>181.71296296296296</v>
      </c>
      <c r="G9" s="1445">
        <f>G8+D9-E9</f>
        <v>0</v>
      </c>
      <c r="H9" s="1457">
        <f t="shared" ref="H9:H39" si="0">G9/F9</f>
        <v>0</v>
      </c>
      <c r="I9" s="689"/>
      <c r="J9" s="689"/>
      <c r="K9" s="689"/>
      <c r="L9" s="702">
        <f>B9</f>
        <v>46235</v>
      </c>
      <c r="M9" s="470"/>
      <c r="N9" s="364"/>
      <c r="O9" s="470"/>
      <c r="P9" s="293"/>
      <c r="Q9" s="293"/>
      <c r="R9" s="293"/>
      <c r="S9" s="293"/>
      <c r="T9" s="293"/>
      <c r="U9" s="293"/>
      <c r="V9" s="293"/>
      <c r="W9" s="293"/>
      <c r="X9" s="293"/>
      <c r="Y9" s="470"/>
      <c r="Z9" s="470"/>
      <c r="AA9" s="293"/>
      <c r="AB9" s="647">
        <f>G9/$AB$8</f>
        <v>0</v>
      </c>
      <c r="AC9" s="367"/>
      <c r="AD9" s="367"/>
      <c r="AE9" s="367"/>
    </row>
    <row r="10" spans="1:31" s="333" customFormat="1" ht="12" customHeight="1">
      <c r="A10" s="330">
        <v>2</v>
      </c>
      <c r="B10" s="365">
        <f>'FRIT HGE91-FHG'!B10</f>
        <v>46236</v>
      </c>
      <c r="C10" s="331" t="s">
        <v>346</v>
      </c>
      <c r="D10" s="1445">
        <f t="shared" ref="D10:D39" si="1">M10+O10+Y10+Z10</f>
        <v>0</v>
      </c>
      <c r="E10" s="1445">
        <f t="shared" ref="E10:E39" si="2">I10+J10+K10</f>
        <v>0</v>
      </c>
      <c r="F10" s="1445">
        <f>$F$9</f>
        <v>181.71296296296296</v>
      </c>
      <c r="G10" s="1445">
        <f t="shared" ref="G10:G37" si="3">G9+D10-E10</f>
        <v>0</v>
      </c>
      <c r="H10" s="1457">
        <f t="shared" si="0"/>
        <v>0</v>
      </c>
      <c r="I10" s="689"/>
      <c r="J10" s="689"/>
      <c r="K10" s="689"/>
      <c r="L10" s="702">
        <f t="shared" ref="L10:L39" si="4">B10</f>
        <v>46236</v>
      </c>
      <c r="M10" s="470"/>
      <c r="N10" s="364"/>
      <c r="O10" s="470"/>
      <c r="P10" s="293"/>
      <c r="Q10" s="293"/>
      <c r="R10" s="293"/>
      <c r="S10" s="293"/>
      <c r="T10" s="293"/>
      <c r="U10" s="293"/>
      <c r="V10" s="293"/>
      <c r="W10" s="293"/>
      <c r="X10" s="293"/>
      <c r="Y10" s="470"/>
      <c r="Z10" s="470"/>
      <c r="AA10" s="293"/>
      <c r="AB10" s="647">
        <f t="shared" ref="AB10:AB39" si="5">G10/$AB$8</f>
        <v>0</v>
      </c>
      <c r="AC10" s="367"/>
      <c r="AD10" s="367"/>
      <c r="AE10" s="367"/>
    </row>
    <row r="11" spans="1:31" s="333" customFormat="1" ht="12" customHeight="1">
      <c r="A11" s="330">
        <v>3</v>
      </c>
      <c r="B11" s="365">
        <f>'FRIT HGE91-FHG'!B11</f>
        <v>46237</v>
      </c>
      <c r="C11" s="331" t="s">
        <v>346</v>
      </c>
      <c r="D11" s="1445">
        <f t="shared" si="1"/>
        <v>0</v>
      </c>
      <c r="E11" s="1445">
        <f t="shared" si="2"/>
        <v>0</v>
      </c>
      <c r="F11" s="1445">
        <f t="shared" ref="F11:F39" si="6">$F$9</f>
        <v>181.71296296296296</v>
      </c>
      <c r="G11" s="1445">
        <f t="shared" si="3"/>
        <v>0</v>
      </c>
      <c r="H11" s="1457">
        <f t="shared" si="0"/>
        <v>0</v>
      </c>
      <c r="I11" s="689"/>
      <c r="J11" s="689"/>
      <c r="K11" s="689"/>
      <c r="L11" s="702">
        <f t="shared" si="4"/>
        <v>46237</v>
      </c>
      <c r="M11" s="470"/>
      <c r="N11" s="364"/>
      <c r="O11" s="470"/>
      <c r="P11" s="293"/>
      <c r="Q11" s="293"/>
      <c r="R11" s="293"/>
      <c r="S11" s="293"/>
      <c r="T11" s="293"/>
      <c r="U11" s="293"/>
      <c r="V11" s="293"/>
      <c r="W11" s="293"/>
      <c r="X11" s="293"/>
      <c r="Y11" s="470"/>
      <c r="Z11" s="470"/>
      <c r="AA11" s="293"/>
      <c r="AB11" s="647">
        <f t="shared" si="5"/>
        <v>0</v>
      </c>
      <c r="AC11" s="367"/>
      <c r="AD11" s="367"/>
      <c r="AE11" s="367"/>
    </row>
    <row r="12" spans="1:31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1445">
        <f t="shared" si="1"/>
        <v>0</v>
      </c>
      <c r="E12" s="1445">
        <f t="shared" si="2"/>
        <v>0</v>
      </c>
      <c r="F12" s="1445">
        <f t="shared" si="6"/>
        <v>181.71296296296296</v>
      </c>
      <c r="G12" s="1445">
        <f t="shared" si="3"/>
        <v>0</v>
      </c>
      <c r="H12" s="1457">
        <f t="shared" si="0"/>
        <v>0</v>
      </c>
      <c r="I12" s="689"/>
      <c r="J12" s="689"/>
      <c r="K12" s="689"/>
      <c r="L12" s="702">
        <f t="shared" si="4"/>
        <v>46238</v>
      </c>
      <c r="M12" s="470"/>
      <c r="N12" s="364"/>
      <c r="O12" s="470"/>
      <c r="P12" s="293"/>
      <c r="Q12" s="293"/>
      <c r="R12" s="293"/>
      <c r="S12" s="293"/>
      <c r="T12" s="293"/>
      <c r="U12" s="293"/>
      <c r="V12" s="293"/>
      <c r="W12" s="293"/>
      <c r="X12" s="293"/>
      <c r="Y12" s="470"/>
      <c r="Z12" s="470"/>
      <c r="AA12" s="293"/>
      <c r="AB12" s="647">
        <f t="shared" si="5"/>
        <v>0</v>
      </c>
    </row>
    <row r="13" spans="1:31" s="367" customFormat="1" ht="12" customHeight="1">
      <c r="A13" s="425">
        <v>5</v>
      </c>
      <c r="B13" s="365">
        <f>'FRIT HGE91-FHG'!B13</f>
        <v>46239</v>
      </c>
      <c r="C13" s="331" t="s">
        <v>346</v>
      </c>
      <c r="D13" s="1445">
        <f t="shared" si="1"/>
        <v>0</v>
      </c>
      <c r="E13" s="1445">
        <f t="shared" si="2"/>
        <v>0</v>
      </c>
      <c r="F13" s="1445">
        <f t="shared" si="6"/>
        <v>181.71296296296296</v>
      </c>
      <c r="G13" s="1448">
        <f t="shared" si="3"/>
        <v>0</v>
      </c>
      <c r="H13" s="1457">
        <f t="shared" si="0"/>
        <v>0</v>
      </c>
      <c r="I13" s="689"/>
      <c r="J13" s="689"/>
      <c r="K13" s="689"/>
      <c r="L13" s="702">
        <f t="shared" si="4"/>
        <v>46239</v>
      </c>
      <c r="M13" s="470"/>
      <c r="N13" s="364"/>
      <c r="O13" s="470"/>
      <c r="P13" s="293"/>
      <c r="Q13" s="293"/>
      <c r="R13" s="293"/>
      <c r="S13" s="293"/>
      <c r="T13" s="293"/>
      <c r="U13" s="293"/>
      <c r="V13" s="293"/>
      <c r="W13" s="293"/>
      <c r="X13" s="293"/>
      <c r="Y13" s="470"/>
      <c r="Z13" s="470"/>
      <c r="AA13" s="293"/>
      <c r="AB13" s="647">
        <f t="shared" si="5"/>
        <v>0</v>
      </c>
    </row>
    <row r="14" spans="1:31" s="367" customFormat="1" ht="12" customHeight="1">
      <c r="A14" s="330">
        <v>6</v>
      </c>
      <c r="B14" s="365">
        <f>'FRIT HGE91-FHG'!B14</f>
        <v>46240</v>
      </c>
      <c r="C14" s="331" t="s">
        <v>346</v>
      </c>
      <c r="D14" s="1445">
        <f t="shared" si="1"/>
        <v>0</v>
      </c>
      <c r="E14" s="1445">
        <f t="shared" si="2"/>
        <v>0</v>
      </c>
      <c r="F14" s="1445">
        <f t="shared" si="6"/>
        <v>181.71296296296296</v>
      </c>
      <c r="G14" s="1445">
        <f t="shared" si="3"/>
        <v>0</v>
      </c>
      <c r="H14" s="1457">
        <f t="shared" si="0"/>
        <v>0</v>
      </c>
      <c r="I14" s="689"/>
      <c r="J14" s="689"/>
      <c r="K14" s="689"/>
      <c r="L14" s="702">
        <f t="shared" si="4"/>
        <v>46240</v>
      </c>
      <c r="M14" s="470"/>
      <c r="N14" s="364"/>
      <c r="O14" s="470"/>
      <c r="P14" s="293"/>
      <c r="Q14" s="293"/>
      <c r="R14" s="293"/>
      <c r="S14" s="293"/>
      <c r="T14" s="293"/>
      <c r="U14" s="293"/>
      <c r="V14" s="293"/>
      <c r="W14" s="293"/>
      <c r="X14" s="293"/>
      <c r="Y14" s="470"/>
      <c r="Z14" s="470"/>
      <c r="AA14" s="293"/>
      <c r="AB14" s="647">
        <f t="shared" si="5"/>
        <v>0</v>
      </c>
    </row>
    <row r="15" spans="1:31" s="367" customFormat="1" ht="12" customHeight="1">
      <c r="A15" s="330">
        <v>7</v>
      </c>
      <c r="B15" s="365">
        <f>'FRIT HGE91-FHG'!B15</f>
        <v>46241</v>
      </c>
      <c r="C15" s="331" t="s">
        <v>346</v>
      </c>
      <c r="D15" s="1445">
        <f t="shared" si="1"/>
        <v>0</v>
      </c>
      <c r="E15" s="1445">
        <f t="shared" si="2"/>
        <v>0</v>
      </c>
      <c r="F15" s="1445">
        <f t="shared" si="6"/>
        <v>181.71296296296296</v>
      </c>
      <c r="G15" s="1445">
        <f t="shared" si="3"/>
        <v>0</v>
      </c>
      <c r="H15" s="1457">
        <f t="shared" si="0"/>
        <v>0</v>
      </c>
      <c r="I15" s="689"/>
      <c r="J15" s="689"/>
      <c r="K15" s="689"/>
      <c r="L15" s="702">
        <f t="shared" si="4"/>
        <v>46241</v>
      </c>
      <c r="M15" s="470"/>
      <c r="N15" s="364"/>
      <c r="O15" s="470"/>
      <c r="P15" s="293"/>
      <c r="Q15" s="293"/>
      <c r="R15" s="293"/>
      <c r="S15" s="293"/>
      <c r="T15" s="293"/>
      <c r="U15" s="293"/>
      <c r="V15" s="293"/>
      <c r="W15" s="293"/>
      <c r="X15" s="293"/>
      <c r="Y15" s="470"/>
      <c r="Z15" s="470"/>
      <c r="AA15" s="293"/>
      <c r="AB15" s="647">
        <f t="shared" si="5"/>
        <v>0</v>
      </c>
    </row>
    <row r="16" spans="1:31" s="367" customFormat="1" ht="12" customHeight="1">
      <c r="A16" s="330">
        <v>8</v>
      </c>
      <c r="B16" s="365">
        <f>'FRIT HGE91-FHG'!B16</f>
        <v>46242</v>
      </c>
      <c r="C16" s="331" t="s">
        <v>346</v>
      </c>
      <c r="D16" s="1445">
        <f t="shared" si="1"/>
        <v>0</v>
      </c>
      <c r="E16" s="1445">
        <f t="shared" si="2"/>
        <v>0</v>
      </c>
      <c r="F16" s="1445">
        <f t="shared" si="6"/>
        <v>181.71296296296296</v>
      </c>
      <c r="G16" s="1445">
        <f t="shared" si="3"/>
        <v>0</v>
      </c>
      <c r="H16" s="1457">
        <f t="shared" si="0"/>
        <v>0</v>
      </c>
      <c r="I16" s="689"/>
      <c r="J16" s="689"/>
      <c r="K16" s="689"/>
      <c r="L16" s="702">
        <f t="shared" si="4"/>
        <v>46242</v>
      </c>
      <c r="M16" s="470"/>
      <c r="N16" s="364"/>
      <c r="O16" s="470"/>
      <c r="P16" s="293"/>
      <c r="Q16" s="293"/>
      <c r="R16" s="293"/>
      <c r="S16" s="293"/>
      <c r="T16" s="293"/>
      <c r="U16" s="293"/>
      <c r="V16" s="293"/>
      <c r="W16" s="293"/>
      <c r="X16" s="293"/>
      <c r="Y16" s="470"/>
      <c r="Z16" s="470"/>
      <c r="AA16" s="293"/>
      <c r="AB16" s="647">
        <f t="shared" si="5"/>
        <v>0</v>
      </c>
    </row>
    <row r="17" spans="1:28" s="367" customFormat="1" ht="12" customHeight="1">
      <c r="A17" s="330">
        <v>9</v>
      </c>
      <c r="B17" s="365">
        <f>'FRIT HGE91-FHG'!B17</f>
        <v>46243</v>
      </c>
      <c r="C17" s="331" t="s">
        <v>346</v>
      </c>
      <c r="D17" s="1445">
        <f t="shared" si="1"/>
        <v>0</v>
      </c>
      <c r="E17" s="1445">
        <f t="shared" si="2"/>
        <v>0</v>
      </c>
      <c r="F17" s="1445">
        <f t="shared" si="6"/>
        <v>181.71296296296296</v>
      </c>
      <c r="G17" s="1445">
        <f t="shared" si="3"/>
        <v>0</v>
      </c>
      <c r="H17" s="1457">
        <f t="shared" si="0"/>
        <v>0</v>
      </c>
      <c r="I17" s="689"/>
      <c r="J17" s="689"/>
      <c r="K17" s="689"/>
      <c r="L17" s="702">
        <f t="shared" si="4"/>
        <v>46243</v>
      </c>
      <c r="M17" s="470"/>
      <c r="N17" s="364"/>
      <c r="O17" s="470"/>
      <c r="P17" s="293"/>
      <c r="Q17" s="293"/>
      <c r="R17" s="293"/>
      <c r="S17" s="293"/>
      <c r="T17" s="293"/>
      <c r="U17" s="293"/>
      <c r="V17" s="293"/>
      <c r="W17" s="293"/>
      <c r="X17" s="293"/>
      <c r="Y17" s="470"/>
      <c r="Z17" s="470"/>
      <c r="AA17" s="293"/>
      <c r="AB17" s="647">
        <f t="shared" si="5"/>
        <v>0</v>
      </c>
    </row>
    <row r="18" spans="1:28" s="367" customFormat="1" ht="12" customHeight="1">
      <c r="A18" s="425">
        <v>10</v>
      </c>
      <c r="B18" s="365">
        <f>'FRIT HGE91-FHG'!B18</f>
        <v>46244</v>
      </c>
      <c r="C18" s="331" t="s">
        <v>346</v>
      </c>
      <c r="D18" s="1445">
        <f t="shared" si="1"/>
        <v>0</v>
      </c>
      <c r="E18" s="1445">
        <f t="shared" si="2"/>
        <v>0</v>
      </c>
      <c r="F18" s="1445">
        <f t="shared" si="6"/>
        <v>181.71296296296296</v>
      </c>
      <c r="G18" s="1448">
        <f t="shared" si="3"/>
        <v>0</v>
      </c>
      <c r="H18" s="1457">
        <f t="shared" si="0"/>
        <v>0</v>
      </c>
      <c r="I18" s="689"/>
      <c r="J18" s="689"/>
      <c r="K18" s="689"/>
      <c r="L18" s="702">
        <f t="shared" si="4"/>
        <v>46244</v>
      </c>
      <c r="M18" s="470"/>
      <c r="N18" s="364"/>
      <c r="O18" s="470"/>
      <c r="P18" s="293"/>
      <c r="Q18" s="293"/>
      <c r="R18" s="293"/>
      <c r="S18" s="293"/>
      <c r="T18" s="293"/>
      <c r="U18" s="293"/>
      <c r="V18" s="293"/>
      <c r="W18" s="293"/>
      <c r="X18" s="293"/>
      <c r="Y18" s="470"/>
      <c r="Z18" s="470"/>
      <c r="AA18" s="293"/>
      <c r="AB18" s="647">
        <f t="shared" si="5"/>
        <v>0</v>
      </c>
    </row>
    <row r="19" spans="1:28" s="367" customFormat="1" ht="12" customHeight="1">
      <c r="A19" s="330">
        <v>11</v>
      </c>
      <c r="B19" s="365">
        <f>'FRIT HGE91-FHG'!B19</f>
        <v>46245</v>
      </c>
      <c r="C19" s="331" t="s">
        <v>346</v>
      </c>
      <c r="D19" s="1445">
        <f t="shared" si="1"/>
        <v>0</v>
      </c>
      <c r="E19" s="1445">
        <f t="shared" si="2"/>
        <v>0</v>
      </c>
      <c r="F19" s="1445">
        <f t="shared" si="6"/>
        <v>181.71296296296296</v>
      </c>
      <c r="G19" s="1445">
        <f t="shared" si="3"/>
        <v>0</v>
      </c>
      <c r="H19" s="1457">
        <f t="shared" si="0"/>
        <v>0</v>
      </c>
      <c r="I19" s="689"/>
      <c r="J19" s="689"/>
      <c r="K19" s="689"/>
      <c r="L19" s="702">
        <f t="shared" si="4"/>
        <v>46245</v>
      </c>
      <c r="M19" s="470"/>
      <c r="N19" s="364"/>
      <c r="O19" s="470"/>
      <c r="P19" s="293"/>
      <c r="Q19" s="293"/>
      <c r="R19" s="293"/>
      <c r="S19" s="293"/>
      <c r="T19" s="293"/>
      <c r="U19" s="293"/>
      <c r="V19" s="293"/>
      <c r="W19" s="293"/>
      <c r="X19" s="293"/>
      <c r="Y19" s="470"/>
      <c r="Z19" s="470"/>
      <c r="AA19" s="293"/>
      <c r="AB19" s="647">
        <f t="shared" si="5"/>
        <v>0</v>
      </c>
    </row>
    <row r="20" spans="1:28" s="367" customFormat="1" ht="12" customHeight="1">
      <c r="A20" s="330">
        <v>12</v>
      </c>
      <c r="B20" s="365">
        <f>'FRIT HGE91-FHG'!B20</f>
        <v>46246</v>
      </c>
      <c r="C20" s="331" t="s">
        <v>346</v>
      </c>
      <c r="D20" s="1445">
        <f t="shared" si="1"/>
        <v>0</v>
      </c>
      <c r="E20" s="1445">
        <f t="shared" si="2"/>
        <v>0</v>
      </c>
      <c r="F20" s="1445">
        <f t="shared" si="6"/>
        <v>181.71296296296296</v>
      </c>
      <c r="G20" s="1445">
        <f t="shared" si="3"/>
        <v>0</v>
      </c>
      <c r="H20" s="1457">
        <f t="shared" si="0"/>
        <v>0</v>
      </c>
      <c r="I20" s="689"/>
      <c r="J20" s="689"/>
      <c r="K20" s="689"/>
      <c r="L20" s="702">
        <f t="shared" si="4"/>
        <v>46246</v>
      </c>
      <c r="M20" s="470"/>
      <c r="N20" s="364"/>
      <c r="O20" s="470"/>
      <c r="P20" s="293"/>
      <c r="Q20" s="293"/>
      <c r="R20" s="293"/>
      <c r="S20" s="293"/>
      <c r="T20" s="293"/>
      <c r="U20" s="293"/>
      <c r="V20" s="293"/>
      <c r="W20" s="293"/>
      <c r="X20" s="293"/>
      <c r="Y20" s="470"/>
      <c r="Z20" s="470"/>
      <c r="AA20" s="293"/>
      <c r="AB20" s="647">
        <f t="shared" si="5"/>
        <v>0</v>
      </c>
    </row>
    <row r="21" spans="1:28" s="367" customFormat="1" ht="12" customHeight="1">
      <c r="A21" s="330">
        <v>13</v>
      </c>
      <c r="B21" s="365">
        <f>'FRIT HGE91-FHG'!B21</f>
        <v>46247</v>
      </c>
      <c r="C21" s="331" t="s">
        <v>346</v>
      </c>
      <c r="D21" s="1445">
        <f t="shared" si="1"/>
        <v>0</v>
      </c>
      <c r="E21" s="1445">
        <f t="shared" si="2"/>
        <v>0</v>
      </c>
      <c r="F21" s="1445">
        <f t="shared" si="6"/>
        <v>181.71296296296296</v>
      </c>
      <c r="G21" s="1445">
        <f t="shared" si="3"/>
        <v>0</v>
      </c>
      <c r="H21" s="1457">
        <f t="shared" si="0"/>
        <v>0</v>
      </c>
      <c r="I21" s="689"/>
      <c r="J21" s="689"/>
      <c r="K21" s="689"/>
      <c r="L21" s="702">
        <f t="shared" si="4"/>
        <v>46247</v>
      </c>
      <c r="M21" s="470"/>
      <c r="N21" s="364"/>
      <c r="O21" s="470"/>
      <c r="P21" s="293"/>
      <c r="Q21" s="293"/>
      <c r="R21" s="293"/>
      <c r="S21" s="293"/>
      <c r="T21" s="293"/>
      <c r="U21" s="293"/>
      <c r="V21" s="293"/>
      <c r="W21" s="293"/>
      <c r="X21" s="293"/>
      <c r="Y21" s="470"/>
      <c r="Z21" s="470"/>
      <c r="AA21" s="293"/>
      <c r="AB21" s="647">
        <f t="shared" si="5"/>
        <v>0</v>
      </c>
    </row>
    <row r="22" spans="1:28" s="367" customFormat="1" ht="12" customHeight="1">
      <c r="A22" s="330">
        <v>14</v>
      </c>
      <c r="B22" s="365">
        <f>'FRIT HGE91-FHG'!B22</f>
        <v>46248</v>
      </c>
      <c r="C22" s="331" t="s">
        <v>346</v>
      </c>
      <c r="D22" s="1445">
        <f t="shared" si="1"/>
        <v>0</v>
      </c>
      <c r="E22" s="1445">
        <f t="shared" si="2"/>
        <v>0</v>
      </c>
      <c r="F22" s="1445">
        <f t="shared" si="6"/>
        <v>181.71296296296296</v>
      </c>
      <c r="G22" s="1445">
        <f t="shared" si="3"/>
        <v>0</v>
      </c>
      <c r="H22" s="1457">
        <f t="shared" si="0"/>
        <v>0</v>
      </c>
      <c r="I22" s="689"/>
      <c r="J22" s="689"/>
      <c r="K22" s="689"/>
      <c r="L22" s="702">
        <f t="shared" si="4"/>
        <v>46248</v>
      </c>
      <c r="M22" s="470"/>
      <c r="N22" s="364"/>
      <c r="O22" s="470"/>
      <c r="P22" s="293"/>
      <c r="Q22" s="293"/>
      <c r="R22" s="293"/>
      <c r="S22" s="293"/>
      <c r="T22" s="293"/>
      <c r="U22" s="293"/>
      <c r="V22" s="293"/>
      <c r="W22" s="293"/>
      <c r="X22" s="293"/>
      <c r="Y22" s="470"/>
      <c r="Z22" s="470"/>
      <c r="AA22" s="293"/>
      <c r="AB22" s="647">
        <f t="shared" si="5"/>
        <v>0</v>
      </c>
    </row>
    <row r="23" spans="1:28" s="367" customFormat="1" ht="12" customHeight="1">
      <c r="A23" s="425">
        <v>15</v>
      </c>
      <c r="B23" s="365">
        <f>'FRIT HGE91-FHG'!B23</f>
        <v>46249</v>
      </c>
      <c r="C23" s="331" t="s">
        <v>346</v>
      </c>
      <c r="D23" s="1445">
        <f t="shared" si="1"/>
        <v>0</v>
      </c>
      <c r="E23" s="1445">
        <f t="shared" si="2"/>
        <v>0</v>
      </c>
      <c r="F23" s="1445">
        <f t="shared" si="6"/>
        <v>181.71296296296296</v>
      </c>
      <c r="G23" s="1448">
        <f t="shared" si="3"/>
        <v>0</v>
      </c>
      <c r="H23" s="1457">
        <f t="shared" si="0"/>
        <v>0</v>
      </c>
      <c r="I23" s="689"/>
      <c r="J23" s="689"/>
      <c r="K23" s="689"/>
      <c r="L23" s="702">
        <f t="shared" si="4"/>
        <v>46249</v>
      </c>
      <c r="M23" s="470"/>
      <c r="N23" s="364"/>
      <c r="O23" s="470"/>
      <c r="P23" s="293"/>
      <c r="Q23" s="293"/>
      <c r="R23" s="293"/>
      <c r="S23" s="293"/>
      <c r="T23" s="293"/>
      <c r="U23" s="293"/>
      <c r="V23" s="293"/>
      <c r="W23" s="293"/>
      <c r="X23" s="293"/>
      <c r="Y23" s="470"/>
      <c r="Z23" s="470"/>
      <c r="AA23" s="293"/>
      <c r="AB23" s="647">
        <f t="shared" si="5"/>
        <v>0</v>
      </c>
    </row>
    <row r="24" spans="1:28" s="367" customFormat="1" ht="12" customHeight="1">
      <c r="A24" s="330">
        <v>16</v>
      </c>
      <c r="B24" s="365">
        <f>'FRIT HGE91-FHG'!B24</f>
        <v>46250</v>
      </c>
      <c r="C24" s="331" t="s">
        <v>346</v>
      </c>
      <c r="D24" s="1445">
        <f t="shared" si="1"/>
        <v>0</v>
      </c>
      <c r="E24" s="1445">
        <f t="shared" si="2"/>
        <v>0</v>
      </c>
      <c r="F24" s="1445">
        <f t="shared" si="6"/>
        <v>181.71296296296296</v>
      </c>
      <c r="G24" s="1445">
        <f t="shared" si="3"/>
        <v>0</v>
      </c>
      <c r="H24" s="1457">
        <f t="shared" si="0"/>
        <v>0</v>
      </c>
      <c r="I24" s="689"/>
      <c r="J24" s="689"/>
      <c r="K24" s="689"/>
      <c r="L24" s="702">
        <f t="shared" si="4"/>
        <v>46250</v>
      </c>
      <c r="M24" s="470"/>
      <c r="N24" s="364"/>
      <c r="O24" s="470"/>
      <c r="P24" s="293"/>
      <c r="Q24" s="293"/>
      <c r="R24" s="293"/>
      <c r="S24" s="293"/>
      <c r="T24" s="293"/>
      <c r="U24" s="293"/>
      <c r="V24" s="293"/>
      <c r="W24" s="293"/>
      <c r="X24" s="293"/>
      <c r="Y24" s="470"/>
      <c r="Z24" s="470"/>
      <c r="AA24" s="293"/>
      <c r="AB24" s="647">
        <f t="shared" si="5"/>
        <v>0</v>
      </c>
    </row>
    <row r="25" spans="1:28" s="367" customFormat="1" ht="12" customHeight="1">
      <c r="A25" s="330">
        <v>17</v>
      </c>
      <c r="B25" s="365">
        <f>'FRIT HGE91-FHG'!B25</f>
        <v>46251</v>
      </c>
      <c r="C25" s="331" t="s">
        <v>346</v>
      </c>
      <c r="D25" s="1445">
        <f t="shared" si="1"/>
        <v>0</v>
      </c>
      <c r="E25" s="1445">
        <f t="shared" si="2"/>
        <v>0</v>
      </c>
      <c r="F25" s="1445">
        <f t="shared" si="6"/>
        <v>181.71296296296296</v>
      </c>
      <c r="G25" s="1445">
        <f t="shared" si="3"/>
        <v>0</v>
      </c>
      <c r="H25" s="1457">
        <f t="shared" si="0"/>
        <v>0</v>
      </c>
      <c r="I25" s="689"/>
      <c r="J25" s="689"/>
      <c r="K25" s="689"/>
      <c r="L25" s="702">
        <f t="shared" si="4"/>
        <v>46251</v>
      </c>
      <c r="M25" s="470"/>
      <c r="N25" s="364"/>
      <c r="O25" s="470"/>
      <c r="P25" s="293"/>
      <c r="Q25" s="293"/>
      <c r="R25" s="293"/>
      <c r="S25" s="293"/>
      <c r="T25" s="293"/>
      <c r="U25" s="293"/>
      <c r="V25" s="293"/>
      <c r="W25" s="293"/>
      <c r="X25" s="293"/>
      <c r="Y25" s="470"/>
      <c r="Z25" s="470"/>
      <c r="AA25" s="293"/>
      <c r="AB25" s="647">
        <f t="shared" si="5"/>
        <v>0</v>
      </c>
    </row>
    <row r="26" spans="1:28" s="367" customFormat="1" ht="12" customHeight="1">
      <c r="A26" s="330">
        <v>18</v>
      </c>
      <c r="B26" s="365">
        <f>'FRIT HGE91-FHG'!B26</f>
        <v>46252</v>
      </c>
      <c r="C26" s="331" t="s">
        <v>346</v>
      </c>
      <c r="D26" s="1445">
        <f t="shared" si="1"/>
        <v>0</v>
      </c>
      <c r="E26" s="1445">
        <f t="shared" si="2"/>
        <v>0</v>
      </c>
      <c r="F26" s="1445">
        <f t="shared" si="6"/>
        <v>181.71296296296296</v>
      </c>
      <c r="G26" s="1445">
        <f t="shared" si="3"/>
        <v>0</v>
      </c>
      <c r="H26" s="1457">
        <f t="shared" si="0"/>
        <v>0</v>
      </c>
      <c r="I26" s="689"/>
      <c r="J26" s="689"/>
      <c r="K26" s="689"/>
      <c r="L26" s="702">
        <f t="shared" si="4"/>
        <v>46252</v>
      </c>
      <c r="M26" s="470"/>
      <c r="N26" s="364"/>
      <c r="O26" s="470"/>
      <c r="P26" s="293"/>
      <c r="Q26" s="293"/>
      <c r="R26" s="293"/>
      <c r="S26" s="293"/>
      <c r="T26" s="293"/>
      <c r="U26" s="293"/>
      <c r="V26" s="293"/>
      <c r="W26" s="293"/>
      <c r="X26" s="293"/>
      <c r="Y26" s="470"/>
      <c r="Z26" s="470"/>
      <c r="AA26" s="293"/>
      <c r="AB26" s="647">
        <f t="shared" si="5"/>
        <v>0</v>
      </c>
    </row>
    <row r="27" spans="1:28" s="367" customFormat="1" ht="12" customHeight="1">
      <c r="A27" s="330">
        <v>19</v>
      </c>
      <c r="B27" s="365">
        <f>'FRIT HGE91-FHG'!B27</f>
        <v>46253</v>
      </c>
      <c r="C27" s="331" t="s">
        <v>346</v>
      </c>
      <c r="D27" s="1445">
        <f t="shared" si="1"/>
        <v>0</v>
      </c>
      <c r="E27" s="1445">
        <f t="shared" si="2"/>
        <v>0</v>
      </c>
      <c r="F27" s="1445">
        <f t="shared" si="6"/>
        <v>181.71296296296296</v>
      </c>
      <c r="G27" s="1445">
        <f t="shared" si="3"/>
        <v>0</v>
      </c>
      <c r="H27" s="1457">
        <f t="shared" si="0"/>
        <v>0</v>
      </c>
      <c r="I27" s="689"/>
      <c r="J27" s="689"/>
      <c r="K27" s="689"/>
      <c r="L27" s="702">
        <f t="shared" si="4"/>
        <v>46253</v>
      </c>
      <c r="M27" s="470"/>
      <c r="N27" s="364"/>
      <c r="O27" s="470"/>
      <c r="P27" s="293"/>
      <c r="Q27" s="293"/>
      <c r="R27" s="293"/>
      <c r="S27" s="293"/>
      <c r="T27" s="293"/>
      <c r="U27" s="293"/>
      <c r="V27" s="293"/>
      <c r="W27" s="293"/>
      <c r="X27" s="293"/>
      <c r="Y27" s="470"/>
      <c r="Z27" s="470"/>
      <c r="AA27" s="293"/>
      <c r="AB27" s="647">
        <f t="shared" si="5"/>
        <v>0</v>
      </c>
    </row>
    <row r="28" spans="1:28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1445">
        <f t="shared" si="1"/>
        <v>0</v>
      </c>
      <c r="E28" s="1445">
        <f t="shared" si="2"/>
        <v>0</v>
      </c>
      <c r="F28" s="1445">
        <f t="shared" si="6"/>
        <v>181.71296296296296</v>
      </c>
      <c r="G28" s="1448">
        <f t="shared" si="3"/>
        <v>0</v>
      </c>
      <c r="H28" s="1457">
        <f t="shared" si="0"/>
        <v>0</v>
      </c>
      <c r="I28" s="689"/>
      <c r="J28" s="689"/>
      <c r="K28" s="689"/>
      <c r="L28" s="702">
        <f t="shared" si="4"/>
        <v>46254</v>
      </c>
      <c r="M28" s="470"/>
      <c r="N28" s="364"/>
      <c r="O28" s="470"/>
      <c r="P28" s="293"/>
      <c r="Q28" s="293"/>
      <c r="R28" s="293"/>
      <c r="S28" s="293"/>
      <c r="T28" s="293"/>
      <c r="U28" s="293"/>
      <c r="V28" s="293"/>
      <c r="W28" s="293"/>
      <c r="X28" s="293"/>
      <c r="Y28" s="470"/>
      <c r="Z28" s="470"/>
      <c r="AA28" s="293"/>
      <c r="AB28" s="647">
        <f t="shared" si="5"/>
        <v>0</v>
      </c>
    </row>
    <row r="29" spans="1:28" s="367" customFormat="1" ht="12" customHeight="1">
      <c r="A29" s="330">
        <v>21</v>
      </c>
      <c r="B29" s="365">
        <f>'FRIT HGE91-FHG'!B29</f>
        <v>46255</v>
      </c>
      <c r="C29" s="331" t="s">
        <v>346</v>
      </c>
      <c r="D29" s="1445">
        <f t="shared" si="1"/>
        <v>0</v>
      </c>
      <c r="E29" s="1445">
        <f t="shared" si="2"/>
        <v>0</v>
      </c>
      <c r="F29" s="1445">
        <f t="shared" si="6"/>
        <v>181.71296296296296</v>
      </c>
      <c r="G29" s="1458">
        <f t="shared" si="3"/>
        <v>0</v>
      </c>
      <c r="H29" s="1457">
        <f t="shared" si="0"/>
        <v>0</v>
      </c>
      <c r="I29" s="689"/>
      <c r="J29" s="689"/>
      <c r="K29" s="689"/>
      <c r="L29" s="702">
        <f t="shared" si="4"/>
        <v>46255</v>
      </c>
      <c r="M29" s="470"/>
      <c r="N29" s="364"/>
      <c r="O29" s="470"/>
      <c r="P29" s="293"/>
      <c r="Q29" s="293"/>
      <c r="R29" s="293"/>
      <c r="S29" s="293"/>
      <c r="T29" s="293"/>
      <c r="U29" s="293"/>
      <c r="V29" s="293"/>
      <c r="W29" s="293"/>
      <c r="X29" s="293"/>
      <c r="Y29" s="470"/>
      <c r="Z29" s="470"/>
      <c r="AA29" s="293"/>
      <c r="AB29" s="647">
        <f t="shared" si="5"/>
        <v>0</v>
      </c>
    </row>
    <row r="30" spans="1:28" s="367" customFormat="1" ht="14.25" customHeight="1">
      <c r="A30" s="330">
        <v>22</v>
      </c>
      <c r="B30" s="365">
        <f>'FRIT HGE91-FHG'!B30</f>
        <v>46256</v>
      </c>
      <c r="C30" s="331" t="s">
        <v>346</v>
      </c>
      <c r="D30" s="1445">
        <f t="shared" si="1"/>
        <v>0</v>
      </c>
      <c r="E30" s="1445">
        <f t="shared" si="2"/>
        <v>0</v>
      </c>
      <c r="F30" s="1445">
        <f t="shared" si="6"/>
        <v>181.71296296296296</v>
      </c>
      <c r="G30" s="1458">
        <f t="shared" si="3"/>
        <v>0</v>
      </c>
      <c r="H30" s="1457">
        <f t="shared" si="0"/>
        <v>0</v>
      </c>
      <c r="I30" s="689"/>
      <c r="J30" s="689"/>
      <c r="K30" s="689"/>
      <c r="L30" s="702">
        <f t="shared" si="4"/>
        <v>46256</v>
      </c>
      <c r="M30" s="470"/>
      <c r="N30" s="364"/>
      <c r="O30" s="470"/>
      <c r="P30" s="293"/>
      <c r="Q30" s="293"/>
      <c r="R30" s="293"/>
      <c r="S30" s="293"/>
      <c r="T30" s="293"/>
      <c r="U30" s="293"/>
      <c r="V30" s="293"/>
      <c r="W30" s="293"/>
      <c r="X30" s="293"/>
      <c r="Y30" s="470"/>
      <c r="Z30" s="470"/>
      <c r="AA30" s="293"/>
      <c r="AB30" s="647">
        <f t="shared" si="5"/>
        <v>0</v>
      </c>
    </row>
    <row r="31" spans="1:28" s="367" customFormat="1" ht="12" customHeight="1">
      <c r="A31" s="330">
        <v>23</v>
      </c>
      <c r="B31" s="365">
        <f>'FRIT HGE91-FHG'!B31</f>
        <v>46257</v>
      </c>
      <c r="C31" s="331" t="s">
        <v>346</v>
      </c>
      <c r="D31" s="1445">
        <f t="shared" si="1"/>
        <v>0</v>
      </c>
      <c r="E31" s="1445">
        <f t="shared" si="2"/>
        <v>0</v>
      </c>
      <c r="F31" s="1445">
        <f t="shared" si="6"/>
        <v>181.71296296296296</v>
      </c>
      <c r="G31" s="1458">
        <f t="shared" si="3"/>
        <v>0</v>
      </c>
      <c r="H31" s="1457">
        <f t="shared" si="0"/>
        <v>0</v>
      </c>
      <c r="I31" s="689"/>
      <c r="J31" s="689"/>
      <c r="K31" s="689"/>
      <c r="L31" s="702">
        <f t="shared" si="4"/>
        <v>46257</v>
      </c>
      <c r="M31" s="470"/>
      <c r="N31" s="364"/>
      <c r="O31" s="470"/>
      <c r="P31" s="293"/>
      <c r="Q31" s="293"/>
      <c r="R31" s="293"/>
      <c r="S31" s="293"/>
      <c r="T31" s="293"/>
      <c r="U31" s="293"/>
      <c r="V31" s="293"/>
      <c r="W31" s="293"/>
      <c r="X31" s="293"/>
      <c r="Y31" s="470"/>
      <c r="Z31" s="470"/>
      <c r="AA31" s="293"/>
      <c r="AB31" s="647">
        <f t="shared" si="5"/>
        <v>0</v>
      </c>
    </row>
    <row r="32" spans="1:28" s="367" customFormat="1" ht="12" customHeight="1">
      <c r="A32" s="330">
        <v>24</v>
      </c>
      <c r="B32" s="365">
        <f>'FRIT HGE91-FHG'!B32</f>
        <v>46258</v>
      </c>
      <c r="C32" s="331" t="s">
        <v>346</v>
      </c>
      <c r="D32" s="1445">
        <f t="shared" si="1"/>
        <v>0</v>
      </c>
      <c r="E32" s="1445">
        <f t="shared" si="2"/>
        <v>0</v>
      </c>
      <c r="F32" s="1445">
        <f t="shared" si="6"/>
        <v>181.71296296296296</v>
      </c>
      <c r="G32" s="1458">
        <f t="shared" si="3"/>
        <v>0</v>
      </c>
      <c r="H32" s="1457">
        <f t="shared" si="0"/>
        <v>0</v>
      </c>
      <c r="I32" s="689"/>
      <c r="J32" s="689"/>
      <c r="K32" s="689"/>
      <c r="L32" s="702">
        <f t="shared" si="4"/>
        <v>46258</v>
      </c>
      <c r="M32" s="470"/>
      <c r="N32" s="364"/>
      <c r="O32" s="470"/>
      <c r="P32" s="293"/>
      <c r="Q32" s="293"/>
      <c r="R32" s="293"/>
      <c r="S32" s="293"/>
      <c r="T32" s="293"/>
      <c r="U32" s="293"/>
      <c r="V32" s="293"/>
      <c r="W32" s="293"/>
      <c r="X32" s="293"/>
      <c r="Y32" s="470"/>
      <c r="Z32" s="470"/>
      <c r="AA32" s="293"/>
      <c r="AB32" s="647">
        <f t="shared" si="5"/>
        <v>0</v>
      </c>
    </row>
    <row r="33" spans="1:28" s="367" customFormat="1" ht="12" customHeight="1">
      <c r="A33" s="426">
        <v>25</v>
      </c>
      <c r="B33" s="365">
        <f>'FRIT HGE91-FHG'!B33</f>
        <v>46259</v>
      </c>
      <c r="C33" s="331" t="s">
        <v>346</v>
      </c>
      <c r="D33" s="1445">
        <f t="shared" si="1"/>
        <v>0</v>
      </c>
      <c r="E33" s="1445">
        <f t="shared" si="2"/>
        <v>0</v>
      </c>
      <c r="F33" s="1445">
        <f t="shared" si="6"/>
        <v>181.71296296296296</v>
      </c>
      <c r="G33" s="1449">
        <f t="shared" si="3"/>
        <v>0</v>
      </c>
      <c r="H33" s="1457">
        <f t="shared" si="0"/>
        <v>0</v>
      </c>
      <c r="I33" s="689"/>
      <c r="J33" s="689"/>
      <c r="K33" s="689"/>
      <c r="L33" s="702">
        <f t="shared" si="4"/>
        <v>46259</v>
      </c>
      <c r="M33" s="470"/>
      <c r="N33" s="364"/>
      <c r="O33" s="470"/>
      <c r="P33" s="293"/>
      <c r="Q33" s="293"/>
      <c r="R33" s="293"/>
      <c r="S33" s="293"/>
      <c r="T33" s="293"/>
      <c r="U33" s="293"/>
      <c r="V33" s="293"/>
      <c r="W33" s="293"/>
      <c r="X33" s="293"/>
      <c r="Y33" s="470"/>
      <c r="Z33" s="470"/>
      <c r="AA33" s="293"/>
      <c r="AB33" s="647">
        <f t="shared" si="5"/>
        <v>0</v>
      </c>
    </row>
    <row r="34" spans="1:28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1445">
        <f t="shared" si="1"/>
        <v>0</v>
      </c>
      <c r="E34" s="1445">
        <f t="shared" si="2"/>
        <v>0</v>
      </c>
      <c r="F34" s="1445">
        <f t="shared" si="6"/>
        <v>181.71296296296296</v>
      </c>
      <c r="G34" s="1445">
        <f t="shared" si="3"/>
        <v>0</v>
      </c>
      <c r="H34" s="1457">
        <f t="shared" si="0"/>
        <v>0</v>
      </c>
      <c r="I34" s="689"/>
      <c r="J34" s="689"/>
      <c r="K34" s="689"/>
      <c r="L34" s="702">
        <f t="shared" si="4"/>
        <v>46260</v>
      </c>
      <c r="M34" s="470"/>
      <c r="N34" s="364"/>
      <c r="O34" s="470"/>
      <c r="P34" s="293"/>
      <c r="Q34" s="293"/>
      <c r="R34" s="293"/>
      <c r="S34" s="293"/>
      <c r="T34" s="293"/>
      <c r="U34" s="293"/>
      <c r="V34" s="293"/>
      <c r="W34" s="293"/>
      <c r="X34" s="293"/>
      <c r="Y34" s="470"/>
      <c r="Z34" s="470"/>
      <c r="AA34" s="293"/>
      <c r="AB34" s="647">
        <f t="shared" si="5"/>
        <v>0</v>
      </c>
    </row>
    <row r="35" spans="1:28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1445">
        <f t="shared" si="1"/>
        <v>0</v>
      </c>
      <c r="E35" s="1445">
        <f t="shared" si="2"/>
        <v>0</v>
      </c>
      <c r="F35" s="1445">
        <f t="shared" si="6"/>
        <v>181.71296296296296</v>
      </c>
      <c r="G35" s="1445">
        <f t="shared" si="3"/>
        <v>0</v>
      </c>
      <c r="H35" s="1457">
        <f t="shared" si="0"/>
        <v>0</v>
      </c>
      <c r="I35" s="689"/>
      <c r="J35" s="689"/>
      <c r="K35" s="689"/>
      <c r="L35" s="702">
        <f t="shared" si="4"/>
        <v>46261</v>
      </c>
      <c r="M35" s="470"/>
      <c r="N35" s="364"/>
      <c r="O35" s="470"/>
      <c r="P35" s="293"/>
      <c r="Q35" s="293"/>
      <c r="R35" s="293"/>
      <c r="S35" s="293"/>
      <c r="T35" s="293"/>
      <c r="U35" s="293"/>
      <c r="V35" s="293"/>
      <c r="W35" s="293"/>
      <c r="X35" s="293"/>
      <c r="Y35" s="470"/>
      <c r="Z35" s="470"/>
      <c r="AA35" s="293"/>
      <c r="AB35" s="647">
        <f t="shared" si="5"/>
        <v>0</v>
      </c>
    </row>
    <row r="36" spans="1:28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1445">
        <f t="shared" si="1"/>
        <v>0</v>
      </c>
      <c r="E36" s="1445">
        <f t="shared" si="2"/>
        <v>0</v>
      </c>
      <c r="F36" s="1445">
        <f t="shared" si="6"/>
        <v>181.71296296296296</v>
      </c>
      <c r="G36" s="1445">
        <f>G35+D36-E36</f>
        <v>0</v>
      </c>
      <c r="H36" s="1457">
        <f t="shared" si="0"/>
        <v>0</v>
      </c>
      <c r="I36" s="689"/>
      <c r="J36" s="689"/>
      <c r="K36" s="689"/>
      <c r="L36" s="702">
        <f t="shared" si="4"/>
        <v>46262</v>
      </c>
      <c r="M36" s="470"/>
      <c r="N36" s="364"/>
      <c r="O36" s="470"/>
      <c r="P36" s="293"/>
      <c r="Q36" s="293"/>
      <c r="R36" s="293"/>
      <c r="S36" s="293"/>
      <c r="T36" s="293"/>
      <c r="U36" s="293"/>
      <c r="V36" s="293"/>
      <c r="W36" s="293"/>
      <c r="X36" s="293"/>
      <c r="Y36" s="470"/>
      <c r="Z36" s="470"/>
      <c r="AA36" s="293"/>
      <c r="AB36" s="647">
        <f t="shared" si="5"/>
        <v>0</v>
      </c>
    </row>
    <row r="37" spans="1:28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1445">
        <f t="shared" si="1"/>
        <v>0</v>
      </c>
      <c r="E37" s="1445">
        <f t="shared" si="2"/>
        <v>0</v>
      </c>
      <c r="F37" s="1445">
        <f t="shared" si="6"/>
        <v>181.71296296296296</v>
      </c>
      <c r="G37" s="1445">
        <f t="shared" si="3"/>
        <v>0</v>
      </c>
      <c r="H37" s="1457">
        <f t="shared" si="0"/>
        <v>0</v>
      </c>
      <c r="I37" s="689"/>
      <c r="J37" s="689"/>
      <c r="K37" s="689"/>
      <c r="L37" s="702">
        <f t="shared" si="4"/>
        <v>46263</v>
      </c>
      <c r="M37" s="470"/>
      <c r="N37" s="364"/>
      <c r="O37" s="470"/>
      <c r="P37" s="293"/>
      <c r="Q37" s="293"/>
      <c r="R37" s="293"/>
      <c r="S37" s="293"/>
      <c r="T37" s="293"/>
      <c r="U37" s="293"/>
      <c r="V37" s="293"/>
      <c r="W37" s="293"/>
      <c r="X37" s="293"/>
      <c r="Y37" s="470"/>
      <c r="Z37" s="470"/>
      <c r="AA37" s="293"/>
      <c r="AB37" s="647">
        <f t="shared" si="5"/>
        <v>0</v>
      </c>
    </row>
    <row r="38" spans="1:28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1445">
        <f t="shared" si="1"/>
        <v>0</v>
      </c>
      <c r="E38" s="1445">
        <f t="shared" si="2"/>
        <v>0</v>
      </c>
      <c r="F38" s="1445">
        <f t="shared" si="6"/>
        <v>181.71296296296296</v>
      </c>
      <c r="G38" s="1448">
        <f>G37+D38-E38</f>
        <v>0</v>
      </c>
      <c r="H38" s="1457">
        <f t="shared" si="0"/>
        <v>0</v>
      </c>
      <c r="I38" s="689"/>
      <c r="J38" s="689"/>
      <c r="K38" s="689"/>
      <c r="L38" s="702">
        <f t="shared" si="4"/>
        <v>46264</v>
      </c>
      <c r="M38" s="470"/>
      <c r="N38" s="364"/>
      <c r="O38" s="470"/>
      <c r="P38" s="293"/>
      <c r="Q38" s="293"/>
      <c r="R38" s="293"/>
      <c r="S38" s="293"/>
      <c r="T38" s="293"/>
      <c r="U38" s="293"/>
      <c r="V38" s="293"/>
      <c r="W38" s="293"/>
      <c r="X38" s="293"/>
      <c r="Y38" s="470"/>
      <c r="Z38" s="470"/>
      <c r="AA38" s="293"/>
      <c r="AB38" s="647">
        <f t="shared" si="5"/>
        <v>0</v>
      </c>
    </row>
    <row r="39" spans="1:28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1445">
        <f t="shared" si="1"/>
        <v>0</v>
      </c>
      <c r="E39" s="1445">
        <f t="shared" si="2"/>
        <v>0</v>
      </c>
      <c r="F39" s="1445">
        <f t="shared" si="6"/>
        <v>181.71296296296296</v>
      </c>
      <c r="G39" s="1445">
        <f>G38+D39-E39</f>
        <v>0</v>
      </c>
      <c r="H39" s="1457">
        <f t="shared" si="0"/>
        <v>0</v>
      </c>
      <c r="I39" s="689"/>
      <c r="J39" s="689"/>
      <c r="K39" s="689"/>
      <c r="L39" s="702">
        <f t="shared" si="4"/>
        <v>46265</v>
      </c>
      <c r="M39" s="470"/>
      <c r="N39" s="364"/>
      <c r="O39" s="470"/>
      <c r="P39" s="293"/>
      <c r="Q39" s="293"/>
      <c r="R39" s="293"/>
      <c r="S39" s="293"/>
      <c r="T39" s="293"/>
      <c r="U39" s="293"/>
      <c r="V39" s="293"/>
      <c r="W39" s="293"/>
      <c r="X39" s="293"/>
      <c r="Y39" s="470"/>
      <c r="Z39" s="470"/>
      <c r="AA39" s="293"/>
      <c r="AB39" s="647">
        <f t="shared" si="5"/>
        <v>0</v>
      </c>
    </row>
    <row r="40" spans="1:28" s="374" customFormat="1" ht="12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f>G39</f>
        <v>0</v>
      </c>
      <c r="H40" s="309"/>
      <c r="I40" s="389">
        <f>SUM(I9:I39)</f>
        <v>0</v>
      </c>
      <c r="J40" s="389">
        <f t="shared" ref="J40:K40" si="7">SUM(J9:J39)</f>
        <v>0</v>
      </c>
      <c r="K40" s="389">
        <f t="shared" si="7"/>
        <v>0</v>
      </c>
      <c r="L40" s="471" t="s">
        <v>239</v>
      </c>
      <c r="M40" s="699">
        <f>SUM(M9:M39)</f>
        <v>0</v>
      </c>
      <c r="N40" s="427">
        <f>SUM(N9:N39)</f>
        <v>0</v>
      </c>
      <c r="O40" s="699">
        <f>SUM(O9:O39)</f>
        <v>0</v>
      </c>
      <c r="P40" s="427">
        <f>SUM(P9:P39)</f>
        <v>0</v>
      </c>
      <c r="Q40" s="471">
        <f t="shared" ref="Q40:V40" si="8">SUM(Q9:Q39)</f>
        <v>0</v>
      </c>
      <c r="R40" s="471">
        <f t="shared" si="8"/>
        <v>0</v>
      </c>
      <c r="S40" s="472">
        <f t="shared" si="8"/>
        <v>0</v>
      </c>
      <c r="T40" s="472">
        <f t="shared" si="8"/>
        <v>0</v>
      </c>
      <c r="U40" s="473">
        <f t="shared" si="8"/>
        <v>0</v>
      </c>
      <c r="V40" s="473">
        <f t="shared" si="8"/>
        <v>0</v>
      </c>
      <c r="W40" s="474">
        <f>SUM(W9:W39)</f>
        <v>0</v>
      </c>
      <c r="X40" s="474">
        <f>SUM(X9:X39)</f>
        <v>0</v>
      </c>
      <c r="Y40" s="699">
        <f>SUM(Y9:Y39)</f>
        <v>0</v>
      </c>
      <c r="Z40" s="699">
        <f>SUM(Z9:Z39)</f>
        <v>0</v>
      </c>
      <c r="AA40" s="427">
        <f>SUM(AA9:AA39)</f>
        <v>0</v>
      </c>
    </row>
    <row r="41" spans="1:28" s="374" customFormat="1" ht="13.5" customHeight="1">
      <c r="A41" s="1647" t="s">
        <v>15</v>
      </c>
      <c r="B41" s="1647"/>
      <c r="C41" s="1647"/>
      <c r="D41" s="448">
        <f>D8+D40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  <c r="K41" s="794"/>
      <c r="Y41" s="1657">
        <f>Y40+Z40</f>
        <v>0</v>
      </c>
      <c r="Z41" s="1657"/>
    </row>
    <row r="42" spans="1:28" s="324" customFormat="1" ht="12.75">
      <c r="D42" s="343"/>
      <c r="E42" s="343"/>
      <c r="F42" s="343"/>
      <c r="G42" s="343"/>
      <c r="H42" s="343" t="s">
        <v>227</v>
      </c>
      <c r="I42" s="343"/>
      <c r="J42" s="343"/>
      <c r="K42" s="343"/>
      <c r="M42" s="343">
        <f>M40+O40+Y40+Z40</f>
        <v>0</v>
      </c>
    </row>
    <row r="43" spans="1:28" s="324" customFormat="1" ht="12.75">
      <c r="D43" s="343"/>
      <c r="E43" s="343"/>
      <c r="F43" s="343"/>
      <c r="G43" s="343"/>
      <c r="H43" s="343"/>
      <c r="I43" s="343"/>
      <c r="J43" s="343"/>
      <c r="K43" s="343"/>
      <c r="M43" s="343"/>
    </row>
    <row r="44" spans="1:28" s="324" customFormat="1" ht="12.75">
      <c r="D44" s="343"/>
      <c r="E44" s="343"/>
      <c r="F44" s="343"/>
      <c r="G44" s="343"/>
      <c r="H44" s="343"/>
      <c r="I44" s="343"/>
      <c r="J44" s="343"/>
      <c r="K44" s="343"/>
      <c r="M44" s="343"/>
    </row>
    <row r="45" spans="1:28" s="324" customFormat="1" ht="12.75">
      <c r="D45" s="343"/>
      <c r="E45" s="343"/>
      <c r="F45" s="343"/>
      <c r="G45" s="343"/>
      <c r="H45" s="343"/>
      <c r="I45" s="343"/>
      <c r="J45" s="343"/>
      <c r="K45" s="343"/>
      <c r="M45" s="343"/>
    </row>
    <row r="46" spans="1:28" s="324" customFormat="1" ht="12.75">
      <c r="D46" s="343"/>
      <c r="E46" s="343"/>
      <c r="F46" s="343"/>
      <c r="G46" s="343"/>
      <c r="H46" s="343" t="s">
        <v>333</v>
      </c>
      <c r="I46" s="343"/>
      <c r="J46" s="343"/>
      <c r="K46" s="343"/>
      <c r="M46" s="343"/>
    </row>
    <row r="47" spans="1:28" s="324" customFormat="1" ht="15">
      <c r="D47" s="343"/>
      <c r="E47" s="343"/>
      <c r="F47" s="343"/>
      <c r="G47" s="343"/>
      <c r="H47" s="326"/>
      <c r="AB47" s="143"/>
    </row>
    <row r="49" spans="4:7">
      <c r="D49" s="42"/>
      <c r="E49" s="42"/>
      <c r="F49" s="42"/>
      <c r="G49" s="42"/>
    </row>
  </sheetData>
  <mergeCells count="7">
    <mergeCell ref="Y7:Z7"/>
    <mergeCell ref="A3:I3"/>
    <mergeCell ref="A8:C8"/>
    <mergeCell ref="A40:C40"/>
    <mergeCell ref="A41:C41"/>
    <mergeCell ref="A4:B4"/>
    <mergeCell ref="Y41:Z41"/>
  </mergeCells>
  <conditionalFormatting sqref="H9:H39">
    <cfRule type="cellIs" dxfId="5765" priority="4" operator="between">
      <formula>3</formula>
      <formula>6</formula>
    </cfRule>
    <cfRule type="cellIs" dxfId="5764" priority="5" operator="lessThan">
      <formula>3</formula>
    </cfRule>
    <cfRule type="cellIs" dxfId="5763" priority="6" operator="greaterThan">
      <formula>6</formula>
    </cfRule>
  </conditionalFormatting>
  <conditionalFormatting sqref="H9:H39">
    <cfRule type="cellIs" dxfId="5762" priority="1" operator="between">
      <formula>3.5</formula>
      <formula>6</formula>
    </cfRule>
    <cfRule type="cellIs" dxfId="5761" priority="2" operator="lessThan">
      <formula>3.5</formula>
    </cfRule>
    <cfRule type="cellIs" dxfId="5760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E49"/>
  <sheetViews>
    <sheetView zoomScale="90" zoomScaleNormal="90" workbookViewId="0">
      <pane ySplit="8" topLeftCell="A15" activePane="bottomLeft" state="frozen"/>
      <selection pane="bottomLeft" activeCell="M27" sqref="M27"/>
    </sheetView>
  </sheetViews>
  <sheetFormatPr defaultColWidth="9.28515625" defaultRowHeight="16.5"/>
  <cols>
    <col min="1" max="1" width="5.42578125" style="42" customWidth="1"/>
    <col min="2" max="2" width="8.28515625" style="42" customWidth="1"/>
    <col min="3" max="3" width="14.42578125" style="42" customWidth="1"/>
    <col min="4" max="5" width="16.85546875" style="6" customWidth="1"/>
    <col min="6" max="6" width="14.28515625" style="6" customWidth="1"/>
    <col min="7" max="7" width="16.85546875" style="6" customWidth="1"/>
    <col min="8" max="8" width="12.5703125" style="42" customWidth="1"/>
    <col min="9" max="11" width="10.5703125" style="42" customWidth="1"/>
    <col min="12" max="12" width="9.28515625" style="42"/>
    <col min="13" max="13" width="8.28515625" style="42" customWidth="1"/>
    <col min="14" max="14" width="4.42578125" style="42" customWidth="1"/>
    <col min="15" max="15" width="6.85546875" style="42" customWidth="1"/>
    <col min="16" max="16" width="5.5703125" style="42" customWidth="1"/>
    <col min="17" max="22" width="0" style="42" hidden="1" customWidth="1"/>
    <col min="23" max="23" width="6.7109375" style="42" hidden="1" customWidth="1"/>
    <col min="24" max="24" width="5.85546875" style="42" hidden="1" customWidth="1"/>
    <col min="25" max="26" width="9.5703125" style="42" customWidth="1"/>
    <col min="27" max="27" width="5.5703125" style="42" customWidth="1"/>
    <col min="28" max="28" width="7.42578125" style="143" customWidth="1"/>
    <col min="29" max="16384" width="9.28515625" style="42"/>
  </cols>
  <sheetData>
    <row r="1" spans="1:31" s="143" customFormat="1" ht="13.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AB1" s="323"/>
    </row>
    <row r="2" spans="1:31" s="143" customFormat="1" ht="13.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L2" s="324"/>
      <c r="N2" s="324"/>
      <c r="O2" s="324">
        <v>12480</v>
      </c>
      <c r="P2" s="324"/>
      <c r="Q2" s="324"/>
      <c r="R2" s="324"/>
      <c r="S2" s="324"/>
      <c r="AB2" s="323"/>
    </row>
    <row r="3" spans="1:31" s="143" customFormat="1" ht="19.5" customHeight="1">
      <c r="A3" s="1644" t="s">
        <v>0</v>
      </c>
      <c r="B3" s="1644"/>
      <c r="C3" s="1644"/>
      <c r="D3" s="1644"/>
      <c r="E3" s="1644"/>
      <c r="F3" s="1644"/>
      <c r="G3" s="1644"/>
      <c r="H3" s="1644"/>
      <c r="I3" s="1644"/>
      <c r="J3" s="1473"/>
      <c r="K3" s="1473"/>
    </row>
    <row r="4" spans="1:31" s="1475" customFormat="1" ht="18.75" customHeight="1">
      <c r="A4" s="1648" t="s">
        <v>33</v>
      </c>
      <c r="B4" s="1648"/>
      <c r="C4" s="551" t="str">
        <f>H4</f>
        <v>PALLET GỖ 1100x1100x60</v>
      </c>
      <c r="E4" s="549" t="s">
        <v>228</v>
      </c>
      <c r="F4" s="549" t="s">
        <v>236</v>
      </c>
      <c r="G4" s="549" t="s">
        <v>114</v>
      </c>
      <c r="H4" s="551" t="s">
        <v>1235</v>
      </c>
      <c r="P4" s="1475">
        <f>91+104+67+60</f>
        <v>322</v>
      </c>
      <c r="AB4" s="143"/>
    </row>
    <row r="5" spans="1:31" s="1475" customFormat="1" ht="11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AB5" s="143"/>
    </row>
    <row r="6" spans="1:31" s="1475" customFormat="1" ht="14.25" customHeight="1">
      <c r="B6" s="453"/>
      <c r="C6" s="453"/>
      <c r="D6" s="453"/>
      <c r="E6" s="453"/>
      <c r="F6" s="453"/>
      <c r="G6" s="453">
        <v>1514</v>
      </c>
      <c r="H6" s="552" t="s">
        <v>40</v>
      </c>
      <c r="I6" s="577" t="s">
        <v>149</v>
      </c>
      <c r="J6" s="324"/>
      <c r="K6" s="324"/>
      <c r="AB6" s="143"/>
    </row>
    <row r="7" spans="1:31" s="305" customFormat="1" ht="28.5" customHeight="1">
      <c r="A7" s="1471" t="s">
        <v>2</v>
      </c>
      <c r="B7" s="1472" t="s">
        <v>1</v>
      </c>
      <c r="C7" s="1472" t="s">
        <v>24</v>
      </c>
      <c r="D7" s="1470" t="s">
        <v>250</v>
      </c>
      <c r="E7" s="1470" t="s">
        <v>249</v>
      </c>
      <c r="F7" s="1470" t="s">
        <v>265</v>
      </c>
      <c r="G7" s="1470" t="s">
        <v>253</v>
      </c>
      <c r="H7" s="1470" t="s">
        <v>30</v>
      </c>
      <c r="I7" s="1474"/>
      <c r="J7" s="1474"/>
      <c r="K7" s="792"/>
      <c r="Y7" s="1655" t="s">
        <v>350</v>
      </c>
      <c r="Z7" s="1656"/>
      <c r="AB7" s="143"/>
    </row>
    <row r="8" spans="1:31" s="305" customFormat="1" ht="12" customHeight="1">
      <c r="A8" s="1650" t="s">
        <v>3</v>
      </c>
      <c r="B8" s="1651"/>
      <c r="C8" s="1652"/>
      <c r="D8" s="387">
        <f>G8</f>
        <v>960</v>
      </c>
      <c r="E8" s="387">
        <f>E40</f>
        <v>5660</v>
      </c>
      <c r="F8" s="387"/>
      <c r="G8" s="624">
        <v>960</v>
      </c>
      <c r="H8" s="309"/>
      <c r="I8" s="697" t="s">
        <v>341</v>
      </c>
      <c r="J8" s="697" t="s">
        <v>244</v>
      </c>
      <c r="K8" s="793" t="s">
        <v>821</v>
      </c>
      <c r="L8" s="701" t="s">
        <v>1</v>
      </c>
      <c r="M8" s="313" t="s">
        <v>205</v>
      </c>
      <c r="N8" s="313" t="s">
        <v>332</v>
      </c>
      <c r="O8" s="313" t="s">
        <v>242</v>
      </c>
      <c r="P8" s="313" t="s">
        <v>332</v>
      </c>
      <c r="Q8" s="313" t="s">
        <v>207</v>
      </c>
      <c r="R8" s="313" t="s">
        <v>206</v>
      </c>
      <c r="S8" s="313" t="s">
        <v>210</v>
      </c>
      <c r="T8" s="313" t="s">
        <v>206</v>
      </c>
      <c r="U8" s="313" t="s">
        <v>208</v>
      </c>
      <c r="V8" s="313" t="s">
        <v>206</v>
      </c>
      <c r="W8" s="313" t="s">
        <v>241</v>
      </c>
      <c r="X8" s="313" t="s">
        <v>206</v>
      </c>
      <c r="Y8" s="313" t="s">
        <v>362</v>
      </c>
      <c r="Z8" s="313" t="s">
        <v>363</v>
      </c>
      <c r="AA8" s="313" t="s">
        <v>332</v>
      </c>
      <c r="AB8" s="143">
        <v>181.7</v>
      </c>
    </row>
    <row r="9" spans="1:31" s="333" customFormat="1" ht="12" customHeight="1">
      <c r="A9" s="330">
        <v>1</v>
      </c>
      <c r="B9" s="365">
        <f>'FRIT HGE91-FHG'!B9</f>
        <v>46235</v>
      </c>
      <c r="C9" s="331" t="s">
        <v>346</v>
      </c>
      <c r="D9" s="1445">
        <f>M9+O9+Y9+Z9</f>
        <v>160</v>
      </c>
      <c r="E9" s="1445">
        <f>I9+J9+K9</f>
        <v>360</v>
      </c>
      <c r="F9" s="1445">
        <f>15700/1.44/60</f>
        <v>181.71296296296296</v>
      </c>
      <c r="G9" s="1445">
        <f>G8+D9-E9</f>
        <v>760</v>
      </c>
      <c r="H9" s="1457">
        <f t="shared" ref="H9:H39" si="0">G9/F9</f>
        <v>4.1824203821656054</v>
      </c>
      <c r="I9" s="689">
        <v>360</v>
      </c>
      <c r="J9" s="689"/>
      <c r="K9" s="689"/>
      <c r="L9" s="702">
        <f>B9</f>
        <v>46235</v>
      </c>
      <c r="M9" s="470"/>
      <c r="N9" s="364"/>
      <c r="O9" s="470"/>
      <c r="P9" s="293"/>
      <c r="Q9" s="293"/>
      <c r="R9" s="293"/>
      <c r="S9" s="293"/>
      <c r="T9" s="293"/>
      <c r="U9" s="293"/>
      <c r="V9" s="293"/>
      <c r="W9" s="293"/>
      <c r="X9" s="293"/>
      <c r="Y9" s="470">
        <v>160</v>
      </c>
      <c r="Z9" s="470"/>
      <c r="AA9" s="293"/>
      <c r="AB9" s="647">
        <f>G9/$AB$8</f>
        <v>4.1827187671986792</v>
      </c>
      <c r="AC9" s="367"/>
      <c r="AD9" s="367"/>
      <c r="AE9" s="367"/>
    </row>
    <row r="10" spans="1:31" s="333" customFormat="1" ht="12" customHeight="1">
      <c r="A10" s="330">
        <v>2</v>
      </c>
      <c r="B10" s="365">
        <f>'FRIT HGE91-FHG'!B10</f>
        <v>46236</v>
      </c>
      <c r="C10" s="331" t="s">
        <v>346</v>
      </c>
      <c r="D10" s="1445">
        <f t="shared" ref="D10:D39" si="1">M10+O10+Y10+Z10</f>
        <v>0</v>
      </c>
      <c r="E10" s="1445">
        <f t="shared" ref="E10:E39" si="2">I10+J10+K10</f>
        <v>0</v>
      </c>
      <c r="F10" s="1445">
        <f>$F$9</f>
        <v>181.71296296296296</v>
      </c>
      <c r="G10" s="1445">
        <f t="shared" ref="G10:G37" si="3">G9+D10-E10</f>
        <v>760</v>
      </c>
      <c r="H10" s="1457">
        <f t="shared" si="0"/>
        <v>4.1824203821656054</v>
      </c>
      <c r="I10" s="689"/>
      <c r="J10" s="689"/>
      <c r="K10" s="689"/>
      <c r="L10" s="702">
        <f t="shared" ref="L10:L39" si="4">B10</f>
        <v>46236</v>
      </c>
      <c r="M10" s="470"/>
      <c r="N10" s="364"/>
      <c r="O10" s="470"/>
      <c r="P10" s="293"/>
      <c r="Q10" s="293"/>
      <c r="R10" s="293"/>
      <c r="S10" s="293"/>
      <c r="T10" s="293"/>
      <c r="U10" s="293"/>
      <c r="V10" s="293"/>
      <c r="W10" s="293"/>
      <c r="X10" s="293"/>
      <c r="Y10" s="470"/>
      <c r="Z10" s="470"/>
      <c r="AA10" s="293"/>
      <c r="AB10" s="647">
        <f t="shared" ref="AB10:AB39" si="5">G10/$AB$8</f>
        <v>4.1827187671986792</v>
      </c>
      <c r="AC10" s="367"/>
      <c r="AD10" s="367"/>
      <c r="AE10" s="367"/>
    </row>
    <row r="11" spans="1:31" s="333" customFormat="1" ht="12" customHeight="1">
      <c r="A11" s="330">
        <v>3</v>
      </c>
      <c r="B11" s="365">
        <f>'FRIT HGE91-FHG'!B11</f>
        <v>46237</v>
      </c>
      <c r="C11" s="331" t="s">
        <v>346</v>
      </c>
      <c r="D11" s="1445">
        <f t="shared" si="1"/>
        <v>145</v>
      </c>
      <c r="E11" s="1445">
        <f t="shared" si="2"/>
        <v>340</v>
      </c>
      <c r="F11" s="1445">
        <f t="shared" ref="F11:F39" si="6">$F$9</f>
        <v>181.71296296296296</v>
      </c>
      <c r="G11" s="1445">
        <f t="shared" si="3"/>
        <v>565</v>
      </c>
      <c r="H11" s="1457">
        <f t="shared" si="0"/>
        <v>3.1092993630573247</v>
      </c>
      <c r="I11" s="689">
        <v>180</v>
      </c>
      <c r="J11" s="689">
        <v>160</v>
      </c>
      <c r="K11" s="689"/>
      <c r="L11" s="702">
        <f t="shared" si="4"/>
        <v>46237</v>
      </c>
      <c r="M11" s="470"/>
      <c r="N11" s="364"/>
      <c r="O11" s="470"/>
      <c r="P11" s="293"/>
      <c r="Q11" s="293"/>
      <c r="R11" s="293"/>
      <c r="S11" s="293"/>
      <c r="T11" s="293"/>
      <c r="U11" s="293"/>
      <c r="V11" s="293"/>
      <c r="W11" s="293"/>
      <c r="X11" s="293"/>
      <c r="Y11" s="470">
        <v>145</v>
      </c>
      <c r="Z11" s="470"/>
      <c r="AA11" s="293"/>
      <c r="AB11" s="647">
        <f t="shared" si="5"/>
        <v>3.1095211887727023</v>
      </c>
      <c r="AC11" s="367"/>
      <c r="AD11" s="367"/>
      <c r="AE11" s="367"/>
    </row>
    <row r="12" spans="1:31" s="367" customFormat="1" ht="12" customHeight="1">
      <c r="A12" s="330">
        <v>4</v>
      </c>
      <c r="B12" s="365">
        <f>'FRIT HGE91-FHG'!B12</f>
        <v>46238</v>
      </c>
      <c r="C12" s="331" t="s">
        <v>346</v>
      </c>
      <c r="D12" s="1445">
        <f t="shared" si="1"/>
        <v>145</v>
      </c>
      <c r="E12" s="1445">
        <f t="shared" si="2"/>
        <v>340</v>
      </c>
      <c r="F12" s="1445">
        <f t="shared" si="6"/>
        <v>181.71296296296296</v>
      </c>
      <c r="G12" s="1445">
        <f t="shared" si="3"/>
        <v>370</v>
      </c>
      <c r="H12" s="1457">
        <f t="shared" si="0"/>
        <v>2.0361783439490444</v>
      </c>
      <c r="I12" s="689">
        <v>180</v>
      </c>
      <c r="J12" s="689">
        <v>160</v>
      </c>
      <c r="K12" s="689"/>
      <c r="L12" s="702">
        <f t="shared" si="4"/>
        <v>46238</v>
      </c>
      <c r="M12" s="470"/>
      <c r="N12" s="364"/>
      <c r="O12" s="470"/>
      <c r="P12" s="293"/>
      <c r="Q12" s="293"/>
      <c r="R12" s="293"/>
      <c r="S12" s="293"/>
      <c r="T12" s="293"/>
      <c r="U12" s="293"/>
      <c r="V12" s="293"/>
      <c r="W12" s="293"/>
      <c r="X12" s="293"/>
      <c r="Y12" s="470">
        <v>145</v>
      </c>
      <c r="Z12" s="470"/>
      <c r="AA12" s="293"/>
      <c r="AB12" s="647">
        <f t="shared" si="5"/>
        <v>2.0363236103467255</v>
      </c>
    </row>
    <row r="13" spans="1:31" s="367" customFormat="1" ht="12" customHeight="1">
      <c r="A13" s="425">
        <v>5</v>
      </c>
      <c r="B13" s="365">
        <f>'FRIT HGE91-FHG'!B13</f>
        <v>46239</v>
      </c>
      <c r="C13" s="331" t="s">
        <v>346</v>
      </c>
      <c r="D13" s="1445">
        <f t="shared" si="1"/>
        <v>703</v>
      </c>
      <c r="E13" s="1445">
        <f t="shared" si="2"/>
        <v>340</v>
      </c>
      <c r="F13" s="1445">
        <f t="shared" si="6"/>
        <v>181.71296296296296</v>
      </c>
      <c r="G13" s="1448">
        <f t="shared" si="3"/>
        <v>733</v>
      </c>
      <c r="H13" s="1457">
        <f t="shared" si="0"/>
        <v>4.0338343949044591</v>
      </c>
      <c r="I13" s="689">
        <v>180</v>
      </c>
      <c r="J13" s="689">
        <v>160</v>
      </c>
      <c r="K13" s="689"/>
      <c r="L13" s="702">
        <f t="shared" si="4"/>
        <v>46239</v>
      </c>
      <c r="M13" s="470">
        <v>270</v>
      </c>
      <c r="N13" s="364"/>
      <c r="O13" s="470">
        <v>288</v>
      </c>
      <c r="P13" s="293"/>
      <c r="Q13" s="293"/>
      <c r="R13" s="293"/>
      <c r="S13" s="293"/>
      <c r="T13" s="293"/>
      <c r="U13" s="293"/>
      <c r="V13" s="293"/>
      <c r="W13" s="293"/>
      <c r="X13" s="293"/>
      <c r="Y13" s="470">
        <v>145</v>
      </c>
      <c r="Z13" s="470"/>
      <c r="AA13" s="293"/>
      <c r="AB13" s="647">
        <f t="shared" si="5"/>
        <v>4.0341221794166211</v>
      </c>
    </row>
    <row r="14" spans="1:31" s="367" customFormat="1" ht="12" customHeight="1">
      <c r="A14" s="330">
        <v>6</v>
      </c>
      <c r="B14" s="365">
        <f>'FRIT HGE91-FHG'!B14</f>
        <v>46240</v>
      </c>
      <c r="C14" s="331" t="s">
        <v>346</v>
      </c>
      <c r="D14" s="1445">
        <f t="shared" si="1"/>
        <v>145</v>
      </c>
      <c r="E14" s="1445">
        <f t="shared" si="2"/>
        <v>340</v>
      </c>
      <c r="F14" s="1445">
        <f t="shared" si="6"/>
        <v>181.71296296296296</v>
      </c>
      <c r="G14" s="1445">
        <f t="shared" si="3"/>
        <v>538</v>
      </c>
      <c r="H14" s="1457">
        <f t="shared" si="0"/>
        <v>2.9607133757961783</v>
      </c>
      <c r="I14" s="689">
        <v>180</v>
      </c>
      <c r="J14" s="689">
        <v>160</v>
      </c>
      <c r="K14" s="689"/>
      <c r="L14" s="702">
        <f t="shared" si="4"/>
        <v>46240</v>
      </c>
      <c r="M14" s="470"/>
      <c r="N14" s="364"/>
      <c r="O14" s="470"/>
      <c r="P14" s="293"/>
      <c r="Q14" s="293"/>
      <c r="R14" s="293"/>
      <c r="S14" s="293"/>
      <c r="T14" s="293"/>
      <c r="U14" s="293"/>
      <c r="V14" s="293"/>
      <c r="W14" s="293"/>
      <c r="X14" s="293"/>
      <c r="Y14" s="470">
        <v>145</v>
      </c>
      <c r="Z14" s="470"/>
      <c r="AA14" s="293"/>
      <c r="AB14" s="647">
        <f t="shared" si="5"/>
        <v>2.9609246009906443</v>
      </c>
    </row>
    <row r="15" spans="1:31" s="367" customFormat="1" ht="12" customHeight="1">
      <c r="A15" s="330">
        <v>7</v>
      </c>
      <c r="B15" s="365">
        <f>'FRIT HGE91-FHG'!B15</f>
        <v>46241</v>
      </c>
      <c r="C15" s="331" t="s">
        <v>346</v>
      </c>
      <c r="D15" s="1445">
        <f t="shared" si="1"/>
        <v>469</v>
      </c>
      <c r="E15" s="1445">
        <f t="shared" si="2"/>
        <v>340</v>
      </c>
      <c r="F15" s="1445">
        <f t="shared" si="6"/>
        <v>181.71296296296296</v>
      </c>
      <c r="G15" s="1445">
        <f t="shared" si="3"/>
        <v>667</v>
      </c>
      <c r="H15" s="1457">
        <f t="shared" si="0"/>
        <v>3.6706242038216561</v>
      </c>
      <c r="I15" s="689">
        <v>180</v>
      </c>
      <c r="J15" s="689">
        <v>160</v>
      </c>
      <c r="K15" s="689"/>
      <c r="L15" s="702">
        <f t="shared" si="4"/>
        <v>46241</v>
      </c>
      <c r="M15" s="470"/>
      <c r="N15" s="364"/>
      <c r="O15" s="470">
        <v>324</v>
      </c>
      <c r="P15" s="293"/>
      <c r="Q15" s="293"/>
      <c r="R15" s="293"/>
      <c r="S15" s="293"/>
      <c r="T15" s="293"/>
      <c r="U15" s="293"/>
      <c r="V15" s="293"/>
      <c r="W15" s="293"/>
      <c r="X15" s="293"/>
      <c r="Y15" s="470">
        <v>145</v>
      </c>
      <c r="Z15" s="470"/>
      <c r="AA15" s="293"/>
      <c r="AB15" s="647">
        <f t="shared" si="5"/>
        <v>3.6708860759493671</v>
      </c>
    </row>
    <row r="16" spans="1:31" s="367" customFormat="1" ht="12" customHeight="1">
      <c r="A16" s="330">
        <v>8</v>
      </c>
      <c r="B16" s="365">
        <f>'FRIT HGE91-FHG'!B16</f>
        <v>46242</v>
      </c>
      <c r="C16" s="331" t="s">
        <v>346</v>
      </c>
      <c r="D16" s="1445">
        <f t="shared" si="1"/>
        <v>477</v>
      </c>
      <c r="E16" s="1445">
        <f t="shared" si="2"/>
        <v>680</v>
      </c>
      <c r="F16" s="1445">
        <f t="shared" si="6"/>
        <v>181.71296296296296</v>
      </c>
      <c r="G16" s="1445">
        <f t="shared" si="3"/>
        <v>464</v>
      </c>
      <c r="H16" s="1457">
        <f t="shared" si="0"/>
        <v>2.5534777070063694</v>
      </c>
      <c r="I16" s="689">
        <v>360</v>
      </c>
      <c r="J16" s="689">
        <v>320</v>
      </c>
      <c r="K16" s="689"/>
      <c r="L16" s="702">
        <f t="shared" si="4"/>
        <v>46242</v>
      </c>
      <c r="M16" s="470">
        <v>332</v>
      </c>
      <c r="N16" s="364"/>
      <c r="O16" s="470"/>
      <c r="P16" s="293"/>
      <c r="Q16" s="293"/>
      <c r="R16" s="293"/>
      <c r="S16" s="293"/>
      <c r="T16" s="293"/>
      <c r="U16" s="293"/>
      <c r="V16" s="293"/>
      <c r="W16" s="293"/>
      <c r="X16" s="293"/>
      <c r="Y16" s="470">
        <v>145</v>
      </c>
      <c r="Z16" s="470"/>
      <c r="AA16" s="293"/>
      <c r="AB16" s="647">
        <f t="shared" si="5"/>
        <v>2.553659878921299</v>
      </c>
    </row>
    <row r="17" spans="1:28" s="367" customFormat="1" ht="12" customHeight="1">
      <c r="A17" s="330">
        <v>9</v>
      </c>
      <c r="B17" s="365">
        <f>'FRIT HGE91-FHG'!B17</f>
        <v>46243</v>
      </c>
      <c r="C17" s="331" t="s">
        <v>346</v>
      </c>
      <c r="D17" s="1445">
        <f t="shared" si="1"/>
        <v>0</v>
      </c>
      <c r="E17" s="1445">
        <f t="shared" si="2"/>
        <v>0</v>
      </c>
      <c r="F17" s="1445">
        <f t="shared" si="6"/>
        <v>181.71296296296296</v>
      </c>
      <c r="G17" s="1445">
        <f t="shared" si="3"/>
        <v>464</v>
      </c>
      <c r="H17" s="1457">
        <f t="shared" si="0"/>
        <v>2.5534777070063694</v>
      </c>
      <c r="I17" s="689"/>
      <c r="J17" s="689"/>
      <c r="K17" s="689"/>
      <c r="L17" s="702">
        <f t="shared" si="4"/>
        <v>46243</v>
      </c>
      <c r="M17" s="470"/>
      <c r="N17" s="364"/>
      <c r="O17" s="470"/>
      <c r="P17" s="293"/>
      <c r="Q17" s="293"/>
      <c r="R17" s="293"/>
      <c r="S17" s="293"/>
      <c r="T17" s="293"/>
      <c r="U17" s="293"/>
      <c r="V17" s="293"/>
      <c r="W17" s="293"/>
      <c r="X17" s="293"/>
      <c r="Y17" s="470"/>
      <c r="Z17" s="470"/>
      <c r="AA17" s="293"/>
      <c r="AB17" s="647">
        <f t="shared" si="5"/>
        <v>2.553659878921299</v>
      </c>
    </row>
    <row r="18" spans="1:28" s="367" customFormat="1" ht="12" customHeight="1">
      <c r="A18" s="425">
        <v>10</v>
      </c>
      <c r="B18" s="365">
        <f>'FRIT HGE91-FHG'!B18</f>
        <v>46244</v>
      </c>
      <c r="C18" s="331" t="s">
        <v>346</v>
      </c>
      <c r="D18" s="1445">
        <f t="shared" si="1"/>
        <v>145</v>
      </c>
      <c r="E18" s="1445">
        <f t="shared" si="2"/>
        <v>340</v>
      </c>
      <c r="F18" s="1445">
        <f t="shared" si="6"/>
        <v>181.71296296296296</v>
      </c>
      <c r="G18" s="1448">
        <f t="shared" si="3"/>
        <v>269</v>
      </c>
      <c r="H18" s="1457">
        <f t="shared" si="0"/>
        <v>1.4803566878980892</v>
      </c>
      <c r="I18" s="689">
        <v>180</v>
      </c>
      <c r="J18" s="689">
        <v>160</v>
      </c>
      <c r="K18" s="689"/>
      <c r="L18" s="702">
        <f t="shared" si="4"/>
        <v>46244</v>
      </c>
      <c r="M18" s="470"/>
      <c r="N18" s="364"/>
      <c r="O18" s="470"/>
      <c r="P18" s="293"/>
      <c r="Q18" s="293"/>
      <c r="R18" s="293"/>
      <c r="S18" s="293"/>
      <c r="T18" s="293"/>
      <c r="U18" s="293"/>
      <c r="V18" s="293"/>
      <c r="W18" s="293"/>
      <c r="X18" s="293"/>
      <c r="Y18" s="470">
        <v>145</v>
      </c>
      <c r="Z18" s="470"/>
      <c r="AA18" s="293"/>
      <c r="AB18" s="647">
        <f t="shared" si="5"/>
        <v>1.4804623004953221</v>
      </c>
    </row>
    <row r="19" spans="1:28" s="367" customFormat="1" ht="12" customHeight="1">
      <c r="A19" s="330">
        <v>11</v>
      </c>
      <c r="B19" s="365">
        <f>'FRIT HGE91-FHG'!B19</f>
        <v>46245</v>
      </c>
      <c r="C19" s="331" t="s">
        <v>346</v>
      </c>
      <c r="D19" s="1445">
        <f t="shared" si="1"/>
        <v>303</v>
      </c>
      <c r="E19" s="1445">
        <f t="shared" si="2"/>
        <v>340</v>
      </c>
      <c r="F19" s="1445">
        <f t="shared" si="6"/>
        <v>181.71296296296296</v>
      </c>
      <c r="G19" s="1445">
        <f t="shared" si="3"/>
        <v>232</v>
      </c>
      <c r="H19" s="1457">
        <f t="shared" si="0"/>
        <v>1.2767388535031847</v>
      </c>
      <c r="I19" s="689">
        <v>180</v>
      </c>
      <c r="J19" s="689">
        <v>160</v>
      </c>
      <c r="K19" s="689"/>
      <c r="L19" s="702">
        <f t="shared" si="4"/>
        <v>46245</v>
      </c>
      <c r="M19" s="470">
        <v>158</v>
      </c>
      <c r="N19" s="364"/>
      <c r="O19" s="470"/>
      <c r="P19" s="293"/>
      <c r="Q19" s="293"/>
      <c r="R19" s="293"/>
      <c r="S19" s="293"/>
      <c r="T19" s="293"/>
      <c r="U19" s="293"/>
      <c r="V19" s="293"/>
      <c r="W19" s="293"/>
      <c r="X19" s="293"/>
      <c r="Y19" s="470">
        <v>145</v>
      </c>
      <c r="Z19" s="470"/>
      <c r="AA19" s="293"/>
      <c r="AB19" s="647">
        <f t="shared" si="5"/>
        <v>1.2768299394606495</v>
      </c>
    </row>
    <row r="20" spans="1:28" s="367" customFormat="1" ht="12" customHeight="1">
      <c r="A20" s="330">
        <v>12</v>
      </c>
      <c r="B20" s="365">
        <f>'FRIT HGE91-FHG'!B20</f>
        <v>46246</v>
      </c>
      <c r="C20" s="331" t="s">
        <v>346</v>
      </c>
      <c r="D20" s="1445">
        <f t="shared" si="1"/>
        <v>425</v>
      </c>
      <c r="E20" s="1445">
        <f t="shared" si="2"/>
        <v>320</v>
      </c>
      <c r="F20" s="1445">
        <f t="shared" si="6"/>
        <v>181.71296296296296</v>
      </c>
      <c r="G20" s="1445">
        <f t="shared" si="3"/>
        <v>337</v>
      </c>
      <c r="H20" s="1457">
        <f t="shared" si="0"/>
        <v>1.8545732484076434</v>
      </c>
      <c r="I20" s="689">
        <v>180</v>
      </c>
      <c r="J20" s="689">
        <v>140</v>
      </c>
      <c r="K20" s="689"/>
      <c r="L20" s="702">
        <f t="shared" si="4"/>
        <v>46246</v>
      </c>
      <c r="M20" s="470"/>
      <c r="N20" s="364"/>
      <c r="O20" s="470">
        <v>280</v>
      </c>
      <c r="P20" s="293"/>
      <c r="Q20" s="293"/>
      <c r="R20" s="293"/>
      <c r="S20" s="293"/>
      <c r="T20" s="293"/>
      <c r="U20" s="293"/>
      <c r="V20" s="293"/>
      <c r="W20" s="293"/>
      <c r="X20" s="293"/>
      <c r="Y20" s="470">
        <v>145</v>
      </c>
      <c r="Z20" s="470"/>
      <c r="AA20" s="293"/>
      <c r="AB20" s="647">
        <f t="shared" si="5"/>
        <v>1.8547055586130987</v>
      </c>
    </row>
    <row r="21" spans="1:28" s="367" customFormat="1" ht="12" customHeight="1">
      <c r="A21" s="330">
        <v>13</v>
      </c>
      <c r="B21" s="365">
        <f>'FRIT HGE91-FHG'!B21</f>
        <v>46247</v>
      </c>
      <c r="C21" s="331" t="s">
        <v>346</v>
      </c>
      <c r="D21" s="1445">
        <f t="shared" si="1"/>
        <v>435</v>
      </c>
      <c r="E21" s="1445">
        <f t="shared" si="2"/>
        <v>580</v>
      </c>
      <c r="F21" s="1445">
        <f t="shared" si="6"/>
        <v>181.71296296296296</v>
      </c>
      <c r="G21" s="1445">
        <f t="shared" si="3"/>
        <v>192</v>
      </c>
      <c r="H21" s="1457">
        <f t="shared" si="0"/>
        <v>1.0566114649681528</v>
      </c>
      <c r="I21" s="689">
        <v>180</v>
      </c>
      <c r="J21" s="689">
        <v>400</v>
      </c>
      <c r="K21" s="689"/>
      <c r="L21" s="702">
        <f t="shared" si="4"/>
        <v>46247</v>
      </c>
      <c r="M21" s="470">
        <v>290</v>
      </c>
      <c r="N21" s="364"/>
      <c r="O21" s="470"/>
      <c r="P21" s="293"/>
      <c r="Q21" s="293"/>
      <c r="R21" s="293"/>
      <c r="S21" s="293"/>
      <c r="T21" s="293"/>
      <c r="U21" s="293"/>
      <c r="V21" s="293"/>
      <c r="W21" s="293"/>
      <c r="X21" s="293"/>
      <c r="Y21" s="470">
        <v>145</v>
      </c>
      <c r="Z21" s="470"/>
      <c r="AA21" s="293"/>
      <c r="AB21" s="647">
        <f t="shared" si="5"/>
        <v>1.0566868464501926</v>
      </c>
    </row>
    <row r="22" spans="1:28" s="367" customFormat="1" ht="12" customHeight="1">
      <c r="A22" s="330">
        <v>14</v>
      </c>
      <c r="B22" s="365">
        <f>'FRIT HGE91-FHG'!B22</f>
        <v>46248</v>
      </c>
      <c r="C22" s="331" t="s">
        <v>346</v>
      </c>
      <c r="D22" s="1445">
        <f t="shared" si="1"/>
        <v>619</v>
      </c>
      <c r="E22" s="1445">
        <f t="shared" si="2"/>
        <v>380</v>
      </c>
      <c r="F22" s="1445">
        <f t="shared" si="6"/>
        <v>181.71296296296296</v>
      </c>
      <c r="G22" s="1445">
        <f t="shared" si="3"/>
        <v>431</v>
      </c>
      <c r="H22" s="1457">
        <f t="shared" si="0"/>
        <v>2.3718726114649682</v>
      </c>
      <c r="I22" s="689">
        <v>180</v>
      </c>
      <c r="J22" s="689">
        <v>200</v>
      </c>
      <c r="K22" s="689"/>
      <c r="L22" s="702">
        <f t="shared" si="4"/>
        <v>46248</v>
      </c>
      <c r="M22" s="470">
        <v>230</v>
      </c>
      <c r="N22" s="364"/>
      <c r="O22" s="470">
        <v>244</v>
      </c>
      <c r="P22" s="293"/>
      <c r="Q22" s="293"/>
      <c r="R22" s="293"/>
      <c r="S22" s="293"/>
      <c r="T22" s="293"/>
      <c r="U22" s="293"/>
      <c r="V22" s="293"/>
      <c r="W22" s="293"/>
      <c r="X22" s="293"/>
      <c r="Y22" s="470">
        <v>145</v>
      </c>
      <c r="Z22" s="470"/>
      <c r="AA22" s="293"/>
      <c r="AB22" s="647">
        <f t="shared" si="5"/>
        <v>2.372041827187672</v>
      </c>
    </row>
    <row r="23" spans="1:28" s="367" customFormat="1" ht="12" customHeight="1">
      <c r="A23" s="425">
        <v>15</v>
      </c>
      <c r="B23" s="365">
        <f>'FRIT HGE91-FHG'!B23</f>
        <v>46249</v>
      </c>
      <c r="C23" s="331" t="s">
        <v>346</v>
      </c>
      <c r="D23" s="1445">
        <f t="shared" si="1"/>
        <v>155</v>
      </c>
      <c r="E23" s="1445">
        <f t="shared" si="2"/>
        <v>400</v>
      </c>
      <c r="F23" s="1445">
        <f t="shared" si="6"/>
        <v>181.71296296296296</v>
      </c>
      <c r="G23" s="1448">
        <f t="shared" si="3"/>
        <v>186</v>
      </c>
      <c r="H23" s="1457">
        <f t="shared" si="0"/>
        <v>1.0235923566878982</v>
      </c>
      <c r="I23" s="689">
        <v>360</v>
      </c>
      <c r="J23" s="689"/>
      <c r="K23" s="689">
        <v>40</v>
      </c>
      <c r="L23" s="702">
        <f t="shared" si="4"/>
        <v>46249</v>
      </c>
      <c r="M23" s="470"/>
      <c r="N23" s="364"/>
      <c r="O23" s="470"/>
      <c r="P23" s="293"/>
      <c r="Q23" s="293"/>
      <c r="R23" s="293"/>
      <c r="S23" s="293"/>
      <c r="T23" s="293"/>
      <c r="U23" s="293"/>
      <c r="V23" s="293"/>
      <c r="W23" s="293"/>
      <c r="X23" s="293"/>
      <c r="Y23" s="470">
        <f>145+10</f>
        <v>155</v>
      </c>
      <c r="Z23" s="470"/>
      <c r="AA23" s="293"/>
      <c r="AB23" s="647">
        <f t="shared" si="5"/>
        <v>1.0236653824986242</v>
      </c>
    </row>
    <row r="24" spans="1:28" s="367" customFormat="1" ht="12" customHeight="1">
      <c r="A24" s="330">
        <v>16</v>
      </c>
      <c r="B24" s="365">
        <f>'FRIT HGE91-FHG'!B24</f>
        <v>46250</v>
      </c>
      <c r="C24" s="331" t="s">
        <v>346</v>
      </c>
      <c r="D24" s="1445">
        <f t="shared" si="1"/>
        <v>0</v>
      </c>
      <c r="E24" s="1445">
        <f t="shared" si="2"/>
        <v>0</v>
      </c>
      <c r="F24" s="1445">
        <f t="shared" si="6"/>
        <v>181.71296296296296</v>
      </c>
      <c r="G24" s="1445">
        <f t="shared" si="3"/>
        <v>186</v>
      </c>
      <c r="H24" s="1457">
        <f t="shared" si="0"/>
        <v>1.0235923566878982</v>
      </c>
      <c r="I24" s="689"/>
      <c r="J24" s="689"/>
      <c r="K24" s="689"/>
      <c r="L24" s="702">
        <f t="shared" si="4"/>
        <v>46250</v>
      </c>
      <c r="M24" s="470"/>
      <c r="N24" s="364"/>
      <c r="O24" s="470"/>
      <c r="P24" s="293"/>
      <c r="Q24" s="293"/>
      <c r="R24" s="293"/>
      <c r="S24" s="293"/>
      <c r="T24" s="293"/>
      <c r="U24" s="293"/>
      <c r="V24" s="293"/>
      <c r="W24" s="293"/>
      <c r="X24" s="293"/>
      <c r="Y24" s="470"/>
      <c r="Z24" s="470"/>
      <c r="AA24" s="293"/>
      <c r="AB24" s="647">
        <f t="shared" si="5"/>
        <v>1.0236653824986242</v>
      </c>
    </row>
    <row r="25" spans="1:28" s="367" customFormat="1" ht="12" customHeight="1">
      <c r="A25" s="330">
        <v>17</v>
      </c>
      <c r="B25" s="365">
        <f>'FRIT HGE91-FHG'!B25</f>
        <v>46251</v>
      </c>
      <c r="C25" s="331" t="s">
        <v>346</v>
      </c>
      <c r="D25" s="1445">
        <f t="shared" si="1"/>
        <v>145</v>
      </c>
      <c r="E25" s="1445">
        <f t="shared" si="2"/>
        <v>180</v>
      </c>
      <c r="F25" s="1445">
        <f t="shared" si="6"/>
        <v>181.71296296296296</v>
      </c>
      <c r="G25" s="1445">
        <f t="shared" si="3"/>
        <v>151</v>
      </c>
      <c r="H25" s="1457">
        <f t="shared" si="0"/>
        <v>0.83098089171974521</v>
      </c>
      <c r="I25" s="689">
        <v>180</v>
      </c>
      <c r="J25" s="689"/>
      <c r="K25" s="689"/>
      <c r="L25" s="702">
        <f t="shared" si="4"/>
        <v>46251</v>
      </c>
      <c r="M25" s="470"/>
      <c r="N25" s="364"/>
      <c r="O25" s="470"/>
      <c r="P25" s="293"/>
      <c r="Q25" s="293"/>
      <c r="R25" s="293"/>
      <c r="S25" s="293"/>
      <c r="T25" s="293"/>
      <c r="U25" s="293"/>
      <c r="V25" s="293"/>
      <c r="W25" s="293"/>
      <c r="X25" s="293"/>
      <c r="Y25" s="470">
        <v>145</v>
      </c>
      <c r="Z25" s="470"/>
      <c r="AA25" s="293"/>
      <c r="AB25" s="647">
        <f t="shared" si="5"/>
        <v>0.83104017611447445</v>
      </c>
    </row>
    <row r="26" spans="1:28" s="367" customFormat="1" ht="12" customHeight="1">
      <c r="A26" s="330">
        <v>18</v>
      </c>
      <c r="B26" s="365">
        <f>'FRIT HGE91-FHG'!B26</f>
        <v>46252</v>
      </c>
      <c r="C26" s="331" t="s">
        <v>346</v>
      </c>
      <c r="D26" s="1445">
        <f t="shared" si="1"/>
        <v>397</v>
      </c>
      <c r="E26" s="1445">
        <f t="shared" si="2"/>
        <v>380</v>
      </c>
      <c r="F26" s="1445">
        <f t="shared" si="6"/>
        <v>181.71296296296296</v>
      </c>
      <c r="G26" s="1445">
        <f t="shared" si="3"/>
        <v>168</v>
      </c>
      <c r="H26" s="1457">
        <f t="shared" si="0"/>
        <v>0.92453503184713381</v>
      </c>
      <c r="I26" s="689">
        <v>180</v>
      </c>
      <c r="J26" s="689">
        <v>200</v>
      </c>
      <c r="K26" s="689"/>
      <c r="L26" s="702">
        <f t="shared" si="4"/>
        <v>46252</v>
      </c>
      <c r="M26" s="470">
        <v>252</v>
      </c>
      <c r="N26" s="364"/>
      <c r="O26" s="470"/>
      <c r="P26" s="293"/>
      <c r="Q26" s="293"/>
      <c r="R26" s="293"/>
      <c r="S26" s="293"/>
      <c r="T26" s="293"/>
      <c r="U26" s="293"/>
      <c r="V26" s="293"/>
      <c r="W26" s="293"/>
      <c r="X26" s="293"/>
      <c r="Y26" s="470">
        <v>145</v>
      </c>
      <c r="Z26" s="470"/>
      <c r="AA26" s="293"/>
      <c r="AB26" s="647">
        <f t="shared" si="5"/>
        <v>0.92460099064391865</v>
      </c>
    </row>
    <row r="27" spans="1:28" s="367" customFormat="1" ht="12" customHeight="1">
      <c r="A27" s="330">
        <v>19</v>
      </c>
      <c r="B27" s="365">
        <f>'FRIT HGE91-FHG'!B27</f>
        <v>46253</v>
      </c>
      <c r="C27" s="331" t="s">
        <v>346</v>
      </c>
      <c r="D27" s="1445">
        <f t="shared" si="1"/>
        <v>0</v>
      </c>
      <c r="E27" s="1445">
        <f t="shared" si="2"/>
        <v>0</v>
      </c>
      <c r="F27" s="1445">
        <f t="shared" si="6"/>
        <v>181.71296296296296</v>
      </c>
      <c r="G27" s="1445">
        <f t="shared" si="3"/>
        <v>168</v>
      </c>
      <c r="H27" s="1457">
        <f t="shared" si="0"/>
        <v>0.92453503184713381</v>
      </c>
      <c r="I27" s="689"/>
      <c r="J27" s="689"/>
      <c r="K27" s="689"/>
      <c r="L27" s="702">
        <f t="shared" si="4"/>
        <v>46253</v>
      </c>
      <c r="M27" s="470"/>
      <c r="N27" s="364"/>
      <c r="O27" s="470"/>
      <c r="P27" s="293"/>
      <c r="Q27" s="293"/>
      <c r="R27" s="293"/>
      <c r="S27" s="293"/>
      <c r="T27" s="293"/>
      <c r="U27" s="293"/>
      <c r="V27" s="293"/>
      <c r="W27" s="293"/>
      <c r="X27" s="293"/>
      <c r="Y27" s="470"/>
      <c r="Z27" s="470"/>
      <c r="AA27" s="293"/>
      <c r="AB27" s="647">
        <f t="shared" si="5"/>
        <v>0.92460099064391865</v>
      </c>
    </row>
    <row r="28" spans="1:28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1445">
        <f t="shared" si="1"/>
        <v>0</v>
      </c>
      <c r="E28" s="1445">
        <f t="shared" si="2"/>
        <v>0</v>
      </c>
      <c r="F28" s="1445">
        <f t="shared" si="6"/>
        <v>181.71296296296296</v>
      </c>
      <c r="G28" s="1448">
        <f t="shared" si="3"/>
        <v>168</v>
      </c>
      <c r="H28" s="1457">
        <f t="shared" si="0"/>
        <v>0.92453503184713381</v>
      </c>
      <c r="I28" s="689"/>
      <c r="J28" s="689"/>
      <c r="K28" s="689"/>
      <c r="L28" s="702">
        <f t="shared" si="4"/>
        <v>46254</v>
      </c>
      <c r="M28" s="470"/>
      <c r="N28" s="364"/>
      <c r="O28" s="470"/>
      <c r="P28" s="293"/>
      <c r="Q28" s="293"/>
      <c r="R28" s="293"/>
      <c r="S28" s="293"/>
      <c r="T28" s="293"/>
      <c r="U28" s="293"/>
      <c r="V28" s="293"/>
      <c r="W28" s="293"/>
      <c r="X28" s="293"/>
      <c r="Y28" s="470"/>
      <c r="Z28" s="470"/>
      <c r="AA28" s="293"/>
      <c r="AB28" s="647">
        <f t="shared" si="5"/>
        <v>0.92460099064391865</v>
      </c>
    </row>
    <row r="29" spans="1:28" s="367" customFormat="1" ht="12" customHeight="1">
      <c r="A29" s="330">
        <v>21</v>
      </c>
      <c r="B29" s="365">
        <f>'FRIT HGE91-FHG'!B29</f>
        <v>46255</v>
      </c>
      <c r="C29" s="331" t="s">
        <v>346</v>
      </c>
      <c r="D29" s="1445">
        <f t="shared" si="1"/>
        <v>0</v>
      </c>
      <c r="E29" s="1445">
        <f t="shared" si="2"/>
        <v>0</v>
      </c>
      <c r="F29" s="1445">
        <f t="shared" si="6"/>
        <v>181.71296296296296</v>
      </c>
      <c r="G29" s="1458">
        <f t="shared" si="3"/>
        <v>168</v>
      </c>
      <c r="H29" s="1457">
        <f t="shared" si="0"/>
        <v>0.92453503184713381</v>
      </c>
      <c r="I29" s="689"/>
      <c r="J29" s="689"/>
      <c r="K29" s="689"/>
      <c r="L29" s="702">
        <f t="shared" si="4"/>
        <v>46255</v>
      </c>
      <c r="M29" s="470"/>
      <c r="N29" s="364"/>
      <c r="O29" s="470"/>
      <c r="P29" s="293"/>
      <c r="Q29" s="293"/>
      <c r="R29" s="293"/>
      <c r="S29" s="293"/>
      <c r="T29" s="293"/>
      <c r="U29" s="293"/>
      <c r="V29" s="293"/>
      <c r="W29" s="293"/>
      <c r="X29" s="293"/>
      <c r="Y29" s="470"/>
      <c r="Z29" s="470"/>
      <c r="AA29" s="293"/>
      <c r="AB29" s="647">
        <f t="shared" si="5"/>
        <v>0.92460099064391865</v>
      </c>
    </row>
    <row r="30" spans="1:28" s="367" customFormat="1" ht="14.25" customHeight="1">
      <c r="A30" s="330">
        <v>22</v>
      </c>
      <c r="B30" s="365">
        <f>'FRIT HGE91-FHG'!B30</f>
        <v>46256</v>
      </c>
      <c r="C30" s="331" t="s">
        <v>346</v>
      </c>
      <c r="D30" s="1445">
        <f t="shared" si="1"/>
        <v>0</v>
      </c>
      <c r="E30" s="1445">
        <f t="shared" si="2"/>
        <v>0</v>
      </c>
      <c r="F30" s="1445">
        <f t="shared" si="6"/>
        <v>181.71296296296296</v>
      </c>
      <c r="G30" s="1458">
        <f t="shared" si="3"/>
        <v>168</v>
      </c>
      <c r="H30" s="1457">
        <f t="shared" si="0"/>
        <v>0.92453503184713381</v>
      </c>
      <c r="I30" s="689"/>
      <c r="J30" s="689"/>
      <c r="K30" s="689"/>
      <c r="L30" s="702">
        <f t="shared" si="4"/>
        <v>46256</v>
      </c>
      <c r="M30" s="470"/>
      <c r="N30" s="364"/>
      <c r="O30" s="470"/>
      <c r="P30" s="293"/>
      <c r="Q30" s="293"/>
      <c r="R30" s="293"/>
      <c r="S30" s="293"/>
      <c r="T30" s="293"/>
      <c r="U30" s="293"/>
      <c r="V30" s="293"/>
      <c r="W30" s="293"/>
      <c r="X30" s="293"/>
      <c r="Y30" s="470"/>
      <c r="Z30" s="470"/>
      <c r="AA30" s="293"/>
      <c r="AB30" s="647">
        <f t="shared" si="5"/>
        <v>0.92460099064391865</v>
      </c>
    </row>
    <row r="31" spans="1:28" s="367" customFormat="1" ht="12" customHeight="1">
      <c r="A31" s="330">
        <v>23</v>
      </c>
      <c r="B31" s="365">
        <f>'FRIT HGE91-FHG'!B31</f>
        <v>46257</v>
      </c>
      <c r="C31" s="331" t="s">
        <v>346</v>
      </c>
      <c r="D31" s="1445">
        <f t="shared" si="1"/>
        <v>0</v>
      </c>
      <c r="E31" s="1445">
        <f t="shared" si="2"/>
        <v>0</v>
      </c>
      <c r="F31" s="1445">
        <f t="shared" si="6"/>
        <v>181.71296296296296</v>
      </c>
      <c r="G31" s="1458">
        <f t="shared" si="3"/>
        <v>168</v>
      </c>
      <c r="H31" s="1457">
        <f t="shared" si="0"/>
        <v>0.92453503184713381</v>
      </c>
      <c r="I31" s="689"/>
      <c r="J31" s="689"/>
      <c r="K31" s="689"/>
      <c r="L31" s="702">
        <f t="shared" si="4"/>
        <v>46257</v>
      </c>
      <c r="M31" s="470"/>
      <c r="N31" s="364"/>
      <c r="O31" s="470"/>
      <c r="P31" s="293"/>
      <c r="Q31" s="293"/>
      <c r="R31" s="293"/>
      <c r="S31" s="293"/>
      <c r="T31" s="293"/>
      <c r="U31" s="293"/>
      <c r="V31" s="293"/>
      <c r="W31" s="293"/>
      <c r="X31" s="293"/>
      <c r="Y31" s="470"/>
      <c r="Z31" s="470"/>
      <c r="AA31" s="293"/>
      <c r="AB31" s="647">
        <f t="shared" si="5"/>
        <v>0.92460099064391865</v>
      </c>
    </row>
    <row r="32" spans="1:28" s="367" customFormat="1" ht="12" customHeight="1">
      <c r="A32" s="330">
        <v>24</v>
      </c>
      <c r="B32" s="365">
        <f>'FRIT HGE91-FHG'!B32</f>
        <v>46258</v>
      </c>
      <c r="C32" s="331" t="s">
        <v>346</v>
      </c>
      <c r="D32" s="1445">
        <f t="shared" si="1"/>
        <v>0</v>
      </c>
      <c r="E32" s="1445">
        <f t="shared" si="2"/>
        <v>0</v>
      </c>
      <c r="F32" s="1445">
        <f t="shared" si="6"/>
        <v>181.71296296296296</v>
      </c>
      <c r="G32" s="1458">
        <f t="shared" si="3"/>
        <v>168</v>
      </c>
      <c r="H32" s="1457">
        <f t="shared" si="0"/>
        <v>0.92453503184713381</v>
      </c>
      <c r="I32" s="689"/>
      <c r="J32" s="689"/>
      <c r="K32" s="689"/>
      <c r="L32" s="702">
        <f t="shared" si="4"/>
        <v>46258</v>
      </c>
      <c r="M32" s="470"/>
      <c r="N32" s="364"/>
      <c r="O32" s="470"/>
      <c r="P32" s="293"/>
      <c r="Q32" s="293"/>
      <c r="R32" s="293"/>
      <c r="S32" s="293"/>
      <c r="T32" s="293"/>
      <c r="U32" s="293"/>
      <c r="V32" s="293"/>
      <c r="W32" s="293"/>
      <c r="X32" s="293"/>
      <c r="Y32" s="470"/>
      <c r="Z32" s="470"/>
      <c r="AA32" s="293"/>
      <c r="AB32" s="647">
        <f t="shared" si="5"/>
        <v>0.92460099064391865</v>
      </c>
    </row>
    <row r="33" spans="1:28" s="367" customFormat="1" ht="12" customHeight="1">
      <c r="A33" s="426">
        <v>25</v>
      </c>
      <c r="B33" s="365">
        <f>'FRIT HGE91-FHG'!B33</f>
        <v>46259</v>
      </c>
      <c r="C33" s="331" t="s">
        <v>346</v>
      </c>
      <c r="D33" s="1445">
        <f t="shared" si="1"/>
        <v>0</v>
      </c>
      <c r="E33" s="1445">
        <f t="shared" si="2"/>
        <v>0</v>
      </c>
      <c r="F33" s="1445">
        <f t="shared" si="6"/>
        <v>181.71296296296296</v>
      </c>
      <c r="G33" s="1449">
        <f t="shared" si="3"/>
        <v>168</v>
      </c>
      <c r="H33" s="1457">
        <f t="shared" si="0"/>
        <v>0.92453503184713381</v>
      </c>
      <c r="I33" s="689"/>
      <c r="J33" s="689"/>
      <c r="K33" s="689"/>
      <c r="L33" s="702">
        <f t="shared" si="4"/>
        <v>46259</v>
      </c>
      <c r="M33" s="470"/>
      <c r="N33" s="364"/>
      <c r="O33" s="470"/>
      <c r="P33" s="293"/>
      <c r="Q33" s="293"/>
      <c r="R33" s="293"/>
      <c r="S33" s="293"/>
      <c r="T33" s="293"/>
      <c r="U33" s="293"/>
      <c r="V33" s="293"/>
      <c r="W33" s="293"/>
      <c r="X33" s="293"/>
      <c r="Y33" s="470"/>
      <c r="Z33" s="470"/>
      <c r="AA33" s="293"/>
      <c r="AB33" s="647">
        <f t="shared" si="5"/>
        <v>0.92460099064391865</v>
      </c>
    </row>
    <row r="34" spans="1:28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1445">
        <f t="shared" si="1"/>
        <v>0</v>
      </c>
      <c r="E34" s="1445">
        <f t="shared" si="2"/>
        <v>0</v>
      </c>
      <c r="F34" s="1445">
        <f t="shared" si="6"/>
        <v>181.71296296296296</v>
      </c>
      <c r="G34" s="1445">
        <f t="shared" si="3"/>
        <v>168</v>
      </c>
      <c r="H34" s="1457">
        <f t="shared" si="0"/>
        <v>0.92453503184713381</v>
      </c>
      <c r="I34" s="689"/>
      <c r="J34" s="689"/>
      <c r="K34" s="689"/>
      <c r="L34" s="702">
        <f t="shared" si="4"/>
        <v>46260</v>
      </c>
      <c r="M34" s="470"/>
      <c r="N34" s="364"/>
      <c r="O34" s="470"/>
      <c r="P34" s="293"/>
      <c r="Q34" s="293"/>
      <c r="R34" s="293"/>
      <c r="S34" s="293"/>
      <c r="T34" s="293"/>
      <c r="U34" s="293"/>
      <c r="V34" s="293"/>
      <c r="W34" s="293"/>
      <c r="X34" s="293"/>
      <c r="Y34" s="470"/>
      <c r="Z34" s="470"/>
      <c r="AA34" s="293"/>
      <c r="AB34" s="647">
        <f t="shared" si="5"/>
        <v>0.92460099064391865</v>
      </c>
    </row>
    <row r="35" spans="1:28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1445">
        <f t="shared" si="1"/>
        <v>0</v>
      </c>
      <c r="E35" s="1445">
        <f t="shared" si="2"/>
        <v>0</v>
      </c>
      <c r="F35" s="1445">
        <f t="shared" si="6"/>
        <v>181.71296296296296</v>
      </c>
      <c r="G35" s="1445">
        <f t="shared" si="3"/>
        <v>168</v>
      </c>
      <c r="H35" s="1457">
        <f t="shared" si="0"/>
        <v>0.92453503184713381</v>
      </c>
      <c r="I35" s="689"/>
      <c r="J35" s="689"/>
      <c r="K35" s="689"/>
      <c r="L35" s="702">
        <f t="shared" si="4"/>
        <v>46261</v>
      </c>
      <c r="M35" s="470"/>
      <c r="N35" s="364"/>
      <c r="O35" s="470"/>
      <c r="P35" s="293"/>
      <c r="Q35" s="293"/>
      <c r="R35" s="293"/>
      <c r="S35" s="293"/>
      <c r="T35" s="293"/>
      <c r="U35" s="293"/>
      <c r="V35" s="293"/>
      <c r="W35" s="293"/>
      <c r="X35" s="293"/>
      <c r="Y35" s="470"/>
      <c r="Z35" s="470"/>
      <c r="AA35" s="293"/>
      <c r="AB35" s="647">
        <f t="shared" si="5"/>
        <v>0.92460099064391865</v>
      </c>
    </row>
    <row r="36" spans="1:28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1445">
        <f t="shared" si="1"/>
        <v>0</v>
      </c>
      <c r="E36" s="1445">
        <f t="shared" si="2"/>
        <v>0</v>
      </c>
      <c r="F36" s="1445">
        <f t="shared" si="6"/>
        <v>181.71296296296296</v>
      </c>
      <c r="G36" s="1445">
        <f>G35+D36-E36</f>
        <v>168</v>
      </c>
      <c r="H36" s="1457">
        <f t="shared" si="0"/>
        <v>0.92453503184713381</v>
      </c>
      <c r="I36" s="689"/>
      <c r="J36" s="689"/>
      <c r="K36" s="689"/>
      <c r="L36" s="702">
        <f t="shared" si="4"/>
        <v>46262</v>
      </c>
      <c r="M36" s="470"/>
      <c r="N36" s="364"/>
      <c r="O36" s="470"/>
      <c r="P36" s="293"/>
      <c r="Q36" s="293"/>
      <c r="R36" s="293"/>
      <c r="S36" s="293"/>
      <c r="T36" s="293"/>
      <c r="U36" s="293"/>
      <c r="V36" s="293"/>
      <c r="W36" s="293"/>
      <c r="X36" s="293"/>
      <c r="Y36" s="470"/>
      <c r="Z36" s="470"/>
      <c r="AA36" s="293"/>
      <c r="AB36" s="647">
        <f t="shared" si="5"/>
        <v>0.92460099064391865</v>
      </c>
    </row>
    <row r="37" spans="1:28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1445">
        <f t="shared" si="1"/>
        <v>0</v>
      </c>
      <c r="E37" s="1445">
        <f t="shared" si="2"/>
        <v>0</v>
      </c>
      <c r="F37" s="1445">
        <f t="shared" si="6"/>
        <v>181.71296296296296</v>
      </c>
      <c r="G37" s="1445">
        <f t="shared" si="3"/>
        <v>168</v>
      </c>
      <c r="H37" s="1457">
        <f t="shared" si="0"/>
        <v>0.92453503184713381</v>
      </c>
      <c r="I37" s="689"/>
      <c r="J37" s="689"/>
      <c r="K37" s="689"/>
      <c r="L37" s="702">
        <f t="shared" si="4"/>
        <v>46263</v>
      </c>
      <c r="M37" s="470"/>
      <c r="N37" s="364"/>
      <c r="O37" s="470"/>
      <c r="P37" s="293"/>
      <c r="Q37" s="293"/>
      <c r="R37" s="293"/>
      <c r="S37" s="293"/>
      <c r="T37" s="293"/>
      <c r="U37" s="293"/>
      <c r="V37" s="293"/>
      <c r="W37" s="293"/>
      <c r="X37" s="293"/>
      <c r="Y37" s="470"/>
      <c r="Z37" s="470"/>
      <c r="AA37" s="293"/>
      <c r="AB37" s="647">
        <f t="shared" si="5"/>
        <v>0.92460099064391865</v>
      </c>
    </row>
    <row r="38" spans="1:28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1445">
        <f t="shared" si="1"/>
        <v>0</v>
      </c>
      <c r="E38" s="1445">
        <f t="shared" si="2"/>
        <v>0</v>
      </c>
      <c r="F38" s="1445">
        <f t="shared" si="6"/>
        <v>181.71296296296296</v>
      </c>
      <c r="G38" s="1448">
        <f>G37+D38-E38</f>
        <v>168</v>
      </c>
      <c r="H38" s="1457">
        <f t="shared" si="0"/>
        <v>0.92453503184713381</v>
      </c>
      <c r="I38" s="689"/>
      <c r="J38" s="689"/>
      <c r="K38" s="689"/>
      <c r="L38" s="702">
        <f t="shared" si="4"/>
        <v>46264</v>
      </c>
      <c r="M38" s="470"/>
      <c r="N38" s="364"/>
      <c r="O38" s="470"/>
      <c r="P38" s="293"/>
      <c r="Q38" s="293"/>
      <c r="R38" s="293"/>
      <c r="S38" s="293"/>
      <c r="T38" s="293"/>
      <c r="U38" s="293"/>
      <c r="V38" s="293"/>
      <c r="W38" s="293"/>
      <c r="X38" s="293"/>
      <c r="Y38" s="470"/>
      <c r="Z38" s="470"/>
      <c r="AA38" s="293"/>
      <c r="AB38" s="647">
        <f t="shared" si="5"/>
        <v>0.92460099064391865</v>
      </c>
    </row>
    <row r="39" spans="1:28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1445">
        <f t="shared" si="1"/>
        <v>0</v>
      </c>
      <c r="E39" s="1445">
        <f t="shared" si="2"/>
        <v>0</v>
      </c>
      <c r="F39" s="1445">
        <f t="shared" si="6"/>
        <v>181.71296296296296</v>
      </c>
      <c r="G39" s="1445">
        <f>G38+D39-E39</f>
        <v>168</v>
      </c>
      <c r="H39" s="1457">
        <f t="shared" si="0"/>
        <v>0.92453503184713381</v>
      </c>
      <c r="I39" s="689"/>
      <c r="J39" s="689"/>
      <c r="K39" s="689"/>
      <c r="L39" s="702">
        <f t="shared" si="4"/>
        <v>46265</v>
      </c>
      <c r="M39" s="470"/>
      <c r="N39" s="364"/>
      <c r="O39" s="470"/>
      <c r="P39" s="293"/>
      <c r="Q39" s="293"/>
      <c r="R39" s="293"/>
      <c r="S39" s="293"/>
      <c r="T39" s="293"/>
      <c r="U39" s="293"/>
      <c r="V39" s="293"/>
      <c r="W39" s="293"/>
      <c r="X39" s="293"/>
      <c r="Y39" s="470"/>
      <c r="Z39" s="470"/>
      <c r="AA39" s="293"/>
      <c r="AB39" s="647">
        <f t="shared" si="5"/>
        <v>0.92460099064391865</v>
      </c>
    </row>
    <row r="40" spans="1:28" s="374" customFormat="1" ht="12" customHeight="1">
      <c r="A40" s="1647" t="s">
        <v>29</v>
      </c>
      <c r="B40" s="1647"/>
      <c r="C40" s="1647"/>
      <c r="D40" s="448">
        <f>SUM(D9:D39)</f>
        <v>4868</v>
      </c>
      <c r="E40" s="389">
        <f>SUM(E9:E39)</f>
        <v>5660</v>
      </c>
      <c r="F40" s="449"/>
      <c r="G40" s="389">
        <f>G39</f>
        <v>168</v>
      </c>
      <c r="H40" s="309"/>
      <c r="I40" s="389">
        <f>SUM(I9:I39)</f>
        <v>3240</v>
      </c>
      <c r="J40" s="389">
        <f t="shared" ref="J40:K40" si="7">SUM(J9:J39)</f>
        <v>2380</v>
      </c>
      <c r="K40" s="389">
        <f t="shared" si="7"/>
        <v>40</v>
      </c>
      <c r="L40" s="471" t="s">
        <v>239</v>
      </c>
      <c r="M40" s="699">
        <f>SUM(M9:M39)</f>
        <v>1532</v>
      </c>
      <c r="N40" s="427">
        <f>SUM(N9:N39)</f>
        <v>0</v>
      </c>
      <c r="O40" s="699">
        <f>SUM(O9:O39)</f>
        <v>1136</v>
      </c>
      <c r="P40" s="427">
        <f>SUM(P9:P39)</f>
        <v>0</v>
      </c>
      <c r="Q40" s="471">
        <f t="shared" ref="Q40:V40" si="8">SUM(Q9:Q39)</f>
        <v>0</v>
      </c>
      <c r="R40" s="471">
        <f t="shared" si="8"/>
        <v>0</v>
      </c>
      <c r="S40" s="472">
        <f t="shared" si="8"/>
        <v>0</v>
      </c>
      <c r="T40" s="472">
        <f t="shared" si="8"/>
        <v>0</v>
      </c>
      <c r="U40" s="473">
        <f t="shared" si="8"/>
        <v>0</v>
      </c>
      <c r="V40" s="473">
        <f t="shared" si="8"/>
        <v>0</v>
      </c>
      <c r="W40" s="474">
        <f>SUM(W9:W39)</f>
        <v>0</v>
      </c>
      <c r="X40" s="474">
        <f>SUM(X9:X39)</f>
        <v>0</v>
      </c>
      <c r="Y40" s="699">
        <f>SUM(Y9:Y39)</f>
        <v>2200</v>
      </c>
      <c r="Z40" s="699">
        <f>SUM(Z9:Z39)</f>
        <v>0</v>
      </c>
      <c r="AA40" s="427">
        <f>SUM(AA9:AA39)</f>
        <v>0</v>
      </c>
    </row>
    <row r="41" spans="1:28" s="374" customFormat="1" ht="13.5" customHeight="1">
      <c r="A41" s="1647" t="s">
        <v>15</v>
      </c>
      <c r="B41" s="1647"/>
      <c r="C41" s="1647"/>
      <c r="D41" s="448">
        <f>D8+D40</f>
        <v>5828</v>
      </c>
      <c r="E41" s="389">
        <f>E40</f>
        <v>5660</v>
      </c>
      <c r="F41" s="449"/>
      <c r="G41" s="389">
        <f>D41-E41</f>
        <v>168</v>
      </c>
      <c r="H41" s="309"/>
      <c r="I41" s="689"/>
      <c r="J41" s="689"/>
      <c r="K41" s="794"/>
      <c r="Y41" s="1657">
        <f>Y40+Z40</f>
        <v>2200</v>
      </c>
      <c r="Z41" s="1657"/>
    </row>
    <row r="42" spans="1:28" s="324" customFormat="1" ht="12.75">
      <c r="D42" s="343"/>
      <c r="E42" s="343"/>
      <c r="F42" s="343"/>
      <c r="G42" s="343"/>
      <c r="H42" s="343" t="s">
        <v>227</v>
      </c>
      <c r="I42" s="343"/>
      <c r="J42" s="343"/>
      <c r="K42" s="343"/>
      <c r="M42" s="343">
        <f>M40+O40+Y40+Z40</f>
        <v>4868</v>
      </c>
    </row>
    <row r="43" spans="1:28" s="324" customFormat="1" ht="12.75">
      <c r="D43" s="343"/>
      <c r="E43" s="343"/>
      <c r="F43" s="343"/>
      <c r="G43" s="343"/>
      <c r="H43" s="343"/>
      <c r="I43" s="343"/>
      <c r="J43" s="343"/>
      <c r="K43" s="343"/>
      <c r="M43" s="343"/>
    </row>
    <row r="44" spans="1:28" s="324" customFormat="1" ht="12.75">
      <c r="D44" s="343"/>
      <c r="E44" s="343"/>
      <c r="F44" s="343"/>
      <c r="G44" s="343"/>
      <c r="H44" s="343"/>
      <c r="I44" s="343"/>
      <c r="J44" s="343"/>
      <c r="K44" s="343"/>
      <c r="M44" s="343"/>
    </row>
    <row r="45" spans="1:28" s="324" customFormat="1" ht="12.75">
      <c r="D45" s="343"/>
      <c r="E45" s="343"/>
      <c r="F45" s="343"/>
      <c r="G45" s="343"/>
      <c r="H45" s="343"/>
      <c r="I45" s="343"/>
      <c r="J45" s="343"/>
      <c r="K45" s="343"/>
      <c r="M45" s="343"/>
    </row>
    <row r="46" spans="1:28" s="324" customFormat="1" ht="12.75">
      <c r="D46" s="343"/>
      <c r="E46" s="343"/>
      <c r="F46" s="343"/>
      <c r="G46" s="343"/>
      <c r="H46" s="343" t="s">
        <v>333</v>
      </c>
      <c r="I46" s="343"/>
      <c r="J46" s="343"/>
      <c r="K46" s="343"/>
      <c r="M46" s="343"/>
    </row>
    <row r="47" spans="1:28" s="324" customFormat="1" ht="15">
      <c r="D47" s="343"/>
      <c r="E47" s="343"/>
      <c r="F47" s="343"/>
      <c r="G47" s="343"/>
      <c r="H47" s="326"/>
      <c r="AB47" s="143"/>
    </row>
    <row r="49" spans="4:7">
      <c r="D49" s="42"/>
      <c r="E49" s="42"/>
      <c r="F49" s="42"/>
      <c r="G49" s="42"/>
    </row>
  </sheetData>
  <mergeCells count="7">
    <mergeCell ref="A41:C41"/>
    <mergeCell ref="Y41:Z41"/>
    <mergeCell ref="A3:I3"/>
    <mergeCell ref="A4:B4"/>
    <mergeCell ref="Y7:Z7"/>
    <mergeCell ref="A8:C8"/>
    <mergeCell ref="A40:C40"/>
  </mergeCells>
  <conditionalFormatting sqref="H9:H39">
    <cfRule type="cellIs" dxfId="5759" priority="4" operator="between">
      <formula>3</formula>
      <formula>6</formula>
    </cfRule>
    <cfRule type="cellIs" dxfId="5758" priority="5" operator="lessThan">
      <formula>3</formula>
    </cfRule>
    <cfRule type="cellIs" dxfId="5757" priority="6" operator="greaterThan">
      <formula>6</formula>
    </cfRule>
  </conditionalFormatting>
  <conditionalFormatting sqref="H9:H39">
    <cfRule type="cellIs" dxfId="5756" priority="1" operator="between">
      <formula>3.5</formula>
      <formula>6</formula>
    </cfRule>
    <cfRule type="cellIs" dxfId="5755" priority="2" operator="lessThan">
      <formula>3.5</formula>
    </cfRule>
    <cfRule type="cellIs" dxfId="5754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R49"/>
  <sheetViews>
    <sheetView workbookViewId="0">
      <pane ySplit="8" topLeftCell="A18" activePane="bottomLeft" state="frozen"/>
      <selection pane="bottomLeft" activeCell="N27" sqref="N27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20.7109375" style="42" customWidth="1"/>
    <col min="4" max="7" width="15.42578125" style="6" customWidth="1"/>
    <col min="8" max="8" width="13.85546875" style="42" customWidth="1"/>
    <col min="9" max="12" width="11.42578125" style="42" customWidth="1"/>
    <col min="13" max="13" width="12.28515625" style="42" customWidth="1"/>
    <col min="14" max="14" width="16.140625" style="42" customWidth="1"/>
    <col min="15" max="16384" width="9.28515625" style="42"/>
  </cols>
  <sheetData>
    <row r="1" spans="1:18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</row>
    <row r="2" spans="1:18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N2" s="324"/>
      <c r="O2" s="324"/>
      <c r="P2" s="324"/>
      <c r="Q2" s="324"/>
    </row>
    <row r="3" spans="1:18" s="143" customFormat="1" ht="21" customHeight="1">
      <c r="A3" s="1644" t="s">
        <v>0</v>
      </c>
      <c r="B3" s="1644"/>
      <c r="C3" s="1644"/>
      <c r="D3" s="1644"/>
      <c r="E3" s="1644"/>
      <c r="F3" s="1644"/>
      <c r="G3" s="1644"/>
      <c r="H3" s="1644"/>
      <c r="I3" s="1644"/>
      <c r="J3" s="686"/>
      <c r="K3" s="1482"/>
      <c r="L3" s="1410"/>
      <c r="M3" s="1410"/>
    </row>
    <row r="4" spans="1:18" s="452" customFormat="1" ht="11.25" customHeight="1">
      <c r="A4" s="1648" t="s">
        <v>33</v>
      </c>
      <c r="B4" s="1648"/>
      <c r="C4" s="551" t="str">
        <f>H4</f>
        <v>PALLET GỖ 1100X1100 (Cũ loại 1)</v>
      </c>
      <c r="E4" s="549" t="s">
        <v>228</v>
      </c>
      <c r="F4" s="549" t="s">
        <v>236</v>
      </c>
      <c r="G4" s="549" t="s">
        <v>114</v>
      </c>
      <c r="H4" s="551" t="s">
        <v>1223</v>
      </c>
      <c r="J4" s="687"/>
      <c r="K4" s="1483"/>
      <c r="L4" s="1411"/>
      <c r="M4" s="1411"/>
    </row>
    <row r="5" spans="1:18" s="452" customFormat="1" ht="11.2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24"/>
      <c r="K5" s="324"/>
      <c r="L5" s="324"/>
      <c r="M5" s="324"/>
    </row>
    <row r="6" spans="1:18" s="452" customFormat="1" ht="11.25" customHeight="1">
      <c r="B6" s="453"/>
      <c r="C6" s="453"/>
      <c r="D6" s="453"/>
      <c r="E6" s="453"/>
      <c r="F6" s="453"/>
      <c r="G6" s="453"/>
      <c r="H6" s="552" t="s">
        <v>40</v>
      </c>
      <c r="I6" s="580" t="s">
        <v>149</v>
      </c>
      <c r="J6" s="324"/>
      <c r="K6" s="324"/>
      <c r="L6" s="324"/>
      <c r="M6" s="324"/>
    </row>
    <row r="7" spans="1:18" s="305" customFormat="1" ht="28.5" customHeight="1">
      <c r="A7" s="381" t="s">
        <v>2</v>
      </c>
      <c r="B7" s="380" t="s">
        <v>1</v>
      </c>
      <c r="C7" s="380" t="s">
        <v>24</v>
      </c>
      <c r="D7" s="379" t="s">
        <v>250</v>
      </c>
      <c r="E7" s="379" t="s">
        <v>249</v>
      </c>
      <c r="F7" s="379" t="s">
        <v>265</v>
      </c>
      <c r="G7" s="379" t="s">
        <v>253</v>
      </c>
      <c r="H7" s="379" t="s">
        <v>30</v>
      </c>
      <c r="I7" s="697" t="s">
        <v>341</v>
      </c>
      <c r="J7" s="697" t="s">
        <v>244</v>
      </c>
      <c r="K7" s="697" t="s">
        <v>821</v>
      </c>
      <c r="L7" s="324"/>
      <c r="M7" s="324"/>
    </row>
    <row r="8" spans="1:18" s="305" customFormat="1" ht="12" customHeight="1">
      <c r="A8" s="1650" t="s">
        <v>3</v>
      </c>
      <c r="B8" s="1651"/>
      <c r="C8" s="1652"/>
      <c r="D8" s="387">
        <f>G8</f>
        <v>360</v>
      </c>
      <c r="E8" s="387">
        <v>0</v>
      </c>
      <c r="F8" s="387"/>
      <c r="G8" s="624">
        <v>360</v>
      </c>
      <c r="H8" s="309"/>
      <c r="I8" s="689"/>
      <c r="J8" s="689"/>
      <c r="K8" s="1159"/>
      <c r="L8" s="701" t="s">
        <v>1</v>
      </c>
      <c r="M8" s="313" t="s">
        <v>350</v>
      </c>
      <c r="N8" s="313" t="s">
        <v>1232</v>
      </c>
    </row>
    <row r="9" spans="1:18" s="412" customFormat="1" ht="12" customHeight="1">
      <c r="A9" s="330">
        <v>1</v>
      </c>
      <c r="B9" s="365">
        <f>'FRIT HGE91-FHG'!B9</f>
        <v>46235</v>
      </c>
      <c r="C9" s="331" t="s">
        <v>285</v>
      </c>
      <c r="D9" s="443">
        <f>M9+N9</f>
        <v>0</v>
      </c>
      <c r="E9" s="443">
        <f>I9+J9+K9</f>
        <v>320</v>
      </c>
      <c r="F9" s="443">
        <f ca="1">$F$9</f>
        <v>181.71296296296296</v>
      </c>
      <c r="G9" s="443">
        <f>G8+D9-E9</f>
        <v>40</v>
      </c>
      <c r="H9" s="332" t="e">
        <f ca="1">G9/F9</f>
        <v>#DIV/0!</v>
      </c>
      <c r="I9" s="689"/>
      <c r="J9" s="689">
        <v>320</v>
      </c>
      <c r="K9" s="689"/>
      <c r="L9" s="702">
        <f>B9</f>
        <v>46235</v>
      </c>
      <c r="M9" s="470"/>
      <c r="N9" s="470"/>
    </row>
    <row r="10" spans="1:18" s="13" customFormat="1" ht="12" customHeight="1">
      <c r="A10" s="330">
        <v>2</v>
      </c>
      <c r="B10" s="365">
        <f>'FRIT HGE91-FHG'!B10</f>
        <v>46236</v>
      </c>
      <c r="C10" s="331" t="s">
        <v>285</v>
      </c>
      <c r="D10" s="443">
        <f t="shared" ref="D10:D39" si="0">M10+N10</f>
        <v>0</v>
      </c>
      <c r="E10" s="443">
        <f t="shared" ref="E10:E39" si="1">I10+J10+K10</f>
        <v>0</v>
      </c>
      <c r="F10" s="443">
        <f t="shared" ref="F10:F39" ca="1" si="2">$F$9</f>
        <v>181.71296296296296</v>
      </c>
      <c r="G10" s="443">
        <f t="shared" ref="G10:G39" si="3">G9+D10-E10</f>
        <v>40</v>
      </c>
      <c r="H10" s="332" t="e">
        <f t="shared" ref="H10:H39" ca="1" si="4">G10/F10</f>
        <v>#DIV/0!</v>
      </c>
      <c r="I10" s="689"/>
      <c r="J10" s="689"/>
      <c r="K10" s="689"/>
      <c r="L10" s="702">
        <f t="shared" ref="L10:L39" si="5">B10</f>
        <v>46236</v>
      </c>
      <c r="M10" s="470"/>
      <c r="N10" s="470"/>
    </row>
    <row r="11" spans="1:18" s="13" customFormat="1" ht="12" customHeight="1">
      <c r="A11" s="330">
        <v>3</v>
      </c>
      <c r="B11" s="365">
        <f>'FRIT HGE91-FHG'!B11</f>
        <v>46237</v>
      </c>
      <c r="C11" s="331" t="s">
        <v>285</v>
      </c>
      <c r="D11" s="443">
        <f t="shared" si="0"/>
        <v>0</v>
      </c>
      <c r="E11" s="443">
        <f t="shared" si="1"/>
        <v>0</v>
      </c>
      <c r="F11" s="443">
        <f t="shared" ca="1" si="2"/>
        <v>181.71296296296296</v>
      </c>
      <c r="G11" s="443">
        <f t="shared" si="3"/>
        <v>40</v>
      </c>
      <c r="H11" s="332" t="e">
        <f t="shared" ca="1" si="4"/>
        <v>#DIV/0!</v>
      </c>
      <c r="I11" s="689"/>
      <c r="J11" s="689"/>
      <c r="K11" s="689"/>
      <c r="L11" s="702">
        <f t="shared" si="5"/>
        <v>46237</v>
      </c>
      <c r="M11" s="470"/>
      <c r="N11" s="470"/>
    </row>
    <row r="12" spans="1:18" s="140" customFormat="1" ht="12" customHeight="1">
      <c r="A12" s="330">
        <v>4</v>
      </c>
      <c r="B12" s="365">
        <f>'FRIT HGE91-FHG'!B12</f>
        <v>46238</v>
      </c>
      <c r="C12" s="331" t="s">
        <v>285</v>
      </c>
      <c r="D12" s="443">
        <f t="shared" si="0"/>
        <v>153</v>
      </c>
      <c r="E12" s="443">
        <f t="shared" si="1"/>
        <v>0</v>
      </c>
      <c r="F12" s="443">
        <f t="shared" ca="1" si="2"/>
        <v>181.71296296296296</v>
      </c>
      <c r="G12" s="443">
        <f t="shared" si="3"/>
        <v>193</v>
      </c>
      <c r="H12" s="332" t="e">
        <f t="shared" ca="1" si="4"/>
        <v>#DIV/0!</v>
      </c>
      <c r="I12" s="689"/>
      <c r="J12" s="689"/>
      <c r="K12" s="689"/>
      <c r="L12" s="702">
        <f t="shared" si="5"/>
        <v>46238</v>
      </c>
      <c r="M12" s="470"/>
      <c r="N12" s="470">
        <v>153</v>
      </c>
    </row>
    <row r="13" spans="1:18" s="140" customFormat="1" ht="12" customHeight="1">
      <c r="A13" s="425">
        <v>5</v>
      </c>
      <c r="B13" s="365">
        <f>'FRIT HGE91-FHG'!B13</f>
        <v>46239</v>
      </c>
      <c r="C13" s="331" t="s">
        <v>285</v>
      </c>
      <c r="D13" s="443">
        <f t="shared" si="0"/>
        <v>0</v>
      </c>
      <c r="E13" s="443">
        <f t="shared" si="1"/>
        <v>0</v>
      </c>
      <c r="F13" s="443">
        <f t="shared" ca="1" si="2"/>
        <v>181.71296296296296</v>
      </c>
      <c r="G13" s="445">
        <f t="shared" si="3"/>
        <v>193</v>
      </c>
      <c r="H13" s="332" t="e">
        <f t="shared" ca="1" si="4"/>
        <v>#DIV/0!</v>
      </c>
      <c r="I13" s="689"/>
      <c r="J13" s="689"/>
      <c r="K13" s="689"/>
      <c r="L13" s="702">
        <f t="shared" si="5"/>
        <v>46239</v>
      </c>
      <c r="M13" s="470"/>
      <c r="N13" s="470"/>
    </row>
    <row r="14" spans="1:18" s="140" customFormat="1" ht="12" customHeight="1">
      <c r="A14" s="330">
        <v>6</v>
      </c>
      <c r="B14" s="365">
        <f>'FRIT HGE91-FHG'!B14</f>
        <v>46240</v>
      </c>
      <c r="C14" s="331" t="s">
        <v>285</v>
      </c>
      <c r="D14" s="443">
        <f t="shared" si="0"/>
        <v>0</v>
      </c>
      <c r="E14" s="443">
        <f t="shared" si="1"/>
        <v>0</v>
      </c>
      <c r="F14" s="443">
        <f t="shared" ca="1" si="2"/>
        <v>181.71296296296296</v>
      </c>
      <c r="G14" s="443">
        <f t="shared" si="3"/>
        <v>193</v>
      </c>
      <c r="H14" s="332" t="e">
        <f t="shared" ca="1" si="4"/>
        <v>#DIV/0!</v>
      </c>
      <c r="I14" s="689"/>
      <c r="J14" s="689"/>
      <c r="K14" s="689"/>
      <c r="L14" s="702">
        <f t="shared" si="5"/>
        <v>46240</v>
      </c>
      <c r="M14" s="470"/>
      <c r="N14" s="470"/>
    </row>
    <row r="15" spans="1:18" s="140" customFormat="1" ht="12" customHeight="1">
      <c r="A15" s="330">
        <v>7</v>
      </c>
      <c r="B15" s="365">
        <f>'FRIT HGE91-FHG'!B15</f>
        <v>46241</v>
      </c>
      <c r="C15" s="331" t="s">
        <v>285</v>
      </c>
      <c r="D15" s="443">
        <f t="shared" si="0"/>
        <v>0</v>
      </c>
      <c r="E15" s="443">
        <f t="shared" si="1"/>
        <v>0</v>
      </c>
      <c r="F15" s="443">
        <f t="shared" ca="1" si="2"/>
        <v>181.71296296296296</v>
      </c>
      <c r="G15" s="443">
        <f t="shared" si="3"/>
        <v>193</v>
      </c>
      <c r="H15" s="332" t="e">
        <f t="shared" ca="1" si="4"/>
        <v>#DIV/0!</v>
      </c>
      <c r="I15" s="689"/>
      <c r="J15" s="689"/>
      <c r="K15" s="689"/>
      <c r="L15" s="702">
        <f t="shared" si="5"/>
        <v>46241</v>
      </c>
      <c r="M15" s="470"/>
      <c r="N15" s="470"/>
    </row>
    <row r="16" spans="1:18" s="140" customFormat="1" ht="12" customHeight="1">
      <c r="A16" s="330">
        <v>8</v>
      </c>
      <c r="B16" s="365">
        <f>'FRIT HGE91-FHG'!B16</f>
        <v>46242</v>
      </c>
      <c r="C16" s="331" t="s">
        <v>285</v>
      </c>
      <c r="D16" s="443">
        <f t="shared" si="0"/>
        <v>0</v>
      </c>
      <c r="E16" s="443">
        <f t="shared" si="1"/>
        <v>0</v>
      </c>
      <c r="F16" s="443">
        <f t="shared" ca="1" si="2"/>
        <v>181.71296296296296</v>
      </c>
      <c r="G16" s="443">
        <f t="shared" si="3"/>
        <v>193</v>
      </c>
      <c r="H16" s="332" t="e">
        <f t="shared" ca="1" si="4"/>
        <v>#DIV/0!</v>
      </c>
      <c r="I16" s="689"/>
      <c r="J16" s="689"/>
      <c r="K16" s="689"/>
      <c r="L16" s="702">
        <f t="shared" si="5"/>
        <v>46242</v>
      </c>
      <c r="M16" s="470"/>
      <c r="N16" s="470"/>
    </row>
    <row r="17" spans="1:14" s="140" customFormat="1" ht="12" customHeight="1">
      <c r="A17" s="330">
        <v>9</v>
      </c>
      <c r="B17" s="365">
        <f>'FRIT HGE91-FHG'!B17</f>
        <v>46243</v>
      </c>
      <c r="C17" s="331" t="s">
        <v>285</v>
      </c>
      <c r="D17" s="443">
        <f t="shared" si="0"/>
        <v>0</v>
      </c>
      <c r="E17" s="443">
        <f t="shared" si="1"/>
        <v>0</v>
      </c>
      <c r="F17" s="443">
        <f t="shared" ca="1" si="2"/>
        <v>181.71296296296296</v>
      </c>
      <c r="G17" s="443">
        <f t="shared" si="3"/>
        <v>193</v>
      </c>
      <c r="H17" s="332" t="e">
        <f t="shared" ca="1" si="4"/>
        <v>#DIV/0!</v>
      </c>
      <c r="I17" s="689"/>
      <c r="J17" s="689"/>
      <c r="K17" s="689"/>
      <c r="L17" s="702">
        <f t="shared" si="5"/>
        <v>46243</v>
      </c>
      <c r="M17" s="470"/>
      <c r="N17" s="470"/>
    </row>
    <row r="18" spans="1:14" s="140" customFormat="1" ht="12" customHeight="1">
      <c r="A18" s="425">
        <v>10</v>
      </c>
      <c r="B18" s="365">
        <f>'FRIT HGE91-FHG'!B18</f>
        <v>46244</v>
      </c>
      <c r="C18" s="331" t="s">
        <v>285</v>
      </c>
      <c r="D18" s="443">
        <f t="shared" si="0"/>
        <v>0</v>
      </c>
      <c r="E18" s="443">
        <f t="shared" si="1"/>
        <v>0</v>
      </c>
      <c r="F18" s="443">
        <f t="shared" ca="1" si="2"/>
        <v>181.71296296296296</v>
      </c>
      <c r="G18" s="445">
        <f t="shared" si="3"/>
        <v>193</v>
      </c>
      <c r="H18" s="332" t="e">
        <f t="shared" ca="1" si="4"/>
        <v>#DIV/0!</v>
      </c>
      <c r="I18" s="689"/>
      <c r="J18" s="689"/>
      <c r="K18" s="689"/>
      <c r="L18" s="702">
        <f t="shared" si="5"/>
        <v>46244</v>
      </c>
      <c r="M18" s="470"/>
      <c r="N18" s="470"/>
    </row>
    <row r="19" spans="1:14" s="140" customFormat="1" ht="12" customHeight="1">
      <c r="A19" s="330">
        <v>11</v>
      </c>
      <c r="B19" s="365">
        <f>'FRIT HGE91-FHG'!B19</f>
        <v>46245</v>
      </c>
      <c r="C19" s="331" t="s">
        <v>285</v>
      </c>
      <c r="D19" s="443">
        <f t="shared" si="0"/>
        <v>281</v>
      </c>
      <c r="E19" s="443">
        <f t="shared" si="1"/>
        <v>0</v>
      </c>
      <c r="F19" s="443">
        <f t="shared" ca="1" si="2"/>
        <v>181.71296296296296</v>
      </c>
      <c r="G19" s="443">
        <f t="shared" si="3"/>
        <v>474</v>
      </c>
      <c r="H19" s="332" t="e">
        <f t="shared" ca="1" si="4"/>
        <v>#DIV/0!</v>
      </c>
      <c r="I19" s="689"/>
      <c r="J19" s="689"/>
      <c r="K19" s="689"/>
      <c r="L19" s="702">
        <f t="shared" si="5"/>
        <v>46245</v>
      </c>
      <c r="M19" s="470"/>
      <c r="N19" s="470">
        <v>281</v>
      </c>
    </row>
    <row r="20" spans="1:14" s="140" customFormat="1" ht="12" customHeight="1">
      <c r="A20" s="330">
        <v>12</v>
      </c>
      <c r="B20" s="365">
        <f>'FRIT HGE91-FHG'!B20</f>
        <v>46246</v>
      </c>
      <c r="C20" s="331" t="s">
        <v>285</v>
      </c>
      <c r="D20" s="443">
        <f t="shared" si="0"/>
        <v>0</v>
      </c>
      <c r="E20" s="443">
        <f t="shared" si="1"/>
        <v>0</v>
      </c>
      <c r="F20" s="443">
        <f t="shared" ca="1" si="2"/>
        <v>181.71296296296296</v>
      </c>
      <c r="G20" s="443">
        <f t="shared" si="3"/>
        <v>474</v>
      </c>
      <c r="H20" s="332" t="e">
        <f t="shared" ca="1" si="4"/>
        <v>#DIV/0!</v>
      </c>
      <c r="I20" s="689"/>
      <c r="J20" s="689"/>
      <c r="K20" s="689"/>
      <c r="L20" s="702">
        <f t="shared" si="5"/>
        <v>46246</v>
      </c>
      <c r="M20" s="470"/>
      <c r="N20" s="470"/>
    </row>
    <row r="21" spans="1:14" s="140" customFormat="1" ht="12" customHeight="1">
      <c r="A21" s="330">
        <v>13</v>
      </c>
      <c r="B21" s="365">
        <f>'FRIT HGE91-FHG'!B21</f>
        <v>46247</v>
      </c>
      <c r="C21" s="331" t="s">
        <v>285</v>
      </c>
      <c r="D21" s="443">
        <f t="shared" si="0"/>
        <v>0</v>
      </c>
      <c r="E21" s="443">
        <f t="shared" si="1"/>
        <v>0</v>
      </c>
      <c r="F21" s="443">
        <f t="shared" ca="1" si="2"/>
        <v>181.71296296296296</v>
      </c>
      <c r="G21" s="443">
        <f t="shared" si="3"/>
        <v>474</v>
      </c>
      <c r="H21" s="332" t="e">
        <f t="shared" ca="1" si="4"/>
        <v>#DIV/0!</v>
      </c>
      <c r="I21" s="689"/>
      <c r="J21" s="689"/>
      <c r="K21" s="689"/>
      <c r="L21" s="702">
        <f t="shared" si="5"/>
        <v>46247</v>
      </c>
      <c r="M21" s="470"/>
      <c r="N21" s="470"/>
    </row>
    <row r="22" spans="1:14" s="140" customFormat="1" ht="12" customHeight="1">
      <c r="A22" s="330">
        <v>14</v>
      </c>
      <c r="B22" s="365">
        <f>'FRIT HGE91-FHG'!B22</f>
        <v>46248</v>
      </c>
      <c r="C22" s="331" t="s">
        <v>285</v>
      </c>
      <c r="D22" s="443">
        <f t="shared" si="0"/>
        <v>0</v>
      </c>
      <c r="E22" s="443">
        <f t="shared" si="1"/>
        <v>0</v>
      </c>
      <c r="F22" s="443">
        <f t="shared" ca="1" si="2"/>
        <v>181.71296296296296</v>
      </c>
      <c r="G22" s="443">
        <f t="shared" si="3"/>
        <v>474</v>
      </c>
      <c r="H22" s="332" t="e">
        <f t="shared" ca="1" si="4"/>
        <v>#DIV/0!</v>
      </c>
      <c r="I22" s="689"/>
      <c r="J22" s="689"/>
      <c r="K22" s="689"/>
      <c r="L22" s="702">
        <f t="shared" si="5"/>
        <v>46248</v>
      </c>
      <c r="M22" s="470"/>
      <c r="N22" s="470"/>
    </row>
    <row r="23" spans="1:14" s="140" customFormat="1" ht="12" customHeight="1">
      <c r="A23" s="425">
        <v>15</v>
      </c>
      <c r="B23" s="365">
        <f>'FRIT HGE91-FHG'!B23</f>
        <v>46249</v>
      </c>
      <c r="C23" s="331" t="s">
        <v>285</v>
      </c>
      <c r="D23" s="443">
        <f t="shared" si="0"/>
        <v>133</v>
      </c>
      <c r="E23" s="443">
        <f t="shared" si="1"/>
        <v>400</v>
      </c>
      <c r="F23" s="443">
        <f t="shared" ca="1" si="2"/>
        <v>181.71296296296296</v>
      </c>
      <c r="G23" s="445">
        <f t="shared" si="3"/>
        <v>207</v>
      </c>
      <c r="H23" s="332" t="e">
        <f t="shared" ca="1" si="4"/>
        <v>#DIV/0!</v>
      </c>
      <c r="I23" s="689"/>
      <c r="J23" s="689">
        <v>400</v>
      </c>
      <c r="K23" s="689"/>
      <c r="L23" s="702">
        <f t="shared" si="5"/>
        <v>46249</v>
      </c>
      <c r="M23" s="470"/>
      <c r="N23" s="470">
        <v>133</v>
      </c>
    </row>
    <row r="24" spans="1:14" s="140" customFormat="1" ht="12" customHeight="1">
      <c r="A24" s="330">
        <v>16</v>
      </c>
      <c r="B24" s="365">
        <f>'FRIT HGE91-FHG'!B24</f>
        <v>46250</v>
      </c>
      <c r="C24" s="331" t="s">
        <v>285</v>
      </c>
      <c r="D24" s="443">
        <f t="shared" si="0"/>
        <v>0</v>
      </c>
      <c r="E24" s="443">
        <f t="shared" si="1"/>
        <v>0</v>
      </c>
      <c r="F24" s="443">
        <f t="shared" ca="1" si="2"/>
        <v>181.71296296296296</v>
      </c>
      <c r="G24" s="443">
        <f t="shared" si="3"/>
        <v>207</v>
      </c>
      <c r="H24" s="332" t="e">
        <f t="shared" ca="1" si="4"/>
        <v>#DIV/0!</v>
      </c>
      <c r="I24" s="689"/>
      <c r="J24" s="689"/>
      <c r="K24" s="689"/>
      <c r="L24" s="702">
        <f t="shared" si="5"/>
        <v>46250</v>
      </c>
      <c r="M24" s="470"/>
      <c r="N24" s="470"/>
    </row>
    <row r="25" spans="1:14" s="140" customFormat="1" ht="12" customHeight="1">
      <c r="A25" s="330">
        <v>17</v>
      </c>
      <c r="B25" s="365">
        <f>'FRIT HGE91-FHG'!B25</f>
        <v>46251</v>
      </c>
      <c r="C25" s="331" t="s">
        <v>285</v>
      </c>
      <c r="D25" s="443">
        <f t="shared" si="0"/>
        <v>0</v>
      </c>
      <c r="E25" s="443">
        <f t="shared" si="1"/>
        <v>200</v>
      </c>
      <c r="F25" s="443">
        <f t="shared" ca="1" si="2"/>
        <v>181.71296296296296</v>
      </c>
      <c r="G25" s="443">
        <f t="shared" si="3"/>
        <v>7</v>
      </c>
      <c r="H25" s="332" t="e">
        <f t="shared" ca="1" si="4"/>
        <v>#DIV/0!</v>
      </c>
      <c r="I25" s="689"/>
      <c r="J25" s="689">
        <v>200</v>
      </c>
      <c r="K25" s="689"/>
      <c r="L25" s="702">
        <f t="shared" si="5"/>
        <v>46251</v>
      </c>
      <c r="M25" s="470"/>
      <c r="N25" s="470"/>
    </row>
    <row r="26" spans="1:14" s="140" customFormat="1" ht="12" customHeight="1">
      <c r="A26" s="330">
        <v>18</v>
      </c>
      <c r="B26" s="365">
        <f>'FRIT HGE91-FHG'!B26</f>
        <v>46252</v>
      </c>
      <c r="C26" s="331" t="s">
        <v>285</v>
      </c>
      <c r="D26" s="443">
        <f t="shared" si="0"/>
        <v>351</v>
      </c>
      <c r="E26" s="443">
        <f t="shared" si="1"/>
        <v>0</v>
      </c>
      <c r="F26" s="443">
        <f t="shared" ca="1" si="2"/>
        <v>181.71296296296296</v>
      </c>
      <c r="G26" s="443">
        <f t="shared" si="3"/>
        <v>358</v>
      </c>
      <c r="H26" s="332" t="e">
        <f t="shared" ca="1" si="4"/>
        <v>#DIV/0!</v>
      </c>
      <c r="I26" s="689"/>
      <c r="J26" s="689"/>
      <c r="K26" s="689"/>
      <c r="L26" s="702">
        <f t="shared" si="5"/>
        <v>46252</v>
      </c>
      <c r="M26" s="470"/>
      <c r="N26" s="470">
        <v>351</v>
      </c>
    </row>
    <row r="27" spans="1:14" s="140" customFormat="1" ht="12" customHeight="1">
      <c r="A27" s="330">
        <v>19</v>
      </c>
      <c r="B27" s="365">
        <f>'FRIT HGE91-FHG'!B27</f>
        <v>46253</v>
      </c>
      <c r="C27" s="331" t="s">
        <v>285</v>
      </c>
      <c r="D27" s="443">
        <f t="shared" si="0"/>
        <v>0</v>
      </c>
      <c r="E27" s="443">
        <f t="shared" si="1"/>
        <v>0</v>
      </c>
      <c r="F27" s="443">
        <f t="shared" ca="1" si="2"/>
        <v>181.71296296296296</v>
      </c>
      <c r="G27" s="443">
        <f>G26+D27-E27</f>
        <v>358</v>
      </c>
      <c r="H27" s="332" t="e">
        <f t="shared" ca="1" si="4"/>
        <v>#DIV/0!</v>
      </c>
      <c r="I27" s="689"/>
      <c r="J27" s="689"/>
      <c r="K27" s="689"/>
      <c r="L27" s="702">
        <f t="shared" si="5"/>
        <v>46253</v>
      </c>
      <c r="M27" s="470"/>
      <c r="N27" s="470"/>
    </row>
    <row r="28" spans="1:14" s="140" customFormat="1" ht="12" customHeight="1">
      <c r="A28" s="425">
        <v>20</v>
      </c>
      <c r="B28" s="365">
        <f>'FRIT HGE91-FHG'!B28</f>
        <v>46254</v>
      </c>
      <c r="C28" s="331" t="s">
        <v>285</v>
      </c>
      <c r="D28" s="443">
        <f t="shared" si="0"/>
        <v>0</v>
      </c>
      <c r="E28" s="443">
        <f t="shared" si="1"/>
        <v>0</v>
      </c>
      <c r="F28" s="443">
        <f t="shared" ca="1" si="2"/>
        <v>181.71296296296296</v>
      </c>
      <c r="G28" s="445">
        <f t="shared" si="3"/>
        <v>358</v>
      </c>
      <c r="H28" s="332" t="e">
        <f t="shared" ca="1" si="4"/>
        <v>#DIV/0!</v>
      </c>
      <c r="I28" s="689"/>
      <c r="J28" s="689"/>
      <c r="K28" s="689"/>
      <c r="L28" s="702">
        <f t="shared" si="5"/>
        <v>46254</v>
      </c>
      <c r="M28" s="470"/>
      <c r="N28" s="470"/>
    </row>
    <row r="29" spans="1:14" s="140" customFormat="1" ht="12" customHeight="1">
      <c r="A29" s="330">
        <v>21</v>
      </c>
      <c r="B29" s="365">
        <f>'FRIT HGE91-FHG'!B29</f>
        <v>46255</v>
      </c>
      <c r="C29" s="331" t="s">
        <v>285</v>
      </c>
      <c r="D29" s="443">
        <f t="shared" si="0"/>
        <v>0</v>
      </c>
      <c r="E29" s="443">
        <f t="shared" si="1"/>
        <v>0</v>
      </c>
      <c r="F29" s="443">
        <f t="shared" ca="1" si="2"/>
        <v>181.71296296296296</v>
      </c>
      <c r="G29" s="446">
        <f t="shared" si="3"/>
        <v>358</v>
      </c>
      <c r="H29" s="332" t="e">
        <f t="shared" ca="1" si="4"/>
        <v>#DIV/0!</v>
      </c>
      <c r="I29" s="689"/>
      <c r="J29" s="689"/>
      <c r="K29" s="689"/>
      <c r="L29" s="702">
        <f t="shared" si="5"/>
        <v>46255</v>
      </c>
      <c r="M29" s="470"/>
      <c r="N29" s="470"/>
    </row>
    <row r="30" spans="1:14" s="140" customFormat="1" ht="12" customHeight="1">
      <c r="A30" s="330">
        <v>22</v>
      </c>
      <c r="B30" s="365">
        <f>'FRIT HGE91-FHG'!B30</f>
        <v>46256</v>
      </c>
      <c r="C30" s="331" t="s">
        <v>285</v>
      </c>
      <c r="D30" s="443">
        <f t="shared" si="0"/>
        <v>0</v>
      </c>
      <c r="E30" s="443">
        <f t="shared" si="1"/>
        <v>0</v>
      </c>
      <c r="F30" s="443">
        <f t="shared" ca="1" si="2"/>
        <v>181.71296296296296</v>
      </c>
      <c r="G30" s="446">
        <f t="shared" si="3"/>
        <v>358</v>
      </c>
      <c r="H30" s="332" t="e">
        <f t="shared" ca="1" si="4"/>
        <v>#DIV/0!</v>
      </c>
      <c r="I30" s="689"/>
      <c r="J30" s="689"/>
      <c r="K30" s="689"/>
      <c r="L30" s="702">
        <f t="shared" si="5"/>
        <v>46256</v>
      </c>
      <c r="M30" s="470"/>
      <c r="N30" s="470"/>
    </row>
    <row r="31" spans="1:14" s="140" customFormat="1" ht="12" customHeight="1">
      <c r="A31" s="330">
        <v>23</v>
      </c>
      <c r="B31" s="365">
        <f>'FRIT HGE91-FHG'!B31</f>
        <v>46257</v>
      </c>
      <c r="C31" s="331" t="s">
        <v>285</v>
      </c>
      <c r="D31" s="443">
        <f t="shared" si="0"/>
        <v>0</v>
      </c>
      <c r="E31" s="443">
        <f t="shared" si="1"/>
        <v>0</v>
      </c>
      <c r="F31" s="443">
        <f t="shared" ca="1" si="2"/>
        <v>181.71296296296296</v>
      </c>
      <c r="G31" s="446">
        <f t="shared" si="3"/>
        <v>358</v>
      </c>
      <c r="H31" s="332" t="e">
        <f t="shared" ca="1" si="4"/>
        <v>#DIV/0!</v>
      </c>
      <c r="I31" s="689"/>
      <c r="J31" s="689"/>
      <c r="K31" s="689"/>
      <c r="L31" s="702">
        <f t="shared" si="5"/>
        <v>46257</v>
      </c>
      <c r="M31" s="470"/>
      <c r="N31" s="470"/>
    </row>
    <row r="32" spans="1:14" s="140" customFormat="1" ht="12" customHeight="1">
      <c r="A32" s="330">
        <v>24</v>
      </c>
      <c r="B32" s="365">
        <f>'FRIT HGE91-FHG'!B32</f>
        <v>46258</v>
      </c>
      <c r="C32" s="331" t="s">
        <v>285</v>
      </c>
      <c r="D32" s="443">
        <f t="shared" si="0"/>
        <v>0</v>
      </c>
      <c r="E32" s="443">
        <f t="shared" si="1"/>
        <v>0</v>
      </c>
      <c r="F32" s="443">
        <f t="shared" ca="1" si="2"/>
        <v>181.71296296296296</v>
      </c>
      <c r="G32" s="446">
        <f>G31+D32-E32</f>
        <v>358</v>
      </c>
      <c r="H32" s="332" t="e">
        <f t="shared" ca="1" si="4"/>
        <v>#DIV/0!</v>
      </c>
      <c r="I32" s="689"/>
      <c r="J32" s="689"/>
      <c r="K32" s="689"/>
      <c r="L32" s="702">
        <f t="shared" si="5"/>
        <v>46258</v>
      </c>
      <c r="M32" s="470"/>
      <c r="N32" s="470"/>
    </row>
    <row r="33" spans="1:14" s="140" customFormat="1" ht="12" customHeight="1">
      <c r="A33" s="426">
        <v>25</v>
      </c>
      <c r="B33" s="365">
        <f>'FRIT HGE91-FHG'!B33</f>
        <v>46259</v>
      </c>
      <c r="C33" s="331" t="s">
        <v>285</v>
      </c>
      <c r="D33" s="443">
        <f t="shared" si="0"/>
        <v>0</v>
      </c>
      <c r="E33" s="443">
        <f t="shared" si="1"/>
        <v>0</v>
      </c>
      <c r="F33" s="443">
        <f t="shared" ca="1" si="2"/>
        <v>181.71296296296296</v>
      </c>
      <c r="G33" s="447">
        <f t="shared" si="3"/>
        <v>358</v>
      </c>
      <c r="H33" s="332" t="e">
        <f t="shared" ca="1" si="4"/>
        <v>#DIV/0!</v>
      </c>
      <c r="I33" s="689"/>
      <c r="J33" s="689"/>
      <c r="K33" s="689"/>
      <c r="L33" s="702">
        <f t="shared" si="5"/>
        <v>46259</v>
      </c>
      <c r="M33" s="470"/>
      <c r="N33" s="470"/>
    </row>
    <row r="34" spans="1:14" s="140" customFormat="1" ht="12" customHeight="1">
      <c r="A34" s="330">
        <v>26</v>
      </c>
      <c r="B34" s="365">
        <f>'FRIT HGE91-FHG'!B34</f>
        <v>46260</v>
      </c>
      <c r="C34" s="331" t="s">
        <v>285</v>
      </c>
      <c r="D34" s="443">
        <f t="shared" si="0"/>
        <v>0</v>
      </c>
      <c r="E34" s="443">
        <f t="shared" si="1"/>
        <v>0</v>
      </c>
      <c r="F34" s="443">
        <f t="shared" ca="1" si="2"/>
        <v>181.71296296296296</v>
      </c>
      <c r="G34" s="443">
        <f t="shared" si="3"/>
        <v>358</v>
      </c>
      <c r="H34" s="332" t="e">
        <f t="shared" ca="1" si="4"/>
        <v>#DIV/0!</v>
      </c>
      <c r="I34" s="689"/>
      <c r="J34" s="689"/>
      <c r="K34" s="689"/>
      <c r="L34" s="702">
        <f t="shared" si="5"/>
        <v>46260</v>
      </c>
      <c r="M34" s="470"/>
      <c r="N34" s="470"/>
    </row>
    <row r="35" spans="1:14" s="140" customFormat="1" ht="12" customHeight="1">
      <c r="A35" s="330">
        <v>27</v>
      </c>
      <c r="B35" s="365">
        <f>'FRIT HGE91-FHG'!B35</f>
        <v>46261</v>
      </c>
      <c r="C35" s="331" t="s">
        <v>285</v>
      </c>
      <c r="D35" s="443">
        <f t="shared" si="0"/>
        <v>0</v>
      </c>
      <c r="E35" s="443">
        <f t="shared" si="1"/>
        <v>0</v>
      </c>
      <c r="F35" s="443">
        <f t="shared" ca="1" si="2"/>
        <v>181.71296296296296</v>
      </c>
      <c r="G35" s="443">
        <f t="shared" si="3"/>
        <v>358</v>
      </c>
      <c r="H35" s="332" t="e">
        <f t="shared" ca="1" si="4"/>
        <v>#DIV/0!</v>
      </c>
      <c r="I35" s="689"/>
      <c r="J35" s="689"/>
      <c r="K35" s="689"/>
      <c r="L35" s="702">
        <f t="shared" si="5"/>
        <v>46261</v>
      </c>
      <c r="M35" s="470"/>
      <c r="N35" s="470"/>
    </row>
    <row r="36" spans="1:14" s="140" customFormat="1" ht="12" customHeight="1">
      <c r="A36" s="330">
        <v>28</v>
      </c>
      <c r="B36" s="365">
        <f>'FRIT HGE91-FHG'!B36</f>
        <v>46262</v>
      </c>
      <c r="C36" s="331" t="s">
        <v>285</v>
      </c>
      <c r="D36" s="443">
        <f t="shared" si="0"/>
        <v>0</v>
      </c>
      <c r="E36" s="443">
        <f t="shared" si="1"/>
        <v>0</v>
      </c>
      <c r="F36" s="443">
        <f t="shared" ca="1" si="2"/>
        <v>181.71296296296296</v>
      </c>
      <c r="G36" s="443">
        <f t="shared" si="3"/>
        <v>358</v>
      </c>
      <c r="H36" s="332" t="e">
        <f t="shared" ca="1" si="4"/>
        <v>#DIV/0!</v>
      </c>
      <c r="I36" s="689"/>
      <c r="J36" s="689"/>
      <c r="K36" s="689"/>
      <c r="L36" s="702">
        <f t="shared" si="5"/>
        <v>46262</v>
      </c>
      <c r="M36" s="470"/>
      <c r="N36" s="470"/>
    </row>
    <row r="37" spans="1:14" s="140" customFormat="1" ht="12" customHeight="1">
      <c r="A37" s="330">
        <v>29</v>
      </c>
      <c r="B37" s="365">
        <f>'FRIT HGE91-FHG'!B37</f>
        <v>46263</v>
      </c>
      <c r="C37" s="331" t="s">
        <v>285</v>
      </c>
      <c r="D37" s="443">
        <f t="shared" si="0"/>
        <v>0</v>
      </c>
      <c r="E37" s="443">
        <f t="shared" si="1"/>
        <v>0</v>
      </c>
      <c r="F37" s="443">
        <f t="shared" ca="1" si="2"/>
        <v>181.71296296296296</v>
      </c>
      <c r="G37" s="443">
        <f t="shared" si="3"/>
        <v>358</v>
      </c>
      <c r="H37" s="332" t="e">
        <f t="shared" ca="1" si="4"/>
        <v>#DIV/0!</v>
      </c>
      <c r="I37" s="689"/>
      <c r="J37" s="689"/>
      <c r="K37" s="689"/>
      <c r="L37" s="702">
        <f t="shared" si="5"/>
        <v>46263</v>
      </c>
      <c r="M37" s="470"/>
      <c r="N37" s="470"/>
    </row>
    <row r="38" spans="1:14" s="140" customFormat="1" ht="12" customHeight="1">
      <c r="A38" s="425">
        <v>30</v>
      </c>
      <c r="B38" s="365">
        <f>'FRIT HGE91-FHG'!B38</f>
        <v>46264</v>
      </c>
      <c r="C38" s="331" t="s">
        <v>285</v>
      </c>
      <c r="D38" s="443">
        <f t="shared" si="0"/>
        <v>0</v>
      </c>
      <c r="E38" s="443">
        <f t="shared" si="1"/>
        <v>0</v>
      </c>
      <c r="F38" s="443">
        <f t="shared" ca="1" si="2"/>
        <v>181.71296296296296</v>
      </c>
      <c r="G38" s="445">
        <f t="shared" si="3"/>
        <v>358</v>
      </c>
      <c r="H38" s="332" t="e">
        <f t="shared" ca="1" si="4"/>
        <v>#DIV/0!</v>
      </c>
      <c r="I38" s="689"/>
      <c r="J38" s="689"/>
      <c r="K38" s="689"/>
      <c r="L38" s="702">
        <f t="shared" si="5"/>
        <v>46264</v>
      </c>
      <c r="M38" s="470"/>
      <c r="N38" s="470"/>
    </row>
    <row r="39" spans="1:14" s="140" customFormat="1" ht="12" customHeight="1">
      <c r="A39" s="330">
        <v>31</v>
      </c>
      <c r="B39" s="365">
        <f>'FRIT HGE91-FHG'!B39</f>
        <v>46265</v>
      </c>
      <c r="C39" s="331" t="s">
        <v>285</v>
      </c>
      <c r="D39" s="443">
        <f t="shared" si="0"/>
        <v>0</v>
      </c>
      <c r="E39" s="443">
        <f t="shared" si="1"/>
        <v>0</v>
      </c>
      <c r="F39" s="443">
        <f t="shared" ca="1" si="2"/>
        <v>181.71296296296296</v>
      </c>
      <c r="G39" s="443">
        <f t="shared" si="3"/>
        <v>358</v>
      </c>
      <c r="H39" s="332">
        <f t="shared" ca="1" si="4"/>
        <v>0</v>
      </c>
      <c r="I39" s="689"/>
      <c r="J39" s="689"/>
      <c r="K39" s="689"/>
      <c r="L39" s="702">
        <f t="shared" si="5"/>
        <v>46265</v>
      </c>
      <c r="M39" s="470"/>
      <c r="N39" s="470"/>
    </row>
    <row r="40" spans="1:14" s="32" customFormat="1" ht="12" customHeight="1">
      <c r="A40" s="1647" t="s">
        <v>29</v>
      </c>
      <c r="B40" s="1647"/>
      <c r="C40" s="1647"/>
      <c r="D40" s="448">
        <f>SUM(D9:D39)</f>
        <v>918</v>
      </c>
      <c r="E40" s="389">
        <f>SUM(E9:E39)</f>
        <v>920</v>
      </c>
      <c r="F40" s="449"/>
      <c r="G40" s="389">
        <f>G39</f>
        <v>358</v>
      </c>
      <c r="H40" s="309"/>
      <c r="I40" s="689">
        <f>SUM(I9:I39)</f>
        <v>0</v>
      </c>
      <c r="J40" s="689">
        <f t="shared" ref="J40:K40" si="6">SUM(J9:J39)</f>
        <v>920</v>
      </c>
      <c r="K40" s="689">
        <f t="shared" si="6"/>
        <v>0</v>
      </c>
      <c r="L40" s="471" t="s">
        <v>239</v>
      </c>
      <c r="M40" s="699">
        <f>SUM(M9:M39)</f>
        <v>0</v>
      </c>
      <c r="N40" s="699">
        <f>SUM(N9:N39)</f>
        <v>918</v>
      </c>
    </row>
    <row r="41" spans="1:14" s="32" customFormat="1" ht="12" customHeight="1">
      <c r="A41" s="1647" t="s">
        <v>15</v>
      </c>
      <c r="B41" s="1647"/>
      <c r="C41" s="1647"/>
      <c r="D41" s="448">
        <f>D40+D8</f>
        <v>1278</v>
      </c>
      <c r="E41" s="389">
        <f>E40</f>
        <v>920</v>
      </c>
      <c r="F41" s="449"/>
      <c r="G41" s="389">
        <f>D41-E41</f>
        <v>358</v>
      </c>
      <c r="H41" s="309"/>
      <c r="I41" s="689"/>
      <c r="J41" s="689"/>
      <c r="K41" s="794"/>
      <c r="L41" s="794"/>
      <c r="M41" s="794"/>
    </row>
    <row r="42" spans="1:14" s="324" customFormat="1" ht="12.75">
      <c r="D42" s="343"/>
      <c r="E42" s="343"/>
      <c r="F42" s="343"/>
      <c r="G42" s="343"/>
      <c r="H42" s="343" t="s">
        <v>227</v>
      </c>
      <c r="I42" s="343"/>
      <c r="J42" s="343"/>
      <c r="K42" s="343"/>
      <c r="L42" s="343"/>
      <c r="M42" s="343"/>
    </row>
    <row r="43" spans="1:14" s="324" customFormat="1" ht="12.75">
      <c r="D43" s="343"/>
      <c r="E43" s="343"/>
      <c r="F43" s="343"/>
      <c r="G43" s="343"/>
      <c r="H43" s="343"/>
      <c r="I43" s="343"/>
      <c r="J43" s="343"/>
      <c r="K43" s="343"/>
      <c r="L43" s="343"/>
      <c r="M43" s="343"/>
    </row>
    <row r="44" spans="1:14" s="324" customFormat="1" ht="12.75">
      <c r="D44" s="343"/>
      <c r="E44" s="343"/>
      <c r="F44" s="343"/>
      <c r="G44" s="343"/>
      <c r="H44" s="343"/>
      <c r="I44" s="343"/>
      <c r="J44" s="343"/>
      <c r="K44" s="343"/>
      <c r="L44" s="343"/>
      <c r="M44" s="343"/>
    </row>
    <row r="45" spans="1:14" s="324" customFormat="1" ht="12.75">
      <c r="D45" s="343"/>
      <c r="E45" s="343"/>
      <c r="F45" s="343"/>
      <c r="G45" s="343"/>
      <c r="H45" s="343"/>
      <c r="I45" s="343"/>
      <c r="J45" s="343"/>
      <c r="K45" s="343"/>
      <c r="L45" s="343"/>
      <c r="M45" s="343"/>
    </row>
    <row r="46" spans="1:14" s="324" customFormat="1" ht="12.75">
      <c r="D46" s="343"/>
      <c r="E46" s="343"/>
      <c r="F46" s="343"/>
      <c r="G46" s="343"/>
      <c r="H46" s="343" t="s">
        <v>333</v>
      </c>
      <c r="I46" s="343"/>
      <c r="J46" s="343"/>
      <c r="K46" s="343"/>
      <c r="L46" s="343"/>
      <c r="M46" s="343"/>
    </row>
    <row r="47" spans="1:14" s="340" customFormat="1" ht="15.75">
      <c r="A47" s="324"/>
      <c r="B47" s="324"/>
      <c r="C47" s="324"/>
      <c r="D47" s="343"/>
      <c r="E47" s="343"/>
      <c r="F47" s="343"/>
      <c r="G47" s="343"/>
      <c r="H47" s="326"/>
      <c r="I47" s="324"/>
      <c r="J47" s="324"/>
      <c r="K47" s="324"/>
      <c r="L47" s="324"/>
      <c r="M47" s="324"/>
    </row>
    <row r="49" spans="4:7">
      <c r="D49" s="42"/>
      <c r="E49" s="42"/>
      <c r="F49" s="42"/>
      <c r="G49" s="42"/>
    </row>
  </sheetData>
  <mergeCells count="5">
    <mergeCell ref="A3:I3"/>
    <mergeCell ref="A8:C8"/>
    <mergeCell ref="A40:C40"/>
    <mergeCell ref="A41:C41"/>
    <mergeCell ref="A4:B4"/>
  </mergeCells>
  <conditionalFormatting sqref="H9:H39">
    <cfRule type="cellIs" dxfId="5753" priority="16" operator="between">
      <formula>3</formula>
      <formula>6</formula>
    </cfRule>
    <cfRule type="cellIs" dxfId="5752" priority="17" operator="lessThan">
      <formula>3</formula>
    </cfRule>
    <cfRule type="cellIs" dxfId="5751" priority="18" operator="greaterThan">
      <formula>6</formula>
    </cfRule>
  </conditionalFormatting>
  <conditionalFormatting sqref="H9:H39">
    <cfRule type="cellIs" dxfId="5750" priority="7" operator="between">
      <formula>3.5</formula>
      <formula>6</formula>
    </cfRule>
    <cfRule type="cellIs" dxfId="5749" priority="8" operator="lessThan">
      <formula>3.5</formula>
    </cfRule>
    <cfRule type="cellIs" dxfId="5748" priority="9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T49"/>
  <sheetViews>
    <sheetView workbookViewId="0">
      <pane ySplit="8" topLeftCell="A15" activePane="bottomLeft" state="frozen"/>
      <selection pane="bottomLeft" activeCell="N27" sqref="N27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4.140625" style="42" customWidth="1"/>
    <col min="4" max="7" width="16.5703125" style="6" customWidth="1"/>
    <col min="8" max="8" width="20.28515625" style="42" customWidth="1"/>
    <col min="9" max="11" width="8.42578125" style="42" customWidth="1"/>
    <col min="12" max="12" width="10.5703125" style="42" customWidth="1"/>
    <col min="13" max="13" width="14.5703125" style="42" customWidth="1"/>
    <col min="14" max="14" width="14.5703125" style="143" customWidth="1"/>
    <col min="15" max="16384" width="9.28515625" style="42"/>
  </cols>
  <sheetData>
    <row r="1" spans="1:20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3"/>
      <c r="O1" s="324"/>
      <c r="P1" s="324"/>
      <c r="Q1" s="324"/>
      <c r="R1" s="324"/>
      <c r="S1" s="324"/>
      <c r="T1" s="324"/>
    </row>
    <row r="2" spans="1:20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J2" s="324"/>
      <c r="K2" s="324"/>
      <c r="L2" s="324"/>
      <c r="M2" s="324"/>
      <c r="N2" s="323"/>
      <c r="O2" s="324"/>
      <c r="P2" s="324"/>
      <c r="Q2" s="324"/>
      <c r="R2" s="324"/>
      <c r="S2" s="324"/>
    </row>
    <row r="3" spans="1:20" s="143" customFormat="1" ht="18.75" customHeight="1">
      <c r="A3" s="1644" t="s">
        <v>0</v>
      </c>
      <c r="B3" s="1644"/>
      <c r="C3" s="1644"/>
      <c r="D3" s="1644"/>
      <c r="E3" s="1644"/>
      <c r="F3" s="1644"/>
      <c r="G3" s="1644"/>
      <c r="H3" s="1644"/>
      <c r="I3" s="1644"/>
    </row>
    <row r="4" spans="1:20" s="452" customFormat="1" ht="12.75" customHeight="1">
      <c r="A4" s="1648" t="s">
        <v>33</v>
      </c>
      <c r="B4" s="1648"/>
      <c r="C4" s="551" t="str">
        <f>H4</f>
        <v>PALLET 1 MẶT cũ ( loại 2 )</v>
      </c>
      <c r="E4" s="549" t="s">
        <v>228</v>
      </c>
      <c r="F4" s="549" t="s">
        <v>236</v>
      </c>
      <c r="G4" s="549" t="s">
        <v>114</v>
      </c>
      <c r="H4" s="551" t="s">
        <v>1224</v>
      </c>
      <c r="K4" s="1007"/>
      <c r="L4" s="1413"/>
      <c r="M4" s="1413"/>
      <c r="N4" s="143"/>
    </row>
    <row r="5" spans="1:20" s="452" customFormat="1" ht="12.75" customHeight="1">
      <c r="B5" s="324" t="str">
        <f>'FRIT HGE91-FHG'!B5</f>
        <v xml:space="preserve">Từ ngày:  </v>
      </c>
      <c r="C5" s="324"/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1007"/>
      <c r="L5" s="1413"/>
      <c r="M5" s="1413"/>
      <c r="N5" s="143"/>
    </row>
    <row r="6" spans="1:20" s="452" customFormat="1" ht="12.75" customHeight="1">
      <c r="B6" s="453"/>
      <c r="C6" s="453"/>
      <c r="D6" s="453"/>
      <c r="E6" s="453"/>
      <c r="F6" s="453"/>
      <c r="G6" s="453"/>
      <c r="H6" s="552" t="s">
        <v>40</v>
      </c>
      <c r="I6" s="580" t="s">
        <v>149</v>
      </c>
      <c r="K6" s="1007"/>
      <c r="L6" s="1413"/>
      <c r="M6" s="1413"/>
      <c r="N6" s="143"/>
    </row>
    <row r="7" spans="1:20" s="305" customFormat="1" ht="28.5" customHeight="1">
      <c r="A7" s="381" t="s">
        <v>2</v>
      </c>
      <c r="B7" s="380" t="s">
        <v>1</v>
      </c>
      <c r="C7" s="380" t="s">
        <v>24</v>
      </c>
      <c r="D7" s="379" t="s">
        <v>250</v>
      </c>
      <c r="E7" s="379" t="s">
        <v>249</v>
      </c>
      <c r="F7" s="379" t="s">
        <v>265</v>
      </c>
      <c r="G7" s="379" t="s">
        <v>253</v>
      </c>
      <c r="H7" s="379" t="s">
        <v>30</v>
      </c>
      <c r="I7" s="697" t="s">
        <v>341</v>
      </c>
      <c r="J7" s="697" t="s">
        <v>244</v>
      </c>
      <c r="K7" s="697" t="s">
        <v>821</v>
      </c>
      <c r="L7" s="1413"/>
      <c r="M7" s="1413"/>
      <c r="N7" s="143"/>
    </row>
    <row r="8" spans="1:20" s="305" customFormat="1" ht="12" customHeight="1">
      <c r="A8" s="1597" t="s">
        <v>3</v>
      </c>
      <c r="B8" s="1598"/>
      <c r="C8" s="1599"/>
      <c r="D8" s="306">
        <f>G8</f>
        <v>0</v>
      </c>
      <c r="E8" s="300"/>
      <c r="F8" s="300"/>
      <c r="G8" s="625">
        <v>0</v>
      </c>
      <c r="H8" s="308"/>
      <c r="I8" s="689"/>
      <c r="J8" s="689"/>
      <c r="K8" s="689"/>
      <c r="L8" s="701" t="s">
        <v>1</v>
      </c>
      <c r="M8" s="313" t="s">
        <v>350</v>
      </c>
      <c r="N8" s="313" t="s">
        <v>1232</v>
      </c>
    </row>
    <row r="9" spans="1:20" s="333" customFormat="1" ht="12" customHeight="1">
      <c r="A9" s="330">
        <v>1</v>
      </c>
      <c r="B9" s="365">
        <f>'FRIT HGE91-FHG'!B9</f>
        <v>46235</v>
      </c>
      <c r="C9" s="331" t="s">
        <v>285</v>
      </c>
      <c r="D9" s="334">
        <f>M9+N9</f>
        <v>0</v>
      </c>
      <c r="E9" s="695">
        <f>I9+J9+K9</f>
        <v>0</v>
      </c>
      <c r="F9" s="443">
        <f ca="1">$F$9</f>
        <v>181.71296296296296</v>
      </c>
      <c r="G9" s="336">
        <f>G8+D9-E9</f>
        <v>0</v>
      </c>
      <c r="H9" s="337" t="e">
        <f t="shared" ref="H9:H39" ca="1" si="0">G9/F9</f>
        <v>#DIV/0!</v>
      </c>
      <c r="I9" s="689"/>
      <c r="J9" s="689"/>
      <c r="K9" s="689"/>
      <c r="L9" s="702">
        <f>B9</f>
        <v>46235</v>
      </c>
      <c r="M9" s="470"/>
      <c r="N9" s="470"/>
    </row>
    <row r="10" spans="1:20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34">
        <f t="shared" ref="D10:D39" si="1">M10+N10</f>
        <v>0</v>
      </c>
      <c r="E10" s="695">
        <f t="shared" ref="E10:E39" si="2">I10+J10+K10</f>
        <v>0</v>
      </c>
      <c r="F10" s="443">
        <f t="shared" ref="F10:F39" ca="1" si="3">$F$9</f>
        <v>181.71296296296296</v>
      </c>
      <c r="G10" s="336">
        <f t="shared" ref="G10:G39" si="4">G9+D10-E10</f>
        <v>0</v>
      </c>
      <c r="H10" s="337" t="e">
        <f t="shared" ca="1" si="0"/>
        <v>#DIV/0!</v>
      </c>
      <c r="I10" s="690"/>
      <c r="J10" s="690"/>
      <c r="K10" s="689"/>
      <c r="L10" s="702">
        <f t="shared" ref="L10:L39" si="5">B10</f>
        <v>46236</v>
      </c>
      <c r="M10" s="470"/>
      <c r="N10" s="470"/>
    </row>
    <row r="11" spans="1:20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34">
        <f t="shared" si="1"/>
        <v>0</v>
      </c>
      <c r="E11" s="695">
        <f t="shared" si="2"/>
        <v>0</v>
      </c>
      <c r="F11" s="443">
        <f t="shared" ca="1" si="3"/>
        <v>181.71296296296296</v>
      </c>
      <c r="G11" s="336">
        <f t="shared" si="4"/>
        <v>0</v>
      </c>
      <c r="H11" s="467">
        <f t="shared" ca="1" si="0"/>
        <v>0</v>
      </c>
      <c r="I11" s="689"/>
      <c r="J11" s="689"/>
      <c r="K11" s="689"/>
      <c r="L11" s="702">
        <f t="shared" si="5"/>
        <v>46237</v>
      </c>
      <c r="M11" s="470"/>
      <c r="N11" s="470"/>
    </row>
    <row r="12" spans="1:20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34">
        <f t="shared" si="1"/>
        <v>167</v>
      </c>
      <c r="E12" s="695">
        <f t="shared" si="2"/>
        <v>0</v>
      </c>
      <c r="F12" s="443">
        <f t="shared" ca="1" si="3"/>
        <v>181.71296296296296</v>
      </c>
      <c r="G12" s="336">
        <f t="shared" si="4"/>
        <v>167</v>
      </c>
      <c r="H12" s="467">
        <f t="shared" ca="1" si="0"/>
        <v>0</v>
      </c>
      <c r="I12" s="690"/>
      <c r="J12" s="690"/>
      <c r="K12" s="689"/>
      <c r="L12" s="702">
        <f t="shared" si="5"/>
        <v>46238</v>
      </c>
      <c r="M12" s="470"/>
      <c r="N12" s="470">
        <v>167</v>
      </c>
    </row>
    <row r="13" spans="1:20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34">
        <f t="shared" si="1"/>
        <v>0</v>
      </c>
      <c r="E13" s="695">
        <f t="shared" si="2"/>
        <v>0</v>
      </c>
      <c r="F13" s="443">
        <f t="shared" ca="1" si="3"/>
        <v>181.71296296296296</v>
      </c>
      <c r="G13" s="468">
        <f t="shared" si="4"/>
        <v>167</v>
      </c>
      <c r="H13" s="467">
        <f t="shared" ca="1" si="0"/>
        <v>0</v>
      </c>
      <c r="I13" s="690"/>
      <c r="J13" s="690"/>
      <c r="K13" s="689"/>
      <c r="L13" s="702">
        <f t="shared" si="5"/>
        <v>46239</v>
      </c>
      <c r="M13" s="470"/>
      <c r="N13" s="470"/>
    </row>
    <row r="14" spans="1:20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34">
        <f t="shared" si="1"/>
        <v>0</v>
      </c>
      <c r="E14" s="695">
        <f t="shared" si="2"/>
        <v>0</v>
      </c>
      <c r="F14" s="443">
        <f t="shared" ca="1" si="3"/>
        <v>181.71296296296296</v>
      </c>
      <c r="G14" s="336">
        <f t="shared" si="4"/>
        <v>167</v>
      </c>
      <c r="H14" s="467">
        <f t="shared" ca="1" si="0"/>
        <v>0</v>
      </c>
      <c r="I14" s="690"/>
      <c r="J14" s="690"/>
      <c r="K14" s="689"/>
      <c r="L14" s="702">
        <f t="shared" si="5"/>
        <v>46240</v>
      </c>
      <c r="M14" s="470"/>
      <c r="N14" s="470"/>
    </row>
    <row r="15" spans="1:20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34">
        <f t="shared" si="1"/>
        <v>0</v>
      </c>
      <c r="E15" s="695">
        <f t="shared" si="2"/>
        <v>0</v>
      </c>
      <c r="F15" s="443">
        <f t="shared" ca="1" si="3"/>
        <v>181.71296296296296</v>
      </c>
      <c r="G15" s="336">
        <f t="shared" si="4"/>
        <v>167</v>
      </c>
      <c r="H15" s="467">
        <f t="shared" ca="1" si="0"/>
        <v>0</v>
      </c>
      <c r="I15" s="690"/>
      <c r="J15" s="690"/>
      <c r="K15" s="689"/>
      <c r="L15" s="702">
        <f t="shared" si="5"/>
        <v>46241</v>
      </c>
      <c r="M15" s="470"/>
      <c r="N15" s="470"/>
    </row>
    <row r="16" spans="1:20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34">
        <f t="shared" si="1"/>
        <v>0</v>
      </c>
      <c r="E16" s="695">
        <f t="shared" si="2"/>
        <v>0</v>
      </c>
      <c r="F16" s="443">
        <f t="shared" ca="1" si="3"/>
        <v>181.71296296296296</v>
      </c>
      <c r="G16" s="336">
        <f t="shared" si="4"/>
        <v>167</v>
      </c>
      <c r="H16" s="467">
        <f t="shared" ca="1" si="0"/>
        <v>0</v>
      </c>
      <c r="I16" s="690"/>
      <c r="J16" s="690"/>
      <c r="K16" s="689"/>
      <c r="L16" s="702">
        <f t="shared" si="5"/>
        <v>46242</v>
      </c>
      <c r="M16" s="470"/>
      <c r="N16" s="470"/>
    </row>
    <row r="17" spans="1:14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334">
        <f t="shared" si="1"/>
        <v>0</v>
      </c>
      <c r="E17" s="695">
        <f t="shared" si="2"/>
        <v>0</v>
      </c>
      <c r="F17" s="443">
        <f t="shared" ca="1" si="3"/>
        <v>181.71296296296296</v>
      </c>
      <c r="G17" s="336">
        <f t="shared" si="4"/>
        <v>167</v>
      </c>
      <c r="H17" s="467">
        <f t="shared" ca="1" si="0"/>
        <v>0</v>
      </c>
      <c r="I17" s="690"/>
      <c r="J17" s="690"/>
      <c r="K17" s="689"/>
      <c r="L17" s="702">
        <f t="shared" si="5"/>
        <v>46243</v>
      </c>
      <c r="M17" s="470"/>
      <c r="N17" s="470"/>
    </row>
    <row r="18" spans="1:14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334">
        <f t="shared" si="1"/>
        <v>0</v>
      </c>
      <c r="E18" s="695">
        <f t="shared" si="2"/>
        <v>0</v>
      </c>
      <c r="F18" s="443">
        <f t="shared" ca="1" si="3"/>
        <v>181.71296296296296</v>
      </c>
      <c r="G18" s="1412">
        <f t="shared" si="4"/>
        <v>167</v>
      </c>
      <c r="H18" s="467">
        <f t="shared" ca="1" si="0"/>
        <v>0</v>
      </c>
      <c r="I18" s="690"/>
      <c r="J18" s="690"/>
      <c r="K18" s="689"/>
      <c r="L18" s="702">
        <f t="shared" si="5"/>
        <v>46244</v>
      </c>
      <c r="M18" s="470"/>
      <c r="N18" s="470"/>
    </row>
    <row r="19" spans="1:14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334">
        <f t="shared" si="1"/>
        <v>38</v>
      </c>
      <c r="E19" s="695">
        <f t="shared" si="2"/>
        <v>0</v>
      </c>
      <c r="F19" s="443">
        <f t="shared" ca="1" si="3"/>
        <v>181.71296296296296</v>
      </c>
      <c r="G19" s="336">
        <f t="shared" si="4"/>
        <v>205</v>
      </c>
      <c r="H19" s="467">
        <f t="shared" ca="1" si="0"/>
        <v>0</v>
      </c>
      <c r="I19" s="690"/>
      <c r="J19" s="690"/>
      <c r="K19" s="689"/>
      <c r="L19" s="702">
        <f t="shared" si="5"/>
        <v>46245</v>
      </c>
      <c r="M19" s="470"/>
      <c r="N19" s="470">
        <v>38</v>
      </c>
    </row>
    <row r="20" spans="1:14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34">
        <f t="shared" si="1"/>
        <v>0</v>
      </c>
      <c r="E20" s="695">
        <f t="shared" si="2"/>
        <v>0</v>
      </c>
      <c r="F20" s="443">
        <f t="shared" ca="1" si="3"/>
        <v>181.71296296296296</v>
      </c>
      <c r="G20" s="336">
        <f t="shared" si="4"/>
        <v>205</v>
      </c>
      <c r="H20" s="467">
        <f t="shared" ca="1" si="0"/>
        <v>0</v>
      </c>
      <c r="I20" s="690"/>
      <c r="J20" s="690"/>
      <c r="K20" s="689"/>
      <c r="L20" s="702">
        <f t="shared" si="5"/>
        <v>46246</v>
      </c>
      <c r="M20" s="470"/>
      <c r="N20" s="470"/>
    </row>
    <row r="21" spans="1:14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34">
        <f t="shared" si="1"/>
        <v>0</v>
      </c>
      <c r="E21" s="695">
        <f t="shared" si="2"/>
        <v>0</v>
      </c>
      <c r="F21" s="443">
        <f t="shared" ca="1" si="3"/>
        <v>181.71296296296296</v>
      </c>
      <c r="G21" s="336">
        <f t="shared" si="4"/>
        <v>205</v>
      </c>
      <c r="H21" s="467">
        <f t="shared" ca="1" si="0"/>
        <v>0</v>
      </c>
      <c r="I21" s="690"/>
      <c r="J21" s="690"/>
      <c r="K21" s="689"/>
      <c r="L21" s="702">
        <f t="shared" si="5"/>
        <v>46247</v>
      </c>
      <c r="M21" s="470"/>
      <c r="N21" s="470"/>
    </row>
    <row r="22" spans="1:14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34">
        <f t="shared" si="1"/>
        <v>0</v>
      </c>
      <c r="E22" s="695">
        <f t="shared" si="2"/>
        <v>0</v>
      </c>
      <c r="F22" s="443">
        <f t="shared" ca="1" si="3"/>
        <v>181.71296296296296</v>
      </c>
      <c r="G22" s="336">
        <f t="shared" si="4"/>
        <v>205</v>
      </c>
      <c r="H22" s="467">
        <f t="shared" ca="1" si="0"/>
        <v>0</v>
      </c>
      <c r="I22" s="690"/>
      <c r="J22" s="690"/>
      <c r="K22" s="689"/>
      <c r="L22" s="702">
        <f t="shared" si="5"/>
        <v>46248</v>
      </c>
      <c r="M22" s="470"/>
      <c r="N22" s="470"/>
    </row>
    <row r="23" spans="1:14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334">
        <f t="shared" si="1"/>
        <v>187</v>
      </c>
      <c r="E23" s="695">
        <f t="shared" si="2"/>
        <v>220</v>
      </c>
      <c r="F23" s="443">
        <f t="shared" ca="1" si="3"/>
        <v>181.71296296296296</v>
      </c>
      <c r="G23" s="468">
        <f t="shared" si="4"/>
        <v>172</v>
      </c>
      <c r="H23" s="467">
        <f t="shared" ca="1" si="0"/>
        <v>0</v>
      </c>
      <c r="I23" s="690">
        <v>220</v>
      </c>
      <c r="J23" s="690"/>
      <c r="K23" s="689"/>
      <c r="L23" s="702">
        <f t="shared" si="5"/>
        <v>46249</v>
      </c>
      <c r="M23" s="470"/>
      <c r="N23" s="470">
        <v>187</v>
      </c>
    </row>
    <row r="24" spans="1:14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334">
        <f t="shared" si="1"/>
        <v>0</v>
      </c>
      <c r="E24" s="695">
        <f t="shared" si="2"/>
        <v>0</v>
      </c>
      <c r="F24" s="443">
        <f t="shared" ca="1" si="3"/>
        <v>181.71296296296296</v>
      </c>
      <c r="G24" s="336">
        <f t="shared" si="4"/>
        <v>172</v>
      </c>
      <c r="H24" s="467">
        <f t="shared" ca="1" si="0"/>
        <v>0</v>
      </c>
      <c r="I24" s="690"/>
      <c r="J24" s="690"/>
      <c r="K24" s="689"/>
      <c r="L24" s="702">
        <f t="shared" si="5"/>
        <v>46250</v>
      </c>
      <c r="M24" s="470"/>
      <c r="N24" s="470"/>
    </row>
    <row r="25" spans="1:14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334">
        <f t="shared" si="1"/>
        <v>0</v>
      </c>
      <c r="E25" s="695">
        <f t="shared" si="2"/>
        <v>0</v>
      </c>
      <c r="F25" s="443">
        <f t="shared" ca="1" si="3"/>
        <v>181.71296296296296</v>
      </c>
      <c r="G25" s="336">
        <f t="shared" si="4"/>
        <v>172</v>
      </c>
      <c r="H25" s="467">
        <f t="shared" ca="1" si="0"/>
        <v>0</v>
      </c>
      <c r="I25" s="690"/>
      <c r="J25" s="690"/>
      <c r="K25" s="689"/>
      <c r="L25" s="702">
        <f t="shared" si="5"/>
        <v>46251</v>
      </c>
      <c r="M25" s="470"/>
      <c r="N25" s="470"/>
    </row>
    <row r="26" spans="1:14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334">
        <f t="shared" si="1"/>
        <v>49</v>
      </c>
      <c r="E26" s="695">
        <f t="shared" si="2"/>
        <v>0</v>
      </c>
      <c r="F26" s="443">
        <f t="shared" ca="1" si="3"/>
        <v>181.71296296296296</v>
      </c>
      <c r="G26" s="336">
        <f t="shared" si="4"/>
        <v>221</v>
      </c>
      <c r="H26" s="467">
        <f t="shared" ca="1" si="0"/>
        <v>0</v>
      </c>
      <c r="I26" s="690"/>
      <c r="J26" s="690"/>
      <c r="K26" s="689"/>
      <c r="L26" s="702">
        <f t="shared" si="5"/>
        <v>46252</v>
      </c>
      <c r="M26" s="470"/>
      <c r="N26" s="470">
        <v>49</v>
      </c>
    </row>
    <row r="27" spans="1:14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334">
        <f t="shared" si="1"/>
        <v>0</v>
      </c>
      <c r="E27" s="695">
        <f t="shared" si="2"/>
        <v>0</v>
      </c>
      <c r="F27" s="443">
        <f t="shared" ca="1" si="3"/>
        <v>181.71296296296296</v>
      </c>
      <c r="G27" s="336">
        <f t="shared" si="4"/>
        <v>221</v>
      </c>
      <c r="H27" s="467">
        <f t="shared" ca="1" si="0"/>
        <v>0</v>
      </c>
      <c r="I27" s="690"/>
      <c r="J27" s="690"/>
      <c r="K27" s="689"/>
      <c r="L27" s="702">
        <f t="shared" si="5"/>
        <v>46253</v>
      </c>
      <c r="M27" s="470"/>
      <c r="N27" s="470"/>
    </row>
    <row r="28" spans="1:14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34">
        <f t="shared" si="1"/>
        <v>0</v>
      </c>
      <c r="E28" s="695">
        <f t="shared" si="2"/>
        <v>0</v>
      </c>
      <c r="F28" s="443">
        <f t="shared" ca="1" si="3"/>
        <v>181.71296296296296</v>
      </c>
      <c r="G28" s="468">
        <f t="shared" si="4"/>
        <v>221</v>
      </c>
      <c r="H28" s="467">
        <f t="shared" ca="1" si="0"/>
        <v>0</v>
      </c>
      <c r="I28" s="690"/>
      <c r="J28" s="690"/>
      <c r="K28" s="689"/>
      <c r="L28" s="702">
        <f t="shared" si="5"/>
        <v>46254</v>
      </c>
      <c r="M28" s="470"/>
      <c r="N28" s="470"/>
    </row>
    <row r="29" spans="1:14" s="367" customFormat="1" ht="12" customHeight="1">
      <c r="A29" s="330">
        <v>21</v>
      </c>
      <c r="B29" s="365">
        <f>'FRIT HGE91-FHG'!B29</f>
        <v>46255</v>
      </c>
      <c r="C29" s="331" t="s">
        <v>285</v>
      </c>
      <c r="D29" s="334">
        <f t="shared" si="1"/>
        <v>0</v>
      </c>
      <c r="E29" s="695">
        <f t="shared" si="2"/>
        <v>0</v>
      </c>
      <c r="F29" s="443">
        <f t="shared" ca="1" si="3"/>
        <v>181.71296296296296</v>
      </c>
      <c r="G29" s="336">
        <f t="shared" si="4"/>
        <v>221</v>
      </c>
      <c r="H29" s="467">
        <f t="shared" ca="1" si="0"/>
        <v>0</v>
      </c>
      <c r="I29" s="690"/>
      <c r="J29" s="690"/>
      <c r="K29" s="689"/>
      <c r="L29" s="702">
        <f t="shared" si="5"/>
        <v>46255</v>
      </c>
      <c r="M29" s="470"/>
      <c r="N29" s="470"/>
    </row>
    <row r="30" spans="1:14" s="367" customFormat="1" ht="12" customHeight="1">
      <c r="A30" s="330">
        <v>22</v>
      </c>
      <c r="B30" s="365">
        <f>'FRIT HGE91-FHG'!B30</f>
        <v>46256</v>
      </c>
      <c r="C30" s="331" t="s">
        <v>285</v>
      </c>
      <c r="D30" s="334">
        <f t="shared" si="1"/>
        <v>0</v>
      </c>
      <c r="E30" s="695">
        <f t="shared" si="2"/>
        <v>0</v>
      </c>
      <c r="F30" s="443">
        <f t="shared" ca="1" si="3"/>
        <v>181.71296296296296</v>
      </c>
      <c r="G30" s="336">
        <f t="shared" si="4"/>
        <v>221</v>
      </c>
      <c r="H30" s="467">
        <f t="shared" ca="1" si="0"/>
        <v>0</v>
      </c>
      <c r="I30" s="690"/>
      <c r="J30" s="690"/>
      <c r="K30" s="689"/>
      <c r="L30" s="702">
        <f t="shared" si="5"/>
        <v>46256</v>
      </c>
      <c r="M30" s="470"/>
      <c r="N30" s="470"/>
    </row>
    <row r="31" spans="1:14" s="367" customFormat="1" ht="12" customHeight="1">
      <c r="A31" s="330">
        <v>23</v>
      </c>
      <c r="B31" s="365">
        <f>'FRIT HGE91-FHG'!B31</f>
        <v>46257</v>
      </c>
      <c r="C31" s="331" t="s">
        <v>285</v>
      </c>
      <c r="D31" s="334">
        <f t="shared" si="1"/>
        <v>0</v>
      </c>
      <c r="E31" s="695">
        <f t="shared" si="2"/>
        <v>0</v>
      </c>
      <c r="F31" s="443">
        <f t="shared" ca="1" si="3"/>
        <v>181.71296296296296</v>
      </c>
      <c r="G31" s="336">
        <f t="shared" si="4"/>
        <v>221</v>
      </c>
      <c r="H31" s="467">
        <f t="shared" ca="1" si="0"/>
        <v>0</v>
      </c>
      <c r="I31" s="690"/>
      <c r="J31" s="690"/>
      <c r="K31" s="689"/>
      <c r="L31" s="702">
        <f t="shared" si="5"/>
        <v>46257</v>
      </c>
      <c r="M31" s="470"/>
      <c r="N31" s="470"/>
    </row>
    <row r="32" spans="1:14" s="367" customFormat="1" ht="12" customHeight="1">
      <c r="A32" s="330">
        <v>24</v>
      </c>
      <c r="B32" s="365">
        <f>'FRIT HGE91-FHG'!B32</f>
        <v>46258</v>
      </c>
      <c r="C32" s="331" t="s">
        <v>285</v>
      </c>
      <c r="D32" s="334">
        <f t="shared" si="1"/>
        <v>0</v>
      </c>
      <c r="E32" s="695">
        <f t="shared" si="2"/>
        <v>0</v>
      </c>
      <c r="F32" s="443">
        <f t="shared" ca="1" si="3"/>
        <v>181.71296296296296</v>
      </c>
      <c r="G32" s="336">
        <f t="shared" si="4"/>
        <v>221</v>
      </c>
      <c r="H32" s="467">
        <f t="shared" ca="1" si="0"/>
        <v>0</v>
      </c>
      <c r="I32" s="690"/>
      <c r="J32" s="690"/>
      <c r="K32" s="689"/>
      <c r="L32" s="702">
        <f t="shared" si="5"/>
        <v>46258</v>
      </c>
      <c r="M32" s="470"/>
      <c r="N32" s="470"/>
    </row>
    <row r="33" spans="1:14" s="367" customFormat="1" ht="12" customHeight="1">
      <c r="A33" s="426">
        <v>25</v>
      </c>
      <c r="B33" s="365">
        <f>'FRIT HGE91-FHG'!B33</f>
        <v>46259</v>
      </c>
      <c r="C33" s="331" t="s">
        <v>285</v>
      </c>
      <c r="D33" s="334">
        <f t="shared" si="1"/>
        <v>0</v>
      </c>
      <c r="E33" s="695">
        <f t="shared" si="2"/>
        <v>0</v>
      </c>
      <c r="F33" s="443">
        <f t="shared" ca="1" si="3"/>
        <v>181.71296296296296</v>
      </c>
      <c r="G33" s="469">
        <f t="shared" si="4"/>
        <v>221</v>
      </c>
      <c r="H33" s="467">
        <f t="shared" ca="1" si="0"/>
        <v>0</v>
      </c>
      <c r="I33" s="690"/>
      <c r="J33" s="690"/>
      <c r="K33" s="689"/>
      <c r="L33" s="702">
        <f t="shared" si="5"/>
        <v>46259</v>
      </c>
      <c r="M33" s="470"/>
      <c r="N33" s="470"/>
    </row>
    <row r="34" spans="1:14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334">
        <f t="shared" si="1"/>
        <v>0</v>
      </c>
      <c r="E34" s="695">
        <f t="shared" si="2"/>
        <v>0</v>
      </c>
      <c r="F34" s="443">
        <f t="shared" ca="1" si="3"/>
        <v>181.71296296296296</v>
      </c>
      <c r="G34" s="336">
        <f t="shared" si="4"/>
        <v>221</v>
      </c>
      <c r="H34" s="467">
        <f t="shared" ca="1" si="0"/>
        <v>0</v>
      </c>
      <c r="I34" s="690"/>
      <c r="J34" s="690"/>
      <c r="K34" s="689"/>
      <c r="L34" s="702">
        <f t="shared" si="5"/>
        <v>46260</v>
      </c>
      <c r="M34" s="470"/>
      <c r="N34" s="470"/>
    </row>
    <row r="35" spans="1:14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334">
        <f t="shared" si="1"/>
        <v>0</v>
      </c>
      <c r="E35" s="695">
        <f t="shared" si="2"/>
        <v>0</v>
      </c>
      <c r="F35" s="443">
        <f t="shared" ca="1" si="3"/>
        <v>181.71296296296296</v>
      </c>
      <c r="G35" s="336">
        <f t="shared" si="4"/>
        <v>221</v>
      </c>
      <c r="H35" s="467">
        <f t="shared" ca="1" si="0"/>
        <v>0</v>
      </c>
      <c r="I35" s="690"/>
      <c r="J35" s="690"/>
      <c r="K35" s="689"/>
      <c r="L35" s="702">
        <f t="shared" si="5"/>
        <v>46261</v>
      </c>
      <c r="M35" s="470"/>
      <c r="N35" s="470"/>
    </row>
    <row r="36" spans="1:14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34">
        <f t="shared" si="1"/>
        <v>0</v>
      </c>
      <c r="E36" s="695">
        <f t="shared" si="2"/>
        <v>0</v>
      </c>
      <c r="F36" s="443">
        <f t="shared" ca="1" si="3"/>
        <v>181.71296296296296</v>
      </c>
      <c r="G36" s="336">
        <f t="shared" si="4"/>
        <v>221</v>
      </c>
      <c r="H36" s="467">
        <f t="shared" ca="1" si="0"/>
        <v>0</v>
      </c>
      <c r="I36" s="690"/>
      <c r="J36" s="690"/>
      <c r="K36" s="689"/>
      <c r="L36" s="702">
        <f t="shared" si="5"/>
        <v>46262</v>
      </c>
      <c r="M36" s="470"/>
      <c r="N36" s="470"/>
    </row>
    <row r="37" spans="1:14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34">
        <f t="shared" si="1"/>
        <v>0</v>
      </c>
      <c r="E37" s="695">
        <f t="shared" si="2"/>
        <v>0</v>
      </c>
      <c r="F37" s="443">
        <f t="shared" ca="1" si="3"/>
        <v>181.71296296296296</v>
      </c>
      <c r="G37" s="336">
        <f t="shared" si="4"/>
        <v>221</v>
      </c>
      <c r="H37" s="467">
        <f t="shared" ca="1" si="0"/>
        <v>0</v>
      </c>
      <c r="I37" s="690"/>
      <c r="J37" s="690"/>
      <c r="K37" s="689"/>
      <c r="L37" s="702">
        <f t="shared" si="5"/>
        <v>46263</v>
      </c>
      <c r="M37" s="470"/>
      <c r="N37" s="470"/>
    </row>
    <row r="38" spans="1:14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334">
        <f t="shared" si="1"/>
        <v>0</v>
      </c>
      <c r="E38" s="695">
        <f t="shared" si="2"/>
        <v>0</v>
      </c>
      <c r="F38" s="443">
        <f t="shared" ca="1" si="3"/>
        <v>181.71296296296296</v>
      </c>
      <c r="G38" s="468">
        <f t="shared" si="4"/>
        <v>221</v>
      </c>
      <c r="H38" s="467">
        <f t="shared" ca="1" si="0"/>
        <v>0</v>
      </c>
      <c r="I38" s="690"/>
      <c r="J38" s="690"/>
      <c r="K38" s="689"/>
      <c r="L38" s="702">
        <f t="shared" si="5"/>
        <v>46264</v>
      </c>
      <c r="M38" s="470"/>
      <c r="N38" s="470"/>
    </row>
    <row r="39" spans="1:14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334">
        <f t="shared" si="1"/>
        <v>0</v>
      </c>
      <c r="E39" s="695">
        <f t="shared" si="2"/>
        <v>0</v>
      </c>
      <c r="F39" s="443">
        <f t="shared" ca="1" si="3"/>
        <v>181.71296296296296</v>
      </c>
      <c r="G39" s="336">
        <f t="shared" si="4"/>
        <v>221</v>
      </c>
      <c r="H39" s="467">
        <f t="shared" ca="1" si="0"/>
        <v>0</v>
      </c>
      <c r="I39" s="690"/>
      <c r="J39" s="690"/>
      <c r="K39" s="689"/>
      <c r="L39" s="702">
        <f t="shared" si="5"/>
        <v>46265</v>
      </c>
      <c r="M39" s="470"/>
      <c r="N39" s="470"/>
    </row>
    <row r="40" spans="1:14" s="374" customFormat="1" ht="12" customHeight="1">
      <c r="A40" s="1647" t="s">
        <v>29</v>
      </c>
      <c r="B40" s="1647"/>
      <c r="C40" s="1647"/>
      <c r="D40" s="349">
        <f>SUM(D9:D39)</f>
        <v>441</v>
      </c>
      <c r="E40" s="315">
        <f>SUM(E9:E39)</f>
        <v>220</v>
      </c>
      <c r="F40" s="315"/>
      <c r="G40" s="465">
        <f>G39</f>
        <v>221</v>
      </c>
      <c r="H40" s="300"/>
      <c r="I40" s="689">
        <f>SUM(I9:I39)</f>
        <v>220</v>
      </c>
      <c r="J40" s="689">
        <f t="shared" ref="J40" si="6">SUM(J9:J39)</f>
        <v>0</v>
      </c>
      <c r="K40" s="689">
        <f>SUM(K9:K39)</f>
        <v>0</v>
      </c>
      <c r="L40" s="471" t="s">
        <v>239</v>
      </c>
      <c r="M40" s="699">
        <f>SUM(M9:M39)</f>
        <v>0</v>
      </c>
      <c r="N40" s="699">
        <f>SUM(N9:N39)</f>
        <v>441</v>
      </c>
    </row>
    <row r="41" spans="1:14" s="374" customFormat="1" ht="12" customHeight="1">
      <c r="A41" s="1647" t="s">
        <v>15</v>
      </c>
      <c r="B41" s="1647"/>
      <c r="C41" s="1647"/>
      <c r="D41" s="349">
        <f>D40+D8</f>
        <v>441</v>
      </c>
      <c r="E41" s="315">
        <f>E40</f>
        <v>220</v>
      </c>
      <c r="F41" s="315"/>
      <c r="G41" s="315">
        <f>D41-E41</f>
        <v>221</v>
      </c>
      <c r="H41" s="300"/>
      <c r="I41" s="689"/>
      <c r="J41" s="689"/>
      <c r="K41" s="689"/>
      <c r="L41" s="794"/>
      <c r="M41" s="794"/>
    </row>
    <row r="42" spans="1:14" s="324" customFormat="1" ht="12.75">
      <c r="D42" s="343"/>
      <c r="E42" s="343"/>
      <c r="F42" s="343"/>
      <c r="H42" s="343" t="s">
        <v>227</v>
      </c>
      <c r="I42" s="343"/>
    </row>
    <row r="43" spans="1:14" s="324" customFormat="1" ht="12.75">
      <c r="D43" s="343"/>
      <c r="E43" s="343"/>
      <c r="F43" s="343"/>
      <c r="H43" s="343"/>
      <c r="I43" s="343"/>
    </row>
    <row r="44" spans="1:14" s="324" customFormat="1" ht="12.75">
      <c r="D44" s="343"/>
      <c r="E44" s="343"/>
      <c r="F44" s="343"/>
      <c r="H44" s="343"/>
      <c r="I44" s="343"/>
    </row>
    <row r="45" spans="1:14" s="324" customFormat="1" ht="12.75">
      <c r="D45" s="343"/>
      <c r="E45" s="343"/>
      <c r="F45" s="343"/>
      <c r="H45" s="343"/>
      <c r="I45" s="343"/>
    </row>
    <row r="46" spans="1:14" s="324" customFormat="1" ht="12.75">
      <c r="D46" s="343"/>
      <c r="E46" s="343"/>
      <c r="F46" s="343"/>
      <c r="H46" s="343" t="s">
        <v>333</v>
      </c>
      <c r="I46" s="343"/>
    </row>
    <row r="47" spans="1:14" s="340" customFormat="1" ht="15.75">
      <c r="D47" s="341"/>
      <c r="E47" s="341"/>
      <c r="F47" s="341"/>
      <c r="G47" s="341"/>
      <c r="H47" s="341"/>
      <c r="I47" s="341"/>
      <c r="J47" s="341"/>
      <c r="K47" s="341"/>
      <c r="L47" s="341"/>
      <c r="M47" s="341"/>
      <c r="N47" s="143"/>
    </row>
    <row r="49" spans="14:14" s="42" customFormat="1">
      <c r="N49" s="143"/>
    </row>
  </sheetData>
  <mergeCells count="5">
    <mergeCell ref="A3:I3"/>
    <mergeCell ref="A8:C8"/>
    <mergeCell ref="A40:C40"/>
    <mergeCell ref="A41:C41"/>
    <mergeCell ref="A4:B4"/>
  </mergeCells>
  <conditionalFormatting sqref="H38">
    <cfRule type="cellIs" dxfId="5747" priority="1" operator="between">
      <formula>3</formula>
      <formula>6</formula>
    </cfRule>
    <cfRule type="cellIs" dxfId="5746" priority="2" operator="lessThan">
      <formula>3</formula>
    </cfRule>
    <cfRule type="cellIs" dxfId="5745" priority="3" operator="greaterThan">
      <formula>6</formula>
    </cfRule>
  </conditionalFormatting>
  <conditionalFormatting sqref="H9:H17 H19:H22 H24:H27 H29:H32 H34:H37 H39">
    <cfRule type="cellIs" dxfId="5744" priority="16" operator="between">
      <formula>3</formula>
      <formula>6</formula>
    </cfRule>
    <cfRule type="cellIs" dxfId="5743" priority="17" operator="lessThan">
      <formula>3</formula>
    </cfRule>
    <cfRule type="cellIs" dxfId="5742" priority="18" operator="greaterThan">
      <formula>6</formula>
    </cfRule>
  </conditionalFormatting>
  <conditionalFormatting sqref="H18">
    <cfRule type="cellIs" dxfId="5741" priority="13" operator="between">
      <formula>3</formula>
      <formula>6</formula>
    </cfRule>
    <cfRule type="cellIs" dxfId="5740" priority="14" operator="lessThan">
      <formula>3</formula>
    </cfRule>
    <cfRule type="cellIs" dxfId="5739" priority="15" operator="greaterThan">
      <formula>6</formula>
    </cfRule>
  </conditionalFormatting>
  <conditionalFormatting sqref="H23">
    <cfRule type="cellIs" dxfId="5738" priority="10" operator="between">
      <formula>3</formula>
      <formula>6</formula>
    </cfRule>
    <cfRule type="cellIs" dxfId="5737" priority="11" operator="lessThan">
      <formula>3</formula>
    </cfRule>
    <cfRule type="cellIs" dxfId="5736" priority="12" operator="greaterThan">
      <formula>6</formula>
    </cfRule>
  </conditionalFormatting>
  <conditionalFormatting sqref="H28">
    <cfRule type="cellIs" dxfId="5735" priority="7" operator="between">
      <formula>3</formula>
      <formula>6</formula>
    </cfRule>
    <cfRule type="cellIs" dxfId="5734" priority="8" operator="lessThan">
      <formula>3</formula>
    </cfRule>
    <cfRule type="cellIs" dxfId="5733" priority="9" operator="greaterThan">
      <formula>6</formula>
    </cfRule>
  </conditionalFormatting>
  <conditionalFormatting sqref="H33">
    <cfRule type="cellIs" dxfId="5732" priority="4" operator="between">
      <formula>3</formula>
      <formula>6</formula>
    </cfRule>
    <cfRule type="cellIs" dxfId="5731" priority="5" operator="lessThan">
      <formula>3</formula>
    </cfRule>
    <cfRule type="cellIs" dxfId="5730" priority="6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3.937007874015748E-2" footer="0"/>
  <pageSetup paperSize="8" orientation="landscape" horizontalDpi="4294967292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Q49"/>
  <sheetViews>
    <sheetView zoomScale="85" zoomScaleNormal="85" zoomScaleSheetLayoutView="78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20.7109375" style="42" customWidth="1"/>
    <col min="4" max="6" width="20.85546875" style="6" customWidth="1"/>
    <col min="7" max="7" width="16.42578125" style="6" customWidth="1"/>
    <col min="8" max="8" width="16.5703125" style="42" customWidth="1"/>
    <col min="9" max="10" width="12.42578125" style="42" customWidth="1"/>
    <col min="11" max="11" width="11.5703125" style="143" bestFit="1" customWidth="1"/>
    <col min="12" max="16384" width="9.28515625" style="42"/>
  </cols>
  <sheetData>
    <row r="1" spans="1:17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3"/>
      <c r="L1" s="324"/>
      <c r="M1" s="324"/>
      <c r="N1" s="324"/>
      <c r="O1" s="324"/>
      <c r="P1" s="324"/>
      <c r="Q1" s="324"/>
    </row>
    <row r="2" spans="1:17" s="143" customFormat="1" ht="12.75" customHeight="1">
      <c r="A2" s="323" t="s">
        <v>173</v>
      </c>
      <c r="B2" s="324"/>
      <c r="C2" s="324"/>
      <c r="D2" s="324"/>
      <c r="E2" s="324"/>
      <c r="F2" s="324"/>
      <c r="G2" s="183" t="s">
        <v>113</v>
      </c>
      <c r="H2" s="324"/>
      <c r="J2" s="324"/>
      <c r="K2" s="323"/>
      <c r="L2" s="324"/>
      <c r="M2" s="324"/>
      <c r="N2" s="324"/>
      <c r="O2" s="324"/>
      <c r="P2" s="324"/>
    </row>
    <row r="3" spans="1:17" s="143" customFormat="1" ht="18.75" customHeight="1">
      <c r="A3" s="1644" t="s">
        <v>0</v>
      </c>
      <c r="B3" s="1644"/>
      <c r="C3" s="1644"/>
      <c r="D3" s="1644"/>
      <c r="E3" s="1644"/>
      <c r="F3" s="1644"/>
      <c r="G3" s="1644"/>
      <c r="H3" s="1644"/>
      <c r="I3" s="1644"/>
    </row>
    <row r="4" spans="1:17" s="452" customFormat="1" ht="12.75" customHeight="1">
      <c r="A4" s="1648" t="s">
        <v>33</v>
      </c>
      <c r="B4" s="1648"/>
      <c r="C4" s="551" t="str">
        <f>H4</f>
        <v>PALLET GỖ 1450X1450-NM</v>
      </c>
      <c r="E4" s="549" t="s">
        <v>228</v>
      </c>
      <c r="F4" s="549" t="s">
        <v>236</v>
      </c>
      <c r="G4" s="549" t="s">
        <v>114</v>
      </c>
      <c r="H4" s="551" t="s">
        <v>286</v>
      </c>
      <c r="K4" s="143"/>
    </row>
    <row r="5" spans="1:17" s="452" customFormat="1" ht="12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143"/>
    </row>
    <row r="6" spans="1:17" s="452" customFormat="1" ht="12.75" customHeight="1">
      <c r="B6" s="453"/>
      <c r="C6" s="453"/>
      <c r="D6" s="453"/>
      <c r="E6" s="453"/>
      <c r="F6" s="453"/>
      <c r="G6" s="453"/>
      <c r="H6" s="552" t="s">
        <v>40</v>
      </c>
      <c r="I6" s="553" t="s">
        <v>149</v>
      </c>
      <c r="K6" s="143"/>
    </row>
    <row r="7" spans="1:17" s="305" customFormat="1" ht="28.5" customHeight="1">
      <c r="A7" s="381" t="s">
        <v>2</v>
      </c>
      <c r="B7" s="380" t="s">
        <v>1</v>
      </c>
      <c r="C7" s="380" t="s">
        <v>24</v>
      </c>
      <c r="D7" s="379" t="s">
        <v>250</v>
      </c>
      <c r="E7" s="379" t="s">
        <v>249</v>
      </c>
      <c r="F7" s="379" t="s">
        <v>265</v>
      </c>
      <c r="G7" s="379" t="s">
        <v>253</v>
      </c>
      <c r="H7" s="379" t="s">
        <v>30</v>
      </c>
      <c r="I7" s="697" t="s">
        <v>998</v>
      </c>
      <c r="J7" s="697"/>
      <c r="K7" s="143"/>
    </row>
    <row r="8" spans="1:17" s="305" customFormat="1" ht="13.5" customHeight="1">
      <c r="A8" s="1650" t="s">
        <v>3</v>
      </c>
      <c r="B8" s="1651"/>
      <c r="C8" s="1652"/>
      <c r="D8" s="387">
        <f>G8</f>
        <v>0</v>
      </c>
      <c r="E8" s="387"/>
      <c r="F8" s="387"/>
      <c r="G8" s="624">
        <v>0</v>
      </c>
      <c r="H8" s="309"/>
      <c r="I8" s="689"/>
      <c r="J8" s="689"/>
      <c r="K8" s="143">
        <v>181.7</v>
      </c>
    </row>
    <row r="9" spans="1:17" s="305" customFormat="1" ht="13.5" customHeight="1">
      <c r="A9" s="330">
        <v>1</v>
      </c>
      <c r="B9" s="365">
        <f>'FRIT HGE91-FHG'!B9</f>
        <v>46235</v>
      </c>
      <c r="C9" s="331" t="s">
        <v>329</v>
      </c>
      <c r="D9" s="443"/>
      <c r="E9" s="443">
        <f>I9+J9</f>
        <v>0</v>
      </c>
      <c r="F9" s="443">
        <f ca="1">$F$9</f>
        <v>181.71296296296296</v>
      </c>
      <c r="G9" s="443">
        <f>G8+D9-E9</f>
        <v>0</v>
      </c>
      <c r="H9" s="332" t="e">
        <f t="shared" ref="H9:H39" ca="1" si="0">G9/F9</f>
        <v>#DIV/0!</v>
      </c>
      <c r="I9" s="689"/>
      <c r="J9" s="689"/>
      <c r="K9" s="647">
        <f>G9/$K$8</f>
        <v>0</v>
      </c>
    </row>
    <row r="10" spans="1:17" s="333" customFormat="1" ht="13.5" customHeight="1">
      <c r="A10" s="330">
        <v>2</v>
      </c>
      <c r="B10" s="365">
        <f>'FRIT HGE91-FHG'!B10</f>
        <v>46236</v>
      </c>
      <c r="C10" s="331" t="s">
        <v>285</v>
      </c>
      <c r="D10" s="443"/>
      <c r="E10" s="443">
        <f t="shared" ref="E10:E39" si="1">I10+J10</f>
        <v>0</v>
      </c>
      <c r="F10" s="443">
        <f t="shared" ref="F10:F39" ca="1" si="2">$F$9</f>
        <v>181.71296296296296</v>
      </c>
      <c r="G10" s="443">
        <f t="shared" ref="G10:G33" si="3">G9+D10-E10</f>
        <v>0</v>
      </c>
      <c r="H10" s="332" t="e">
        <f t="shared" ca="1" si="0"/>
        <v>#DIV/0!</v>
      </c>
      <c r="I10" s="690"/>
      <c r="J10" s="690"/>
      <c r="K10" s="647">
        <f t="shared" ref="K10:K39" si="4">G10/$K$8</f>
        <v>0</v>
      </c>
    </row>
    <row r="11" spans="1:17" s="333" customFormat="1" ht="13.5" customHeight="1">
      <c r="A11" s="330">
        <v>3</v>
      </c>
      <c r="B11" s="365">
        <f>'FRIT HGE91-FHG'!B11</f>
        <v>46237</v>
      </c>
      <c r="C11" s="331" t="s">
        <v>285</v>
      </c>
      <c r="D11" s="443"/>
      <c r="E11" s="443">
        <f t="shared" si="1"/>
        <v>0</v>
      </c>
      <c r="F11" s="443">
        <f t="shared" ca="1" si="2"/>
        <v>181.71296296296296</v>
      </c>
      <c r="G11" s="443">
        <f t="shared" si="3"/>
        <v>0</v>
      </c>
      <c r="H11" s="332" t="e">
        <f t="shared" ca="1" si="0"/>
        <v>#DIV/0!</v>
      </c>
      <c r="I11" s="690"/>
      <c r="J11" s="690"/>
      <c r="K11" s="647">
        <f t="shared" si="4"/>
        <v>0</v>
      </c>
    </row>
    <row r="12" spans="1:17" s="367" customFormat="1" ht="13.5" customHeight="1">
      <c r="A12" s="330">
        <v>4</v>
      </c>
      <c r="B12" s="365">
        <f>'FRIT HGE91-FHG'!B12</f>
        <v>46238</v>
      </c>
      <c r="C12" s="331" t="s">
        <v>285</v>
      </c>
      <c r="D12" s="443"/>
      <c r="E12" s="443">
        <f t="shared" si="1"/>
        <v>0</v>
      </c>
      <c r="F12" s="443">
        <f t="shared" ca="1" si="2"/>
        <v>181.71296296296296</v>
      </c>
      <c r="G12" s="443">
        <f t="shared" si="3"/>
        <v>0</v>
      </c>
      <c r="H12" s="332" t="e">
        <f t="shared" ca="1" si="0"/>
        <v>#DIV/0!</v>
      </c>
      <c r="I12" s="690"/>
      <c r="J12" s="690"/>
      <c r="K12" s="647">
        <f t="shared" si="4"/>
        <v>0</v>
      </c>
    </row>
    <row r="13" spans="1:17" s="367" customFormat="1" ht="13.5" customHeight="1">
      <c r="A13" s="425">
        <v>5</v>
      </c>
      <c r="B13" s="365">
        <f>'FRIT HGE91-FHG'!B13</f>
        <v>46239</v>
      </c>
      <c r="C13" s="331" t="s">
        <v>285</v>
      </c>
      <c r="D13" s="444"/>
      <c r="E13" s="443">
        <f t="shared" si="1"/>
        <v>0</v>
      </c>
      <c r="F13" s="443">
        <f t="shared" ca="1" si="2"/>
        <v>181.71296296296296</v>
      </c>
      <c r="G13" s="443">
        <f t="shared" si="3"/>
        <v>0</v>
      </c>
      <c r="H13" s="332" t="e">
        <f t="shared" ca="1" si="0"/>
        <v>#DIV/0!</v>
      </c>
      <c r="I13" s="690"/>
      <c r="J13" s="690"/>
      <c r="K13" s="647">
        <f t="shared" si="4"/>
        <v>0</v>
      </c>
    </row>
    <row r="14" spans="1:17" s="367" customFormat="1" ht="13.5" customHeight="1">
      <c r="A14" s="330">
        <v>6</v>
      </c>
      <c r="B14" s="365">
        <f>'FRIT HGE91-FHG'!B14</f>
        <v>46240</v>
      </c>
      <c r="C14" s="331" t="s">
        <v>285</v>
      </c>
      <c r="D14" s="443"/>
      <c r="E14" s="443">
        <f t="shared" si="1"/>
        <v>0</v>
      </c>
      <c r="F14" s="443">
        <f t="shared" ca="1" si="2"/>
        <v>181.71296296296296</v>
      </c>
      <c r="G14" s="443">
        <f t="shared" si="3"/>
        <v>0</v>
      </c>
      <c r="H14" s="332" t="e">
        <f t="shared" ca="1" si="0"/>
        <v>#DIV/0!</v>
      </c>
      <c r="I14" s="690"/>
      <c r="J14" s="690"/>
      <c r="K14" s="647">
        <f t="shared" si="4"/>
        <v>0</v>
      </c>
    </row>
    <row r="15" spans="1:17" s="367" customFormat="1" ht="13.5" customHeight="1">
      <c r="A15" s="330">
        <v>7</v>
      </c>
      <c r="B15" s="365">
        <f>'FRIT HGE91-FHG'!B15</f>
        <v>46241</v>
      </c>
      <c r="C15" s="331" t="s">
        <v>285</v>
      </c>
      <c r="D15" s="443"/>
      <c r="E15" s="443">
        <f t="shared" si="1"/>
        <v>0</v>
      </c>
      <c r="F15" s="443">
        <f t="shared" ca="1" si="2"/>
        <v>181.71296296296296</v>
      </c>
      <c r="G15" s="443">
        <f t="shared" si="3"/>
        <v>0</v>
      </c>
      <c r="H15" s="332" t="e">
        <f t="shared" ca="1" si="0"/>
        <v>#DIV/0!</v>
      </c>
      <c r="I15" s="690"/>
      <c r="J15" s="690"/>
      <c r="K15" s="647">
        <f t="shared" si="4"/>
        <v>0</v>
      </c>
    </row>
    <row r="16" spans="1:17" s="367" customFormat="1" ht="13.5" customHeight="1">
      <c r="A16" s="330">
        <v>8</v>
      </c>
      <c r="B16" s="365">
        <f>'FRIT HGE91-FHG'!B16</f>
        <v>46242</v>
      </c>
      <c r="C16" s="331" t="s">
        <v>285</v>
      </c>
      <c r="D16" s="443"/>
      <c r="E16" s="443">
        <f t="shared" si="1"/>
        <v>0</v>
      </c>
      <c r="F16" s="443">
        <f t="shared" ca="1" si="2"/>
        <v>181.71296296296296</v>
      </c>
      <c r="G16" s="443">
        <f t="shared" si="3"/>
        <v>0</v>
      </c>
      <c r="H16" s="332" t="e">
        <f t="shared" ca="1" si="0"/>
        <v>#DIV/0!</v>
      </c>
      <c r="I16" s="690"/>
      <c r="J16" s="690"/>
      <c r="K16" s="647">
        <f t="shared" si="4"/>
        <v>0</v>
      </c>
    </row>
    <row r="17" spans="1:11" s="367" customFormat="1" ht="13.5" customHeight="1">
      <c r="A17" s="330">
        <v>9</v>
      </c>
      <c r="B17" s="365">
        <f>'FRIT HGE91-FHG'!B17</f>
        <v>46243</v>
      </c>
      <c r="C17" s="331" t="s">
        <v>285</v>
      </c>
      <c r="D17" s="443"/>
      <c r="E17" s="443">
        <f t="shared" si="1"/>
        <v>0</v>
      </c>
      <c r="F17" s="443">
        <f t="shared" ca="1" si="2"/>
        <v>181.71296296296296</v>
      </c>
      <c r="G17" s="443">
        <f t="shared" si="3"/>
        <v>0</v>
      </c>
      <c r="H17" s="332" t="e">
        <f t="shared" ca="1" si="0"/>
        <v>#DIV/0!</v>
      </c>
      <c r="I17" s="690"/>
      <c r="J17" s="690"/>
      <c r="K17" s="647">
        <f t="shared" si="4"/>
        <v>0</v>
      </c>
    </row>
    <row r="18" spans="1:11" s="367" customFormat="1" ht="13.5" customHeight="1">
      <c r="A18" s="425">
        <v>10</v>
      </c>
      <c r="B18" s="365">
        <f>'FRIT HGE91-FHG'!B18</f>
        <v>46244</v>
      </c>
      <c r="C18" s="331" t="s">
        <v>285</v>
      </c>
      <c r="D18" s="443"/>
      <c r="E18" s="443">
        <f t="shared" si="1"/>
        <v>0</v>
      </c>
      <c r="F18" s="443">
        <f t="shared" ca="1" si="2"/>
        <v>181.71296296296296</v>
      </c>
      <c r="G18" s="443">
        <f t="shared" si="3"/>
        <v>0</v>
      </c>
      <c r="H18" s="332" t="e">
        <f t="shared" ca="1" si="0"/>
        <v>#DIV/0!</v>
      </c>
      <c r="I18" s="690"/>
      <c r="J18" s="690"/>
      <c r="K18" s="647">
        <f t="shared" si="4"/>
        <v>0</v>
      </c>
    </row>
    <row r="19" spans="1:11" s="367" customFormat="1" ht="13.5" customHeight="1">
      <c r="A19" s="330">
        <v>11</v>
      </c>
      <c r="B19" s="365">
        <f>'FRIT HGE91-FHG'!B19</f>
        <v>46245</v>
      </c>
      <c r="C19" s="331" t="s">
        <v>285</v>
      </c>
      <c r="D19" s="443"/>
      <c r="E19" s="443">
        <f t="shared" si="1"/>
        <v>0</v>
      </c>
      <c r="F19" s="443">
        <f t="shared" ca="1" si="2"/>
        <v>181.71296296296296</v>
      </c>
      <c r="G19" s="443">
        <f t="shared" si="3"/>
        <v>0</v>
      </c>
      <c r="H19" s="332" t="e">
        <f t="shared" ca="1" si="0"/>
        <v>#DIV/0!</v>
      </c>
      <c r="I19" s="690"/>
      <c r="J19" s="690"/>
      <c r="K19" s="647">
        <f t="shared" si="4"/>
        <v>0</v>
      </c>
    </row>
    <row r="20" spans="1:11" s="367" customFormat="1" ht="13.5" customHeight="1">
      <c r="A20" s="330">
        <v>12</v>
      </c>
      <c r="B20" s="365">
        <f>'FRIT HGE91-FHG'!B20</f>
        <v>46246</v>
      </c>
      <c r="C20" s="331" t="s">
        <v>285</v>
      </c>
      <c r="D20" s="443"/>
      <c r="E20" s="443">
        <f t="shared" si="1"/>
        <v>0</v>
      </c>
      <c r="F20" s="443">
        <f t="shared" ca="1" si="2"/>
        <v>181.71296296296296</v>
      </c>
      <c r="G20" s="443">
        <f t="shared" si="3"/>
        <v>0</v>
      </c>
      <c r="H20" s="332" t="e">
        <f t="shared" ca="1" si="0"/>
        <v>#DIV/0!</v>
      </c>
      <c r="I20" s="690"/>
      <c r="J20" s="690"/>
      <c r="K20" s="647">
        <f t="shared" si="4"/>
        <v>0</v>
      </c>
    </row>
    <row r="21" spans="1:11" s="367" customFormat="1" ht="13.5" customHeight="1">
      <c r="A21" s="330">
        <v>13</v>
      </c>
      <c r="B21" s="365">
        <f>'FRIT HGE91-FHG'!B21</f>
        <v>46247</v>
      </c>
      <c r="C21" s="331" t="s">
        <v>285</v>
      </c>
      <c r="D21" s="443"/>
      <c r="E21" s="443">
        <f t="shared" si="1"/>
        <v>0</v>
      </c>
      <c r="F21" s="443">
        <f t="shared" ca="1" si="2"/>
        <v>181.71296296296296</v>
      </c>
      <c r="G21" s="443">
        <f t="shared" si="3"/>
        <v>0</v>
      </c>
      <c r="H21" s="332" t="e">
        <f t="shared" ca="1" si="0"/>
        <v>#DIV/0!</v>
      </c>
      <c r="I21" s="690"/>
      <c r="J21" s="690"/>
      <c r="K21" s="647">
        <f t="shared" si="4"/>
        <v>0</v>
      </c>
    </row>
    <row r="22" spans="1:11" s="367" customFormat="1" ht="13.5" customHeight="1">
      <c r="A22" s="330">
        <v>14</v>
      </c>
      <c r="B22" s="365">
        <f>'FRIT HGE91-FHG'!B22</f>
        <v>46248</v>
      </c>
      <c r="C22" s="331" t="s">
        <v>285</v>
      </c>
      <c r="D22" s="443"/>
      <c r="E22" s="443">
        <f t="shared" si="1"/>
        <v>0</v>
      </c>
      <c r="F22" s="443">
        <f t="shared" ca="1" si="2"/>
        <v>181.71296296296296</v>
      </c>
      <c r="G22" s="443">
        <f t="shared" si="3"/>
        <v>0</v>
      </c>
      <c r="H22" s="332" t="e">
        <f t="shared" ca="1" si="0"/>
        <v>#DIV/0!</v>
      </c>
      <c r="I22" s="690"/>
      <c r="J22" s="690"/>
      <c r="K22" s="647">
        <f t="shared" si="4"/>
        <v>0</v>
      </c>
    </row>
    <row r="23" spans="1:11" s="367" customFormat="1" ht="13.5" customHeight="1">
      <c r="A23" s="425">
        <v>15</v>
      </c>
      <c r="B23" s="365">
        <f>'FRIT HGE91-FHG'!B23</f>
        <v>46249</v>
      </c>
      <c r="C23" s="331" t="s">
        <v>285</v>
      </c>
      <c r="D23" s="443"/>
      <c r="E23" s="443">
        <f t="shared" si="1"/>
        <v>0</v>
      </c>
      <c r="F23" s="443">
        <f t="shared" ca="1" si="2"/>
        <v>181.71296296296296</v>
      </c>
      <c r="G23" s="443">
        <f t="shared" si="3"/>
        <v>0</v>
      </c>
      <c r="H23" s="332" t="e">
        <f t="shared" ca="1" si="0"/>
        <v>#DIV/0!</v>
      </c>
      <c r="I23" s="690"/>
      <c r="J23" s="690"/>
      <c r="K23" s="647">
        <f t="shared" si="4"/>
        <v>0</v>
      </c>
    </row>
    <row r="24" spans="1:11" s="367" customFormat="1" ht="13.5" customHeight="1">
      <c r="A24" s="330">
        <v>16</v>
      </c>
      <c r="B24" s="365">
        <f>'FRIT HGE91-FHG'!B24</f>
        <v>46250</v>
      </c>
      <c r="C24" s="331" t="s">
        <v>285</v>
      </c>
      <c r="D24" s="443"/>
      <c r="E24" s="443">
        <f t="shared" si="1"/>
        <v>0</v>
      </c>
      <c r="F24" s="443">
        <f t="shared" ca="1" si="2"/>
        <v>181.71296296296296</v>
      </c>
      <c r="G24" s="443">
        <f t="shared" si="3"/>
        <v>0</v>
      </c>
      <c r="H24" s="332" t="e">
        <f t="shared" ca="1" si="0"/>
        <v>#DIV/0!</v>
      </c>
      <c r="I24" s="690"/>
      <c r="J24" s="690"/>
      <c r="K24" s="647">
        <f t="shared" si="4"/>
        <v>0</v>
      </c>
    </row>
    <row r="25" spans="1:11" s="367" customFormat="1" ht="13.5" customHeight="1">
      <c r="A25" s="330">
        <v>17</v>
      </c>
      <c r="B25" s="365">
        <f>'FRIT HGE91-FHG'!B25</f>
        <v>46251</v>
      </c>
      <c r="C25" s="331" t="s">
        <v>285</v>
      </c>
      <c r="D25" s="443"/>
      <c r="E25" s="443">
        <f t="shared" si="1"/>
        <v>0</v>
      </c>
      <c r="F25" s="443">
        <f t="shared" ca="1" si="2"/>
        <v>181.71296296296296</v>
      </c>
      <c r="G25" s="443">
        <f t="shared" si="3"/>
        <v>0</v>
      </c>
      <c r="H25" s="332" t="e">
        <f t="shared" ca="1" si="0"/>
        <v>#DIV/0!</v>
      </c>
      <c r="I25" s="690"/>
      <c r="J25" s="690"/>
      <c r="K25" s="647">
        <f t="shared" si="4"/>
        <v>0</v>
      </c>
    </row>
    <row r="26" spans="1:11" s="367" customFormat="1" ht="13.5" customHeight="1">
      <c r="A26" s="330">
        <v>18</v>
      </c>
      <c r="B26" s="365">
        <f>'FRIT HGE91-FHG'!B26</f>
        <v>46252</v>
      </c>
      <c r="C26" s="331" t="s">
        <v>285</v>
      </c>
      <c r="D26" s="443"/>
      <c r="E26" s="443">
        <f t="shared" si="1"/>
        <v>0</v>
      </c>
      <c r="F26" s="443">
        <f t="shared" ca="1" si="2"/>
        <v>181.71296296296296</v>
      </c>
      <c r="G26" s="443">
        <f t="shared" si="3"/>
        <v>0</v>
      </c>
      <c r="H26" s="332" t="e">
        <f t="shared" ca="1" si="0"/>
        <v>#DIV/0!</v>
      </c>
      <c r="I26" s="690"/>
      <c r="J26" s="690"/>
      <c r="K26" s="647">
        <f t="shared" si="4"/>
        <v>0</v>
      </c>
    </row>
    <row r="27" spans="1:11" s="367" customFormat="1" ht="13.5" customHeight="1">
      <c r="A27" s="330">
        <v>19</v>
      </c>
      <c r="B27" s="365">
        <f>'FRIT HGE91-FHG'!B27</f>
        <v>46253</v>
      </c>
      <c r="C27" s="331" t="s">
        <v>285</v>
      </c>
      <c r="D27" s="443"/>
      <c r="E27" s="443">
        <f t="shared" si="1"/>
        <v>0</v>
      </c>
      <c r="F27" s="443">
        <f t="shared" ca="1" si="2"/>
        <v>181.71296296296296</v>
      </c>
      <c r="G27" s="443">
        <f t="shared" si="3"/>
        <v>0</v>
      </c>
      <c r="H27" s="332" t="e">
        <f t="shared" ca="1" si="0"/>
        <v>#DIV/0!</v>
      </c>
      <c r="I27" s="690"/>
      <c r="J27" s="690"/>
      <c r="K27" s="647">
        <f t="shared" si="4"/>
        <v>0</v>
      </c>
    </row>
    <row r="28" spans="1:11" s="367" customFormat="1" ht="13.5" customHeight="1">
      <c r="A28" s="425">
        <v>20</v>
      </c>
      <c r="B28" s="365">
        <f>'FRIT HGE91-FHG'!B28</f>
        <v>46254</v>
      </c>
      <c r="C28" s="331" t="s">
        <v>285</v>
      </c>
      <c r="D28" s="443"/>
      <c r="E28" s="443">
        <f t="shared" si="1"/>
        <v>0</v>
      </c>
      <c r="F28" s="443">
        <f t="shared" ca="1" si="2"/>
        <v>181.71296296296296</v>
      </c>
      <c r="G28" s="443">
        <f t="shared" si="3"/>
        <v>0</v>
      </c>
      <c r="H28" s="332" t="e">
        <f t="shared" ca="1" si="0"/>
        <v>#DIV/0!</v>
      </c>
      <c r="I28" s="690"/>
      <c r="J28" s="690"/>
      <c r="K28" s="647">
        <f t="shared" si="4"/>
        <v>0</v>
      </c>
    </row>
    <row r="29" spans="1:11" s="367" customFormat="1" ht="13.5" customHeight="1">
      <c r="A29" s="330">
        <v>21</v>
      </c>
      <c r="B29" s="365">
        <f>'FRIT HGE91-FHG'!B29</f>
        <v>46255</v>
      </c>
      <c r="C29" s="331" t="s">
        <v>285</v>
      </c>
      <c r="D29" s="443"/>
      <c r="E29" s="443">
        <f t="shared" si="1"/>
        <v>0</v>
      </c>
      <c r="F29" s="443">
        <f t="shared" ca="1" si="2"/>
        <v>181.71296296296296</v>
      </c>
      <c r="G29" s="443">
        <f t="shared" si="3"/>
        <v>0</v>
      </c>
      <c r="H29" s="332" t="e">
        <f t="shared" ca="1" si="0"/>
        <v>#DIV/0!</v>
      </c>
      <c r="I29" s="690"/>
      <c r="J29" s="690"/>
      <c r="K29" s="647">
        <f t="shared" si="4"/>
        <v>0</v>
      </c>
    </row>
    <row r="30" spans="1:11" s="367" customFormat="1" ht="13.5" customHeight="1">
      <c r="A30" s="330">
        <v>22</v>
      </c>
      <c r="B30" s="365">
        <f>'FRIT HGE91-FHG'!B30</f>
        <v>46256</v>
      </c>
      <c r="C30" s="331" t="s">
        <v>285</v>
      </c>
      <c r="D30" s="443"/>
      <c r="E30" s="443">
        <f t="shared" si="1"/>
        <v>0</v>
      </c>
      <c r="F30" s="443">
        <f t="shared" ca="1" si="2"/>
        <v>181.71296296296296</v>
      </c>
      <c r="G30" s="443">
        <f t="shared" si="3"/>
        <v>0</v>
      </c>
      <c r="H30" s="332" t="e">
        <f t="shared" ca="1" si="0"/>
        <v>#DIV/0!</v>
      </c>
      <c r="I30" s="690"/>
      <c r="J30" s="690"/>
      <c r="K30" s="647">
        <f t="shared" si="4"/>
        <v>0</v>
      </c>
    </row>
    <row r="31" spans="1:11" s="367" customFormat="1" ht="13.5" customHeight="1">
      <c r="A31" s="330">
        <v>23</v>
      </c>
      <c r="B31" s="365">
        <f>'FRIT HGE91-FHG'!B31</f>
        <v>46257</v>
      </c>
      <c r="C31" s="331" t="s">
        <v>285</v>
      </c>
      <c r="D31" s="443"/>
      <c r="E31" s="443">
        <f t="shared" si="1"/>
        <v>0</v>
      </c>
      <c r="F31" s="443">
        <f t="shared" ca="1" si="2"/>
        <v>181.71296296296296</v>
      </c>
      <c r="G31" s="443">
        <f t="shared" si="3"/>
        <v>0</v>
      </c>
      <c r="H31" s="332" t="e">
        <f t="shared" ca="1" si="0"/>
        <v>#DIV/0!</v>
      </c>
      <c r="I31" s="690"/>
      <c r="J31" s="690"/>
      <c r="K31" s="647">
        <f t="shared" si="4"/>
        <v>0</v>
      </c>
    </row>
    <row r="32" spans="1:11" s="367" customFormat="1" ht="13.5" customHeight="1">
      <c r="A32" s="330">
        <v>24</v>
      </c>
      <c r="B32" s="365">
        <f>'FRIT HGE91-FHG'!B32</f>
        <v>46258</v>
      </c>
      <c r="C32" s="331" t="s">
        <v>285</v>
      </c>
      <c r="D32" s="443"/>
      <c r="E32" s="443">
        <f t="shared" si="1"/>
        <v>0</v>
      </c>
      <c r="F32" s="443">
        <f t="shared" ca="1" si="2"/>
        <v>181.71296296296296</v>
      </c>
      <c r="G32" s="443">
        <f t="shared" si="3"/>
        <v>0</v>
      </c>
      <c r="H32" s="332" t="e">
        <f t="shared" ca="1" si="0"/>
        <v>#DIV/0!</v>
      </c>
      <c r="I32" s="690"/>
      <c r="J32" s="690"/>
      <c r="K32" s="647">
        <f t="shared" si="4"/>
        <v>0</v>
      </c>
    </row>
    <row r="33" spans="1:17" s="367" customFormat="1" ht="13.5" customHeight="1">
      <c r="A33" s="426">
        <v>25</v>
      </c>
      <c r="B33" s="365">
        <f>'FRIT HGE91-FHG'!B33</f>
        <v>46259</v>
      </c>
      <c r="C33" s="331" t="s">
        <v>285</v>
      </c>
      <c r="D33" s="443"/>
      <c r="E33" s="443">
        <f t="shared" si="1"/>
        <v>0</v>
      </c>
      <c r="F33" s="443">
        <f t="shared" ca="1" si="2"/>
        <v>181.71296296296296</v>
      </c>
      <c r="G33" s="443">
        <f t="shared" si="3"/>
        <v>0</v>
      </c>
      <c r="H33" s="332" t="e">
        <f t="shared" ca="1" si="0"/>
        <v>#DIV/0!</v>
      </c>
      <c r="I33" s="690"/>
      <c r="J33" s="690"/>
      <c r="K33" s="647">
        <f t="shared" si="4"/>
        <v>0</v>
      </c>
    </row>
    <row r="34" spans="1:17" s="367" customFormat="1" ht="13.5" customHeight="1">
      <c r="A34" s="330">
        <v>26</v>
      </c>
      <c r="B34" s="365">
        <f>'FRIT HGE91-FHG'!B34</f>
        <v>46260</v>
      </c>
      <c r="C34" s="331" t="s">
        <v>285</v>
      </c>
      <c r="D34" s="443"/>
      <c r="E34" s="443">
        <f t="shared" si="1"/>
        <v>0</v>
      </c>
      <c r="F34" s="443">
        <f t="shared" ca="1" si="2"/>
        <v>181.71296296296296</v>
      </c>
      <c r="G34" s="443">
        <f>G33+D34-E34</f>
        <v>0</v>
      </c>
      <c r="H34" s="332" t="e">
        <f t="shared" ca="1" si="0"/>
        <v>#DIV/0!</v>
      </c>
      <c r="I34" s="690"/>
      <c r="J34" s="690"/>
      <c r="K34" s="647">
        <f t="shared" si="4"/>
        <v>0</v>
      </c>
    </row>
    <row r="35" spans="1:17" s="367" customFormat="1" ht="13.5" customHeight="1">
      <c r="A35" s="330">
        <v>27</v>
      </c>
      <c r="B35" s="365">
        <f>'FRIT HGE91-FHG'!B35</f>
        <v>46261</v>
      </c>
      <c r="C35" s="331" t="s">
        <v>285</v>
      </c>
      <c r="D35" s="443"/>
      <c r="E35" s="443">
        <f t="shared" si="1"/>
        <v>0</v>
      </c>
      <c r="F35" s="443">
        <f t="shared" ca="1" si="2"/>
        <v>181.71296296296296</v>
      </c>
      <c r="G35" s="443">
        <f t="shared" ref="G35:G37" si="5">G34+D35-E35</f>
        <v>0</v>
      </c>
      <c r="H35" s="332" t="e">
        <f t="shared" ca="1" si="0"/>
        <v>#DIV/0!</v>
      </c>
      <c r="I35" s="690"/>
      <c r="J35" s="690"/>
      <c r="K35" s="647">
        <f t="shared" si="4"/>
        <v>0</v>
      </c>
    </row>
    <row r="36" spans="1:17" s="367" customFormat="1" ht="13.5" customHeight="1">
      <c r="A36" s="330">
        <v>28</v>
      </c>
      <c r="B36" s="365">
        <f>'FRIT HGE91-FHG'!B36</f>
        <v>46262</v>
      </c>
      <c r="C36" s="331" t="s">
        <v>285</v>
      </c>
      <c r="D36" s="443"/>
      <c r="E36" s="443">
        <f t="shared" si="1"/>
        <v>0</v>
      </c>
      <c r="F36" s="443">
        <f t="shared" ca="1" si="2"/>
        <v>181.71296296296296</v>
      </c>
      <c r="G36" s="443">
        <f t="shared" si="5"/>
        <v>0</v>
      </c>
      <c r="H36" s="332" t="e">
        <f t="shared" ca="1" si="0"/>
        <v>#DIV/0!</v>
      </c>
      <c r="I36" s="690"/>
      <c r="J36" s="690"/>
      <c r="K36" s="647">
        <f t="shared" si="4"/>
        <v>0</v>
      </c>
    </row>
    <row r="37" spans="1:17" s="367" customFormat="1" ht="13.5" customHeight="1">
      <c r="A37" s="330">
        <v>29</v>
      </c>
      <c r="B37" s="365">
        <f>'FRIT HGE91-FHG'!B37</f>
        <v>46263</v>
      </c>
      <c r="C37" s="331" t="s">
        <v>285</v>
      </c>
      <c r="D37" s="443"/>
      <c r="E37" s="443">
        <f t="shared" si="1"/>
        <v>0</v>
      </c>
      <c r="F37" s="443">
        <f t="shared" ca="1" si="2"/>
        <v>181.71296296296296</v>
      </c>
      <c r="G37" s="443">
        <f t="shared" si="5"/>
        <v>0</v>
      </c>
      <c r="H37" s="332" t="e">
        <f t="shared" ca="1" si="0"/>
        <v>#DIV/0!</v>
      </c>
      <c r="I37" s="690"/>
      <c r="J37" s="690"/>
      <c r="K37" s="647">
        <f t="shared" si="4"/>
        <v>0</v>
      </c>
    </row>
    <row r="38" spans="1:17" s="367" customFormat="1" ht="13.5" customHeight="1">
      <c r="A38" s="425">
        <v>30</v>
      </c>
      <c r="B38" s="365">
        <f>'FRIT HGE91-FHG'!B38</f>
        <v>46264</v>
      </c>
      <c r="C38" s="331" t="s">
        <v>285</v>
      </c>
      <c r="D38" s="443"/>
      <c r="E38" s="443">
        <f t="shared" si="1"/>
        <v>0</v>
      </c>
      <c r="F38" s="443">
        <f t="shared" ca="1" si="2"/>
        <v>181.71296296296296</v>
      </c>
      <c r="G38" s="443">
        <f t="shared" ref="G38:G39" si="6">G37+D38-E38</f>
        <v>0</v>
      </c>
      <c r="H38" s="332" t="e">
        <f t="shared" ca="1" si="0"/>
        <v>#DIV/0!</v>
      </c>
      <c r="I38" s="690"/>
      <c r="J38" s="690"/>
      <c r="K38" s="647">
        <f t="shared" si="4"/>
        <v>0</v>
      </c>
    </row>
    <row r="39" spans="1:17" s="367" customFormat="1" ht="13.5" customHeight="1">
      <c r="A39" s="330">
        <v>31</v>
      </c>
      <c r="B39" s="365">
        <f>'FRIT HGE91-FHG'!B39</f>
        <v>46265</v>
      </c>
      <c r="C39" s="331" t="s">
        <v>285</v>
      </c>
      <c r="D39" s="443"/>
      <c r="E39" s="443">
        <f t="shared" si="1"/>
        <v>0</v>
      </c>
      <c r="F39" s="443">
        <f t="shared" ca="1" si="2"/>
        <v>181.71296296296296</v>
      </c>
      <c r="G39" s="443">
        <f t="shared" si="6"/>
        <v>0</v>
      </c>
      <c r="H39" s="332" t="e">
        <f t="shared" ca="1" si="0"/>
        <v>#DIV/0!</v>
      </c>
      <c r="I39" s="690"/>
      <c r="J39" s="690"/>
      <c r="K39" s="647">
        <f t="shared" si="4"/>
        <v>0</v>
      </c>
    </row>
    <row r="40" spans="1:17" s="374" customFormat="1" ht="13.5" customHeight="1">
      <c r="A40" s="1647" t="s">
        <v>29</v>
      </c>
      <c r="B40" s="1647"/>
      <c r="C40" s="1647"/>
      <c r="D40" s="448">
        <f>SUM(D9:D39)</f>
        <v>0</v>
      </c>
      <c r="E40" s="389">
        <f>SUM(E9:E39)</f>
        <v>0</v>
      </c>
      <c r="F40" s="449"/>
      <c r="G40" s="389">
        <v>0</v>
      </c>
      <c r="H40" s="309"/>
      <c r="I40" s="689">
        <f>SUM(I9:I39)</f>
        <v>0</v>
      </c>
      <c r="J40" s="689">
        <f t="shared" ref="J40" si="7">SUM(J9:J39)</f>
        <v>0</v>
      </c>
      <c r="Q40" s="374" t="s">
        <v>435</v>
      </c>
    </row>
    <row r="41" spans="1:17" s="374" customFormat="1" ht="13.5" customHeight="1">
      <c r="A41" s="1647" t="s">
        <v>15</v>
      </c>
      <c r="B41" s="1647"/>
      <c r="C41" s="1647"/>
      <c r="D41" s="448">
        <f>D40+D8</f>
        <v>0</v>
      </c>
      <c r="E41" s="389">
        <f>E40</f>
        <v>0</v>
      </c>
      <c r="F41" s="449"/>
      <c r="G41" s="389">
        <f>D41-E41</f>
        <v>0</v>
      </c>
      <c r="H41" s="309"/>
      <c r="I41" s="689"/>
      <c r="J41" s="689"/>
    </row>
    <row r="42" spans="1:17" s="324" customFormat="1" ht="12.75">
      <c r="D42" s="343"/>
      <c r="E42" s="343"/>
      <c r="F42" s="343"/>
      <c r="G42" s="343"/>
      <c r="H42" s="343" t="s">
        <v>227</v>
      </c>
      <c r="I42" s="343"/>
    </row>
    <row r="43" spans="1:17" s="324" customFormat="1" ht="12.75">
      <c r="D43" s="343"/>
      <c r="E43" s="343"/>
      <c r="F43" s="343"/>
      <c r="G43" s="343"/>
      <c r="H43" s="343"/>
      <c r="I43" s="343"/>
    </row>
    <row r="44" spans="1:17" s="324" customFormat="1" ht="12.75">
      <c r="D44" s="343"/>
      <c r="E44" s="343"/>
      <c r="F44" s="343"/>
      <c r="G44" s="343"/>
      <c r="H44" s="343"/>
      <c r="I44" s="343"/>
    </row>
    <row r="45" spans="1:17" s="324" customFormat="1" ht="12.75">
      <c r="D45" s="343"/>
      <c r="E45" s="343"/>
      <c r="F45" s="343"/>
      <c r="G45" s="343"/>
      <c r="H45" s="343"/>
      <c r="I45" s="343"/>
    </row>
    <row r="46" spans="1:17" s="324" customFormat="1" ht="12.75">
      <c r="D46" s="343"/>
      <c r="E46" s="343"/>
      <c r="F46" s="343"/>
      <c r="G46" s="343"/>
      <c r="H46" s="343" t="s">
        <v>333</v>
      </c>
      <c r="I46" s="343"/>
    </row>
    <row r="47" spans="1:17" s="340" customFormat="1" ht="15.75">
      <c r="A47" s="324"/>
      <c r="B47" s="324"/>
      <c r="C47" s="324"/>
      <c r="D47" s="343"/>
      <c r="E47" s="343"/>
      <c r="F47" s="343"/>
      <c r="G47" s="343"/>
      <c r="H47" s="326"/>
      <c r="I47" s="324"/>
      <c r="J47" s="341"/>
      <c r="K47" s="143"/>
    </row>
    <row r="49" spans="4:7">
      <c r="D49" s="42"/>
      <c r="E49" s="42"/>
      <c r="F49" s="42"/>
      <c r="G49" s="42"/>
    </row>
  </sheetData>
  <mergeCells count="5">
    <mergeCell ref="A3:I3"/>
    <mergeCell ref="A8:C8"/>
    <mergeCell ref="A40:C40"/>
    <mergeCell ref="A41:C41"/>
    <mergeCell ref="A4:B4"/>
  </mergeCells>
  <conditionalFormatting sqref="H38">
    <cfRule type="cellIs" dxfId="5729" priority="34" operator="between">
      <formula>3</formula>
      <formula>6</formula>
    </cfRule>
    <cfRule type="cellIs" dxfId="5728" priority="35" operator="lessThan">
      <formula>3</formula>
    </cfRule>
    <cfRule type="cellIs" dxfId="5727" priority="36" operator="greaterThan">
      <formula>6</formula>
    </cfRule>
  </conditionalFormatting>
  <conditionalFormatting sqref="H9:H17 H19:H22 H24:H27 H29:H32 H34:H37 H39">
    <cfRule type="cellIs" dxfId="5726" priority="49" operator="between">
      <formula>3</formula>
      <formula>6</formula>
    </cfRule>
    <cfRule type="cellIs" dxfId="5725" priority="50" operator="lessThan">
      <formula>3</formula>
    </cfRule>
    <cfRule type="cellIs" dxfId="5724" priority="51" operator="greaterThan">
      <formula>6</formula>
    </cfRule>
  </conditionalFormatting>
  <conditionalFormatting sqref="H18">
    <cfRule type="cellIs" dxfId="5723" priority="46" operator="between">
      <formula>3</formula>
      <formula>6</formula>
    </cfRule>
    <cfRule type="cellIs" dxfId="5722" priority="47" operator="lessThan">
      <formula>3</formula>
    </cfRule>
    <cfRule type="cellIs" dxfId="5721" priority="48" operator="greaterThan">
      <formula>6</formula>
    </cfRule>
  </conditionalFormatting>
  <conditionalFormatting sqref="H23">
    <cfRule type="cellIs" dxfId="5720" priority="43" operator="between">
      <formula>3</formula>
      <formula>6</formula>
    </cfRule>
    <cfRule type="cellIs" dxfId="5719" priority="44" operator="lessThan">
      <formula>3</formula>
    </cfRule>
    <cfRule type="cellIs" dxfId="5718" priority="45" operator="greaterThan">
      <formula>6</formula>
    </cfRule>
  </conditionalFormatting>
  <conditionalFormatting sqref="H28">
    <cfRule type="cellIs" dxfId="5717" priority="40" operator="between">
      <formula>3</formula>
      <formula>6</formula>
    </cfRule>
    <cfRule type="cellIs" dxfId="5716" priority="41" operator="lessThan">
      <formula>3</formula>
    </cfRule>
    <cfRule type="cellIs" dxfId="5715" priority="42" operator="greaterThan">
      <formula>6</formula>
    </cfRule>
  </conditionalFormatting>
  <conditionalFormatting sqref="H33">
    <cfRule type="cellIs" dxfId="5714" priority="37" operator="between">
      <formula>3</formula>
      <formula>6</formula>
    </cfRule>
    <cfRule type="cellIs" dxfId="5713" priority="38" operator="lessThan">
      <formula>3</formula>
    </cfRule>
    <cfRule type="cellIs" dxfId="5712" priority="39" operator="greaterThan">
      <formula>6</formula>
    </cfRule>
  </conditionalFormatting>
  <conditionalFormatting sqref="H38">
    <cfRule type="cellIs" dxfId="5711" priority="31" operator="between">
      <formula>3</formula>
      <formula>6</formula>
    </cfRule>
    <cfRule type="cellIs" dxfId="5710" priority="32" operator="lessThan">
      <formula>3</formula>
    </cfRule>
    <cfRule type="cellIs" dxfId="5709" priority="33" operator="greaterThan">
      <formula>6</formula>
    </cfRule>
  </conditionalFormatting>
  <conditionalFormatting sqref="H9:H17 H19:H22 H24:H27 H29:H32 H34:H37 H39">
    <cfRule type="cellIs" dxfId="5708" priority="28" operator="between">
      <formula>3</formula>
      <formula>6</formula>
    </cfRule>
    <cfRule type="cellIs" dxfId="5707" priority="29" operator="lessThan">
      <formula>3</formula>
    </cfRule>
    <cfRule type="cellIs" dxfId="5706" priority="30" operator="greaterThan">
      <formula>6</formula>
    </cfRule>
  </conditionalFormatting>
  <conditionalFormatting sqref="H18">
    <cfRule type="cellIs" dxfId="5705" priority="25" operator="between">
      <formula>3</formula>
      <formula>6</formula>
    </cfRule>
    <cfRule type="cellIs" dxfId="5704" priority="26" operator="lessThan">
      <formula>3</formula>
    </cfRule>
    <cfRule type="cellIs" dxfId="5703" priority="27" operator="greaterThan">
      <formula>6</formula>
    </cfRule>
  </conditionalFormatting>
  <conditionalFormatting sqref="H23">
    <cfRule type="cellIs" dxfId="5702" priority="22" operator="between">
      <formula>3</formula>
      <formula>6</formula>
    </cfRule>
    <cfRule type="cellIs" dxfId="5701" priority="23" operator="lessThan">
      <formula>3</formula>
    </cfRule>
    <cfRule type="cellIs" dxfId="5700" priority="24" operator="greaterThan">
      <formula>6</formula>
    </cfRule>
  </conditionalFormatting>
  <conditionalFormatting sqref="H28">
    <cfRule type="cellIs" dxfId="5699" priority="19" operator="between">
      <formula>3</formula>
      <formula>6</formula>
    </cfRule>
    <cfRule type="cellIs" dxfId="5698" priority="20" operator="lessThan">
      <formula>3</formula>
    </cfRule>
    <cfRule type="cellIs" dxfId="5697" priority="21" operator="greaterThan">
      <formula>6</formula>
    </cfRule>
  </conditionalFormatting>
  <conditionalFormatting sqref="H33">
    <cfRule type="cellIs" dxfId="5696" priority="16" operator="between">
      <formula>3</formula>
      <formula>6</formula>
    </cfRule>
    <cfRule type="cellIs" dxfId="5695" priority="17" operator="lessThan">
      <formula>3</formula>
    </cfRule>
    <cfRule type="cellIs" dxfId="5694" priority="18" operator="greaterThan">
      <formula>6</formula>
    </cfRule>
  </conditionalFormatting>
  <conditionalFormatting sqref="H9:H39">
    <cfRule type="cellIs" dxfId="5693" priority="13" operator="between">
      <formula>3</formula>
      <formula>6</formula>
    </cfRule>
    <cfRule type="cellIs" dxfId="5692" priority="14" operator="lessThan">
      <formula>3</formula>
    </cfRule>
    <cfRule type="cellIs" dxfId="5691" priority="15" operator="greaterThan">
      <formula>6</formula>
    </cfRule>
  </conditionalFormatting>
  <conditionalFormatting sqref="H9:H39">
    <cfRule type="cellIs" dxfId="5690" priority="10" operator="between">
      <formula>3</formula>
      <formula>6</formula>
    </cfRule>
    <cfRule type="cellIs" dxfId="5689" priority="11" operator="lessThan">
      <formula>3</formula>
    </cfRule>
    <cfRule type="cellIs" dxfId="5688" priority="12" operator="greaterThan">
      <formula>6</formula>
    </cfRule>
  </conditionalFormatting>
  <conditionalFormatting sqref="H9:H39">
    <cfRule type="cellIs" dxfId="5687" priority="7" operator="between">
      <formula>3.5</formula>
      <formula>6</formula>
    </cfRule>
    <cfRule type="cellIs" dxfId="5686" priority="8" operator="lessThan">
      <formula>3.5</formula>
    </cfRule>
    <cfRule type="cellIs" dxfId="5685" priority="9" operator="greaterThan">
      <formula>6</formula>
    </cfRule>
  </conditionalFormatting>
  <conditionalFormatting sqref="H9:H39">
    <cfRule type="cellIs" dxfId="5684" priority="4" operator="between">
      <formula>3</formula>
      <formula>6</formula>
    </cfRule>
    <cfRule type="cellIs" dxfId="5683" priority="5" operator="lessThan">
      <formula>3</formula>
    </cfRule>
    <cfRule type="cellIs" dxfId="5682" priority="6" operator="greaterThan">
      <formula>6</formula>
    </cfRule>
  </conditionalFormatting>
  <conditionalFormatting sqref="H9:H39">
    <cfRule type="cellIs" dxfId="5681" priority="1" operator="between">
      <formula>3.5</formula>
      <formula>6</formula>
    </cfRule>
    <cfRule type="cellIs" dxfId="5680" priority="2" operator="lessThan">
      <formula>3.5</formula>
    </cfRule>
    <cfRule type="cellIs" dxfId="5679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.23622047244094491" footer="0.31496062992125984"/>
  <pageSetup paperSize="8" scale="90" orientation="landscape" horizontalDpi="4294967292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C49"/>
  <sheetViews>
    <sheetView zoomScale="90" zoomScaleNormal="90" workbookViewId="0">
      <pane ySplit="8" topLeftCell="A18" activePane="bottomLeft" state="frozen"/>
      <selection pane="bottomLeft" activeCell="X27" sqref="X27"/>
    </sheetView>
  </sheetViews>
  <sheetFormatPr defaultColWidth="9.28515625" defaultRowHeight="16.5"/>
  <cols>
    <col min="1" max="1" width="5.42578125" style="42" customWidth="1"/>
    <col min="2" max="2" width="8.140625" style="42" customWidth="1"/>
    <col min="3" max="3" width="15.140625" style="42" customWidth="1"/>
    <col min="4" max="5" width="13.28515625" style="6" customWidth="1"/>
    <col min="6" max="6" width="14.140625" style="6" customWidth="1"/>
    <col min="7" max="7" width="15.28515625" style="6" customWidth="1"/>
    <col min="8" max="8" width="15.140625" style="42" customWidth="1"/>
    <col min="9" max="10" width="12.140625" style="42" customWidth="1"/>
    <col min="11" max="11" width="10.85546875" style="42" customWidth="1"/>
    <col min="12" max="12" width="7.42578125" style="42" customWidth="1"/>
    <col min="13" max="13" width="5.28515625" style="42" customWidth="1"/>
    <col min="14" max="15" width="10.140625" style="42" hidden="1" customWidth="1"/>
    <col min="16" max="16" width="7.28515625" style="42" customWidth="1"/>
    <col min="17" max="17" width="5" style="42" customWidth="1"/>
    <col min="18" max="18" width="6.140625" style="42" hidden="1" customWidth="1"/>
    <col min="19" max="19" width="5.5703125" style="42" hidden="1" customWidth="1"/>
    <col min="20" max="20" width="11.7109375" style="42" hidden="1" customWidth="1"/>
    <col min="21" max="21" width="11.28515625" style="42" hidden="1" customWidth="1"/>
    <col min="22" max="22" width="14.7109375" style="42" hidden="1" customWidth="1"/>
    <col min="23" max="23" width="11.28515625" style="42" hidden="1" customWidth="1"/>
    <col min="24" max="24" width="9.42578125" style="42" customWidth="1"/>
    <col min="25" max="25" width="5.42578125" style="42" customWidth="1"/>
    <col min="26" max="26" width="11.5703125" style="143" bestFit="1" customWidth="1"/>
    <col min="27" max="16384" width="9.28515625" style="42"/>
  </cols>
  <sheetData>
    <row r="1" spans="1:29" s="143" customFormat="1" ht="14.2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3"/>
    </row>
    <row r="2" spans="1:29" s="143" customFormat="1" ht="14.2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K2" s="324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  <c r="Z2" s="323"/>
    </row>
    <row r="3" spans="1:29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682"/>
      <c r="K3" s="442"/>
      <c r="L3" s="442"/>
      <c r="M3" s="442"/>
      <c r="N3" s="442"/>
      <c r="O3" s="442"/>
    </row>
    <row r="4" spans="1:29" s="376" customFormat="1" ht="15" customHeight="1">
      <c r="A4" s="1600" t="s">
        <v>33</v>
      </c>
      <c r="B4" s="1600"/>
      <c r="C4" s="318" t="s">
        <v>431</v>
      </c>
      <c r="D4" s="383"/>
      <c r="E4" s="383" t="s">
        <v>228</v>
      </c>
      <c r="F4" s="383" t="s">
        <v>237</v>
      </c>
      <c r="G4" s="383" t="s">
        <v>114</v>
      </c>
      <c r="H4" s="323" t="s">
        <v>430</v>
      </c>
      <c r="J4" s="684"/>
      <c r="M4" s="376" t="s">
        <v>224</v>
      </c>
      <c r="Q4" s="684"/>
      <c r="Z4" s="143"/>
    </row>
    <row r="5" spans="1:29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Z5" s="143"/>
    </row>
    <row r="6" spans="1:29" s="376" customFormat="1" ht="15" customHeight="1">
      <c r="D6" s="383"/>
      <c r="E6" s="321"/>
      <c r="F6" s="321"/>
      <c r="G6" s="383">
        <v>1100</v>
      </c>
      <c r="H6" s="322" t="s">
        <v>293</v>
      </c>
      <c r="I6" s="569" t="s">
        <v>149</v>
      </c>
      <c r="J6" s="324"/>
      <c r="O6" s="376" t="s">
        <v>225</v>
      </c>
      <c r="Q6" s="684"/>
      <c r="Z6" s="143"/>
    </row>
    <row r="7" spans="1:29" s="305" customFormat="1" ht="28.5" customHeight="1">
      <c r="A7" s="381" t="s">
        <v>2</v>
      </c>
      <c r="B7" s="380" t="s">
        <v>1</v>
      </c>
      <c r="C7" s="380" t="s">
        <v>24</v>
      </c>
      <c r="D7" s="379" t="s">
        <v>250</v>
      </c>
      <c r="E7" s="379" t="s">
        <v>249</v>
      </c>
      <c r="F7" s="379" t="s">
        <v>265</v>
      </c>
      <c r="G7" s="379" t="s">
        <v>253</v>
      </c>
      <c r="H7" s="379" t="s">
        <v>30</v>
      </c>
      <c r="I7" s="697" t="s">
        <v>341</v>
      </c>
      <c r="J7" s="697" t="s">
        <v>244</v>
      </c>
      <c r="Z7" s="143"/>
    </row>
    <row r="8" spans="1:29" s="305" customFormat="1" ht="11.25" customHeight="1">
      <c r="A8" s="1597" t="s">
        <v>3</v>
      </c>
      <c r="B8" s="1598"/>
      <c r="C8" s="1599"/>
      <c r="D8" s="306">
        <f>G8</f>
        <v>6015</v>
      </c>
      <c r="E8" s="300">
        <f>E40</f>
        <v>19600</v>
      </c>
      <c r="F8" s="300"/>
      <c r="G8" s="624">
        <v>6015</v>
      </c>
      <c r="H8" s="392"/>
      <c r="I8" s="689"/>
      <c r="J8" s="689"/>
      <c r="K8" s="701" t="s">
        <v>1</v>
      </c>
      <c r="L8" s="313" t="s">
        <v>205</v>
      </c>
      <c r="M8" s="313" t="s">
        <v>332</v>
      </c>
      <c r="N8" s="313" t="s">
        <v>209</v>
      </c>
      <c r="O8" s="314" t="s">
        <v>206</v>
      </c>
      <c r="P8" s="313" t="s">
        <v>243</v>
      </c>
      <c r="Q8" s="313" t="s">
        <v>332</v>
      </c>
      <c r="R8" s="313" t="s">
        <v>241</v>
      </c>
      <c r="S8" s="314" t="s">
        <v>206</v>
      </c>
      <c r="T8" s="313" t="s">
        <v>210</v>
      </c>
      <c r="U8" s="314" t="s">
        <v>206</v>
      </c>
      <c r="V8" s="313"/>
      <c r="W8" s="314"/>
      <c r="X8" s="313" t="s">
        <v>350</v>
      </c>
      <c r="Y8" s="313" t="s">
        <v>332</v>
      </c>
      <c r="Z8" s="143">
        <v>726.9</v>
      </c>
    </row>
    <row r="9" spans="1:29" s="333" customFormat="1" ht="11.25" customHeight="1">
      <c r="A9" s="330">
        <v>1</v>
      </c>
      <c r="B9" s="365">
        <f>'FRIT HGE91-FHG'!B9</f>
        <v>46235</v>
      </c>
      <c r="C9" s="331" t="s">
        <v>334</v>
      </c>
      <c r="D9" s="1459">
        <f>L9+P9+X9</f>
        <v>0</v>
      </c>
      <c r="E9" s="1460">
        <f>I9+J9</f>
        <v>2000</v>
      </c>
      <c r="F9" s="537">
        <f>15700/1.44/60*4</f>
        <v>726.85185185185185</v>
      </c>
      <c r="G9" s="1446">
        <f>G8+D9-E9</f>
        <v>4015</v>
      </c>
      <c r="H9" s="1458">
        <f t="shared" ref="H9:H39" si="0">G9/695</f>
        <v>5.7769784172661867</v>
      </c>
      <c r="I9" s="689">
        <v>1400</v>
      </c>
      <c r="J9" s="689">
        <v>600</v>
      </c>
      <c r="K9" s="703">
        <f>B9</f>
        <v>46235</v>
      </c>
      <c r="L9" s="470"/>
      <c r="M9" s="700"/>
      <c r="N9" s="293"/>
      <c r="O9" s="339"/>
      <c r="P9" s="470"/>
      <c r="Q9" s="293"/>
      <c r="R9" s="293"/>
      <c r="S9" s="554"/>
      <c r="T9" s="293"/>
      <c r="U9" s="339"/>
      <c r="V9" s="293"/>
      <c r="W9" s="339"/>
      <c r="X9" s="470"/>
      <c r="Y9" s="293"/>
      <c r="Z9" s="647">
        <f>G9/$Z$8</f>
        <v>5.5234557710826797</v>
      </c>
    </row>
    <row r="10" spans="1:29" s="333" customFormat="1" ht="11.25" customHeight="1">
      <c r="A10" s="330">
        <v>2</v>
      </c>
      <c r="B10" s="365">
        <f>'FRIT HGE91-FHG'!B10</f>
        <v>46236</v>
      </c>
      <c r="C10" s="331" t="s">
        <v>334</v>
      </c>
      <c r="D10" s="1459">
        <f t="shared" ref="D10:D39" si="1">L10+P10+X10</f>
        <v>0</v>
      </c>
      <c r="E10" s="1460">
        <f t="shared" ref="E10:E39" si="2">I10+J10</f>
        <v>0</v>
      </c>
      <c r="F10" s="537">
        <f>$F$9</f>
        <v>726.85185185185185</v>
      </c>
      <c r="G10" s="1446">
        <f t="shared" ref="G10:G39" si="3">G9+D10-E10</f>
        <v>4015</v>
      </c>
      <c r="H10" s="1458">
        <f t="shared" si="0"/>
        <v>5.7769784172661867</v>
      </c>
      <c r="I10" s="689"/>
      <c r="J10" s="689"/>
      <c r="K10" s="703">
        <f>B10</f>
        <v>46236</v>
      </c>
      <c r="L10" s="470"/>
      <c r="M10" s="700"/>
      <c r="N10" s="293"/>
      <c r="O10" s="339"/>
      <c r="P10" s="470"/>
      <c r="Q10" s="293"/>
      <c r="R10" s="293"/>
      <c r="S10" s="554"/>
      <c r="T10" s="293"/>
      <c r="U10" s="339"/>
      <c r="V10" s="293"/>
      <c r="W10" s="339"/>
      <c r="X10" s="470"/>
      <c r="Y10" s="293"/>
      <c r="Z10" s="647">
        <f t="shared" ref="Z10:Z39" si="4">G10/$Z$8</f>
        <v>5.5234557710826797</v>
      </c>
      <c r="AA10" s="599"/>
      <c r="AB10" s="599"/>
      <c r="AC10" s="600"/>
    </row>
    <row r="11" spans="1:29" s="333" customFormat="1" ht="11.25" customHeight="1">
      <c r="A11" s="330">
        <v>3</v>
      </c>
      <c r="B11" s="365">
        <f>'FRIT HGE91-FHG'!B11</f>
        <v>46237</v>
      </c>
      <c r="C11" s="331" t="s">
        <v>334</v>
      </c>
      <c r="D11" s="1459">
        <f t="shared" si="1"/>
        <v>400</v>
      </c>
      <c r="E11" s="1460">
        <f t="shared" si="2"/>
        <v>1300</v>
      </c>
      <c r="F11" s="537">
        <f t="shared" ref="F11:F39" si="5">$F$9</f>
        <v>726.85185185185185</v>
      </c>
      <c r="G11" s="1446">
        <f t="shared" si="3"/>
        <v>3115</v>
      </c>
      <c r="H11" s="1458">
        <f t="shared" si="0"/>
        <v>4.4820143884892083</v>
      </c>
      <c r="I11" s="689">
        <v>700</v>
      </c>
      <c r="J11" s="689">
        <v>600</v>
      </c>
      <c r="K11" s="703">
        <f t="shared" ref="K11:K39" si="6">B11</f>
        <v>46237</v>
      </c>
      <c r="L11" s="470"/>
      <c r="M11" s="700"/>
      <c r="N11" s="293"/>
      <c r="O11" s="339"/>
      <c r="P11" s="470"/>
      <c r="Q11" s="293"/>
      <c r="R11" s="293"/>
      <c r="S11" s="554"/>
      <c r="T11" s="293"/>
      <c r="U11" s="339"/>
      <c r="V11" s="293"/>
      <c r="W11" s="339"/>
      <c r="X11" s="470">
        <v>400</v>
      </c>
      <c r="Y11" s="293"/>
      <c r="Z11" s="647">
        <f t="shared" si="4"/>
        <v>4.2853212271289038</v>
      </c>
      <c r="AA11" s="367"/>
      <c r="AB11" s="367"/>
      <c r="AC11" s="367"/>
    </row>
    <row r="12" spans="1:29" s="367" customFormat="1" ht="11.25" customHeight="1">
      <c r="A12" s="330">
        <v>4</v>
      </c>
      <c r="B12" s="365">
        <f>'FRIT HGE91-FHG'!B12</f>
        <v>46238</v>
      </c>
      <c r="C12" s="331" t="s">
        <v>334</v>
      </c>
      <c r="D12" s="1459">
        <f t="shared" si="1"/>
        <v>400</v>
      </c>
      <c r="E12" s="1460">
        <f t="shared" si="2"/>
        <v>1300</v>
      </c>
      <c r="F12" s="537">
        <f t="shared" si="5"/>
        <v>726.85185185185185</v>
      </c>
      <c r="G12" s="1446">
        <f t="shared" si="3"/>
        <v>2215</v>
      </c>
      <c r="H12" s="1458">
        <f t="shared" si="0"/>
        <v>3.1870503597122304</v>
      </c>
      <c r="I12" s="689">
        <v>700</v>
      </c>
      <c r="J12" s="689">
        <v>600</v>
      </c>
      <c r="K12" s="703">
        <f t="shared" si="6"/>
        <v>46238</v>
      </c>
      <c r="L12" s="470"/>
      <c r="M12" s="700"/>
      <c r="N12" s="293"/>
      <c r="O12" s="339"/>
      <c r="P12" s="470"/>
      <c r="Q12" s="293"/>
      <c r="R12" s="293"/>
      <c r="S12" s="554"/>
      <c r="T12" s="293"/>
      <c r="U12" s="339"/>
      <c r="V12" s="293"/>
      <c r="W12" s="339"/>
      <c r="X12" s="470">
        <v>400</v>
      </c>
      <c r="Y12" s="293"/>
      <c r="Z12" s="647">
        <f t="shared" si="4"/>
        <v>3.0471866831751275</v>
      </c>
    </row>
    <row r="13" spans="1:29" s="367" customFormat="1" ht="11.25" customHeight="1">
      <c r="A13" s="425">
        <v>5</v>
      </c>
      <c r="B13" s="365">
        <f>'FRIT HGE91-FHG'!B13</f>
        <v>46239</v>
      </c>
      <c r="C13" s="331" t="s">
        <v>334</v>
      </c>
      <c r="D13" s="1459">
        <f t="shared" si="1"/>
        <v>2400</v>
      </c>
      <c r="E13" s="1460">
        <f t="shared" si="2"/>
        <v>1300</v>
      </c>
      <c r="F13" s="537">
        <f t="shared" si="5"/>
        <v>726.85185185185185</v>
      </c>
      <c r="G13" s="1461">
        <f t="shared" si="3"/>
        <v>3315</v>
      </c>
      <c r="H13" s="1458">
        <f t="shared" si="0"/>
        <v>4.7697841726618702</v>
      </c>
      <c r="I13" s="689">
        <v>700</v>
      </c>
      <c r="J13" s="689">
        <v>600</v>
      </c>
      <c r="K13" s="703">
        <f t="shared" si="6"/>
        <v>46239</v>
      </c>
      <c r="L13" s="470"/>
      <c r="M13" s="700"/>
      <c r="N13" s="293"/>
      <c r="O13" s="339"/>
      <c r="P13" s="470">
        <v>2000</v>
      </c>
      <c r="Q13" s="293"/>
      <c r="R13" s="293"/>
      <c r="S13" s="554"/>
      <c r="T13" s="293"/>
      <c r="U13" s="339"/>
      <c r="V13" s="293"/>
      <c r="W13" s="339"/>
      <c r="X13" s="470">
        <v>400</v>
      </c>
      <c r="Y13" s="293"/>
      <c r="Z13" s="647">
        <f t="shared" si="4"/>
        <v>4.5604622368964094</v>
      </c>
    </row>
    <row r="14" spans="1:29" s="367" customFormat="1" ht="11.25" customHeight="1">
      <c r="A14" s="330">
        <v>6</v>
      </c>
      <c r="B14" s="365">
        <f>'FRIT HGE91-FHG'!B14</f>
        <v>46240</v>
      </c>
      <c r="C14" s="331" t="s">
        <v>334</v>
      </c>
      <c r="D14" s="1459">
        <f t="shared" si="1"/>
        <v>400</v>
      </c>
      <c r="E14" s="1460">
        <f t="shared" si="2"/>
        <v>1300</v>
      </c>
      <c r="F14" s="537">
        <f t="shared" si="5"/>
        <v>726.85185185185185</v>
      </c>
      <c r="G14" s="1446">
        <f t="shared" si="3"/>
        <v>2415</v>
      </c>
      <c r="H14" s="1458">
        <f t="shared" si="0"/>
        <v>3.4748201438848922</v>
      </c>
      <c r="I14" s="689">
        <v>700</v>
      </c>
      <c r="J14" s="689">
        <v>600</v>
      </c>
      <c r="K14" s="703">
        <f t="shared" si="6"/>
        <v>46240</v>
      </c>
      <c r="L14" s="470"/>
      <c r="M14" s="700"/>
      <c r="N14" s="293"/>
      <c r="O14" s="339"/>
      <c r="P14" s="470"/>
      <c r="Q14" s="293"/>
      <c r="R14" s="293"/>
      <c r="S14" s="554"/>
      <c r="T14" s="293"/>
      <c r="U14" s="339"/>
      <c r="V14" s="293"/>
      <c r="W14" s="339"/>
      <c r="X14" s="470">
        <v>400</v>
      </c>
      <c r="Y14" s="293"/>
      <c r="Z14" s="647">
        <f t="shared" si="4"/>
        <v>3.3223276929426331</v>
      </c>
    </row>
    <row r="15" spans="1:29" s="367" customFormat="1" ht="11.25" customHeight="1">
      <c r="A15" s="330">
        <v>7</v>
      </c>
      <c r="B15" s="365">
        <f>'FRIT HGE91-FHG'!B15</f>
        <v>46241</v>
      </c>
      <c r="C15" s="331" t="s">
        <v>334</v>
      </c>
      <c r="D15" s="1459">
        <f t="shared" si="1"/>
        <v>1200</v>
      </c>
      <c r="E15" s="1460">
        <f t="shared" si="2"/>
        <v>1300</v>
      </c>
      <c r="F15" s="537">
        <f t="shared" si="5"/>
        <v>726.85185185185185</v>
      </c>
      <c r="G15" s="1446">
        <f t="shared" si="3"/>
        <v>2315</v>
      </c>
      <c r="H15" s="1458">
        <f t="shared" si="0"/>
        <v>3.3309352517985613</v>
      </c>
      <c r="I15" s="689">
        <v>700</v>
      </c>
      <c r="J15" s="689">
        <v>600</v>
      </c>
      <c r="K15" s="703">
        <f t="shared" si="6"/>
        <v>46241</v>
      </c>
      <c r="L15" s="470"/>
      <c r="M15" s="700"/>
      <c r="N15" s="293"/>
      <c r="O15" s="339"/>
      <c r="P15" s="470">
        <v>800</v>
      </c>
      <c r="Q15" s="293"/>
      <c r="R15" s="293"/>
      <c r="S15" s="554"/>
      <c r="T15" s="293"/>
      <c r="U15" s="339"/>
      <c r="V15" s="293"/>
      <c r="W15" s="339"/>
      <c r="X15" s="470">
        <v>400</v>
      </c>
      <c r="Y15" s="293"/>
      <c r="Z15" s="647">
        <f t="shared" si="4"/>
        <v>3.1847571880588803</v>
      </c>
    </row>
    <row r="16" spans="1:29" s="367" customFormat="1" ht="11.25" customHeight="1">
      <c r="A16" s="330">
        <v>8</v>
      </c>
      <c r="B16" s="365">
        <f>'FRIT HGE91-FHG'!B16</f>
        <v>46242</v>
      </c>
      <c r="C16" s="331" t="s">
        <v>334</v>
      </c>
      <c r="D16" s="1459">
        <f t="shared" si="1"/>
        <v>850</v>
      </c>
      <c r="E16" s="1460">
        <f t="shared" si="2"/>
        <v>2600</v>
      </c>
      <c r="F16" s="537">
        <f t="shared" si="5"/>
        <v>726.85185185185185</v>
      </c>
      <c r="G16" s="1446">
        <f t="shared" si="3"/>
        <v>565</v>
      </c>
      <c r="H16" s="1458">
        <f t="shared" si="0"/>
        <v>0.81294964028776984</v>
      </c>
      <c r="I16" s="689">
        <v>1400</v>
      </c>
      <c r="J16" s="689">
        <v>1200</v>
      </c>
      <c r="K16" s="703">
        <f t="shared" si="6"/>
        <v>46242</v>
      </c>
      <c r="L16" s="470">
        <v>450</v>
      </c>
      <c r="M16" s="700"/>
      <c r="N16" s="293"/>
      <c r="O16" s="339"/>
      <c r="P16" s="470"/>
      <c r="Q16" s="293"/>
      <c r="R16" s="293"/>
      <c r="S16" s="554"/>
      <c r="T16" s="293"/>
      <c r="U16" s="339"/>
      <c r="V16" s="293"/>
      <c r="W16" s="339"/>
      <c r="X16" s="470">
        <v>400</v>
      </c>
      <c r="Y16" s="293"/>
      <c r="Z16" s="647">
        <f t="shared" si="4"/>
        <v>0.77727335259320407</v>
      </c>
    </row>
    <row r="17" spans="1:26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1459">
        <f t="shared" si="1"/>
        <v>0</v>
      </c>
      <c r="E17" s="1460">
        <f t="shared" si="2"/>
        <v>0</v>
      </c>
      <c r="F17" s="537">
        <f t="shared" si="5"/>
        <v>726.85185185185185</v>
      </c>
      <c r="G17" s="1446">
        <f t="shared" si="3"/>
        <v>565</v>
      </c>
      <c r="H17" s="1458">
        <f t="shared" si="0"/>
        <v>0.81294964028776984</v>
      </c>
      <c r="I17" s="689"/>
      <c r="J17" s="689"/>
      <c r="K17" s="703">
        <f t="shared" si="6"/>
        <v>46243</v>
      </c>
      <c r="L17" s="470"/>
      <c r="M17" s="700"/>
      <c r="N17" s="293"/>
      <c r="O17" s="339"/>
      <c r="P17" s="470"/>
      <c r="Q17" s="293"/>
      <c r="R17" s="293"/>
      <c r="S17" s="554"/>
      <c r="T17" s="293"/>
      <c r="U17" s="339"/>
      <c r="V17" s="293"/>
      <c r="W17" s="339"/>
      <c r="X17" s="470"/>
      <c r="Y17" s="293"/>
      <c r="Z17" s="647">
        <f t="shared" si="4"/>
        <v>0.77727335259320407</v>
      </c>
    </row>
    <row r="18" spans="1:26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1459">
        <f t="shared" si="1"/>
        <v>400</v>
      </c>
      <c r="E18" s="1460">
        <f t="shared" si="2"/>
        <v>1300</v>
      </c>
      <c r="F18" s="537">
        <f t="shared" si="5"/>
        <v>726.85185185185185</v>
      </c>
      <c r="G18" s="1461">
        <f t="shared" si="3"/>
        <v>-335</v>
      </c>
      <c r="H18" s="1458">
        <f t="shared" si="0"/>
        <v>-0.48201438848920863</v>
      </c>
      <c r="I18" s="689">
        <v>700</v>
      </c>
      <c r="J18" s="689">
        <v>600</v>
      </c>
      <c r="K18" s="703">
        <f t="shared" si="6"/>
        <v>46244</v>
      </c>
      <c r="L18" s="470"/>
      <c r="M18" s="700"/>
      <c r="N18" s="293"/>
      <c r="O18" s="339"/>
      <c r="P18" s="470"/>
      <c r="Q18" s="293"/>
      <c r="R18" s="293"/>
      <c r="S18" s="554"/>
      <c r="T18" s="293"/>
      <c r="U18" s="339"/>
      <c r="V18" s="293"/>
      <c r="W18" s="339"/>
      <c r="X18" s="470">
        <v>400</v>
      </c>
      <c r="Y18" s="293"/>
      <c r="Z18" s="647">
        <f t="shared" si="4"/>
        <v>-0.4608611913605723</v>
      </c>
    </row>
    <row r="19" spans="1:26" s="367" customFormat="1" ht="11.25" customHeight="1">
      <c r="A19" s="330">
        <v>11</v>
      </c>
      <c r="B19" s="365">
        <f>'FRIT HGE91-FHG'!B19</f>
        <v>46245</v>
      </c>
      <c r="C19" s="331" t="s">
        <v>334</v>
      </c>
      <c r="D19" s="1459">
        <f t="shared" si="1"/>
        <v>2650</v>
      </c>
      <c r="E19" s="1460">
        <f t="shared" si="2"/>
        <v>1300</v>
      </c>
      <c r="F19" s="537">
        <f t="shared" si="5"/>
        <v>726.85185185185185</v>
      </c>
      <c r="G19" s="1446">
        <f t="shared" si="3"/>
        <v>1015</v>
      </c>
      <c r="H19" s="1458">
        <f t="shared" si="0"/>
        <v>1.460431654676259</v>
      </c>
      <c r="I19" s="689">
        <v>700</v>
      </c>
      <c r="J19" s="689">
        <v>600</v>
      </c>
      <c r="K19" s="703">
        <f t="shared" si="6"/>
        <v>46245</v>
      </c>
      <c r="L19" s="470">
        <v>2250</v>
      </c>
      <c r="M19" s="700"/>
      <c r="N19" s="293"/>
      <c r="O19" s="339"/>
      <c r="P19" s="470"/>
      <c r="Q19" s="293"/>
      <c r="R19" s="293"/>
      <c r="S19" s="554"/>
      <c r="T19" s="293"/>
      <c r="U19" s="339"/>
      <c r="V19" s="293"/>
      <c r="W19" s="339"/>
      <c r="X19" s="470">
        <v>400</v>
      </c>
      <c r="Y19" s="293"/>
      <c r="Z19" s="647">
        <f t="shared" si="4"/>
        <v>1.3963406245700922</v>
      </c>
    </row>
    <row r="20" spans="1:26" s="367" customFormat="1" ht="11.25" customHeight="1">
      <c r="A20" s="330">
        <v>12</v>
      </c>
      <c r="B20" s="365">
        <f>'FRIT HGE91-FHG'!B20</f>
        <v>46246</v>
      </c>
      <c r="C20" s="331" t="s">
        <v>334</v>
      </c>
      <c r="D20" s="1459">
        <f t="shared" si="1"/>
        <v>800</v>
      </c>
      <c r="E20" s="1460">
        <f t="shared" si="2"/>
        <v>1700</v>
      </c>
      <c r="F20" s="537">
        <f t="shared" si="5"/>
        <v>726.85185185185185</v>
      </c>
      <c r="G20" s="1446">
        <f t="shared" si="3"/>
        <v>115</v>
      </c>
      <c r="H20" s="1458">
        <f t="shared" si="0"/>
        <v>0.16546762589928057</v>
      </c>
      <c r="I20" s="689">
        <v>700</v>
      </c>
      <c r="J20" s="689">
        <v>1000</v>
      </c>
      <c r="K20" s="703">
        <f t="shared" si="6"/>
        <v>46246</v>
      </c>
      <c r="L20" s="470"/>
      <c r="M20" s="700"/>
      <c r="N20" s="293"/>
      <c r="O20" s="339"/>
      <c r="P20" s="470">
        <v>400</v>
      </c>
      <c r="Q20" s="293"/>
      <c r="R20" s="293"/>
      <c r="S20" s="554"/>
      <c r="T20" s="293"/>
      <c r="U20" s="339"/>
      <c r="V20" s="293"/>
      <c r="W20" s="339"/>
      <c r="X20" s="470">
        <v>400</v>
      </c>
      <c r="Y20" s="293"/>
      <c r="Z20" s="647">
        <f t="shared" si="4"/>
        <v>0.15820608061631586</v>
      </c>
    </row>
    <row r="21" spans="1:26" s="367" customFormat="1" ht="11.25" customHeight="1">
      <c r="A21" s="330">
        <v>13</v>
      </c>
      <c r="B21" s="365">
        <f>'FRIT HGE91-FHG'!B21</f>
        <v>46247</v>
      </c>
      <c r="C21" s="331" t="s">
        <v>334</v>
      </c>
      <c r="D21" s="1459">
        <f t="shared" si="1"/>
        <v>2650</v>
      </c>
      <c r="E21" s="1460">
        <f t="shared" si="2"/>
        <v>700</v>
      </c>
      <c r="F21" s="537">
        <f t="shared" si="5"/>
        <v>726.85185185185185</v>
      </c>
      <c r="G21" s="1446">
        <f t="shared" si="3"/>
        <v>2065</v>
      </c>
      <c r="H21" s="1458">
        <f>G21/695</f>
        <v>2.971223021582734</v>
      </c>
      <c r="I21" s="689">
        <v>700</v>
      </c>
      <c r="J21" s="689"/>
      <c r="K21" s="703">
        <f t="shared" si="6"/>
        <v>46247</v>
      </c>
      <c r="L21" s="470">
        <v>2250</v>
      </c>
      <c r="M21" s="700"/>
      <c r="N21" s="293"/>
      <c r="O21" s="339"/>
      <c r="P21" s="470"/>
      <c r="Q21" s="293"/>
      <c r="R21" s="293"/>
      <c r="S21" s="554"/>
      <c r="T21" s="293"/>
      <c r="U21" s="339"/>
      <c r="V21" s="293"/>
      <c r="W21" s="339"/>
      <c r="X21" s="470">
        <v>400</v>
      </c>
      <c r="Y21" s="293"/>
      <c r="Z21" s="647">
        <f t="shared" si="4"/>
        <v>2.8408309258494979</v>
      </c>
    </row>
    <row r="22" spans="1:26" s="367" customFormat="1" ht="11.25" customHeight="1">
      <c r="A22" s="330">
        <v>14</v>
      </c>
      <c r="B22" s="365">
        <f>'FRIT HGE91-FHG'!B22</f>
        <v>46248</v>
      </c>
      <c r="C22" s="331" t="s">
        <v>334</v>
      </c>
      <c r="D22" s="1459">
        <f t="shared" si="1"/>
        <v>2550</v>
      </c>
      <c r="E22" s="1460">
        <f t="shared" si="2"/>
        <v>700</v>
      </c>
      <c r="F22" s="537">
        <f t="shared" si="5"/>
        <v>726.85185185185185</v>
      </c>
      <c r="G22" s="1446">
        <f t="shared" si="3"/>
        <v>3915</v>
      </c>
      <c r="H22" s="1458">
        <f t="shared" si="0"/>
        <v>5.6330935251798557</v>
      </c>
      <c r="I22" s="689">
        <v>700</v>
      </c>
      <c r="J22" s="689"/>
      <c r="K22" s="703">
        <f t="shared" si="6"/>
        <v>46248</v>
      </c>
      <c r="L22" s="470">
        <v>1350</v>
      </c>
      <c r="M22" s="700"/>
      <c r="N22" s="293"/>
      <c r="O22" s="339"/>
      <c r="P22" s="470">
        <v>800</v>
      </c>
      <c r="Q22" s="293"/>
      <c r="R22" s="293"/>
      <c r="S22" s="554"/>
      <c r="T22" s="293"/>
      <c r="U22" s="339"/>
      <c r="V22" s="293"/>
      <c r="W22" s="339"/>
      <c r="X22" s="470">
        <v>400</v>
      </c>
      <c r="Y22" s="293"/>
      <c r="Z22" s="647">
        <f t="shared" si="4"/>
        <v>5.3858852661989269</v>
      </c>
    </row>
    <row r="23" spans="1:26" s="367" customFormat="1" ht="11.25" customHeight="1">
      <c r="A23" s="425">
        <v>15</v>
      </c>
      <c r="B23" s="365">
        <f>'FRIT HGE91-FHG'!B23</f>
        <v>46249</v>
      </c>
      <c r="C23" s="331" t="s">
        <v>334</v>
      </c>
      <c r="D23" s="1459">
        <f t="shared" si="1"/>
        <v>1920</v>
      </c>
      <c r="E23" s="1460">
        <f t="shared" si="2"/>
        <v>1400</v>
      </c>
      <c r="F23" s="537">
        <f t="shared" si="5"/>
        <v>726.85185185185185</v>
      </c>
      <c r="G23" s="1461">
        <f t="shared" si="3"/>
        <v>4435</v>
      </c>
      <c r="H23" s="1458">
        <f t="shared" si="0"/>
        <v>6.3812949640287773</v>
      </c>
      <c r="I23" s="689">
        <v>1400</v>
      </c>
      <c r="J23" s="689"/>
      <c r="K23" s="703">
        <f t="shared" si="6"/>
        <v>46249</v>
      </c>
      <c r="L23" s="470"/>
      <c r="M23" s="700"/>
      <c r="N23" s="293"/>
      <c r="O23" s="339"/>
      <c r="P23" s="470"/>
      <c r="Q23" s="293"/>
      <c r="R23" s="293"/>
      <c r="S23" s="554"/>
      <c r="T23" s="293"/>
      <c r="U23" s="339"/>
      <c r="V23" s="293"/>
      <c r="W23" s="339"/>
      <c r="X23" s="470">
        <v>1920</v>
      </c>
      <c r="Y23" s="293"/>
      <c r="Z23" s="647">
        <f t="shared" si="4"/>
        <v>6.1012518915944423</v>
      </c>
    </row>
    <row r="24" spans="1:26" s="367" customFormat="1" ht="11.25" customHeight="1">
      <c r="A24" s="330">
        <v>16</v>
      </c>
      <c r="B24" s="365">
        <f>'FRIT HGE91-FHG'!B24</f>
        <v>46250</v>
      </c>
      <c r="C24" s="331" t="s">
        <v>334</v>
      </c>
      <c r="D24" s="1459">
        <f t="shared" si="1"/>
        <v>0</v>
      </c>
      <c r="E24" s="1460">
        <f t="shared" si="2"/>
        <v>0</v>
      </c>
      <c r="F24" s="537">
        <f t="shared" si="5"/>
        <v>726.85185185185185</v>
      </c>
      <c r="G24" s="1446">
        <f t="shared" si="3"/>
        <v>4435</v>
      </c>
      <c r="H24" s="1458">
        <f t="shared" si="0"/>
        <v>6.3812949640287773</v>
      </c>
      <c r="I24" s="689"/>
      <c r="J24" s="689"/>
      <c r="K24" s="703">
        <f t="shared" si="6"/>
        <v>46250</v>
      </c>
      <c r="L24" s="470"/>
      <c r="M24" s="700"/>
      <c r="N24" s="293"/>
      <c r="O24" s="339"/>
      <c r="P24" s="470"/>
      <c r="Q24" s="293"/>
      <c r="R24" s="293"/>
      <c r="S24" s="554"/>
      <c r="T24" s="293"/>
      <c r="U24" s="339"/>
      <c r="V24" s="293"/>
      <c r="W24" s="339"/>
      <c r="X24" s="470"/>
      <c r="Y24" s="293"/>
      <c r="Z24" s="647">
        <f t="shared" si="4"/>
        <v>6.1012518915944423</v>
      </c>
    </row>
    <row r="25" spans="1:26" s="367" customFormat="1" ht="11.25" customHeight="1">
      <c r="A25" s="330">
        <v>17</v>
      </c>
      <c r="B25" s="365">
        <f>'FRIT HGE91-FHG'!B25</f>
        <v>46251</v>
      </c>
      <c r="C25" s="331" t="s">
        <v>334</v>
      </c>
      <c r="D25" s="1459">
        <f t="shared" si="1"/>
        <v>0</v>
      </c>
      <c r="E25" s="1460">
        <f t="shared" si="2"/>
        <v>700</v>
      </c>
      <c r="F25" s="537">
        <f t="shared" si="5"/>
        <v>726.85185185185185</v>
      </c>
      <c r="G25" s="1446">
        <f t="shared" si="3"/>
        <v>3735</v>
      </c>
      <c r="H25" s="1458">
        <f t="shared" si="0"/>
        <v>5.3741007194244608</v>
      </c>
      <c r="I25" s="689">
        <v>700</v>
      </c>
      <c r="J25" s="689"/>
      <c r="K25" s="703">
        <f t="shared" si="6"/>
        <v>46251</v>
      </c>
      <c r="L25" s="470"/>
      <c r="M25" s="700"/>
      <c r="N25" s="293"/>
      <c r="O25" s="339"/>
      <c r="P25" s="470"/>
      <c r="Q25" s="293"/>
      <c r="R25" s="293"/>
      <c r="S25" s="554"/>
      <c r="T25" s="293"/>
      <c r="U25" s="339"/>
      <c r="V25" s="293"/>
      <c r="W25" s="339"/>
      <c r="X25" s="470"/>
      <c r="Y25" s="293"/>
      <c r="Z25" s="647">
        <f t="shared" si="4"/>
        <v>5.1382583574081719</v>
      </c>
    </row>
    <row r="26" spans="1:26" s="367" customFormat="1" ht="11.25" customHeight="1">
      <c r="A26" s="330">
        <v>18</v>
      </c>
      <c r="B26" s="365">
        <f>'FRIT HGE91-FHG'!B26</f>
        <v>46252</v>
      </c>
      <c r="C26" s="331" t="s">
        <v>334</v>
      </c>
      <c r="D26" s="1459">
        <f t="shared" si="1"/>
        <v>400</v>
      </c>
      <c r="E26" s="1460">
        <f t="shared" si="2"/>
        <v>700</v>
      </c>
      <c r="F26" s="537">
        <f t="shared" si="5"/>
        <v>726.85185185185185</v>
      </c>
      <c r="G26" s="1446">
        <f t="shared" si="3"/>
        <v>3435</v>
      </c>
      <c r="H26" s="1458">
        <f t="shared" si="0"/>
        <v>4.942446043165468</v>
      </c>
      <c r="I26" s="689">
        <v>700</v>
      </c>
      <c r="J26" s="689"/>
      <c r="K26" s="703">
        <f t="shared" si="6"/>
        <v>46252</v>
      </c>
      <c r="L26" s="470"/>
      <c r="M26" s="700"/>
      <c r="N26" s="293"/>
      <c r="O26" s="339"/>
      <c r="P26" s="470"/>
      <c r="Q26" s="293"/>
      <c r="R26" s="293"/>
      <c r="S26" s="554"/>
      <c r="T26" s="293"/>
      <c r="U26" s="339"/>
      <c r="V26" s="293"/>
      <c r="W26" s="339"/>
      <c r="X26" s="470">
        <v>400</v>
      </c>
      <c r="Y26" s="293"/>
      <c r="Z26" s="647">
        <f t="shared" si="4"/>
        <v>4.7255468427569127</v>
      </c>
    </row>
    <row r="27" spans="1:26" s="367" customFormat="1" ht="11.25" customHeight="1">
      <c r="A27" s="330">
        <v>19</v>
      </c>
      <c r="B27" s="365">
        <f>'FRIT HGE91-FHG'!B27</f>
        <v>46253</v>
      </c>
      <c r="C27" s="331" t="s">
        <v>334</v>
      </c>
      <c r="D27" s="1459">
        <f t="shared" si="1"/>
        <v>0</v>
      </c>
      <c r="E27" s="1460">
        <f t="shared" si="2"/>
        <v>0</v>
      </c>
      <c r="F27" s="537">
        <f t="shared" si="5"/>
        <v>726.85185185185185</v>
      </c>
      <c r="G27" s="1446">
        <f t="shared" si="3"/>
        <v>3435</v>
      </c>
      <c r="H27" s="1458">
        <f t="shared" si="0"/>
        <v>4.942446043165468</v>
      </c>
      <c r="I27" s="689"/>
      <c r="J27" s="689"/>
      <c r="K27" s="703">
        <f t="shared" si="6"/>
        <v>46253</v>
      </c>
      <c r="L27" s="470"/>
      <c r="M27" s="700"/>
      <c r="N27" s="293"/>
      <c r="O27" s="339"/>
      <c r="P27" s="470"/>
      <c r="Q27" s="293"/>
      <c r="R27" s="293"/>
      <c r="S27" s="554"/>
      <c r="T27" s="293"/>
      <c r="U27" s="339"/>
      <c r="V27" s="293"/>
      <c r="W27" s="339"/>
      <c r="X27" s="470"/>
      <c r="Y27" s="293"/>
      <c r="Z27" s="647">
        <f t="shared" si="4"/>
        <v>4.7255468427569127</v>
      </c>
    </row>
    <row r="28" spans="1:26" s="367" customFormat="1" ht="11.25" customHeight="1">
      <c r="A28" s="425">
        <v>20</v>
      </c>
      <c r="B28" s="365">
        <f>'FRIT HGE91-FHG'!B28</f>
        <v>46254</v>
      </c>
      <c r="C28" s="331" t="s">
        <v>334</v>
      </c>
      <c r="D28" s="1459">
        <f t="shared" si="1"/>
        <v>0</v>
      </c>
      <c r="E28" s="1460">
        <f t="shared" si="2"/>
        <v>0</v>
      </c>
      <c r="F28" s="537">
        <f t="shared" si="5"/>
        <v>726.85185185185185</v>
      </c>
      <c r="G28" s="1461">
        <f t="shared" si="3"/>
        <v>3435</v>
      </c>
      <c r="H28" s="1458">
        <f t="shared" si="0"/>
        <v>4.942446043165468</v>
      </c>
      <c r="I28" s="689"/>
      <c r="J28" s="689"/>
      <c r="K28" s="703">
        <f t="shared" si="6"/>
        <v>46254</v>
      </c>
      <c r="L28" s="470"/>
      <c r="M28" s="700"/>
      <c r="N28" s="293"/>
      <c r="O28" s="339"/>
      <c r="P28" s="470"/>
      <c r="Q28" s="293"/>
      <c r="R28" s="293"/>
      <c r="S28" s="554"/>
      <c r="T28" s="293"/>
      <c r="U28" s="339"/>
      <c r="V28" s="293"/>
      <c r="W28" s="339"/>
      <c r="X28" s="470"/>
      <c r="Y28" s="293"/>
      <c r="Z28" s="647">
        <f t="shared" si="4"/>
        <v>4.7255468427569127</v>
      </c>
    </row>
    <row r="29" spans="1:26" s="367" customFormat="1" ht="11.25" customHeight="1">
      <c r="A29" s="330">
        <v>21</v>
      </c>
      <c r="B29" s="365">
        <f>'FRIT HGE91-FHG'!B29</f>
        <v>46255</v>
      </c>
      <c r="C29" s="331" t="s">
        <v>334</v>
      </c>
      <c r="D29" s="1459">
        <f t="shared" si="1"/>
        <v>0</v>
      </c>
      <c r="E29" s="1460">
        <f t="shared" si="2"/>
        <v>0</v>
      </c>
      <c r="F29" s="537">
        <f t="shared" si="5"/>
        <v>726.85185185185185</v>
      </c>
      <c r="G29" s="1446">
        <f t="shared" si="3"/>
        <v>3435</v>
      </c>
      <c r="H29" s="1458">
        <f t="shared" si="0"/>
        <v>4.942446043165468</v>
      </c>
      <c r="I29" s="689"/>
      <c r="J29" s="689"/>
      <c r="K29" s="703">
        <f t="shared" si="6"/>
        <v>46255</v>
      </c>
      <c r="L29" s="470"/>
      <c r="M29" s="700"/>
      <c r="N29" s="293"/>
      <c r="O29" s="339"/>
      <c r="P29" s="470"/>
      <c r="Q29" s="293"/>
      <c r="R29" s="293"/>
      <c r="S29" s="554"/>
      <c r="T29" s="293"/>
      <c r="U29" s="339"/>
      <c r="V29" s="293"/>
      <c r="W29" s="339"/>
      <c r="X29" s="470"/>
      <c r="Y29" s="293"/>
      <c r="Z29" s="647">
        <f t="shared" si="4"/>
        <v>4.7255468427569127</v>
      </c>
    </row>
    <row r="30" spans="1:26" s="367" customFormat="1" ht="11.25" customHeight="1">
      <c r="A30" s="330">
        <v>22</v>
      </c>
      <c r="B30" s="365">
        <f>'FRIT HGE91-FHG'!B30</f>
        <v>46256</v>
      </c>
      <c r="C30" s="331" t="s">
        <v>334</v>
      </c>
      <c r="D30" s="1459">
        <f t="shared" si="1"/>
        <v>0</v>
      </c>
      <c r="E30" s="1460">
        <f t="shared" si="2"/>
        <v>0</v>
      </c>
      <c r="F30" s="537">
        <f t="shared" si="5"/>
        <v>726.85185185185185</v>
      </c>
      <c r="G30" s="1446">
        <f t="shared" si="3"/>
        <v>3435</v>
      </c>
      <c r="H30" s="1458">
        <f t="shared" si="0"/>
        <v>4.942446043165468</v>
      </c>
      <c r="I30" s="689"/>
      <c r="J30" s="689"/>
      <c r="K30" s="703">
        <f t="shared" si="6"/>
        <v>46256</v>
      </c>
      <c r="L30" s="470"/>
      <c r="M30" s="700"/>
      <c r="N30" s="293"/>
      <c r="O30" s="339"/>
      <c r="P30" s="470"/>
      <c r="Q30" s="293"/>
      <c r="R30" s="293"/>
      <c r="S30" s="554"/>
      <c r="T30" s="293"/>
      <c r="U30" s="339"/>
      <c r="V30" s="293"/>
      <c r="W30" s="339"/>
      <c r="X30" s="470"/>
      <c r="Y30" s="293"/>
      <c r="Z30" s="647">
        <f t="shared" si="4"/>
        <v>4.7255468427569127</v>
      </c>
    </row>
    <row r="31" spans="1:26" s="367" customFormat="1" ht="11.25" customHeight="1">
      <c r="A31" s="330">
        <v>23</v>
      </c>
      <c r="B31" s="365">
        <f>'FRIT HGE91-FHG'!B31</f>
        <v>46257</v>
      </c>
      <c r="C31" s="331" t="s">
        <v>334</v>
      </c>
      <c r="D31" s="1459">
        <f t="shared" si="1"/>
        <v>0</v>
      </c>
      <c r="E31" s="1460">
        <f t="shared" si="2"/>
        <v>0</v>
      </c>
      <c r="F31" s="537">
        <f t="shared" si="5"/>
        <v>726.85185185185185</v>
      </c>
      <c r="G31" s="1446">
        <f t="shared" si="3"/>
        <v>3435</v>
      </c>
      <c r="H31" s="1458">
        <f t="shared" si="0"/>
        <v>4.942446043165468</v>
      </c>
      <c r="I31" s="689"/>
      <c r="J31" s="689"/>
      <c r="K31" s="703">
        <f t="shared" si="6"/>
        <v>46257</v>
      </c>
      <c r="L31" s="470"/>
      <c r="M31" s="700"/>
      <c r="N31" s="293"/>
      <c r="O31" s="339"/>
      <c r="P31" s="470"/>
      <c r="Q31" s="293"/>
      <c r="R31" s="293"/>
      <c r="S31" s="554"/>
      <c r="T31" s="293"/>
      <c r="U31" s="339"/>
      <c r="V31" s="293"/>
      <c r="W31" s="339"/>
      <c r="X31" s="470"/>
      <c r="Y31" s="293"/>
      <c r="Z31" s="647">
        <f t="shared" si="4"/>
        <v>4.7255468427569127</v>
      </c>
    </row>
    <row r="32" spans="1:26" s="367" customFormat="1" ht="11.25" customHeight="1">
      <c r="A32" s="330">
        <v>24</v>
      </c>
      <c r="B32" s="365">
        <f>'FRIT HGE91-FHG'!B32</f>
        <v>46258</v>
      </c>
      <c r="C32" s="331" t="s">
        <v>334</v>
      </c>
      <c r="D32" s="1459">
        <f t="shared" si="1"/>
        <v>0</v>
      </c>
      <c r="E32" s="1460">
        <f t="shared" si="2"/>
        <v>0</v>
      </c>
      <c r="F32" s="537">
        <f t="shared" si="5"/>
        <v>726.85185185185185</v>
      </c>
      <c r="G32" s="1446">
        <f t="shared" si="3"/>
        <v>3435</v>
      </c>
      <c r="H32" s="1458">
        <f t="shared" si="0"/>
        <v>4.942446043165468</v>
      </c>
      <c r="I32" s="689"/>
      <c r="J32" s="689"/>
      <c r="K32" s="703">
        <f t="shared" si="6"/>
        <v>46258</v>
      </c>
      <c r="L32" s="470"/>
      <c r="M32" s="700"/>
      <c r="N32" s="293"/>
      <c r="O32" s="339"/>
      <c r="P32" s="470"/>
      <c r="Q32" s="293"/>
      <c r="R32" s="293"/>
      <c r="S32" s="554"/>
      <c r="T32" s="293"/>
      <c r="U32" s="339"/>
      <c r="V32" s="293"/>
      <c r="W32" s="339"/>
      <c r="X32" s="470"/>
      <c r="Y32" s="293"/>
      <c r="Z32" s="647">
        <f t="shared" si="4"/>
        <v>4.7255468427569127</v>
      </c>
    </row>
    <row r="33" spans="1:26" s="367" customFormat="1" ht="11.25" customHeight="1">
      <c r="A33" s="426">
        <v>25</v>
      </c>
      <c r="B33" s="365">
        <f>'FRIT HGE91-FHG'!B33</f>
        <v>46259</v>
      </c>
      <c r="C33" s="331" t="s">
        <v>334</v>
      </c>
      <c r="D33" s="1459">
        <f t="shared" si="1"/>
        <v>0</v>
      </c>
      <c r="E33" s="1460">
        <f t="shared" si="2"/>
        <v>0</v>
      </c>
      <c r="F33" s="537">
        <f t="shared" si="5"/>
        <v>726.85185185185185</v>
      </c>
      <c r="G33" s="1450">
        <f t="shared" si="3"/>
        <v>3435</v>
      </c>
      <c r="H33" s="1458">
        <f t="shared" si="0"/>
        <v>4.942446043165468</v>
      </c>
      <c r="I33" s="689"/>
      <c r="J33" s="689"/>
      <c r="K33" s="703">
        <f t="shared" si="6"/>
        <v>46259</v>
      </c>
      <c r="L33" s="470"/>
      <c r="M33" s="700"/>
      <c r="N33" s="293"/>
      <c r="O33" s="339"/>
      <c r="P33" s="470"/>
      <c r="Q33" s="293"/>
      <c r="R33" s="293"/>
      <c r="S33" s="554"/>
      <c r="T33" s="293"/>
      <c r="U33" s="339"/>
      <c r="V33" s="293"/>
      <c r="W33" s="339"/>
      <c r="X33" s="470"/>
      <c r="Y33" s="293"/>
      <c r="Z33" s="647">
        <f t="shared" si="4"/>
        <v>4.7255468427569127</v>
      </c>
    </row>
    <row r="34" spans="1:26" s="367" customFormat="1" ht="11.25" customHeight="1">
      <c r="A34" s="330">
        <v>26</v>
      </c>
      <c r="B34" s="365">
        <f>'FRIT HGE91-FHG'!B34</f>
        <v>46260</v>
      </c>
      <c r="C34" s="331" t="s">
        <v>334</v>
      </c>
      <c r="D34" s="1459">
        <f t="shared" si="1"/>
        <v>0</v>
      </c>
      <c r="E34" s="1460">
        <f t="shared" si="2"/>
        <v>0</v>
      </c>
      <c r="F34" s="537">
        <f t="shared" si="5"/>
        <v>726.85185185185185</v>
      </c>
      <c r="G34" s="1446">
        <f t="shared" si="3"/>
        <v>3435</v>
      </c>
      <c r="H34" s="1458">
        <f t="shared" si="0"/>
        <v>4.942446043165468</v>
      </c>
      <c r="I34" s="689"/>
      <c r="J34" s="689"/>
      <c r="K34" s="703">
        <f t="shared" si="6"/>
        <v>46260</v>
      </c>
      <c r="L34" s="470"/>
      <c r="M34" s="700"/>
      <c r="N34" s="293"/>
      <c r="O34" s="339"/>
      <c r="P34" s="470"/>
      <c r="Q34" s="293"/>
      <c r="R34" s="293"/>
      <c r="S34" s="554"/>
      <c r="T34" s="293"/>
      <c r="U34" s="339"/>
      <c r="V34" s="293"/>
      <c r="W34" s="339"/>
      <c r="X34" s="470"/>
      <c r="Y34" s="293"/>
      <c r="Z34" s="647">
        <f t="shared" si="4"/>
        <v>4.7255468427569127</v>
      </c>
    </row>
    <row r="35" spans="1:26" s="367" customFormat="1" ht="11.25" customHeight="1">
      <c r="A35" s="330">
        <v>27</v>
      </c>
      <c r="B35" s="365">
        <f>'FRIT HGE91-FHG'!B35</f>
        <v>46261</v>
      </c>
      <c r="C35" s="331" t="s">
        <v>334</v>
      </c>
      <c r="D35" s="1459">
        <f t="shared" si="1"/>
        <v>0</v>
      </c>
      <c r="E35" s="1460">
        <f t="shared" si="2"/>
        <v>0</v>
      </c>
      <c r="F35" s="537">
        <f t="shared" si="5"/>
        <v>726.85185185185185</v>
      </c>
      <c r="G35" s="1446">
        <f t="shared" si="3"/>
        <v>3435</v>
      </c>
      <c r="H35" s="1458">
        <f t="shared" si="0"/>
        <v>4.942446043165468</v>
      </c>
      <c r="I35" s="689"/>
      <c r="J35" s="689"/>
      <c r="K35" s="703">
        <f t="shared" si="6"/>
        <v>46261</v>
      </c>
      <c r="L35" s="470"/>
      <c r="M35" s="700"/>
      <c r="N35" s="293"/>
      <c r="O35" s="339"/>
      <c r="P35" s="470"/>
      <c r="Q35" s="293"/>
      <c r="R35" s="293"/>
      <c r="S35" s="554"/>
      <c r="T35" s="293"/>
      <c r="U35" s="339"/>
      <c r="V35" s="293"/>
      <c r="W35" s="339"/>
      <c r="X35" s="470"/>
      <c r="Y35" s="293"/>
      <c r="Z35" s="647">
        <f t="shared" si="4"/>
        <v>4.7255468427569127</v>
      </c>
    </row>
    <row r="36" spans="1:26" s="367" customFormat="1" ht="11.25" customHeight="1">
      <c r="A36" s="330">
        <v>28</v>
      </c>
      <c r="B36" s="365">
        <f>'FRIT HGE91-FHG'!B36</f>
        <v>46262</v>
      </c>
      <c r="C36" s="331" t="s">
        <v>334</v>
      </c>
      <c r="D36" s="1459">
        <f t="shared" si="1"/>
        <v>0</v>
      </c>
      <c r="E36" s="1460">
        <f t="shared" si="2"/>
        <v>0</v>
      </c>
      <c r="F36" s="537">
        <f t="shared" si="5"/>
        <v>726.85185185185185</v>
      </c>
      <c r="G36" s="1446">
        <f t="shared" si="3"/>
        <v>3435</v>
      </c>
      <c r="H36" s="1458">
        <f t="shared" si="0"/>
        <v>4.942446043165468</v>
      </c>
      <c r="I36" s="689"/>
      <c r="J36" s="689"/>
      <c r="K36" s="703">
        <f t="shared" si="6"/>
        <v>46262</v>
      </c>
      <c r="L36" s="470"/>
      <c r="M36" s="700"/>
      <c r="N36" s="293"/>
      <c r="O36" s="339"/>
      <c r="P36" s="470"/>
      <c r="Q36" s="293"/>
      <c r="R36" s="293"/>
      <c r="S36" s="554"/>
      <c r="T36" s="293"/>
      <c r="U36" s="339"/>
      <c r="V36" s="293"/>
      <c r="W36" s="339"/>
      <c r="X36" s="470"/>
      <c r="Y36" s="293"/>
      <c r="Z36" s="647">
        <f t="shared" si="4"/>
        <v>4.7255468427569127</v>
      </c>
    </row>
    <row r="37" spans="1:26" s="367" customFormat="1" ht="11.25" customHeight="1">
      <c r="A37" s="330">
        <v>29</v>
      </c>
      <c r="B37" s="365">
        <f>'FRIT HGE91-FHG'!B37</f>
        <v>46263</v>
      </c>
      <c r="C37" s="331" t="s">
        <v>334</v>
      </c>
      <c r="D37" s="1459">
        <f t="shared" si="1"/>
        <v>0</v>
      </c>
      <c r="E37" s="1460">
        <f t="shared" si="2"/>
        <v>0</v>
      </c>
      <c r="F37" s="537">
        <f t="shared" si="5"/>
        <v>726.85185185185185</v>
      </c>
      <c r="G37" s="1446">
        <f t="shared" si="3"/>
        <v>3435</v>
      </c>
      <c r="H37" s="1458">
        <f t="shared" si="0"/>
        <v>4.942446043165468</v>
      </c>
      <c r="I37" s="689"/>
      <c r="J37" s="689"/>
      <c r="K37" s="703">
        <f t="shared" si="6"/>
        <v>46263</v>
      </c>
      <c r="L37" s="470"/>
      <c r="M37" s="700"/>
      <c r="N37" s="293"/>
      <c r="O37" s="339"/>
      <c r="P37" s="470"/>
      <c r="Q37" s="293"/>
      <c r="R37" s="293"/>
      <c r="S37" s="554"/>
      <c r="T37" s="293"/>
      <c r="U37" s="339"/>
      <c r="V37" s="293"/>
      <c r="W37" s="339"/>
      <c r="X37" s="470"/>
      <c r="Y37" s="293"/>
      <c r="Z37" s="647">
        <f t="shared" si="4"/>
        <v>4.7255468427569127</v>
      </c>
    </row>
    <row r="38" spans="1:26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1459">
        <f t="shared" si="1"/>
        <v>0</v>
      </c>
      <c r="E38" s="1460">
        <f t="shared" si="2"/>
        <v>0</v>
      </c>
      <c r="F38" s="537">
        <f t="shared" si="5"/>
        <v>726.85185185185185</v>
      </c>
      <c r="G38" s="1461">
        <f t="shared" si="3"/>
        <v>3435</v>
      </c>
      <c r="H38" s="1458">
        <f t="shared" si="0"/>
        <v>4.942446043165468</v>
      </c>
      <c r="I38" s="689"/>
      <c r="J38" s="689"/>
      <c r="K38" s="703">
        <f t="shared" si="6"/>
        <v>46264</v>
      </c>
      <c r="L38" s="470"/>
      <c r="M38" s="700"/>
      <c r="N38" s="293"/>
      <c r="O38" s="339"/>
      <c r="P38" s="470"/>
      <c r="Q38" s="293"/>
      <c r="R38" s="293"/>
      <c r="S38" s="554"/>
      <c r="T38" s="293"/>
      <c r="U38" s="339"/>
      <c r="V38" s="293"/>
      <c r="W38" s="339"/>
      <c r="X38" s="470"/>
      <c r="Y38" s="293"/>
      <c r="Z38" s="647">
        <f t="shared" si="4"/>
        <v>4.7255468427569127</v>
      </c>
    </row>
    <row r="39" spans="1:26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59">
        <f t="shared" si="1"/>
        <v>0</v>
      </c>
      <c r="E39" s="1460">
        <f t="shared" si="2"/>
        <v>0</v>
      </c>
      <c r="F39" s="537">
        <f t="shared" si="5"/>
        <v>726.85185185185185</v>
      </c>
      <c r="G39" s="1446">
        <f t="shared" si="3"/>
        <v>3435</v>
      </c>
      <c r="H39" s="1458">
        <f t="shared" si="0"/>
        <v>4.942446043165468</v>
      </c>
      <c r="I39" s="689"/>
      <c r="J39" s="689"/>
      <c r="K39" s="703">
        <f t="shared" si="6"/>
        <v>46265</v>
      </c>
      <c r="L39" s="470"/>
      <c r="M39" s="700"/>
      <c r="N39" s="293"/>
      <c r="O39" s="339"/>
      <c r="P39" s="470"/>
      <c r="Q39" s="293"/>
      <c r="R39" s="293"/>
      <c r="S39" s="554"/>
      <c r="T39" s="293"/>
      <c r="U39" s="339"/>
      <c r="V39" s="293"/>
      <c r="W39" s="339"/>
      <c r="X39" s="470"/>
      <c r="Y39" s="293"/>
      <c r="Z39" s="647">
        <f t="shared" si="4"/>
        <v>4.7255468427569127</v>
      </c>
    </row>
    <row r="40" spans="1:26" s="374" customFormat="1" ht="11.25" customHeight="1">
      <c r="A40" s="1647" t="s">
        <v>29</v>
      </c>
      <c r="B40" s="1647"/>
      <c r="C40" s="1647"/>
      <c r="D40" s="456">
        <f>SUM(D9:D39)</f>
        <v>17020</v>
      </c>
      <c r="E40" s="350">
        <f>SUM(E9:E39)</f>
        <v>19600</v>
      </c>
      <c r="F40" s="350"/>
      <c r="G40" s="461">
        <f>G39</f>
        <v>3435</v>
      </c>
      <c r="H40" s="387"/>
      <c r="I40" s="689">
        <f>SUM(I9:I39)</f>
        <v>12600</v>
      </c>
      <c r="J40" s="689">
        <f t="shared" ref="J40" si="7">SUM(J9:J39)</f>
        <v>7000</v>
      </c>
      <c r="K40" s="471"/>
      <c r="L40" s="699">
        <f t="shared" ref="L40:O40" si="8">SUM(L9:L39)</f>
        <v>6300</v>
      </c>
      <c r="M40" s="427">
        <f t="shared" si="8"/>
        <v>0</v>
      </c>
      <c r="N40" s="427">
        <f t="shared" si="8"/>
        <v>0</v>
      </c>
      <c r="O40" s="427">
        <f t="shared" si="8"/>
        <v>0</v>
      </c>
      <c r="P40" s="699">
        <f>SUM(P9:P39)</f>
        <v>4000</v>
      </c>
      <c r="Q40" s="427">
        <f t="shared" ref="Q40:U40" si="9">SUM(Q9:Q39)</f>
        <v>0</v>
      </c>
      <c r="R40" s="427">
        <f t="shared" si="9"/>
        <v>0</v>
      </c>
      <c r="S40" s="427">
        <f>SUM(S13:S39)</f>
        <v>0</v>
      </c>
      <c r="T40" s="427">
        <f t="shared" si="9"/>
        <v>0</v>
      </c>
      <c r="U40" s="427">
        <f t="shared" si="9"/>
        <v>0</v>
      </c>
      <c r="V40" s="427"/>
      <c r="W40" s="427"/>
      <c r="X40" s="699">
        <f>SUM(X9:X39)</f>
        <v>6720</v>
      </c>
      <c r="Y40" s="427"/>
    </row>
    <row r="41" spans="1:26" s="374" customFormat="1" ht="11.25" customHeight="1">
      <c r="A41" s="1647" t="s">
        <v>15</v>
      </c>
      <c r="B41" s="1647"/>
      <c r="C41" s="1647"/>
      <c r="D41" s="456">
        <f>D40+D8</f>
        <v>23035</v>
      </c>
      <c r="E41" s="350">
        <f>E40</f>
        <v>19600</v>
      </c>
      <c r="F41" s="350"/>
      <c r="G41" s="389">
        <f>D41-E41</f>
        <v>3435</v>
      </c>
      <c r="H41" s="387"/>
      <c r="I41" s="689"/>
      <c r="J41" s="689"/>
      <c r="K41" s="704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427"/>
      <c r="Y41" s="427"/>
    </row>
    <row r="42" spans="1:26" s="324" customFormat="1" ht="12" customHeight="1">
      <c r="D42" s="343"/>
      <c r="E42" s="343"/>
      <c r="F42" s="343"/>
      <c r="H42" s="343" t="s">
        <v>227</v>
      </c>
      <c r="I42" s="343"/>
      <c r="J42" s="343"/>
      <c r="L42" s="343"/>
    </row>
    <row r="43" spans="1:26" s="324" customFormat="1" ht="12.75">
      <c r="D43" s="343"/>
      <c r="E43" s="343"/>
      <c r="F43" s="343"/>
      <c r="H43" s="343"/>
      <c r="I43" s="343"/>
      <c r="J43" s="343"/>
      <c r="K43" s="324">
        <f>L40+P40</f>
        <v>10300</v>
      </c>
      <c r="L43" s="343"/>
    </row>
    <row r="44" spans="1:26" s="324" customFormat="1" ht="12.75">
      <c r="D44" s="343"/>
      <c r="E44" s="343"/>
      <c r="F44" s="343"/>
      <c r="H44" s="343"/>
      <c r="I44" s="343"/>
      <c r="J44" s="343"/>
      <c r="L44" s="343"/>
    </row>
    <row r="45" spans="1:26" s="324" customFormat="1" ht="12.75">
      <c r="D45" s="343"/>
      <c r="E45" s="343"/>
      <c r="F45" s="343"/>
      <c r="H45" s="343"/>
      <c r="I45" s="343"/>
      <c r="J45" s="343"/>
      <c r="L45" s="343"/>
    </row>
    <row r="46" spans="1:26" s="324" customFormat="1" ht="12.75">
      <c r="D46" s="343"/>
      <c r="E46" s="343"/>
      <c r="F46" s="343"/>
      <c r="H46" s="343" t="s">
        <v>333</v>
      </c>
      <c r="I46" s="343"/>
      <c r="J46" s="343"/>
      <c r="L46" s="343"/>
    </row>
    <row r="47" spans="1:26" s="340" customFormat="1" ht="15.75">
      <c r="D47" s="341"/>
      <c r="E47" s="341"/>
      <c r="F47" s="341"/>
      <c r="G47" s="341"/>
      <c r="H47" s="341"/>
      <c r="I47" s="341"/>
      <c r="J47" s="341"/>
      <c r="K47" s="341"/>
      <c r="L47" s="342"/>
      <c r="Z47" s="143"/>
    </row>
    <row r="49" spans="14:26" s="42" customFormat="1">
      <c r="N49" s="210"/>
      <c r="Z49" s="143"/>
    </row>
  </sheetData>
  <mergeCells count="5">
    <mergeCell ref="A8:C8"/>
    <mergeCell ref="A40:C40"/>
    <mergeCell ref="A41:C41"/>
    <mergeCell ref="A3:I3"/>
    <mergeCell ref="A4:B4"/>
  </mergeCells>
  <conditionalFormatting sqref="H38">
    <cfRule type="cellIs" dxfId="5678" priority="1" operator="between">
      <formula>3</formula>
      <formula>6</formula>
    </cfRule>
    <cfRule type="cellIs" dxfId="5677" priority="2" operator="lessThan">
      <formula>3</formula>
    </cfRule>
    <cfRule type="cellIs" dxfId="5676" priority="3" operator="greaterThan">
      <formula>6</formula>
    </cfRule>
  </conditionalFormatting>
  <conditionalFormatting sqref="H9:H17 H19:H22 H24:H27 H29:H32 H34:H37 H39">
    <cfRule type="cellIs" dxfId="5675" priority="16" operator="between">
      <formula>3</formula>
      <formula>6</formula>
    </cfRule>
    <cfRule type="cellIs" dxfId="5674" priority="17" operator="lessThan">
      <formula>3</formula>
    </cfRule>
    <cfRule type="cellIs" dxfId="5673" priority="18" operator="greaterThan">
      <formula>6</formula>
    </cfRule>
  </conditionalFormatting>
  <conditionalFormatting sqref="H18">
    <cfRule type="cellIs" dxfId="5672" priority="13" operator="between">
      <formula>3</formula>
      <formula>6</formula>
    </cfRule>
    <cfRule type="cellIs" dxfId="5671" priority="14" operator="lessThan">
      <formula>3</formula>
    </cfRule>
    <cfRule type="cellIs" dxfId="5670" priority="15" operator="greaterThan">
      <formula>6</formula>
    </cfRule>
  </conditionalFormatting>
  <conditionalFormatting sqref="H23">
    <cfRule type="cellIs" dxfId="5669" priority="10" operator="between">
      <formula>3</formula>
      <formula>6</formula>
    </cfRule>
    <cfRule type="cellIs" dxfId="5668" priority="11" operator="lessThan">
      <formula>3</formula>
    </cfRule>
    <cfRule type="cellIs" dxfId="5667" priority="12" operator="greaterThan">
      <formula>6</formula>
    </cfRule>
  </conditionalFormatting>
  <conditionalFormatting sqref="H28">
    <cfRule type="cellIs" dxfId="5666" priority="7" operator="between">
      <formula>3</formula>
      <formula>6</formula>
    </cfRule>
    <cfRule type="cellIs" dxfId="5665" priority="8" operator="lessThan">
      <formula>3</formula>
    </cfRule>
    <cfRule type="cellIs" dxfId="5664" priority="9" operator="greaterThan">
      <formula>6</formula>
    </cfRule>
  </conditionalFormatting>
  <conditionalFormatting sqref="H33">
    <cfRule type="cellIs" dxfId="5663" priority="4" operator="between">
      <formula>3</formula>
      <formula>6</formula>
    </cfRule>
    <cfRule type="cellIs" dxfId="5662" priority="5" operator="lessThan">
      <formula>3</formula>
    </cfRule>
    <cfRule type="cellIs" dxfId="5661" priority="6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Z49"/>
  <sheetViews>
    <sheetView zoomScaleSheetLayoutView="83" workbookViewId="0">
      <selection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7.7109375" style="42" customWidth="1"/>
    <col min="4" max="6" width="15.42578125" style="6" customWidth="1"/>
    <col min="7" max="7" width="12.28515625" style="6" customWidth="1"/>
    <col min="8" max="8" width="17.7109375" style="42" customWidth="1"/>
    <col min="9" max="10" width="9.7109375" style="42" customWidth="1"/>
    <col min="11" max="11" width="11.5703125" style="143" bestFit="1" customWidth="1"/>
    <col min="12" max="16384" width="9.28515625" style="42"/>
  </cols>
  <sheetData>
    <row r="1" spans="1:26" s="143" customFormat="1" ht="14.2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3"/>
      <c r="L1" s="324"/>
      <c r="P1" s="323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 s="143" customFormat="1" ht="14.2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K2" s="323"/>
      <c r="M2" s="142"/>
      <c r="P2" s="323"/>
      <c r="Q2" s="324"/>
      <c r="R2" s="324"/>
      <c r="S2" s="324"/>
      <c r="T2" s="324"/>
      <c r="U2" s="324"/>
      <c r="V2" s="324"/>
      <c r="W2" s="324"/>
      <c r="X2" s="324"/>
      <c r="Y2" s="324"/>
    </row>
    <row r="3" spans="1:26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682"/>
      <c r="L3" s="442"/>
      <c r="M3" s="442"/>
      <c r="N3" s="442"/>
      <c r="O3" s="442"/>
    </row>
    <row r="4" spans="1:26" s="376" customFormat="1" ht="15" customHeight="1">
      <c r="A4" s="1600" t="s">
        <v>33</v>
      </c>
      <c r="B4" s="1600"/>
      <c r="C4" s="318" t="s">
        <v>432</v>
      </c>
      <c r="D4" s="383"/>
      <c r="E4" s="383" t="s">
        <v>228</v>
      </c>
      <c r="F4" s="383" t="s">
        <v>237</v>
      </c>
      <c r="G4" s="383" t="s">
        <v>114</v>
      </c>
      <c r="H4" s="323" t="s">
        <v>433</v>
      </c>
      <c r="J4" s="684"/>
      <c r="K4" s="143"/>
      <c r="M4" s="376" t="s">
        <v>224</v>
      </c>
    </row>
    <row r="5" spans="1:26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143"/>
    </row>
    <row r="6" spans="1:26" s="376" customFormat="1" ht="15" customHeight="1">
      <c r="D6" s="383"/>
      <c r="E6" s="321"/>
      <c r="F6" s="321"/>
      <c r="G6" s="383">
        <v>1139</v>
      </c>
      <c r="H6" s="322" t="s">
        <v>293</v>
      </c>
      <c r="I6" s="579" t="s">
        <v>149</v>
      </c>
      <c r="J6" s="324"/>
      <c r="K6" s="143"/>
      <c r="O6" s="376" t="s">
        <v>225</v>
      </c>
    </row>
    <row r="7" spans="1:26" s="305" customFormat="1" ht="28.5" customHeight="1">
      <c r="A7" s="381" t="s">
        <v>2</v>
      </c>
      <c r="B7" s="380" t="s">
        <v>1</v>
      </c>
      <c r="C7" s="380" t="s">
        <v>24</v>
      </c>
      <c r="D7" s="379" t="s">
        <v>250</v>
      </c>
      <c r="E7" s="379" t="s">
        <v>249</v>
      </c>
      <c r="F7" s="379" t="s">
        <v>265</v>
      </c>
      <c r="G7" s="379" t="s">
        <v>253</v>
      </c>
      <c r="H7" s="379" t="s">
        <v>30</v>
      </c>
      <c r="I7" s="697" t="s">
        <v>341</v>
      </c>
      <c r="J7" s="697" t="s">
        <v>244</v>
      </c>
      <c r="K7" s="143"/>
    </row>
    <row r="8" spans="1:26" s="477" customFormat="1" ht="11.25" customHeight="1">
      <c r="A8" s="1658" t="s">
        <v>3</v>
      </c>
      <c r="B8" s="1659"/>
      <c r="C8" s="1660"/>
      <c r="D8" s="555">
        <f>G8</f>
        <v>0</v>
      </c>
      <c r="E8" s="485">
        <f>E40</f>
        <v>0</v>
      </c>
      <c r="F8" s="485"/>
      <c r="G8" s="556">
        <v>0</v>
      </c>
      <c r="H8" s="478"/>
      <c r="I8" s="689"/>
      <c r="J8" s="689"/>
      <c r="K8" s="143">
        <v>726.9</v>
      </c>
    </row>
    <row r="9" spans="1:26" s="481" customFormat="1" ht="11.25" customHeight="1">
      <c r="A9" s="479">
        <v>1</v>
      </c>
      <c r="B9" s="488">
        <f>'FRIT HGE91-FHG'!B9</f>
        <v>46235</v>
      </c>
      <c r="C9" s="331" t="s">
        <v>285</v>
      </c>
      <c r="D9" s="334"/>
      <c r="E9" s="695">
        <f>I9+J9</f>
        <v>0</v>
      </c>
      <c r="F9" s="557">
        <f>15700/1.44/60*4</f>
        <v>726.85185185185185</v>
      </c>
      <c r="G9" s="558">
        <f>G8+D9-E9</f>
        <v>0</v>
      </c>
      <c r="H9" s="559">
        <f>G9/695</f>
        <v>0</v>
      </c>
      <c r="I9" s="689"/>
      <c r="J9" s="689"/>
      <c r="K9" s="647">
        <f>G9/$K$8</f>
        <v>0</v>
      </c>
    </row>
    <row r="10" spans="1:26" s="481" customFormat="1" ht="11.25" customHeight="1">
      <c r="A10" s="479">
        <v>2</v>
      </c>
      <c r="B10" s="488">
        <f>'FRIT HGE91-FHG'!B10</f>
        <v>46236</v>
      </c>
      <c r="C10" s="331" t="s">
        <v>285</v>
      </c>
      <c r="D10" s="334"/>
      <c r="E10" s="695">
        <f t="shared" ref="E10:E39" si="0">I10+J10</f>
        <v>0</v>
      </c>
      <c r="F10" s="557">
        <f>$F$9</f>
        <v>726.85185185185185</v>
      </c>
      <c r="G10" s="558">
        <f t="shared" ref="G10:G39" si="1">G9+D10-E10</f>
        <v>0</v>
      </c>
      <c r="H10" s="559">
        <f t="shared" ref="H10:H40" si="2">G10/695</f>
        <v>0</v>
      </c>
      <c r="I10" s="690"/>
      <c r="J10" s="690"/>
      <c r="K10" s="647">
        <f t="shared" ref="K10:K39" si="3">G10/$K$8</f>
        <v>0</v>
      </c>
    </row>
    <row r="11" spans="1:26" s="481" customFormat="1" ht="11.25" customHeight="1">
      <c r="A11" s="479">
        <v>3</v>
      </c>
      <c r="B11" s="488">
        <f>'FRIT HGE91-FHG'!B11</f>
        <v>46237</v>
      </c>
      <c r="C11" s="331" t="s">
        <v>285</v>
      </c>
      <c r="D11" s="334"/>
      <c r="E11" s="695">
        <f t="shared" si="0"/>
        <v>0</v>
      </c>
      <c r="F11" s="557">
        <f t="shared" ref="F11:F39" si="4">$F$9</f>
        <v>726.85185185185185</v>
      </c>
      <c r="G11" s="558">
        <f t="shared" si="1"/>
        <v>0</v>
      </c>
      <c r="H11" s="560">
        <f t="shared" si="2"/>
        <v>0</v>
      </c>
      <c r="I11" s="690"/>
      <c r="J11" s="690"/>
      <c r="K11" s="647">
        <f t="shared" si="3"/>
        <v>0</v>
      </c>
    </row>
    <row r="12" spans="1:26" s="482" customFormat="1" ht="11.25" customHeight="1">
      <c r="A12" s="479">
        <v>4</v>
      </c>
      <c r="B12" s="488">
        <f>'FRIT HGE91-FHG'!B12</f>
        <v>46238</v>
      </c>
      <c r="C12" s="331" t="s">
        <v>285</v>
      </c>
      <c r="D12" s="334"/>
      <c r="E12" s="695">
        <f t="shared" si="0"/>
        <v>0</v>
      </c>
      <c r="F12" s="557">
        <f t="shared" si="4"/>
        <v>726.85185185185185</v>
      </c>
      <c r="G12" s="558">
        <f t="shared" si="1"/>
        <v>0</v>
      </c>
      <c r="H12" s="560">
        <f t="shared" si="2"/>
        <v>0</v>
      </c>
      <c r="I12" s="690"/>
      <c r="J12" s="690"/>
      <c r="K12" s="647">
        <f t="shared" si="3"/>
        <v>0</v>
      </c>
    </row>
    <row r="13" spans="1:26" s="482" customFormat="1" ht="11.25" customHeight="1">
      <c r="A13" s="483">
        <v>5</v>
      </c>
      <c r="B13" s="488">
        <f>'FRIT HGE91-FHG'!B13</f>
        <v>46239</v>
      </c>
      <c r="C13" s="331" t="s">
        <v>285</v>
      </c>
      <c r="D13" s="334"/>
      <c r="E13" s="695">
        <f t="shared" si="0"/>
        <v>0</v>
      </c>
      <c r="F13" s="557">
        <f t="shared" si="4"/>
        <v>726.85185185185185</v>
      </c>
      <c r="G13" s="561">
        <f t="shared" si="1"/>
        <v>0</v>
      </c>
      <c r="H13" s="560">
        <f t="shared" si="2"/>
        <v>0</v>
      </c>
      <c r="I13" s="690"/>
      <c r="J13" s="690"/>
      <c r="K13" s="647">
        <f t="shared" si="3"/>
        <v>0</v>
      </c>
    </row>
    <row r="14" spans="1:26" s="482" customFormat="1" ht="11.25" customHeight="1">
      <c r="A14" s="479">
        <v>6</v>
      </c>
      <c r="B14" s="488">
        <f>'FRIT HGE91-FHG'!B14</f>
        <v>46240</v>
      </c>
      <c r="C14" s="331" t="s">
        <v>285</v>
      </c>
      <c r="D14" s="334"/>
      <c r="E14" s="695">
        <f t="shared" si="0"/>
        <v>0</v>
      </c>
      <c r="F14" s="557">
        <f t="shared" si="4"/>
        <v>726.85185185185185</v>
      </c>
      <c r="G14" s="558">
        <f t="shared" si="1"/>
        <v>0</v>
      </c>
      <c r="H14" s="560">
        <f t="shared" si="2"/>
        <v>0</v>
      </c>
      <c r="I14" s="690"/>
      <c r="J14" s="690"/>
      <c r="K14" s="647">
        <f t="shared" si="3"/>
        <v>0</v>
      </c>
    </row>
    <row r="15" spans="1:26" s="482" customFormat="1" ht="11.25" customHeight="1">
      <c r="A15" s="479">
        <v>7</v>
      </c>
      <c r="B15" s="488">
        <f>'FRIT HGE91-FHG'!B15</f>
        <v>46241</v>
      </c>
      <c r="C15" s="331" t="s">
        <v>285</v>
      </c>
      <c r="D15" s="334"/>
      <c r="E15" s="695">
        <f t="shared" si="0"/>
        <v>0</v>
      </c>
      <c r="F15" s="557">
        <f t="shared" si="4"/>
        <v>726.85185185185185</v>
      </c>
      <c r="G15" s="558">
        <f t="shared" si="1"/>
        <v>0</v>
      </c>
      <c r="H15" s="560">
        <f t="shared" si="2"/>
        <v>0</v>
      </c>
      <c r="I15" s="690"/>
      <c r="J15" s="690"/>
      <c r="K15" s="647">
        <f t="shared" si="3"/>
        <v>0</v>
      </c>
    </row>
    <row r="16" spans="1:26" s="482" customFormat="1" ht="11.25" customHeight="1">
      <c r="A16" s="479">
        <v>8</v>
      </c>
      <c r="B16" s="488">
        <f>'FRIT HGE91-FHG'!B16</f>
        <v>46242</v>
      </c>
      <c r="C16" s="331" t="s">
        <v>285</v>
      </c>
      <c r="D16" s="334"/>
      <c r="E16" s="695">
        <f t="shared" si="0"/>
        <v>0</v>
      </c>
      <c r="F16" s="557">
        <f t="shared" si="4"/>
        <v>726.85185185185185</v>
      </c>
      <c r="G16" s="558">
        <f t="shared" si="1"/>
        <v>0</v>
      </c>
      <c r="H16" s="560">
        <f t="shared" si="2"/>
        <v>0</v>
      </c>
      <c r="I16" s="690"/>
      <c r="J16" s="690"/>
      <c r="K16" s="647">
        <f t="shared" si="3"/>
        <v>0</v>
      </c>
    </row>
    <row r="17" spans="1:11" s="482" customFormat="1" ht="11.25" customHeight="1">
      <c r="A17" s="479">
        <v>9</v>
      </c>
      <c r="B17" s="488">
        <f>'FRIT HGE91-FHG'!B17</f>
        <v>46243</v>
      </c>
      <c r="C17" s="331" t="s">
        <v>285</v>
      </c>
      <c r="D17" s="334"/>
      <c r="E17" s="695">
        <f t="shared" si="0"/>
        <v>0</v>
      </c>
      <c r="F17" s="557">
        <f t="shared" si="4"/>
        <v>726.85185185185185</v>
      </c>
      <c r="G17" s="558">
        <f t="shared" si="1"/>
        <v>0</v>
      </c>
      <c r="H17" s="560">
        <f t="shared" si="2"/>
        <v>0</v>
      </c>
      <c r="I17" s="690"/>
      <c r="J17" s="690"/>
      <c r="K17" s="647">
        <f t="shared" si="3"/>
        <v>0</v>
      </c>
    </row>
    <row r="18" spans="1:11" s="482" customFormat="1" ht="11.25" customHeight="1">
      <c r="A18" s="483">
        <v>10</v>
      </c>
      <c r="B18" s="488">
        <f>'FRIT HGE91-FHG'!B18</f>
        <v>46244</v>
      </c>
      <c r="C18" s="331" t="s">
        <v>285</v>
      </c>
      <c r="D18" s="334"/>
      <c r="E18" s="695">
        <f t="shared" si="0"/>
        <v>0</v>
      </c>
      <c r="F18" s="557">
        <f t="shared" si="4"/>
        <v>726.85185185185185</v>
      </c>
      <c r="G18" s="561">
        <f t="shared" si="1"/>
        <v>0</v>
      </c>
      <c r="H18" s="560">
        <f t="shared" si="2"/>
        <v>0</v>
      </c>
      <c r="I18" s="690"/>
      <c r="J18" s="690"/>
      <c r="K18" s="647">
        <f t="shared" si="3"/>
        <v>0</v>
      </c>
    </row>
    <row r="19" spans="1:11" s="482" customFormat="1" ht="11.25" customHeight="1">
      <c r="A19" s="479">
        <v>11</v>
      </c>
      <c r="B19" s="488">
        <f>'FRIT HGE91-FHG'!B19</f>
        <v>46245</v>
      </c>
      <c r="C19" s="331" t="s">
        <v>285</v>
      </c>
      <c r="D19" s="334"/>
      <c r="E19" s="695">
        <f t="shared" si="0"/>
        <v>0</v>
      </c>
      <c r="F19" s="557">
        <f t="shared" si="4"/>
        <v>726.85185185185185</v>
      </c>
      <c r="G19" s="558">
        <f t="shared" si="1"/>
        <v>0</v>
      </c>
      <c r="H19" s="560">
        <f t="shared" si="2"/>
        <v>0</v>
      </c>
      <c r="I19" s="690"/>
      <c r="J19" s="690"/>
      <c r="K19" s="647">
        <f t="shared" si="3"/>
        <v>0</v>
      </c>
    </row>
    <row r="20" spans="1:11" s="482" customFormat="1" ht="11.25" customHeight="1">
      <c r="A20" s="479">
        <v>12</v>
      </c>
      <c r="B20" s="488">
        <f>'FRIT HGE91-FHG'!B20</f>
        <v>46246</v>
      </c>
      <c r="C20" s="331" t="s">
        <v>285</v>
      </c>
      <c r="D20" s="334"/>
      <c r="E20" s="695">
        <f t="shared" si="0"/>
        <v>0</v>
      </c>
      <c r="F20" s="557">
        <f t="shared" si="4"/>
        <v>726.85185185185185</v>
      </c>
      <c r="G20" s="558">
        <f t="shared" si="1"/>
        <v>0</v>
      </c>
      <c r="H20" s="560">
        <f t="shared" si="2"/>
        <v>0</v>
      </c>
      <c r="I20" s="690"/>
      <c r="J20" s="690"/>
      <c r="K20" s="647">
        <f t="shared" si="3"/>
        <v>0</v>
      </c>
    </row>
    <row r="21" spans="1:11" s="482" customFormat="1" ht="11.25" customHeight="1">
      <c r="A21" s="479">
        <v>13</v>
      </c>
      <c r="B21" s="488">
        <f>'FRIT HGE91-FHG'!B21</f>
        <v>46247</v>
      </c>
      <c r="C21" s="331" t="s">
        <v>285</v>
      </c>
      <c r="D21" s="334"/>
      <c r="E21" s="695">
        <f t="shared" si="0"/>
        <v>0</v>
      </c>
      <c r="F21" s="557">
        <f t="shared" si="4"/>
        <v>726.85185185185185</v>
      </c>
      <c r="G21" s="558">
        <f t="shared" si="1"/>
        <v>0</v>
      </c>
      <c r="H21" s="560">
        <f t="shared" si="2"/>
        <v>0</v>
      </c>
      <c r="I21" s="690"/>
      <c r="J21" s="690"/>
      <c r="K21" s="647">
        <f t="shared" si="3"/>
        <v>0</v>
      </c>
    </row>
    <row r="22" spans="1:11" s="482" customFormat="1" ht="11.25" customHeight="1">
      <c r="A22" s="479">
        <v>14</v>
      </c>
      <c r="B22" s="488">
        <f>'FRIT HGE91-FHG'!B22</f>
        <v>46248</v>
      </c>
      <c r="C22" s="331" t="s">
        <v>285</v>
      </c>
      <c r="D22" s="334"/>
      <c r="E22" s="695">
        <f t="shared" si="0"/>
        <v>0</v>
      </c>
      <c r="F22" s="557">
        <f t="shared" si="4"/>
        <v>726.85185185185185</v>
      </c>
      <c r="G22" s="558">
        <f t="shared" si="1"/>
        <v>0</v>
      </c>
      <c r="H22" s="560">
        <f t="shared" si="2"/>
        <v>0</v>
      </c>
      <c r="I22" s="690"/>
      <c r="J22" s="690"/>
      <c r="K22" s="647">
        <f t="shared" si="3"/>
        <v>0</v>
      </c>
    </row>
    <row r="23" spans="1:11" s="482" customFormat="1" ht="11.25" customHeight="1">
      <c r="A23" s="483">
        <v>15</v>
      </c>
      <c r="B23" s="488">
        <f>'FRIT HGE91-FHG'!B23</f>
        <v>46249</v>
      </c>
      <c r="C23" s="331" t="s">
        <v>285</v>
      </c>
      <c r="D23" s="334"/>
      <c r="E23" s="695">
        <f t="shared" si="0"/>
        <v>0</v>
      </c>
      <c r="F23" s="557">
        <f t="shared" si="4"/>
        <v>726.85185185185185</v>
      </c>
      <c r="G23" s="561">
        <f t="shared" si="1"/>
        <v>0</v>
      </c>
      <c r="H23" s="560">
        <f t="shared" si="2"/>
        <v>0</v>
      </c>
      <c r="I23" s="690"/>
      <c r="J23" s="690"/>
      <c r="K23" s="647">
        <f t="shared" si="3"/>
        <v>0</v>
      </c>
    </row>
    <row r="24" spans="1:11" s="482" customFormat="1" ht="11.25" customHeight="1">
      <c r="A24" s="479">
        <v>16</v>
      </c>
      <c r="B24" s="488">
        <f>'FRIT HGE91-FHG'!B24</f>
        <v>46250</v>
      </c>
      <c r="C24" s="331" t="s">
        <v>285</v>
      </c>
      <c r="D24" s="334"/>
      <c r="E24" s="695">
        <f t="shared" si="0"/>
        <v>0</v>
      </c>
      <c r="F24" s="557">
        <f t="shared" si="4"/>
        <v>726.85185185185185</v>
      </c>
      <c r="G24" s="558">
        <f t="shared" si="1"/>
        <v>0</v>
      </c>
      <c r="H24" s="560">
        <f t="shared" si="2"/>
        <v>0</v>
      </c>
      <c r="I24" s="690"/>
      <c r="J24" s="690"/>
      <c r="K24" s="647">
        <f t="shared" si="3"/>
        <v>0</v>
      </c>
    </row>
    <row r="25" spans="1:11" s="482" customFormat="1" ht="11.25" customHeight="1">
      <c r="A25" s="479">
        <v>17</v>
      </c>
      <c r="B25" s="488">
        <f>'FRIT HGE91-FHG'!B25</f>
        <v>46251</v>
      </c>
      <c r="C25" s="331" t="s">
        <v>285</v>
      </c>
      <c r="D25" s="334"/>
      <c r="E25" s="695">
        <f t="shared" si="0"/>
        <v>0</v>
      </c>
      <c r="F25" s="557">
        <f t="shared" si="4"/>
        <v>726.85185185185185</v>
      </c>
      <c r="G25" s="558">
        <f t="shared" si="1"/>
        <v>0</v>
      </c>
      <c r="H25" s="560">
        <f t="shared" si="2"/>
        <v>0</v>
      </c>
      <c r="I25" s="690"/>
      <c r="J25" s="690"/>
      <c r="K25" s="647">
        <f t="shared" si="3"/>
        <v>0</v>
      </c>
    </row>
    <row r="26" spans="1:11" s="482" customFormat="1" ht="11.25" customHeight="1">
      <c r="A26" s="479">
        <v>18</v>
      </c>
      <c r="B26" s="488">
        <f>'FRIT HGE91-FHG'!B26</f>
        <v>46252</v>
      </c>
      <c r="C26" s="331" t="s">
        <v>285</v>
      </c>
      <c r="D26" s="334"/>
      <c r="E26" s="695">
        <f t="shared" si="0"/>
        <v>0</v>
      </c>
      <c r="F26" s="557">
        <f t="shared" si="4"/>
        <v>726.85185185185185</v>
      </c>
      <c r="G26" s="558">
        <f t="shared" si="1"/>
        <v>0</v>
      </c>
      <c r="H26" s="560">
        <f t="shared" si="2"/>
        <v>0</v>
      </c>
      <c r="I26" s="690"/>
      <c r="J26" s="690"/>
      <c r="K26" s="647">
        <f t="shared" si="3"/>
        <v>0</v>
      </c>
    </row>
    <row r="27" spans="1:11" s="482" customFormat="1" ht="11.25" customHeight="1">
      <c r="A27" s="479">
        <v>19</v>
      </c>
      <c r="B27" s="488">
        <f>'FRIT HGE91-FHG'!B27</f>
        <v>46253</v>
      </c>
      <c r="C27" s="331" t="s">
        <v>285</v>
      </c>
      <c r="D27" s="334"/>
      <c r="E27" s="695">
        <f t="shared" si="0"/>
        <v>0</v>
      </c>
      <c r="F27" s="557">
        <f t="shared" si="4"/>
        <v>726.85185185185185</v>
      </c>
      <c r="G27" s="558">
        <f t="shared" si="1"/>
        <v>0</v>
      </c>
      <c r="H27" s="560">
        <f t="shared" si="2"/>
        <v>0</v>
      </c>
      <c r="I27" s="690"/>
      <c r="J27" s="690"/>
      <c r="K27" s="647">
        <f t="shared" si="3"/>
        <v>0</v>
      </c>
    </row>
    <row r="28" spans="1:11" s="482" customFormat="1" ht="11.25" customHeight="1">
      <c r="A28" s="483">
        <v>20</v>
      </c>
      <c r="B28" s="488">
        <f>'FRIT HGE91-FHG'!B28</f>
        <v>46254</v>
      </c>
      <c r="C28" s="331" t="s">
        <v>285</v>
      </c>
      <c r="D28" s="334"/>
      <c r="E28" s="695">
        <f t="shared" si="0"/>
        <v>0</v>
      </c>
      <c r="F28" s="557">
        <f t="shared" si="4"/>
        <v>726.85185185185185</v>
      </c>
      <c r="G28" s="561">
        <f t="shared" si="1"/>
        <v>0</v>
      </c>
      <c r="H28" s="560">
        <f t="shared" si="2"/>
        <v>0</v>
      </c>
      <c r="I28" s="690"/>
      <c r="J28" s="690"/>
      <c r="K28" s="647">
        <f t="shared" si="3"/>
        <v>0</v>
      </c>
    </row>
    <row r="29" spans="1:11" s="482" customFormat="1" ht="11.25" customHeight="1">
      <c r="A29" s="479">
        <v>21</v>
      </c>
      <c r="B29" s="488">
        <f>'FRIT HGE91-FHG'!B29</f>
        <v>46255</v>
      </c>
      <c r="C29" s="331" t="s">
        <v>285</v>
      </c>
      <c r="D29" s="334"/>
      <c r="E29" s="695">
        <f t="shared" si="0"/>
        <v>0</v>
      </c>
      <c r="F29" s="557">
        <f t="shared" si="4"/>
        <v>726.85185185185185</v>
      </c>
      <c r="G29" s="558">
        <f t="shared" si="1"/>
        <v>0</v>
      </c>
      <c r="H29" s="560">
        <f t="shared" si="2"/>
        <v>0</v>
      </c>
      <c r="I29" s="690"/>
      <c r="J29" s="690"/>
      <c r="K29" s="647">
        <f t="shared" si="3"/>
        <v>0</v>
      </c>
    </row>
    <row r="30" spans="1:11" s="482" customFormat="1" ht="11.25" customHeight="1">
      <c r="A30" s="479">
        <v>22</v>
      </c>
      <c r="B30" s="488">
        <f>'FRIT HGE91-FHG'!B30</f>
        <v>46256</v>
      </c>
      <c r="C30" s="331" t="s">
        <v>285</v>
      </c>
      <c r="D30" s="334"/>
      <c r="E30" s="695">
        <f t="shared" si="0"/>
        <v>0</v>
      </c>
      <c r="F30" s="557">
        <f t="shared" si="4"/>
        <v>726.85185185185185</v>
      </c>
      <c r="G30" s="558">
        <f t="shared" si="1"/>
        <v>0</v>
      </c>
      <c r="H30" s="560">
        <f t="shared" si="2"/>
        <v>0</v>
      </c>
      <c r="I30" s="690"/>
      <c r="J30" s="690"/>
      <c r="K30" s="647">
        <f t="shared" si="3"/>
        <v>0</v>
      </c>
    </row>
    <row r="31" spans="1:11" s="482" customFormat="1" ht="11.25" customHeight="1">
      <c r="A31" s="479">
        <v>23</v>
      </c>
      <c r="B31" s="488">
        <f>'FRIT HGE91-FHG'!B31</f>
        <v>46257</v>
      </c>
      <c r="C31" s="331" t="s">
        <v>285</v>
      </c>
      <c r="D31" s="334"/>
      <c r="E31" s="695">
        <f t="shared" si="0"/>
        <v>0</v>
      </c>
      <c r="F31" s="557">
        <f t="shared" si="4"/>
        <v>726.85185185185185</v>
      </c>
      <c r="G31" s="558">
        <f t="shared" si="1"/>
        <v>0</v>
      </c>
      <c r="H31" s="560">
        <f t="shared" si="2"/>
        <v>0</v>
      </c>
      <c r="I31" s="690"/>
      <c r="J31" s="690"/>
      <c r="K31" s="647">
        <f t="shared" si="3"/>
        <v>0</v>
      </c>
    </row>
    <row r="32" spans="1:11" s="482" customFormat="1" ht="11.25" customHeight="1">
      <c r="A32" s="479">
        <v>24</v>
      </c>
      <c r="B32" s="488">
        <f>'FRIT HGE91-FHG'!B32</f>
        <v>46258</v>
      </c>
      <c r="C32" s="331" t="s">
        <v>285</v>
      </c>
      <c r="D32" s="334"/>
      <c r="E32" s="695">
        <f t="shared" si="0"/>
        <v>0</v>
      </c>
      <c r="F32" s="557">
        <f t="shared" si="4"/>
        <v>726.85185185185185</v>
      </c>
      <c r="G32" s="558">
        <f t="shared" si="1"/>
        <v>0</v>
      </c>
      <c r="H32" s="560">
        <f t="shared" si="2"/>
        <v>0</v>
      </c>
      <c r="I32" s="690"/>
      <c r="J32" s="690"/>
      <c r="K32" s="647">
        <f t="shared" si="3"/>
        <v>0</v>
      </c>
    </row>
    <row r="33" spans="1:12" s="482" customFormat="1" ht="11.25" customHeight="1">
      <c r="A33" s="484">
        <v>25</v>
      </c>
      <c r="B33" s="488">
        <f>'FRIT HGE91-FHG'!B33</f>
        <v>46259</v>
      </c>
      <c r="C33" s="331" t="s">
        <v>285</v>
      </c>
      <c r="D33" s="334"/>
      <c r="E33" s="695">
        <f t="shared" si="0"/>
        <v>0</v>
      </c>
      <c r="F33" s="557">
        <f t="shared" si="4"/>
        <v>726.85185185185185</v>
      </c>
      <c r="G33" s="562">
        <f t="shared" si="1"/>
        <v>0</v>
      </c>
      <c r="H33" s="560">
        <f t="shared" si="2"/>
        <v>0</v>
      </c>
      <c r="I33" s="690"/>
      <c r="J33" s="690"/>
      <c r="K33" s="647">
        <f t="shared" si="3"/>
        <v>0</v>
      </c>
    </row>
    <row r="34" spans="1:12" s="482" customFormat="1" ht="11.25" customHeight="1">
      <c r="A34" s="479">
        <v>26</v>
      </c>
      <c r="B34" s="488">
        <f>'FRIT HGE91-FHG'!B34</f>
        <v>46260</v>
      </c>
      <c r="C34" s="331" t="s">
        <v>285</v>
      </c>
      <c r="D34" s="334"/>
      <c r="E34" s="695">
        <f t="shared" si="0"/>
        <v>0</v>
      </c>
      <c r="F34" s="557">
        <f t="shared" si="4"/>
        <v>726.85185185185185</v>
      </c>
      <c r="G34" s="558">
        <f t="shared" si="1"/>
        <v>0</v>
      </c>
      <c r="H34" s="560">
        <f t="shared" si="2"/>
        <v>0</v>
      </c>
      <c r="I34" s="690"/>
      <c r="J34" s="690"/>
      <c r="K34" s="647">
        <f t="shared" si="3"/>
        <v>0</v>
      </c>
    </row>
    <row r="35" spans="1:12" s="482" customFormat="1" ht="11.25" customHeight="1">
      <c r="A35" s="479">
        <v>27</v>
      </c>
      <c r="B35" s="488">
        <f>'FRIT HGE91-FHG'!B35</f>
        <v>46261</v>
      </c>
      <c r="C35" s="331" t="s">
        <v>285</v>
      </c>
      <c r="D35" s="334"/>
      <c r="E35" s="695">
        <f t="shared" si="0"/>
        <v>0</v>
      </c>
      <c r="F35" s="557">
        <f t="shared" si="4"/>
        <v>726.85185185185185</v>
      </c>
      <c r="G35" s="558">
        <f t="shared" si="1"/>
        <v>0</v>
      </c>
      <c r="H35" s="560">
        <f t="shared" si="2"/>
        <v>0</v>
      </c>
      <c r="I35" s="690"/>
      <c r="J35" s="690"/>
      <c r="K35" s="647">
        <f t="shared" si="3"/>
        <v>0</v>
      </c>
    </row>
    <row r="36" spans="1:12" s="482" customFormat="1" ht="11.25" customHeight="1">
      <c r="A36" s="479">
        <v>28</v>
      </c>
      <c r="B36" s="488">
        <f>'FRIT HGE91-FHG'!B36</f>
        <v>46262</v>
      </c>
      <c r="C36" s="331" t="s">
        <v>285</v>
      </c>
      <c r="D36" s="334"/>
      <c r="E36" s="695">
        <f t="shared" si="0"/>
        <v>0</v>
      </c>
      <c r="F36" s="557">
        <f t="shared" si="4"/>
        <v>726.85185185185185</v>
      </c>
      <c r="G36" s="558">
        <f t="shared" si="1"/>
        <v>0</v>
      </c>
      <c r="H36" s="560">
        <f t="shared" si="2"/>
        <v>0</v>
      </c>
      <c r="I36" s="690"/>
      <c r="J36" s="690"/>
      <c r="K36" s="647">
        <f t="shared" si="3"/>
        <v>0</v>
      </c>
    </row>
    <row r="37" spans="1:12" s="482" customFormat="1" ht="11.25" customHeight="1">
      <c r="A37" s="479">
        <v>29</v>
      </c>
      <c r="B37" s="488">
        <f>'FRIT HGE91-FHG'!B37</f>
        <v>46263</v>
      </c>
      <c r="C37" s="331" t="s">
        <v>285</v>
      </c>
      <c r="D37" s="334"/>
      <c r="E37" s="695">
        <f t="shared" si="0"/>
        <v>0</v>
      </c>
      <c r="F37" s="557">
        <f t="shared" si="4"/>
        <v>726.85185185185185</v>
      </c>
      <c r="G37" s="558">
        <f t="shared" si="1"/>
        <v>0</v>
      </c>
      <c r="H37" s="560">
        <f t="shared" si="2"/>
        <v>0</v>
      </c>
      <c r="I37" s="690"/>
      <c r="J37" s="690"/>
      <c r="K37" s="647">
        <f t="shared" si="3"/>
        <v>0</v>
      </c>
    </row>
    <row r="38" spans="1:12" s="482" customFormat="1" ht="11.25" customHeight="1">
      <c r="A38" s="483">
        <v>30</v>
      </c>
      <c r="B38" s="488">
        <f>'FRIT HGE91-FHG'!B38</f>
        <v>46264</v>
      </c>
      <c r="C38" s="331" t="s">
        <v>285</v>
      </c>
      <c r="D38" s="334"/>
      <c r="E38" s="695">
        <f t="shared" si="0"/>
        <v>0</v>
      </c>
      <c r="F38" s="557">
        <f t="shared" si="4"/>
        <v>726.85185185185185</v>
      </c>
      <c r="G38" s="558">
        <f t="shared" si="1"/>
        <v>0</v>
      </c>
      <c r="H38" s="560">
        <f t="shared" si="2"/>
        <v>0</v>
      </c>
      <c r="I38" s="690"/>
      <c r="J38" s="690"/>
      <c r="K38" s="647">
        <f t="shared" si="3"/>
        <v>0</v>
      </c>
    </row>
    <row r="39" spans="1:12" s="482" customFormat="1" ht="11.25" customHeight="1">
      <c r="A39" s="479">
        <v>31</v>
      </c>
      <c r="B39" s="488">
        <f>'FRIT HGE91-FHG'!B39</f>
        <v>46265</v>
      </c>
      <c r="C39" s="331" t="s">
        <v>285</v>
      </c>
      <c r="D39" s="334"/>
      <c r="E39" s="695">
        <f t="shared" si="0"/>
        <v>0</v>
      </c>
      <c r="F39" s="557">
        <f t="shared" si="4"/>
        <v>726.85185185185185</v>
      </c>
      <c r="G39" s="558">
        <f t="shared" si="1"/>
        <v>0</v>
      </c>
      <c r="H39" s="560">
        <f t="shared" si="2"/>
        <v>0</v>
      </c>
      <c r="I39" s="690"/>
      <c r="J39" s="690"/>
      <c r="K39" s="647">
        <f t="shared" si="3"/>
        <v>0</v>
      </c>
    </row>
    <row r="40" spans="1:12" s="486" customFormat="1" ht="11.25" customHeight="1">
      <c r="A40" s="1661" t="s">
        <v>29</v>
      </c>
      <c r="B40" s="1661"/>
      <c r="C40" s="1661"/>
      <c r="D40" s="563">
        <f>SUM(D9:D39)</f>
        <v>0</v>
      </c>
      <c r="E40" s="487">
        <f>SUM(E9:E39)</f>
        <v>0</v>
      </c>
      <c r="F40" s="487"/>
      <c r="G40" s="489">
        <f>G39</f>
        <v>0</v>
      </c>
      <c r="H40" s="560">
        <f t="shared" si="2"/>
        <v>0</v>
      </c>
      <c r="I40" s="689">
        <f>SUM(I9:I39)</f>
        <v>0</v>
      </c>
      <c r="J40" s="689">
        <f t="shared" ref="J40" si="5">SUM(J9:J39)</f>
        <v>0</v>
      </c>
      <c r="K40" s="374"/>
    </row>
    <row r="41" spans="1:12" s="486" customFormat="1" ht="11.25" customHeight="1">
      <c r="A41" s="1661" t="s">
        <v>15</v>
      </c>
      <c r="B41" s="1661"/>
      <c r="C41" s="1661"/>
      <c r="D41" s="563">
        <f>D40+D8</f>
        <v>0</v>
      </c>
      <c r="E41" s="487">
        <f>E40</f>
        <v>0</v>
      </c>
      <c r="F41" s="487"/>
      <c r="G41" s="487">
        <f>D41-E41</f>
        <v>0</v>
      </c>
      <c r="H41" s="485"/>
      <c r="I41" s="689"/>
      <c r="J41" s="689"/>
      <c r="K41" s="374"/>
    </row>
    <row r="42" spans="1:12" s="324" customFormat="1" ht="12.75">
      <c r="D42" s="343"/>
      <c r="E42" s="343"/>
      <c r="F42" s="343"/>
      <c r="H42" s="343" t="s">
        <v>227</v>
      </c>
      <c r="I42" s="343"/>
      <c r="J42" s="343"/>
      <c r="L42" s="343"/>
    </row>
    <row r="43" spans="1:12" s="324" customFormat="1" ht="12.75">
      <c r="D43" s="343"/>
      <c r="E43" s="343"/>
      <c r="F43" s="343"/>
      <c r="H43" s="343"/>
      <c r="I43" s="343"/>
      <c r="J43" s="343"/>
      <c r="L43" s="343"/>
    </row>
    <row r="44" spans="1:12" s="324" customFormat="1" ht="12.75">
      <c r="D44" s="343"/>
      <c r="E44" s="343"/>
      <c r="F44" s="343"/>
      <c r="H44" s="343"/>
      <c r="I44" s="343"/>
      <c r="J44" s="343"/>
      <c r="L44" s="343"/>
    </row>
    <row r="45" spans="1:12" s="324" customFormat="1" ht="12.75">
      <c r="D45" s="343"/>
      <c r="E45" s="343"/>
      <c r="F45" s="343"/>
      <c r="H45" s="343"/>
      <c r="I45" s="343"/>
      <c r="J45" s="343"/>
      <c r="L45" s="343"/>
    </row>
    <row r="46" spans="1:12" s="324" customFormat="1" ht="12.75">
      <c r="D46" s="343"/>
      <c r="E46" s="343"/>
      <c r="F46" s="343"/>
      <c r="H46" s="343" t="s">
        <v>333</v>
      </c>
      <c r="I46" s="343"/>
      <c r="J46" s="343"/>
      <c r="L46" s="343"/>
    </row>
    <row r="47" spans="1:12" s="340" customFormat="1" ht="15.75">
      <c r="D47" s="341"/>
      <c r="E47" s="341"/>
      <c r="F47" s="341"/>
      <c r="G47" s="341"/>
      <c r="H47" s="341"/>
      <c r="I47" s="341"/>
      <c r="J47" s="341"/>
      <c r="K47" s="143"/>
      <c r="L47" s="342"/>
    </row>
    <row r="49" spans="11:11" s="42" customFormat="1">
      <c r="K49" s="143"/>
    </row>
  </sheetData>
  <mergeCells count="5">
    <mergeCell ref="A3:I3"/>
    <mergeCell ref="A8:C8"/>
    <mergeCell ref="A40:C40"/>
    <mergeCell ref="A41:C41"/>
    <mergeCell ref="A4:B4"/>
  </mergeCells>
  <conditionalFormatting sqref="H9:H40">
    <cfRule type="cellIs" dxfId="5660" priority="1" operator="between">
      <formula>3</formula>
      <formula>6</formula>
    </cfRule>
    <cfRule type="cellIs" dxfId="5659" priority="2" operator="lessThan">
      <formula>3</formula>
    </cfRule>
    <cfRule type="cellIs" dxfId="5658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U49"/>
  <sheetViews>
    <sheetView zoomScaleSheetLayoutView="83"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7" style="42" customWidth="1"/>
    <col min="3" max="3" width="13.85546875" style="42" customWidth="1"/>
    <col min="4" max="4" width="13.7109375" style="6" customWidth="1"/>
    <col min="5" max="7" width="15.42578125" style="6" customWidth="1"/>
    <col min="8" max="8" width="11" style="42" customWidth="1"/>
    <col min="9" max="11" width="8" style="42" customWidth="1"/>
    <col min="12" max="12" width="10.85546875" style="42" customWidth="1"/>
    <col min="13" max="13" width="7.42578125" style="42" customWidth="1"/>
    <col min="14" max="14" width="5.28515625" style="42" customWidth="1"/>
    <col min="15" max="16" width="10.140625" style="42" hidden="1" customWidth="1"/>
    <col min="17" max="17" width="7.28515625" style="42" customWidth="1"/>
    <col min="18" max="18" width="5" style="42" customWidth="1"/>
    <col min="19" max="19" width="7.28515625" style="42" customWidth="1"/>
    <col min="20" max="20" width="5.42578125" style="42" customWidth="1"/>
    <col min="21" max="21" width="11.42578125" style="42" customWidth="1"/>
    <col min="22" max="16384" width="9.28515625" style="42"/>
  </cols>
  <sheetData>
    <row r="1" spans="1:21" s="143" customFormat="1" ht="14.2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Q1" s="323"/>
      <c r="R1" s="324"/>
      <c r="S1" s="324"/>
    </row>
    <row r="2" spans="1:21" s="143" customFormat="1" ht="14.2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K2" s="324"/>
      <c r="L2" s="324"/>
      <c r="N2" s="142"/>
      <c r="Q2" s="323"/>
      <c r="R2" s="324"/>
    </row>
    <row r="3" spans="1:21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682"/>
      <c r="K3" s="1157"/>
      <c r="L3" s="442"/>
      <c r="M3" s="442"/>
      <c r="N3" s="442"/>
      <c r="O3" s="442"/>
      <c r="P3" s="442"/>
    </row>
    <row r="4" spans="1:21" s="673" customFormat="1" ht="15" customHeight="1">
      <c r="A4" s="1600" t="s">
        <v>33</v>
      </c>
      <c r="B4" s="1600"/>
      <c r="C4" s="318" t="s">
        <v>421</v>
      </c>
      <c r="D4" s="383"/>
      <c r="E4" s="383" t="s">
        <v>228</v>
      </c>
      <c r="F4" s="383" t="s">
        <v>237</v>
      </c>
      <c r="G4" s="383" t="s">
        <v>114</v>
      </c>
      <c r="H4" s="323" t="s">
        <v>434</v>
      </c>
      <c r="J4" s="684"/>
      <c r="K4" s="1158"/>
      <c r="N4" s="673" t="s">
        <v>224</v>
      </c>
    </row>
    <row r="5" spans="1:21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</row>
    <row r="6" spans="1:21" s="673" customFormat="1" ht="15" customHeight="1">
      <c r="D6" s="383"/>
      <c r="E6" s="321"/>
      <c r="F6" s="321"/>
      <c r="G6" s="383">
        <v>1139</v>
      </c>
      <c r="H6" s="322" t="s">
        <v>293</v>
      </c>
      <c r="I6" s="579" t="s">
        <v>149</v>
      </c>
      <c r="J6" s="324"/>
      <c r="K6" s="324"/>
      <c r="P6" s="673" t="s">
        <v>225</v>
      </c>
    </row>
    <row r="7" spans="1:21" s="305" customFormat="1" ht="28.5" customHeight="1">
      <c r="A7" s="675" t="s">
        <v>2</v>
      </c>
      <c r="B7" s="676" t="s">
        <v>1</v>
      </c>
      <c r="C7" s="676" t="s">
        <v>24</v>
      </c>
      <c r="D7" s="674" t="s">
        <v>250</v>
      </c>
      <c r="E7" s="674" t="s">
        <v>249</v>
      </c>
      <c r="F7" s="674" t="s">
        <v>265</v>
      </c>
      <c r="G7" s="674" t="s">
        <v>253</v>
      </c>
      <c r="H7" s="674" t="s">
        <v>30</v>
      </c>
      <c r="I7" s="697" t="s">
        <v>341</v>
      </c>
      <c r="J7" s="697" t="s">
        <v>244</v>
      </c>
      <c r="K7" s="1124" t="s">
        <v>821</v>
      </c>
    </row>
    <row r="8" spans="1:21" s="477" customFormat="1" ht="11.25" customHeight="1">
      <c r="A8" s="1658" t="s">
        <v>3</v>
      </c>
      <c r="B8" s="1659"/>
      <c r="C8" s="1660"/>
      <c r="D8" s="555">
        <f>G8</f>
        <v>1750</v>
      </c>
      <c r="E8" s="485">
        <f>E40</f>
        <v>5200</v>
      </c>
      <c r="F8" s="485"/>
      <c r="G8" s="556">
        <v>1750</v>
      </c>
      <c r="H8" s="478"/>
      <c r="I8" s="689"/>
      <c r="J8" s="689"/>
      <c r="K8" s="1159"/>
      <c r="L8" s="701" t="s">
        <v>1</v>
      </c>
      <c r="M8" s="313" t="s">
        <v>205</v>
      </c>
      <c r="N8" s="313" t="s">
        <v>332</v>
      </c>
      <c r="O8" s="313" t="s">
        <v>209</v>
      </c>
      <c r="P8" s="314" t="s">
        <v>206</v>
      </c>
      <c r="Q8" s="313" t="s">
        <v>243</v>
      </c>
      <c r="R8" s="313" t="s">
        <v>332</v>
      </c>
      <c r="S8" s="313" t="s">
        <v>350</v>
      </c>
      <c r="T8" s="313" t="s">
        <v>332</v>
      </c>
    </row>
    <row r="9" spans="1:21" s="481" customFormat="1" ht="11.25" customHeight="1">
      <c r="A9" s="479">
        <v>1</v>
      </c>
      <c r="B9" s="488">
        <f>'FRIT HGE91-FHG'!B9</f>
        <v>46235</v>
      </c>
      <c r="C9" s="331" t="s">
        <v>334</v>
      </c>
      <c r="D9" s="334">
        <f>M9+Q9+S9</f>
        <v>0</v>
      </c>
      <c r="E9" s="695">
        <f>I9+J9+K9</f>
        <v>0</v>
      </c>
      <c r="F9" s="557">
        <f>15700/1.44/60*4</f>
        <v>726.85185185185185</v>
      </c>
      <c r="G9" s="558">
        <f>G8+D9-E9</f>
        <v>1750</v>
      </c>
      <c r="H9" s="559">
        <f>G9/695</f>
        <v>2.5179856115107913</v>
      </c>
      <c r="I9" s="689"/>
      <c r="J9" s="689"/>
      <c r="K9" s="1159"/>
      <c r="L9" s="703">
        <f>B9</f>
        <v>46235</v>
      </c>
      <c r="M9" s="470"/>
      <c r="N9" s="700"/>
      <c r="O9" s="293"/>
      <c r="P9" s="339"/>
      <c r="Q9" s="470"/>
      <c r="R9" s="293"/>
      <c r="S9" s="470"/>
      <c r="T9" s="293"/>
    </row>
    <row r="10" spans="1:21" s="481" customFormat="1" ht="11.25" customHeight="1">
      <c r="A10" s="479">
        <v>2</v>
      </c>
      <c r="B10" s="488">
        <f>'FRIT HGE91-FHG'!B10</f>
        <v>46236</v>
      </c>
      <c r="C10" s="331" t="s">
        <v>334</v>
      </c>
      <c r="D10" s="334">
        <f t="shared" ref="D10:D39" si="0">M10+Q10+S10</f>
        <v>0</v>
      </c>
      <c r="E10" s="695">
        <f t="shared" ref="E10:E39" si="1">I10+J10+K10</f>
        <v>0</v>
      </c>
      <c r="F10" s="557">
        <f>$F$9</f>
        <v>726.85185185185185</v>
      </c>
      <c r="G10" s="558">
        <f t="shared" ref="G10:G39" si="2">G9+D10-E10</f>
        <v>1750</v>
      </c>
      <c r="H10" s="559">
        <f t="shared" ref="H10:H40" si="3">G10/695</f>
        <v>2.5179856115107913</v>
      </c>
      <c r="I10" s="689"/>
      <c r="J10" s="689"/>
      <c r="K10" s="1159"/>
      <c r="L10" s="703">
        <f>B10</f>
        <v>46236</v>
      </c>
      <c r="M10" s="470"/>
      <c r="N10" s="700"/>
      <c r="O10" s="293"/>
      <c r="P10" s="339"/>
      <c r="Q10" s="470"/>
      <c r="R10" s="293"/>
      <c r="S10" s="470"/>
      <c r="T10" s="293"/>
    </row>
    <row r="11" spans="1:21" s="481" customFormat="1" ht="11.25" customHeight="1">
      <c r="A11" s="479">
        <v>3</v>
      </c>
      <c r="B11" s="488">
        <f>'FRIT HGE91-FHG'!B11</f>
        <v>46237</v>
      </c>
      <c r="C11" s="331" t="s">
        <v>349</v>
      </c>
      <c r="D11" s="334">
        <f t="shared" si="0"/>
        <v>0</v>
      </c>
      <c r="E11" s="695">
        <f t="shared" si="1"/>
        <v>0</v>
      </c>
      <c r="F11" s="557">
        <f t="shared" ref="F11:F39" si="4">$F$9</f>
        <v>726.85185185185185</v>
      </c>
      <c r="G11" s="558">
        <f t="shared" si="2"/>
        <v>1750</v>
      </c>
      <c r="H11" s="560">
        <f t="shared" si="3"/>
        <v>2.5179856115107913</v>
      </c>
      <c r="I11" s="689"/>
      <c r="J11" s="689"/>
      <c r="K11" s="1159"/>
      <c r="L11" s="703">
        <f t="shared" ref="L11:L39" si="5">B11</f>
        <v>46237</v>
      </c>
      <c r="M11" s="470"/>
      <c r="N11" s="700"/>
      <c r="O11" s="293"/>
      <c r="P11" s="339"/>
      <c r="Q11" s="470"/>
      <c r="R11" s="293"/>
      <c r="S11" s="470"/>
      <c r="T11" s="293"/>
    </row>
    <row r="12" spans="1:21" s="482" customFormat="1" ht="11.25" customHeight="1">
      <c r="A12" s="479">
        <v>4</v>
      </c>
      <c r="B12" s="488">
        <f>'FRIT HGE91-FHG'!B12</f>
        <v>46238</v>
      </c>
      <c r="C12" s="331" t="s">
        <v>334</v>
      </c>
      <c r="D12" s="334">
        <f t="shared" si="0"/>
        <v>0</v>
      </c>
      <c r="E12" s="695">
        <f t="shared" si="1"/>
        <v>0</v>
      </c>
      <c r="F12" s="557">
        <f t="shared" si="4"/>
        <v>726.85185185185185</v>
      </c>
      <c r="G12" s="558">
        <f t="shared" si="2"/>
        <v>1750</v>
      </c>
      <c r="H12" s="560">
        <f t="shared" si="3"/>
        <v>2.5179856115107913</v>
      </c>
      <c r="I12" s="689"/>
      <c r="J12" s="689"/>
      <c r="K12" s="1159"/>
      <c r="L12" s="703">
        <f t="shared" si="5"/>
        <v>46238</v>
      </c>
      <c r="M12" s="470"/>
      <c r="N12" s="700"/>
      <c r="O12" s="293"/>
      <c r="P12" s="339"/>
      <c r="Q12" s="470"/>
      <c r="R12" s="293"/>
      <c r="S12" s="470"/>
      <c r="T12" s="293"/>
      <c r="U12" s="481"/>
    </row>
    <row r="13" spans="1:21" s="482" customFormat="1" ht="11.25" customHeight="1">
      <c r="A13" s="483">
        <v>5</v>
      </c>
      <c r="B13" s="488">
        <f>'FRIT HGE91-FHG'!B13</f>
        <v>46239</v>
      </c>
      <c r="C13" s="331" t="s">
        <v>349</v>
      </c>
      <c r="D13" s="334">
        <f t="shared" si="0"/>
        <v>2250</v>
      </c>
      <c r="E13" s="695">
        <f t="shared" si="1"/>
        <v>0</v>
      </c>
      <c r="F13" s="557">
        <f t="shared" si="4"/>
        <v>726.85185185185185</v>
      </c>
      <c r="G13" s="561">
        <f t="shared" si="2"/>
        <v>4000</v>
      </c>
      <c r="H13" s="560">
        <f t="shared" si="3"/>
        <v>5.7553956834532372</v>
      </c>
      <c r="I13" s="689"/>
      <c r="J13" s="689"/>
      <c r="K13" s="1159"/>
      <c r="L13" s="703">
        <f t="shared" si="5"/>
        <v>46239</v>
      </c>
      <c r="M13" s="470">
        <v>2250</v>
      </c>
      <c r="N13" s="700"/>
      <c r="O13" s="293"/>
      <c r="P13" s="339"/>
      <c r="Q13" s="470"/>
      <c r="R13" s="293"/>
      <c r="S13" s="470"/>
      <c r="T13" s="293"/>
      <c r="U13" s="481"/>
    </row>
    <row r="14" spans="1:21" s="482" customFormat="1" ht="11.25" customHeight="1">
      <c r="A14" s="479">
        <v>6</v>
      </c>
      <c r="B14" s="488">
        <f>'FRIT HGE91-FHG'!B14</f>
        <v>46240</v>
      </c>
      <c r="C14" s="331" t="s">
        <v>334</v>
      </c>
      <c r="D14" s="334">
        <f t="shared" si="0"/>
        <v>0</v>
      </c>
      <c r="E14" s="695">
        <f t="shared" si="1"/>
        <v>0</v>
      </c>
      <c r="F14" s="557">
        <f t="shared" si="4"/>
        <v>726.85185185185185</v>
      </c>
      <c r="G14" s="558">
        <f t="shared" si="2"/>
        <v>4000</v>
      </c>
      <c r="H14" s="560">
        <f t="shared" si="3"/>
        <v>5.7553956834532372</v>
      </c>
      <c r="I14" s="689"/>
      <c r="J14" s="689"/>
      <c r="K14" s="1159"/>
      <c r="L14" s="703">
        <f t="shared" si="5"/>
        <v>46240</v>
      </c>
      <c r="M14" s="470"/>
      <c r="N14" s="700"/>
      <c r="O14" s="293"/>
      <c r="P14" s="339"/>
      <c r="Q14" s="470"/>
      <c r="R14" s="293"/>
      <c r="S14" s="470"/>
      <c r="T14" s="293"/>
      <c r="U14" s="481"/>
    </row>
    <row r="15" spans="1:21" s="482" customFormat="1" ht="11.25" customHeight="1">
      <c r="A15" s="479">
        <v>7</v>
      </c>
      <c r="B15" s="488">
        <f>'FRIT HGE91-FHG'!B15</f>
        <v>46241</v>
      </c>
      <c r="C15" s="331" t="s">
        <v>349</v>
      </c>
      <c r="D15" s="334">
        <f t="shared" si="0"/>
        <v>0</v>
      </c>
      <c r="E15" s="695">
        <f t="shared" si="1"/>
        <v>0</v>
      </c>
      <c r="F15" s="557">
        <f t="shared" si="4"/>
        <v>726.85185185185185</v>
      </c>
      <c r="G15" s="558">
        <f t="shared" si="2"/>
        <v>4000</v>
      </c>
      <c r="H15" s="560">
        <f t="shared" si="3"/>
        <v>5.7553956834532372</v>
      </c>
      <c r="I15" s="689"/>
      <c r="J15" s="689"/>
      <c r="K15" s="1159"/>
      <c r="L15" s="703">
        <f t="shared" si="5"/>
        <v>46241</v>
      </c>
      <c r="M15" s="470"/>
      <c r="N15" s="700"/>
      <c r="O15" s="293"/>
      <c r="P15" s="339"/>
      <c r="Q15" s="470"/>
      <c r="R15" s="293"/>
      <c r="S15" s="470"/>
      <c r="T15" s="293"/>
      <c r="U15" s="481"/>
    </row>
    <row r="16" spans="1:21" s="482" customFormat="1" ht="11.25" customHeight="1">
      <c r="A16" s="479">
        <v>8</v>
      </c>
      <c r="B16" s="488">
        <f>'FRIT HGE91-FHG'!B16</f>
        <v>46242</v>
      </c>
      <c r="C16" s="331" t="s">
        <v>334</v>
      </c>
      <c r="D16" s="334">
        <f t="shared" si="0"/>
        <v>450</v>
      </c>
      <c r="E16" s="695">
        <f t="shared" si="1"/>
        <v>0</v>
      </c>
      <c r="F16" s="557">
        <f t="shared" si="4"/>
        <v>726.85185185185185</v>
      </c>
      <c r="G16" s="558">
        <f t="shared" si="2"/>
        <v>4450</v>
      </c>
      <c r="H16" s="560">
        <f t="shared" si="3"/>
        <v>6.4028776978417268</v>
      </c>
      <c r="I16" s="689"/>
      <c r="J16" s="689"/>
      <c r="K16" s="1159"/>
      <c r="L16" s="703">
        <f t="shared" si="5"/>
        <v>46242</v>
      </c>
      <c r="M16" s="470">
        <v>450</v>
      </c>
      <c r="N16" s="700"/>
      <c r="O16" s="293"/>
      <c r="P16" s="339"/>
      <c r="Q16" s="470"/>
      <c r="R16" s="293"/>
      <c r="S16" s="470"/>
      <c r="T16" s="293"/>
      <c r="U16" s="481"/>
    </row>
    <row r="17" spans="1:21" s="482" customFormat="1" ht="11.25" customHeight="1">
      <c r="A17" s="479">
        <v>9</v>
      </c>
      <c r="B17" s="488">
        <f>'FRIT HGE91-FHG'!B17</f>
        <v>46243</v>
      </c>
      <c r="C17" s="331" t="s">
        <v>334</v>
      </c>
      <c r="D17" s="334">
        <f t="shared" si="0"/>
        <v>0</v>
      </c>
      <c r="E17" s="695">
        <f t="shared" si="1"/>
        <v>0</v>
      </c>
      <c r="F17" s="557">
        <f t="shared" si="4"/>
        <v>726.85185185185185</v>
      </c>
      <c r="G17" s="558">
        <f t="shared" si="2"/>
        <v>4450</v>
      </c>
      <c r="H17" s="560">
        <f t="shared" si="3"/>
        <v>6.4028776978417268</v>
      </c>
      <c r="I17" s="689"/>
      <c r="J17" s="689"/>
      <c r="K17" s="1159"/>
      <c r="L17" s="703">
        <f t="shared" si="5"/>
        <v>46243</v>
      </c>
      <c r="M17" s="470"/>
      <c r="N17" s="700"/>
      <c r="O17" s="293"/>
      <c r="P17" s="339"/>
      <c r="Q17" s="470"/>
      <c r="R17" s="293"/>
      <c r="S17" s="470"/>
      <c r="T17" s="293"/>
      <c r="U17" s="481"/>
    </row>
    <row r="18" spans="1:21" s="482" customFormat="1" ht="11.25" customHeight="1">
      <c r="A18" s="483">
        <v>10</v>
      </c>
      <c r="B18" s="488">
        <f>'FRIT HGE91-FHG'!B18</f>
        <v>46244</v>
      </c>
      <c r="C18" s="331" t="s">
        <v>334</v>
      </c>
      <c r="D18" s="334">
        <f t="shared" si="0"/>
        <v>0</v>
      </c>
      <c r="E18" s="695">
        <f t="shared" si="1"/>
        <v>0</v>
      </c>
      <c r="F18" s="557">
        <f t="shared" si="4"/>
        <v>726.85185185185185</v>
      </c>
      <c r="G18" s="561">
        <f t="shared" si="2"/>
        <v>4450</v>
      </c>
      <c r="H18" s="560">
        <f t="shared" si="3"/>
        <v>6.4028776978417268</v>
      </c>
      <c r="I18" s="689"/>
      <c r="J18" s="689"/>
      <c r="K18" s="1159"/>
      <c r="L18" s="703">
        <f t="shared" si="5"/>
        <v>46244</v>
      </c>
      <c r="M18" s="470"/>
      <c r="N18" s="700"/>
      <c r="O18" s="293"/>
      <c r="P18" s="339"/>
      <c r="Q18" s="470"/>
      <c r="R18" s="293"/>
      <c r="S18" s="470"/>
      <c r="T18" s="293"/>
      <c r="U18" s="481"/>
    </row>
    <row r="19" spans="1:21" s="482" customFormat="1" ht="11.25" customHeight="1">
      <c r="A19" s="479">
        <v>11</v>
      </c>
      <c r="B19" s="488">
        <f>'FRIT HGE91-FHG'!B19</f>
        <v>46245</v>
      </c>
      <c r="C19" s="331" t="s">
        <v>349</v>
      </c>
      <c r="D19" s="334">
        <f t="shared" si="0"/>
        <v>0</v>
      </c>
      <c r="E19" s="695">
        <f t="shared" si="1"/>
        <v>0</v>
      </c>
      <c r="F19" s="557">
        <f t="shared" si="4"/>
        <v>726.85185185185185</v>
      </c>
      <c r="G19" s="558">
        <f t="shared" si="2"/>
        <v>4450</v>
      </c>
      <c r="H19" s="560">
        <f t="shared" si="3"/>
        <v>6.4028776978417268</v>
      </c>
      <c r="I19" s="689"/>
      <c r="J19" s="689"/>
      <c r="K19" s="1159"/>
      <c r="L19" s="703">
        <f t="shared" si="5"/>
        <v>46245</v>
      </c>
      <c r="M19" s="470"/>
      <c r="N19" s="700"/>
      <c r="O19" s="293"/>
      <c r="P19" s="339"/>
      <c r="Q19" s="470"/>
      <c r="R19" s="293"/>
      <c r="S19" s="470"/>
      <c r="T19" s="293"/>
      <c r="U19" s="481"/>
    </row>
    <row r="20" spans="1:21" s="482" customFormat="1" ht="11.25" customHeight="1">
      <c r="A20" s="479">
        <v>12</v>
      </c>
      <c r="B20" s="488">
        <f>'FRIT HGE91-FHG'!B20</f>
        <v>46246</v>
      </c>
      <c r="C20" s="331" t="s">
        <v>285</v>
      </c>
      <c r="D20" s="334">
        <f t="shared" si="0"/>
        <v>1200</v>
      </c>
      <c r="E20" s="695">
        <f t="shared" si="1"/>
        <v>0</v>
      </c>
      <c r="F20" s="557">
        <f t="shared" si="4"/>
        <v>726.85185185185185</v>
      </c>
      <c r="G20" s="558">
        <f t="shared" si="2"/>
        <v>5650</v>
      </c>
      <c r="H20" s="560">
        <f t="shared" si="3"/>
        <v>8.129496402877697</v>
      </c>
      <c r="I20" s="689"/>
      <c r="J20" s="689"/>
      <c r="K20" s="1159"/>
      <c r="L20" s="703">
        <f t="shared" si="5"/>
        <v>46246</v>
      </c>
      <c r="M20" s="470"/>
      <c r="N20" s="700"/>
      <c r="O20" s="293"/>
      <c r="P20" s="339"/>
      <c r="Q20" s="470">
        <v>1200</v>
      </c>
      <c r="R20" s="293"/>
      <c r="S20" s="470"/>
      <c r="T20" s="293"/>
      <c r="U20" s="481"/>
    </row>
    <row r="21" spans="1:21" s="482" customFormat="1" ht="11.25" customHeight="1">
      <c r="A21" s="479">
        <v>13</v>
      </c>
      <c r="B21" s="488">
        <f>'FRIT HGE91-FHG'!B21</f>
        <v>46247</v>
      </c>
      <c r="C21" s="331" t="s">
        <v>285</v>
      </c>
      <c r="D21" s="334">
        <f t="shared" si="0"/>
        <v>0</v>
      </c>
      <c r="E21" s="695">
        <f t="shared" si="1"/>
        <v>1200</v>
      </c>
      <c r="F21" s="557">
        <f t="shared" si="4"/>
        <v>726.85185185185185</v>
      </c>
      <c r="G21" s="558">
        <f t="shared" si="2"/>
        <v>4450</v>
      </c>
      <c r="H21" s="560">
        <f t="shared" si="3"/>
        <v>6.4028776978417268</v>
      </c>
      <c r="I21" s="689"/>
      <c r="J21" s="689">
        <v>1200</v>
      </c>
      <c r="K21" s="1159"/>
      <c r="L21" s="703">
        <f t="shared" si="5"/>
        <v>46247</v>
      </c>
      <c r="M21" s="470"/>
      <c r="N21" s="700"/>
      <c r="O21" s="293"/>
      <c r="P21" s="339"/>
      <c r="Q21" s="470"/>
      <c r="R21" s="293"/>
      <c r="S21" s="470"/>
      <c r="T21" s="293"/>
      <c r="U21" s="481"/>
    </row>
    <row r="22" spans="1:21" s="482" customFormat="1" ht="11.25" customHeight="1">
      <c r="A22" s="479">
        <v>14</v>
      </c>
      <c r="B22" s="488">
        <f>'FRIT HGE91-FHG'!B22</f>
        <v>46248</v>
      </c>
      <c r="C22" s="331" t="s">
        <v>285</v>
      </c>
      <c r="D22" s="334">
        <f t="shared" si="0"/>
        <v>0</v>
      </c>
      <c r="E22" s="695">
        <f t="shared" si="1"/>
        <v>800</v>
      </c>
      <c r="F22" s="557">
        <f t="shared" si="4"/>
        <v>726.85185185185185</v>
      </c>
      <c r="G22" s="558">
        <f t="shared" si="2"/>
        <v>3650</v>
      </c>
      <c r="H22" s="560">
        <f t="shared" si="3"/>
        <v>5.2517985611510793</v>
      </c>
      <c r="I22" s="689"/>
      <c r="J22" s="689">
        <v>800</v>
      </c>
      <c r="K22" s="1159"/>
      <c r="L22" s="703">
        <f t="shared" si="5"/>
        <v>46248</v>
      </c>
      <c r="M22" s="470"/>
      <c r="N22" s="700"/>
      <c r="O22" s="293"/>
      <c r="P22" s="339"/>
      <c r="Q22" s="470"/>
      <c r="R22" s="293"/>
      <c r="S22" s="470"/>
      <c r="T22" s="293"/>
      <c r="U22" s="481"/>
    </row>
    <row r="23" spans="1:21" s="482" customFormat="1" ht="11.25" customHeight="1">
      <c r="A23" s="483">
        <v>15</v>
      </c>
      <c r="B23" s="488">
        <f>'FRIT HGE91-FHG'!B23</f>
        <v>46249</v>
      </c>
      <c r="C23" s="331" t="s">
        <v>285</v>
      </c>
      <c r="D23" s="334">
        <f t="shared" si="0"/>
        <v>1680</v>
      </c>
      <c r="E23" s="695">
        <f t="shared" si="1"/>
        <v>1600</v>
      </c>
      <c r="F23" s="557">
        <f t="shared" si="4"/>
        <v>726.85185185185185</v>
      </c>
      <c r="G23" s="561">
        <f t="shared" si="2"/>
        <v>3730</v>
      </c>
      <c r="H23" s="560">
        <f t="shared" si="3"/>
        <v>5.3669064748201443</v>
      </c>
      <c r="I23" s="689"/>
      <c r="J23" s="689">
        <v>1600</v>
      </c>
      <c r="K23" s="1159"/>
      <c r="L23" s="703">
        <f t="shared" si="5"/>
        <v>46249</v>
      </c>
      <c r="M23" s="470"/>
      <c r="N23" s="700"/>
      <c r="O23" s="293"/>
      <c r="P23" s="339"/>
      <c r="Q23" s="470"/>
      <c r="R23" s="293"/>
      <c r="S23" s="470">
        <f>400+1280</f>
        <v>1680</v>
      </c>
      <c r="T23" s="293"/>
      <c r="U23" s="481"/>
    </row>
    <row r="24" spans="1:21" s="482" customFormat="1" ht="11.25" customHeight="1">
      <c r="A24" s="479">
        <v>16</v>
      </c>
      <c r="B24" s="488">
        <f>'FRIT HGE91-FHG'!B24</f>
        <v>46250</v>
      </c>
      <c r="C24" s="331" t="s">
        <v>285</v>
      </c>
      <c r="D24" s="334">
        <f t="shared" si="0"/>
        <v>0</v>
      </c>
      <c r="E24" s="695">
        <f t="shared" si="1"/>
        <v>0</v>
      </c>
      <c r="F24" s="557">
        <f t="shared" si="4"/>
        <v>726.85185185185185</v>
      </c>
      <c r="G24" s="558">
        <f t="shared" si="2"/>
        <v>3730</v>
      </c>
      <c r="H24" s="560">
        <f t="shared" si="3"/>
        <v>5.3669064748201443</v>
      </c>
      <c r="I24" s="689"/>
      <c r="J24" s="689"/>
      <c r="K24" s="1159"/>
      <c r="L24" s="703">
        <f t="shared" si="5"/>
        <v>46250</v>
      </c>
      <c r="M24" s="470"/>
      <c r="N24" s="700"/>
      <c r="O24" s="293"/>
      <c r="P24" s="339"/>
      <c r="Q24" s="470"/>
      <c r="R24" s="293"/>
      <c r="S24" s="470"/>
      <c r="T24" s="293"/>
      <c r="U24" s="481"/>
    </row>
    <row r="25" spans="1:21" s="482" customFormat="1" ht="11.25" customHeight="1">
      <c r="A25" s="479">
        <v>17</v>
      </c>
      <c r="B25" s="488">
        <f>'FRIT HGE91-FHG'!B25</f>
        <v>46251</v>
      </c>
      <c r="C25" s="331" t="s">
        <v>285</v>
      </c>
      <c r="D25" s="334">
        <f t="shared" si="0"/>
        <v>400</v>
      </c>
      <c r="E25" s="695">
        <f t="shared" si="1"/>
        <v>800</v>
      </c>
      <c r="F25" s="557">
        <f t="shared" si="4"/>
        <v>726.85185185185185</v>
      </c>
      <c r="G25" s="558">
        <f t="shared" si="2"/>
        <v>3330</v>
      </c>
      <c r="H25" s="560">
        <f t="shared" si="3"/>
        <v>4.7913669064748206</v>
      </c>
      <c r="I25" s="689"/>
      <c r="J25" s="689">
        <v>800</v>
      </c>
      <c r="K25" s="1159"/>
      <c r="L25" s="703">
        <f t="shared" si="5"/>
        <v>46251</v>
      </c>
      <c r="M25" s="470"/>
      <c r="N25" s="700"/>
      <c r="O25" s="293"/>
      <c r="P25" s="339"/>
      <c r="Q25" s="470"/>
      <c r="R25" s="293"/>
      <c r="S25" s="470">
        <v>400</v>
      </c>
      <c r="T25" s="293"/>
      <c r="U25" s="481"/>
    </row>
    <row r="26" spans="1:21" s="482" customFormat="1" ht="11.25" customHeight="1">
      <c r="A26" s="479">
        <v>18</v>
      </c>
      <c r="B26" s="488">
        <f>'FRIT HGE91-FHG'!B26</f>
        <v>46252</v>
      </c>
      <c r="C26" s="331" t="s">
        <v>285</v>
      </c>
      <c r="D26" s="334">
        <f t="shared" si="0"/>
        <v>900</v>
      </c>
      <c r="E26" s="695">
        <f t="shared" si="1"/>
        <v>800</v>
      </c>
      <c r="F26" s="557">
        <f t="shared" si="4"/>
        <v>726.85185185185185</v>
      </c>
      <c r="G26" s="558">
        <f t="shared" si="2"/>
        <v>3430</v>
      </c>
      <c r="H26" s="560">
        <f t="shared" si="3"/>
        <v>4.9352517985611515</v>
      </c>
      <c r="I26" s="689"/>
      <c r="J26" s="689">
        <v>800</v>
      </c>
      <c r="K26" s="1159"/>
      <c r="L26" s="703">
        <f t="shared" si="5"/>
        <v>46252</v>
      </c>
      <c r="M26" s="470">
        <v>900</v>
      </c>
      <c r="N26" s="700"/>
      <c r="O26" s="293"/>
      <c r="P26" s="339"/>
      <c r="Q26" s="470"/>
      <c r="R26" s="293"/>
      <c r="S26" s="470"/>
      <c r="T26" s="293"/>
      <c r="U26" s="481"/>
    </row>
    <row r="27" spans="1:21" s="482" customFormat="1" ht="11.25" customHeight="1">
      <c r="A27" s="479">
        <v>19</v>
      </c>
      <c r="B27" s="488">
        <f>'FRIT HGE91-FHG'!B27</f>
        <v>46253</v>
      </c>
      <c r="C27" s="331" t="s">
        <v>285</v>
      </c>
      <c r="D27" s="334">
        <f t="shared" si="0"/>
        <v>0</v>
      </c>
      <c r="E27" s="695">
        <f t="shared" si="1"/>
        <v>0</v>
      </c>
      <c r="F27" s="557">
        <f t="shared" si="4"/>
        <v>726.85185185185185</v>
      </c>
      <c r="G27" s="558">
        <f t="shared" si="2"/>
        <v>3430</v>
      </c>
      <c r="H27" s="560">
        <f t="shared" si="3"/>
        <v>4.9352517985611515</v>
      </c>
      <c r="I27" s="689"/>
      <c r="J27" s="689"/>
      <c r="K27" s="1159"/>
      <c r="L27" s="703">
        <f t="shared" si="5"/>
        <v>46253</v>
      </c>
      <c r="M27" s="470"/>
      <c r="N27" s="700"/>
      <c r="O27" s="293"/>
      <c r="P27" s="339"/>
      <c r="Q27" s="470"/>
      <c r="R27" s="293"/>
      <c r="S27" s="470"/>
      <c r="T27" s="293"/>
      <c r="U27" s="481"/>
    </row>
    <row r="28" spans="1:21" s="482" customFormat="1" ht="11.25" customHeight="1">
      <c r="A28" s="483">
        <v>20</v>
      </c>
      <c r="B28" s="488">
        <f>'FRIT HGE91-FHG'!B28</f>
        <v>46254</v>
      </c>
      <c r="C28" s="331" t="s">
        <v>285</v>
      </c>
      <c r="D28" s="334">
        <f t="shared" si="0"/>
        <v>0</v>
      </c>
      <c r="E28" s="695">
        <f t="shared" si="1"/>
        <v>0</v>
      </c>
      <c r="F28" s="557">
        <f t="shared" si="4"/>
        <v>726.85185185185185</v>
      </c>
      <c r="G28" s="561">
        <f t="shared" si="2"/>
        <v>3430</v>
      </c>
      <c r="H28" s="560">
        <f t="shared" si="3"/>
        <v>4.9352517985611515</v>
      </c>
      <c r="I28" s="689"/>
      <c r="J28" s="689"/>
      <c r="K28" s="1159"/>
      <c r="L28" s="703">
        <f t="shared" si="5"/>
        <v>46254</v>
      </c>
      <c r="M28" s="470"/>
      <c r="N28" s="700"/>
      <c r="O28" s="293"/>
      <c r="P28" s="339"/>
      <c r="Q28" s="470"/>
      <c r="R28" s="293"/>
      <c r="S28" s="470"/>
      <c r="T28" s="293"/>
      <c r="U28" s="481"/>
    </row>
    <row r="29" spans="1:21" s="482" customFormat="1" ht="11.25" customHeight="1">
      <c r="A29" s="479">
        <v>21</v>
      </c>
      <c r="B29" s="488">
        <f>'FRIT HGE91-FHG'!B29</f>
        <v>46255</v>
      </c>
      <c r="C29" s="331" t="s">
        <v>285</v>
      </c>
      <c r="D29" s="334">
        <f t="shared" si="0"/>
        <v>0</v>
      </c>
      <c r="E29" s="695">
        <f t="shared" si="1"/>
        <v>0</v>
      </c>
      <c r="F29" s="557">
        <f t="shared" si="4"/>
        <v>726.85185185185185</v>
      </c>
      <c r="G29" s="558">
        <f t="shared" si="2"/>
        <v>3430</v>
      </c>
      <c r="H29" s="560">
        <f t="shared" si="3"/>
        <v>4.9352517985611515</v>
      </c>
      <c r="I29" s="689"/>
      <c r="J29" s="689"/>
      <c r="K29" s="1159"/>
      <c r="L29" s="703">
        <f t="shared" si="5"/>
        <v>46255</v>
      </c>
      <c r="M29" s="470"/>
      <c r="N29" s="700"/>
      <c r="O29" s="293"/>
      <c r="P29" s="339"/>
      <c r="Q29" s="470"/>
      <c r="R29" s="293"/>
      <c r="S29" s="470"/>
      <c r="T29" s="293"/>
      <c r="U29" s="481"/>
    </row>
    <row r="30" spans="1:21" s="482" customFormat="1" ht="11.25" customHeight="1">
      <c r="A30" s="479">
        <v>22</v>
      </c>
      <c r="B30" s="488">
        <f>'FRIT HGE91-FHG'!B30</f>
        <v>46256</v>
      </c>
      <c r="C30" s="331" t="s">
        <v>285</v>
      </c>
      <c r="D30" s="334">
        <f t="shared" si="0"/>
        <v>0</v>
      </c>
      <c r="E30" s="695">
        <f t="shared" si="1"/>
        <v>0</v>
      </c>
      <c r="F30" s="557">
        <f t="shared" si="4"/>
        <v>726.85185185185185</v>
      </c>
      <c r="G30" s="558">
        <f t="shared" si="2"/>
        <v>3430</v>
      </c>
      <c r="H30" s="560">
        <f t="shared" si="3"/>
        <v>4.9352517985611515</v>
      </c>
      <c r="I30" s="689"/>
      <c r="J30" s="689"/>
      <c r="K30" s="1159"/>
      <c r="L30" s="703">
        <f t="shared" si="5"/>
        <v>46256</v>
      </c>
      <c r="M30" s="470"/>
      <c r="N30" s="700"/>
      <c r="O30" s="293"/>
      <c r="P30" s="339"/>
      <c r="Q30" s="470"/>
      <c r="R30" s="293"/>
      <c r="S30" s="470"/>
      <c r="T30" s="293"/>
      <c r="U30" s="481"/>
    </row>
    <row r="31" spans="1:21" s="482" customFormat="1" ht="11.25" customHeight="1">
      <c r="A31" s="479">
        <v>23</v>
      </c>
      <c r="B31" s="488">
        <f>'FRIT HGE91-FHG'!B31</f>
        <v>46257</v>
      </c>
      <c r="C31" s="331" t="s">
        <v>285</v>
      </c>
      <c r="D31" s="334">
        <f t="shared" si="0"/>
        <v>0</v>
      </c>
      <c r="E31" s="695">
        <f t="shared" si="1"/>
        <v>0</v>
      </c>
      <c r="F31" s="557">
        <f t="shared" si="4"/>
        <v>726.85185185185185</v>
      </c>
      <c r="G31" s="558">
        <f t="shared" si="2"/>
        <v>3430</v>
      </c>
      <c r="H31" s="560">
        <f t="shared" si="3"/>
        <v>4.9352517985611515</v>
      </c>
      <c r="I31" s="689"/>
      <c r="J31" s="689"/>
      <c r="K31" s="1159"/>
      <c r="L31" s="703">
        <f t="shared" si="5"/>
        <v>46257</v>
      </c>
      <c r="M31" s="470"/>
      <c r="N31" s="700"/>
      <c r="O31" s="293"/>
      <c r="P31" s="339"/>
      <c r="Q31" s="470"/>
      <c r="R31" s="293"/>
      <c r="S31" s="470"/>
      <c r="T31" s="293"/>
      <c r="U31" s="481"/>
    </row>
    <row r="32" spans="1:21" s="482" customFormat="1" ht="11.25" customHeight="1">
      <c r="A32" s="479">
        <v>24</v>
      </c>
      <c r="B32" s="488">
        <f>'FRIT HGE91-FHG'!B32</f>
        <v>46258</v>
      </c>
      <c r="C32" s="331" t="s">
        <v>285</v>
      </c>
      <c r="D32" s="334">
        <f t="shared" si="0"/>
        <v>0</v>
      </c>
      <c r="E32" s="695">
        <f t="shared" si="1"/>
        <v>0</v>
      </c>
      <c r="F32" s="557">
        <f t="shared" si="4"/>
        <v>726.85185185185185</v>
      </c>
      <c r="G32" s="558">
        <f t="shared" si="2"/>
        <v>3430</v>
      </c>
      <c r="H32" s="560">
        <f t="shared" si="3"/>
        <v>4.9352517985611515</v>
      </c>
      <c r="I32" s="689"/>
      <c r="J32" s="689"/>
      <c r="K32" s="1159"/>
      <c r="L32" s="703">
        <f t="shared" si="5"/>
        <v>46258</v>
      </c>
      <c r="M32" s="470"/>
      <c r="N32" s="700"/>
      <c r="O32" s="293"/>
      <c r="P32" s="339"/>
      <c r="Q32" s="470"/>
      <c r="R32" s="293"/>
      <c r="S32" s="470"/>
      <c r="T32" s="293"/>
      <c r="U32" s="481"/>
    </row>
    <row r="33" spans="1:21" s="482" customFormat="1" ht="11.25" customHeight="1">
      <c r="A33" s="484">
        <v>25</v>
      </c>
      <c r="B33" s="488">
        <f>'FRIT HGE91-FHG'!B33</f>
        <v>46259</v>
      </c>
      <c r="C33" s="331" t="s">
        <v>285</v>
      </c>
      <c r="D33" s="334">
        <f t="shared" si="0"/>
        <v>0</v>
      </c>
      <c r="E33" s="695">
        <f t="shared" si="1"/>
        <v>0</v>
      </c>
      <c r="F33" s="557">
        <f t="shared" si="4"/>
        <v>726.85185185185185</v>
      </c>
      <c r="G33" s="562">
        <f t="shared" si="2"/>
        <v>3430</v>
      </c>
      <c r="H33" s="560">
        <f t="shared" si="3"/>
        <v>4.9352517985611515</v>
      </c>
      <c r="I33" s="689"/>
      <c r="J33" s="689"/>
      <c r="K33" s="1159"/>
      <c r="L33" s="703">
        <f t="shared" si="5"/>
        <v>46259</v>
      </c>
      <c r="M33" s="470"/>
      <c r="N33" s="700"/>
      <c r="O33" s="293"/>
      <c r="P33" s="339"/>
      <c r="Q33" s="470"/>
      <c r="R33" s="293"/>
      <c r="S33" s="470"/>
      <c r="T33" s="293"/>
      <c r="U33" s="481"/>
    </row>
    <row r="34" spans="1:21" s="482" customFormat="1" ht="11.25" customHeight="1">
      <c r="A34" s="479">
        <v>26</v>
      </c>
      <c r="B34" s="488">
        <f>'FRIT HGE91-FHG'!B34</f>
        <v>46260</v>
      </c>
      <c r="C34" s="331" t="s">
        <v>285</v>
      </c>
      <c r="D34" s="334">
        <f t="shared" si="0"/>
        <v>0</v>
      </c>
      <c r="E34" s="695">
        <f t="shared" si="1"/>
        <v>0</v>
      </c>
      <c r="F34" s="557">
        <f t="shared" si="4"/>
        <v>726.85185185185185</v>
      </c>
      <c r="G34" s="558">
        <f t="shared" si="2"/>
        <v>3430</v>
      </c>
      <c r="H34" s="560">
        <f t="shared" si="3"/>
        <v>4.9352517985611515</v>
      </c>
      <c r="I34" s="689"/>
      <c r="J34" s="689"/>
      <c r="K34" s="1159"/>
      <c r="L34" s="703">
        <f t="shared" si="5"/>
        <v>46260</v>
      </c>
      <c r="M34" s="470"/>
      <c r="N34" s="700"/>
      <c r="O34" s="293"/>
      <c r="P34" s="339"/>
      <c r="Q34" s="470"/>
      <c r="R34" s="293"/>
      <c r="S34" s="470"/>
      <c r="T34" s="293"/>
      <c r="U34" s="481"/>
    </row>
    <row r="35" spans="1:21" s="482" customFormat="1" ht="11.25" customHeight="1">
      <c r="A35" s="479">
        <v>27</v>
      </c>
      <c r="B35" s="488">
        <f>'FRIT HGE91-FHG'!B35</f>
        <v>46261</v>
      </c>
      <c r="C35" s="331" t="s">
        <v>285</v>
      </c>
      <c r="D35" s="334">
        <f t="shared" si="0"/>
        <v>0</v>
      </c>
      <c r="E35" s="695">
        <f t="shared" si="1"/>
        <v>0</v>
      </c>
      <c r="F35" s="557">
        <f t="shared" si="4"/>
        <v>726.85185185185185</v>
      </c>
      <c r="G35" s="558">
        <f t="shared" si="2"/>
        <v>3430</v>
      </c>
      <c r="H35" s="560">
        <f t="shared" si="3"/>
        <v>4.9352517985611515</v>
      </c>
      <c r="I35" s="689"/>
      <c r="J35" s="689"/>
      <c r="K35" s="1159"/>
      <c r="L35" s="703">
        <f t="shared" si="5"/>
        <v>46261</v>
      </c>
      <c r="M35" s="470"/>
      <c r="N35" s="700"/>
      <c r="O35" s="293"/>
      <c r="P35" s="339"/>
      <c r="Q35" s="470"/>
      <c r="R35" s="293"/>
      <c r="S35" s="470"/>
      <c r="T35" s="293"/>
      <c r="U35" s="481"/>
    </row>
    <row r="36" spans="1:21" s="482" customFormat="1" ht="11.25" customHeight="1">
      <c r="A36" s="479">
        <v>28</v>
      </c>
      <c r="B36" s="488">
        <f>'FRIT HGE91-FHG'!B36</f>
        <v>46262</v>
      </c>
      <c r="C36" s="331" t="s">
        <v>285</v>
      </c>
      <c r="D36" s="334">
        <f t="shared" si="0"/>
        <v>0</v>
      </c>
      <c r="E36" s="695">
        <f t="shared" si="1"/>
        <v>0</v>
      </c>
      <c r="F36" s="557">
        <f t="shared" si="4"/>
        <v>726.85185185185185</v>
      </c>
      <c r="G36" s="558">
        <f t="shared" si="2"/>
        <v>3430</v>
      </c>
      <c r="H36" s="560">
        <f t="shared" si="3"/>
        <v>4.9352517985611515</v>
      </c>
      <c r="I36" s="689"/>
      <c r="J36" s="689"/>
      <c r="K36" s="1159"/>
      <c r="L36" s="703">
        <f t="shared" si="5"/>
        <v>46262</v>
      </c>
      <c r="M36" s="470"/>
      <c r="N36" s="700"/>
      <c r="O36" s="293"/>
      <c r="P36" s="339"/>
      <c r="Q36" s="470"/>
      <c r="R36" s="293"/>
      <c r="S36" s="470"/>
      <c r="T36" s="293"/>
      <c r="U36" s="481"/>
    </row>
    <row r="37" spans="1:21" s="482" customFormat="1" ht="11.25" customHeight="1">
      <c r="A37" s="479">
        <v>29</v>
      </c>
      <c r="B37" s="488">
        <f>'FRIT HGE91-FHG'!B37</f>
        <v>46263</v>
      </c>
      <c r="C37" s="331" t="s">
        <v>285</v>
      </c>
      <c r="D37" s="334">
        <f t="shared" si="0"/>
        <v>0</v>
      </c>
      <c r="E37" s="695">
        <f t="shared" si="1"/>
        <v>0</v>
      </c>
      <c r="F37" s="557">
        <f t="shared" si="4"/>
        <v>726.85185185185185</v>
      </c>
      <c r="G37" s="558">
        <f t="shared" si="2"/>
        <v>3430</v>
      </c>
      <c r="H37" s="560">
        <f t="shared" si="3"/>
        <v>4.9352517985611515</v>
      </c>
      <c r="I37" s="689"/>
      <c r="J37" s="689"/>
      <c r="K37" s="1159"/>
      <c r="L37" s="703">
        <f t="shared" si="5"/>
        <v>46263</v>
      </c>
      <c r="M37" s="470"/>
      <c r="N37" s="700"/>
      <c r="O37" s="293"/>
      <c r="P37" s="339"/>
      <c r="Q37" s="470"/>
      <c r="R37" s="293"/>
      <c r="S37" s="470"/>
      <c r="T37" s="293"/>
      <c r="U37" s="481"/>
    </row>
    <row r="38" spans="1:21" s="482" customFormat="1" ht="11.25" customHeight="1">
      <c r="A38" s="483">
        <v>30</v>
      </c>
      <c r="B38" s="488">
        <f>'FRIT HGE91-FHG'!B38</f>
        <v>46264</v>
      </c>
      <c r="C38" s="331" t="s">
        <v>285</v>
      </c>
      <c r="D38" s="334">
        <f t="shared" si="0"/>
        <v>0</v>
      </c>
      <c r="E38" s="695">
        <f t="shared" si="1"/>
        <v>0</v>
      </c>
      <c r="F38" s="557">
        <f t="shared" si="4"/>
        <v>726.85185185185185</v>
      </c>
      <c r="G38" s="558">
        <f t="shared" si="2"/>
        <v>3430</v>
      </c>
      <c r="H38" s="560">
        <f t="shared" si="3"/>
        <v>4.9352517985611515</v>
      </c>
      <c r="I38" s="689"/>
      <c r="J38" s="689"/>
      <c r="K38" s="1159"/>
      <c r="L38" s="703">
        <f t="shared" si="5"/>
        <v>46264</v>
      </c>
      <c r="M38" s="470"/>
      <c r="N38" s="700"/>
      <c r="O38" s="293"/>
      <c r="P38" s="339"/>
      <c r="Q38" s="470"/>
      <c r="R38" s="293"/>
      <c r="S38" s="470"/>
      <c r="T38" s="293"/>
      <c r="U38" s="481"/>
    </row>
    <row r="39" spans="1:21" s="482" customFormat="1" ht="11.25" customHeight="1">
      <c r="A39" s="479">
        <v>31</v>
      </c>
      <c r="B39" s="488">
        <f>'FRIT HGE91-FHG'!B39</f>
        <v>46265</v>
      </c>
      <c r="C39" s="331" t="s">
        <v>285</v>
      </c>
      <c r="D39" s="334">
        <f t="shared" si="0"/>
        <v>0</v>
      </c>
      <c r="E39" s="695">
        <f t="shared" si="1"/>
        <v>0</v>
      </c>
      <c r="F39" s="557">
        <f t="shared" si="4"/>
        <v>726.85185185185185</v>
      </c>
      <c r="G39" s="558">
        <f t="shared" si="2"/>
        <v>3430</v>
      </c>
      <c r="H39" s="560">
        <f t="shared" si="3"/>
        <v>4.9352517985611515</v>
      </c>
      <c r="I39" s="689"/>
      <c r="J39" s="689"/>
      <c r="K39" s="1159"/>
      <c r="L39" s="703">
        <f t="shared" si="5"/>
        <v>46265</v>
      </c>
      <c r="M39" s="470"/>
      <c r="N39" s="700"/>
      <c r="O39" s="293"/>
      <c r="P39" s="339"/>
      <c r="Q39" s="470"/>
      <c r="R39" s="293"/>
      <c r="S39" s="470"/>
      <c r="T39" s="293"/>
      <c r="U39" s="481"/>
    </row>
    <row r="40" spans="1:21" s="486" customFormat="1" ht="11.25" customHeight="1">
      <c r="A40" s="1661" t="s">
        <v>29</v>
      </c>
      <c r="B40" s="1661"/>
      <c r="C40" s="1661"/>
      <c r="D40" s="563">
        <f>SUM(D9:D39)</f>
        <v>6880</v>
      </c>
      <c r="E40" s="487">
        <f>SUM(E9:E39)</f>
        <v>5200</v>
      </c>
      <c r="F40" s="487"/>
      <c r="G40" s="489">
        <f>G39</f>
        <v>3430</v>
      </c>
      <c r="H40" s="560">
        <f t="shared" si="3"/>
        <v>4.9352517985611515</v>
      </c>
      <c r="I40" s="689">
        <f>SUM(I9:I39)</f>
        <v>0</v>
      </c>
      <c r="J40" s="689">
        <f t="shared" ref="J40" si="6">SUM(J9:J39)</f>
        <v>5200</v>
      </c>
      <c r="K40" s="689"/>
      <c r="L40" s="471"/>
      <c r="M40" s="699">
        <f t="shared" ref="M40:P40" si="7">SUM(M9:M39)</f>
        <v>3600</v>
      </c>
      <c r="N40" s="427">
        <f t="shared" si="7"/>
        <v>0</v>
      </c>
      <c r="O40" s="427">
        <f t="shared" si="7"/>
        <v>0</v>
      </c>
      <c r="P40" s="427">
        <f t="shared" si="7"/>
        <v>0</v>
      </c>
      <c r="Q40" s="699">
        <f>SUM(Q9:Q39)</f>
        <v>1200</v>
      </c>
      <c r="R40" s="427">
        <f t="shared" ref="R40" si="8">SUM(R9:R39)</f>
        <v>0</v>
      </c>
      <c r="S40" s="699">
        <f>SUM(S9:S39)</f>
        <v>2080</v>
      </c>
      <c r="T40" s="427"/>
    </row>
    <row r="41" spans="1:21" s="486" customFormat="1" ht="11.25" customHeight="1">
      <c r="A41" s="1661" t="s">
        <v>15</v>
      </c>
      <c r="B41" s="1661"/>
      <c r="C41" s="1661"/>
      <c r="D41" s="563">
        <f>D40+D8</f>
        <v>8630</v>
      </c>
      <c r="E41" s="487">
        <f>E40</f>
        <v>5200</v>
      </c>
      <c r="F41" s="487"/>
      <c r="G41" s="487">
        <f>D41-E41</f>
        <v>3430</v>
      </c>
      <c r="H41" s="485"/>
      <c r="I41" s="689"/>
      <c r="J41" s="689"/>
      <c r="K41" s="689"/>
      <c r="L41" s="704"/>
      <c r="M41" s="300"/>
      <c r="N41" s="300"/>
      <c r="O41" s="300"/>
      <c r="P41" s="300"/>
      <c r="Q41" s="300"/>
      <c r="R41" s="300"/>
      <c r="S41" s="427"/>
      <c r="T41" s="427"/>
    </row>
    <row r="42" spans="1:21" s="324" customFormat="1" ht="12.75">
      <c r="D42" s="343"/>
      <c r="E42" s="343"/>
      <c r="F42" s="343"/>
      <c r="H42" s="343" t="s">
        <v>227</v>
      </c>
      <c r="I42" s="343"/>
      <c r="J42" s="343"/>
      <c r="K42" s="343"/>
      <c r="M42" s="343"/>
    </row>
    <row r="43" spans="1:21" s="324" customFormat="1" ht="12.75">
      <c r="D43" s="343"/>
      <c r="E43" s="343"/>
      <c r="F43" s="343"/>
      <c r="H43" s="343"/>
      <c r="I43" s="343"/>
      <c r="J43" s="343"/>
      <c r="K43" s="343"/>
      <c r="L43" s="324">
        <f>M40+Q40</f>
        <v>4800</v>
      </c>
      <c r="M43" s="343"/>
    </row>
    <row r="44" spans="1:21" s="324" customFormat="1" ht="12.75">
      <c r="D44" s="343"/>
      <c r="E44" s="343"/>
      <c r="F44" s="343"/>
      <c r="H44" s="343"/>
      <c r="I44" s="343"/>
      <c r="J44" s="343"/>
      <c r="K44" s="343"/>
      <c r="M44" s="343"/>
    </row>
    <row r="45" spans="1:21" s="324" customFormat="1" ht="12.75">
      <c r="D45" s="343"/>
      <c r="E45" s="343"/>
      <c r="F45" s="343"/>
      <c r="H45" s="343"/>
      <c r="I45" s="343"/>
      <c r="J45" s="343"/>
      <c r="K45" s="343"/>
      <c r="M45" s="343"/>
    </row>
    <row r="46" spans="1:21" s="324" customFormat="1" ht="12.75">
      <c r="D46" s="343"/>
      <c r="E46" s="343"/>
      <c r="F46" s="343"/>
      <c r="H46" s="343" t="s">
        <v>333</v>
      </c>
      <c r="I46" s="343"/>
      <c r="J46" s="343"/>
      <c r="K46" s="343"/>
      <c r="M46" s="343"/>
    </row>
    <row r="47" spans="1:21" s="340" customFormat="1" ht="15.75">
      <c r="D47" s="341"/>
      <c r="E47" s="341"/>
      <c r="F47" s="341"/>
      <c r="G47" s="341"/>
      <c r="H47" s="341"/>
      <c r="I47" s="341"/>
      <c r="J47" s="341"/>
      <c r="K47" s="341"/>
      <c r="L47" s="341"/>
      <c r="M47" s="342"/>
    </row>
    <row r="49" spans="15:15" s="42" customFormat="1">
      <c r="O49" s="210"/>
    </row>
  </sheetData>
  <mergeCells count="5">
    <mergeCell ref="A3:I3"/>
    <mergeCell ref="A4:B4"/>
    <mergeCell ref="A8:C8"/>
    <mergeCell ref="A40:C40"/>
    <mergeCell ref="A41:C41"/>
  </mergeCells>
  <conditionalFormatting sqref="H9:H40">
    <cfRule type="cellIs" dxfId="5657" priority="1" operator="between">
      <formula>3</formula>
      <formula>6</formula>
    </cfRule>
    <cfRule type="cellIs" dxfId="5656" priority="2" operator="lessThan">
      <formula>3</formula>
    </cfRule>
    <cfRule type="cellIs" dxfId="5655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7"/>
  <sheetViews>
    <sheetView workbookViewId="0">
      <pane ySplit="8" topLeftCell="A9" activePane="bottomLeft" state="frozen"/>
      <selection pane="bottomLeft" activeCell="D27" sqref="D27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6.5703125" style="42" customWidth="1"/>
    <col min="4" max="5" width="13.42578125" style="6" customWidth="1"/>
    <col min="6" max="6" width="15.140625" style="6" customWidth="1"/>
    <col min="7" max="7" width="13.42578125" style="6" customWidth="1"/>
    <col min="8" max="8" width="18.28515625" style="42" customWidth="1"/>
    <col min="9" max="9" width="10.42578125" style="42" customWidth="1"/>
    <col min="10" max="11" width="10.28515625" style="42" customWidth="1"/>
    <col min="12" max="12" width="6.42578125" style="143" customWidth="1"/>
    <col min="13" max="14" width="7.5703125" style="42" customWidth="1"/>
    <col min="15" max="16384" width="9.28515625" style="42"/>
  </cols>
  <sheetData>
    <row r="1" spans="1:25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K2" s="324"/>
      <c r="L2" s="323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s="143" customFormat="1" ht="18.75" customHeight="1">
      <c r="A3" s="1543" t="s">
        <v>0</v>
      </c>
      <c r="B3" s="1543"/>
      <c r="C3" s="1543"/>
      <c r="D3" s="1543"/>
      <c r="E3" s="1543"/>
      <c r="F3" s="1543"/>
      <c r="G3" s="1543"/>
      <c r="H3" s="1543"/>
      <c r="I3" s="1543"/>
      <c r="J3" s="1543"/>
      <c r="K3" s="1160"/>
      <c r="M3" s="442"/>
      <c r="N3" s="442"/>
    </row>
    <row r="4" spans="1:25" s="382" customFormat="1" ht="15" customHeight="1">
      <c r="A4" s="564" t="s">
        <v>33</v>
      </c>
      <c r="B4" s="564"/>
      <c r="C4" s="318" t="str">
        <f>H4</f>
        <v>KE NHỰA 300 X 600 MM</v>
      </c>
      <c r="D4" s="328"/>
      <c r="E4" s="328" t="s">
        <v>228</v>
      </c>
      <c r="F4" s="328" t="s">
        <v>237</v>
      </c>
      <c r="G4" s="328" t="s">
        <v>114</v>
      </c>
      <c r="H4" s="318" t="s">
        <v>380</v>
      </c>
      <c r="L4" s="143"/>
    </row>
    <row r="5" spans="1:25" s="229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143"/>
    </row>
    <row r="6" spans="1:25" s="382" customFormat="1" ht="15" customHeight="1">
      <c r="D6" s="328"/>
      <c r="E6" s="329"/>
      <c r="F6" s="329"/>
      <c r="G6" s="328">
        <v>645.99999999999545</v>
      </c>
      <c r="H6" s="322" t="s">
        <v>292</v>
      </c>
      <c r="I6" s="578" t="s">
        <v>149</v>
      </c>
      <c r="L6" s="143"/>
      <c r="N6" s="382" t="s">
        <v>225</v>
      </c>
    </row>
    <row r="7" spans="1:25" s="305" customFormat="1" ht="28.5" customHeight="1">
      <c r="A7" s="381" t="s">
        <v>2</v>
      </c>
      <c r="B7" s="380" t="s">
        <v>1</v>
      </c>
      <c r="C7" s="380" t="s">
        <v>24</v>
      </c>
      <c r="D7" s="379" t="s">
        <v>250</v>
      </c>
      <c r="E7" s="379" t="s">
        <v>249</v>
      </c>
      <c r="F7" s="379" t="s">
        <v>265</v>
      </c>
      <c r="G7" s="379" t="s">
        <v>253</v>
      </c>
      <c r="H7" s="379" t="s">
        <v>30</v>
      </c>
      <c r="I7" s="697" t="s">
        <v>341</v>
      </c>
      <c r="J7" s="697" t="s">
        <v>244</v>
      </c>
      <c r="K7" s="697"/>
      <c r="L7" s="143"/>
    </row>
    <row r="8" spans="1:25" s="305" customFormat="1" ht="11.25" customHeight="1">
      <c r="A8" s="568" t="s">
        <v>3</v>
      </c>
      <c r="B8" s="377"/>
      <c r="C8" s="378"/>
      <c r="D8" s="475">
        <f>G8</f>
        <v>0</v>
      </c>
      <c r="E8" s="300">
        <f>E40</f>
        <v>9345</v>
      </c>
      <c r="F8" s="300"/>
      <c r="G8" s="423">
        <v>0</v>
      </c>
      <c r="H8" s="581"/>
      <c r="I8" s="689"/>
      <c r="J8" s="689"/>
      <c r="K8" s="689"/>
      <c r="L8" s="143">
        <v>599.29999999999995</v>
      </c>
    </row>
    <row r="9" spans="1:25" s="333" customFormat="1" ht="11.25" customHeight="1">
      <c r="A9" s="330">
        <v>1</v>
      </c>
      <c r="B9" s="365">
        <f>'FRIT HGE91-FHG'!B9</f>
        <v>46235</v>
      </c>
      <c r="C9" s="331" t="s">
        <v>334</v>
      </c>
      <c r="D9" s="1462"/>
      <c r="E9" s="1462">
        <f>I9+J9+K9</f>
        <v>0</v>
      </c>
      <c r="F9" s="1463">
        <f>35000/900000*15700</f>
        <v>610.55555555555554</v>
      </c>
      <c r="G9" s="1436">
        <f>G8+D9-E9</f>
        <v>0</v>
      </c>
      <c r="H9" s="400">
        <f>G9/F9</f>
        <v>0</v>
      </c>
      <c r="I9" s="689"/>
      <c r="J9" s="689"/>
      <c r="K9" s="689"/>
      <c r="L9" s="647">
        <f>G9/$L$8</f>
        <v>0</v>
      </c>
      <c r="M9" s="305"/>
      <c r="N9" s="305"/>
    </row>
    <row r="10" spans="1:25" s="333" customFormat="1" ht="11.25" customHeight="1">
      <c r="A10" s="330">
        <v>2</v>
      </c>
      <c r="B10" s="365">
        <f>'FRIT HGE91-FHG'!B10</f>
        <v>46236</v>
      </c>
      <c r="C10" s="331" t="s">
        <v>334</v>
      </c>
      <c r="D10" s="1462"/>
      <c r="E10" s="1462">
        <f t="shared" ref="E10:E39" si="0">I10+J10+K10</f>
        <v>0</v>
      </c>
      <c r="F10" s="1463">
        <f>$F$9</f>
        <v>610.55555555555554</v>
      </c>
      <c r="G10" s="1436">
        <f t="shared" ref="G10:G39" si="1">G9+D10-E10</f>
        <v>0</v>
      </c>
      <c r="H10" s="400">
        <f t="shared" ref="H10:H39" si="2">G10/F10</f>
        <v>0</v>
      </c>
      <c r="I10" s="689"/>
      <c r="J10" s="689"/>
      <c r="K10" s="689"/>
      <c r="L10" s="647">
        <f t="shared" ref="L10:L39" si="3">G10/$L$8</f>
        <v>0</v>
      </c>
      <c r="M10" s="305"/>
      <c r="N10" s="305"/>
    </row>
    <row r="11" spans="1:25" s="333" customFormat="1" ht="11.25" customHeight="1">
      <c r="A11" s="330">
        <v>3</v>
      </c>
      <c r="B11" s="365">
        <f>'FRIT HGE91-FHG'!B11</f>
        <v>46237</v>
      </c>
      <c r="C11" s="331" t="s">
        <v>334</v>
      </c>
      <c r="D11" s="1462">
        <f>635+1200</f>
        <v>1835</v>
      </c>
      <c r="E11" s="1462">
        <f t="shared" si="0"/>
        <v>0</v>
      </c>
      <c r="F11" s="1463">
        <f t="shared" ref="F11:F39" si="4">$F$9</f>
        <v>610.55555555555554</v>
      </c>
      <c r="G11" s="1436">
        <f>G10+D11-E11</f>
        <v>1835</v>
      </c>
      <c r="H11" s="400">
        <f t="shared" si="2"/>
        <v>3.005459508644222</v>
      </c>
      <c r="I11" s="689"/>
      <c r="J11" s="689"/>
      <c r="K11" s="689"/>
      <c r="L11" s="647">
        <f t="shared" si="3"/>
        <v>3.061905556482563</v>
      </c>
      <c r="M11" s="305"/>
      <c r="N11" s="305"/>
    </row>
    <row r="12" spans="1:25" s="367" customFormat="1" ht="11.25" customHeight="1">
      <c r="A12" s="330">
        <v>4</v>
      </c>
      <c r="B12" s="365">
        <f>'FRIT HGE91-FHG'!B12</f>
        <v>46238</v>
      </c>
      <c r="C12" s="331" t="s">
        <v>334</v>
      </c>
      <c r="D12" s="1462"/>
      <c r="E12" s="1462">
        <f t="shared" si="0"/>
        <v>1835</v>
      </c>
      <c r="F12" s="1463">
        <f t="shared" si="4"/>
        <v>610.55555555555554</v>
      </c>
      <c r="G12" s="1436">
        <f>G11+D12-E12</f>
        <v>0</v>
      </c>
      <c r="H12" s="400">
        <f t="shared" si="2"/>
        <v>0</v>
      </c>
      <c r="I12" s="689">
        <v>1835</v>
      </c>
      <c r="J12" s="689"/>
      <c r="K12" s="689"/>
      <c r="L12" s="647">
        <f t="shared" si="3"/>
        <v>0</v>
      </c>
      <c r="M12" s="305"/>
      <c r="N12" s="305"/>
    </row>
    <row r="13" spans="1:25" s="367" customFormat="1" ht="11.25" customHeight="1">
      <c r="A13" s="425">
        <v>5</v>
      </c>
      <c r="B13" s="365">
        <f>'FRIT HGE91-FHG'!B13</f>
        <v>46239</v>
      </c>
      <c r="C13" s="331" t="s">
        <v>349</v>
      </c>
      <c r="D13" s="1462">
        <v>595</v>
      </c>
      <c r="E13" s="1462">
        <f t="shared" si="0"/>
        <v>0</v>
      </c>
      <c r="F13" s="1463">
        <f t="shared" si="4"/>
        <v>610.55555555555554</v>
      </c>
      <c r="G13" s="1439">
        <f>G12+D13-E13</f>
        <v>595</v>
      </c>
      <c r="H13" s="400">
        <f t="shared" si="2"/>
        <v>0.97452229299363058</v>
      </c>
      <c r="I13" s="689"/>
      <c r="J13" s="689"/>
      <c r="K13" s="689"/>
      <c r="L13" s="647">
        <f t="shared" si="3"/>
        <v>0.992824962456199</v>
      </c>
      <c r="M13" s="305"/>
      <c r="N13" s="305"/>
    </row>
    <row r="14" spans="1:25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1462"/>
      <c r="E14" s="1462">
        <f t="shared" si="0"/>
        <v>595</v>
      </c>
      <c r="F14" s="1463">
        <f t="shared" si="4"/>
        <v>610.55555555555554</v>
      </c>
      <c r="G14" s="1436">
        <f t="shared" si="1"/>
        <v>0</v>
      </c>
      <c r="H14" s="400">
        <f t="shared" si="2"/>
        <v>0</v>
      </c>
      <c r="I14" s="689">
        <v>595</v>
      </c>
      <c r="J14" s="689"/>
      <c r="K14" s="689"/>
      <c r="L14" s="647">
        <f t="shared" si="3"/>
        <v>0</v>
      </c>
      <c r="M14" s="305"/>
      <c r="N14" s="305"/>
    </row>
    <row r="15" spans="1:25" s="367" customFormat="1" ht="11.25" customHeight="1">
      <c r="A15" s="330">
        <v>7</v>
      </c>
      <c r="B15" s="365">
        <f>'FRIT HGE91-FHG'!B15</f>
        <v>46241</v>
      </c>
      <c r="C15" s="331" t="s">
        <v>334</v>
      </c>
      <c r="D15" s="1462">
        <v>555</v>
      </c>
      <c r="E15" s="1462">
        <f t="shared" si="0"/>
        <v>0</v>
      </c>
      <c r="F15" s="1463">
        <f t="shared" si="4"/>
        <v>610.55555555555554</v>
      </c>
      <c r="G15" s="1436">
        <f>G14+D15-E15</f>
        <v>555</v>
      </c>
      <c r="H15" s="400">
        <f t="shared" si="2"/>
        <v>0.90900818926296634</v>
      </c>
      <c r="I15" s="689"/>
      <c r="J15" s="689"/>
      <c r="K15" s="689"/>
      <c r="L15" s="647">
        <f t="shared" si="3"/>
        <v>0.92608042716502592</v>
      </c>
      <c r="M15" s="305"/>
      <c r="N15" s="305"/>
    </row>
    <row r="16" spans="1:25" s="367" customFormat="1" ht="11.25" customHeight="1">
      <c r="A16" s="330">
        <v>8</v>
      </c>
      <c r="B16" s="365">
        <f>'FRIT HGE91-FHG'!B16</f>
        <v>46242</v>
      </c>
      <c r="C16" s="331" t="s">
        <v>349</v>
      </c>
      <c r="D16" s="1462">
        <v>1205</v>
      </c>
      <c r="E16" s="1462">
        <f t="shared" si="0"/>
        <v>555</v>
      </c>
      <c r="F16" s="1463">
        <f t="shared" si="4"/>
        <v>610.55555555555554</v>
      </c>
      <c r="G16" s="1436">
        <f t="shared" si="1"/>
        <v>1205</v>
      </c>
      <c r="H16" s="400">
        <f t="shared" si="2"/>
        <v>1.9736123748862602</v>
      </c>
      <c r="I16" s="689">
        <v>555</v>
      </c>
      <c r="J16" s="689"/>
      <c r="K16" s="689"/>
      <c r="L16" s="647">
        <f t="shared" si="3"/>
        <v>2.0106791256465879</v>
      </c>
      <c r="M16" s="305"/>
      <c r="N16" s="305"/>
    </row>
    <row r="17" spans="1:14" s="367" customFormat="1" ht="11.25" customHeight="1">
      <c r="A17" s="330">
        <v>9</v>
      </c>
      <c r="B17" s="365">
        <f>'FRIT HGE91-FHG'!B17</f>
        <v>46243</v>
      </c>
      <c r="C17" s="331" t="s">
        <v>334</v>
      </c>
      <c r="D17" s="1462"/>
      <c r="E17" s="1462">
        <f t="shared" si="0"/>
        <v>0</v>
      </c>
      <c r="F17" s="1463">
        <f t="shared" si="4"/>
        <v>610.55555555555554</v>
      </c>
      <c r="G17" s="1436">
        <f t="shared" si="1"/>
        <v>1205</v>
      </c>
      <c r="H17" s="400">
        <f t="shared" si="2"/>
        <v>1.9736123748862602</v>
      </c>
      <c r="I17" s="689"/>
      <c r="J17" s="689"/>
      <c r="K17" s="689"/>
      <c r="L17" s="647">
        <f t="shared" si="3"/>
        <v>2.0106791256465879</v>
      </c>
      <c r="M17" s="305"/>
      <c r="N17" s="305"/>
    </row>
    <row r="18" spans="1:14" s="367" customFormat="1" ht="11.25" customHeight="1">
      <c r="A18" s="425">
        <v>10</v>
      </c>
      <c r="B18" s="365">
        <f>'FRIT HGE91-FHG'!B18</f>
        <v>46244</v>
      </c>
      <c r="C18" s="331" t="s">
        <v>334</v>
      </c>
      <c r="D18" s="1462">
        <v>585</v>
      </c>
      <c r="E18" s="1462">
        <f t="shared" si="0"/>
        <v>1205</v>
      </c>
      <c r="F18" s="1463">
        <f t="shared" si="4"/>
        <v>610.55555555555554</v>
      </c>
      <c r="G18" s="1439">
        <f>G17+D18-E18</f>
        <v>585</v>
      </c>
      <c r="H18" s="400">
        <f t="shared" si="2"/>
        <v>0.95814376706096449</v>
      </c>
      <c r="I18" s="689">
        <v>1205</v>
      </c>
      <c r="J18" s="689"/>
      <c r="K18" s="689"/>
      <c r="L18" s="647">
        <f t="shared" si="3"/>
        <v>0.97613882863340573</v>
      </c>
      <c r="M18" s="305"/>
      <c r="N18" s="305"/>
    </row>
    <row r="19" spans="1:14" s="367" customFormat="1" ht="11.25" customHeight="1">
      <c r="A19" s="330">
        <v>11</v>
      </c>
      <c r="B19" s="365">
        <f>'FRIT HGE91-FHG'!B19</f>
        <v>46245</v>
      </c>
      <c r="C19" s="331" t="s">
        <v>349</v>
      </c>
      <c r="D19" s="1462"/>
      <c r="E19" s="1462">
        <f t="shared" si="0"/>
        <v>585</v>
      </c>
      <c r="F19" s="1463">
        <f t="shared" si="4"/>
        <v>610.55555555555554</v>
      </c>
      <c r="G19" s="1436">
        <f t="shared" si="1"/>
        <v>0</v>
      </c>
      <c r="H19" s="400">
        <f t="shared" si="2"/>
        <v>0</v>
      </c>
      <c r="I19" s="689">
        <v>585</v>
      </c>
      <c r="J19" s="689"/>
      <c r="K19" s="689"/>
      <c r="L19" s="647">
        <f t="shared" si="3"/>
        <v>0</v>
      </c>
      <c r="M19" s="305"/>
      <c r="N19" s="305"/>
    </row>
    <row r="20" spans="1:14" s="367" customFormat="1" ht="11.25" customHeight="1">
      <c r="A20" s="330">
        <v>12</v>
      </c>
      <c r="B20" s="365">
        <f>'FRIT HGE91-FHG'!B20</f>
        <v>46246</v>
      </c>
      <c r="C20" s="331" t="s">
        <v>334</v>
      </c>
      <c r="D20" s="1462">
        <v>465</v>
      </c>
      <c r="E20" s="1462">
        <f t="shared" si="0"/>
        <v>0</v>
      </c>
      <c r="F20" s="1463">
        <f t="shared" si="4"/>
        <v>610.55555555555554</v>
      </c>
      <c r="G20" s="1436">
        <f t="shared" si="1"/>
        <v>465</v>
      </c>
      <c r="H20" s="400">
        <f t="shared" si="2"/>
        <v>0.76160145586897177</v>
      </c>
      <c r="I20" s="689"/>
      <c r="J20" s="689"/>
      <c r="K20" s="689"/>
      <c r="L20" s="647">
        <f t="shared" si="3"/>
        <v>0.7759052227598866</v>
      </c>
      <c r="M20" s="305"/>
      <c r="N20" s="305"/>
    </row>
    <row r="21" spans="1:14" s="367" customFormat="1" ht="11.25" customHeight="1">
      <c r="A21" s="330">
        <v>13</v>
      </c>
      <c r="B21" s="365">
        <f>'FRIT HGE91-FHG'!B21</f>
        <v>46247</v>
      </c>
      <c r="C21" s="331" t="s">
        <v>334</v>
      </c>
      <c r="D21" s="1462">
        <v>625</v>
      </c>
      <c r="E21" s="1462">
        <f t="shared" si="0"/>
        <v>465</v>
      </c>
      <c r="F21" s="1463">
        <f t="shared" si="4"/>
        <v>610.55555555555554</v>
      </c>
      <c r="G21" s="1436">
        <f t="shared" si="1"/>
        <v>625</v>
      </c>
      <c r="H21" s="400">
        <f t="shared" si="2"/>
        <v>1.0236578707916288</v>
      </c>
      <c r="I21" s="689">
        <v>465</v>
      </c>
      <c r="J21" s="689"/>
      <c r="K21" s="689"/>
      <c r="L21" s="647">
        <f t="shared" si="3"/>
        <v>1.0428833639245787</v>
      </c>
      <c r="M21" s="305"/>
      <c r="N21" s="305"/>
    </row>
    <row r="22" spans="1:14" s="367" customFormat="1" ht="11.25" customHeight="1">
      <c r="A22" s="330">
        <v>14</v>
      </c>
      <c r="B22" s="365">
        <f>'FRIT HGE91-FHG'!B22</f>
        <v>46248</v>
      </c>
      <c r="C22" s="331" t="s">
        <v>349</v>
      </c>
      <c r="D22" s="1462">
        <f>565+970</f>
        <v>1535</v>
      </c>
      <c r="E22" s="1462">
        <f t="shared" si="0"/>
        <v>625</v>
      </c>
      <c r="F22" s="1463">
        <f t="shared" si="4"/>
        <v>610.55555555555554</v>
      </c>
      <c r="G22" s="1436">
        <f t="shared" si="1"/>
        <v>1535</v>
      </c>
      <c r="H22" s="400">
        <f t="shared" si="2"/>
        <v>2.5141037306642402</v>
      </c>
      <c r="I22" s="689">
        <v>625</v>
      </c>
      <c r="J22" s="689"/>
      <c r="K22" s="689"/>
      <c r="L22" s="647">
        <f t="shared" si="3"/>
        <v>2.5613215417987654</v>
      </c>
      <c r="M22" s="305"/>
      <c r="N22" s="305"/>
    </row>
    <row r="23" spans="1:14" s="367" customFormat="1" ht="11.25" customHeight="1">
      <c r="A23" s="425">
        <v>15</v>
      </c>
      <c r="B23" s="365">
        <f>'FRIT HGE91-FHG'!B23</f>
        <v>46249</v>
      </c>
      <c r="C23" s="331" t="s">
        <v>334</v>
      </c>
      <c r="D23" s="1462">
        <v>1300</v>
      </c>
      <c r="E23" s="1462">
        <f t="shared" si="0"/>
        <v>2835</v>
      </c>
      <c r="F23" s="1463">
        <f t="shared" si="4"/>
        <v>610.55555555555554</v>
      </c>
      <c r="G23" s="1439">
        <f t="shared" si="1"/>
        <v>0</v>
      </c>
      <c r="H23" s="400">
        <f t="shared" si="2"/>
        <v>0</v>
      </c>
      <c r="I23" s="689">
        <v>2835</v>
      </c>
      <c r="J23" s="689"/>
      <c r="K23" s="689"/>
      <c r="L23" s="647">
        <f t="shared" si="3"/>
        <v>0</v>
      </c>
      <c r="M23" s="305"/>
      <c r="N23" s="305"/>
    </row>
    <row r="24" spans="1:14" s="367" customFormat="1" ht="11.25" customHeight="1">
      <c r="A24" s="330">
        <v>16</v>
      </c>
      <c r="B24" s="365">
        <f>'FRIT HGE91-FHG'!B24</f>
        <v>46250</v>
      </c>
      <c r="C24" s="331" t="s">
        <v>334</v>
      </c>
      <c r="D24" s="1462"/>
      <c r="E24" s="1462">
        <f t="shared" si="0"/>
        <v>0</v>
      </c>
      <c r="F24" s="1463">
        <f t="shared" si="4"/>
        <v>610.55555555555554</v>
      </c>
      <c r="G24" s="1436">
        <f t="shared" si="1"/>
        <v>0</v>
      </c>
      <c r="H24" s="400">
        <f t="shared" si="2"/>
        <v>0</v>
      </c>
      <c r="I24" s="689"/>
      <c r="J24" s="689"/>
      <c r="K24" s="689"/>
      <c r="L24" s="647">
        <f t="shared" si="3"/>
        <v>0</v>
      </c>
      <c r="M24" s="305"/>
      <c r="N24" s="305"/>
    </row>
    <row r="25" spans="1:14" s="367" customFormat="1" ht="11.25" customHeight="1">
      <c r="A25" s="330">
        <v>17</v>
      </c>
      <c r="B25" s="365">
        <f>'FRIT HGE91-FHG'!B25</f>
        <v>46251</v>
      </c>
      <c r="C25" s="331" t="s">
        <v>334</v>
      </c>
      <c r="D25" s="1462">
        <v>645</v>
      </c>
      <c r="E25" s="1462">
        <f t="shared" si="0"/>
        <v>0</v>
      </c>
      <c r="F25" s="1463">
        <f t="shared" si="4"/>
        <v>610.55555555555554</v>
      </c>
      <c r="G25" s="1436">
        <f t="shared" si="1"/>
        <v>645</v>
      </c>
      <c r="H25" s="400">
        <f t="shared" si="2"/>
        <v>1.0564149226569608</v>
      </c>
      <c r="I25" s="689"/>
      <c r="J25" s="689"/>
      <c r="K25" s="689"/>
      <c r="L25" s="647">
        <f t="shared" si="3"/>
        <v>1.0762556315701652</v>
      </c>
      <c r="M25" s="305"/>
      <c r="N25" s="305"/>
    </row>
    <row r="26" spans="1:14" s="367" customFormat="1" ht="11.25" customHeight="1">
      <c r="A26" s="330">
        <v>18</v>
      </c>
      <c r="B26" s="365">
        <f>'FRIT HGE91-FHG'!B26</f>
        <v>46252</v>
      </c>
      <c r="C26" s="331" t="s">
        <v>334</v>
      </c>
      <c r="D26" s="1462">
        <v>1150</v>
      </c>
      <c r="E26" s="1462">
        <f t="shared" si="0"/>
        <v>645</v>
      </c>
      <c r="F26" s="1463">
        <f t="shared" si="4"/>
        <v>610.55555555555554</v>
      </c>
      <c r="G26" s="1436">
        <f t="shared" si="1"/>
        <v>1150</v>
      </c>
      <c r="H26" s="400">
        <f t="shared" si="2"/>
        <v>1.883530482256597</v>
      </c>
      <c r="I26" s="689">
        <v>645</v>
      </c>
      <c r="J26" s="689"/>
      <c r="K26" s="689"/>
      <c r="L26" s="647">
        <f t="shared" si="3"/>
        <v>1.9189053896212249</v>
      </c>
      <c r="M26" s="305"/>
      <c r="N26" s="305"/>
    </row>
    <row r="27" spans="1:14" s="367" customFormat="1" ht="11.25" customHeight="1">
      <c r="A27" s="330">
        <v>19</v>
      </c>
      <c r="B27" s="365">
        <f>'FRIT HGE91-FHG'!B27</f>
        <v>46253</v>
      </c>
      <c r="C27" s="331" t="s">
        <v>334</v>
      </c>
      <c r="D27" s="1462"/>
      <c r="E27" s="1462">
        <f t="shared" si="0"/>
        <v>0</v>
      </c>
      <c r="F27" s="1463">
        <f t="shared" si="4"/>
        <v>610.55555555555554</v>
      </c>
      <c r="G27" s="1436">
        <f t="shared" si="1"/>
        <v>1150</v>
      </c>
      <c r="H27" s="400">
        <f t="shared" si="2"/>
        <v>1.883530482256597</v>
      </c>
      <c r="I27" s="689"/>
      <c r="J27" s="689"/>
      <c r="K27" s="689"/>
      <c r="L27" s="647">
        <f t="shared" si="3"/>
        <v>1.9189053896212249</v>
      </c>
      <c r="M27" s="305"/>
      <c r="N27" s="305"/>
    </row>
    <row r="28" spans="1:14" s="367" customFormat="1" ht="11.25" customHeight="1">
      <c r="A28" s="425">
        <v>20</v>
      </c>
      <c r="B28" s="365">
        <f>'FRIT HGE91-FHG'!B28</f>
        <v>46254</v>
      </c>
      <c r="C28" s="331" t="s">
        <v>334</v>
      </c>
      <c r="D28" s="1462"/>
      <c r="E28" s="1462">
        <f t="shared" si="0"/>
        <v>0</v>
      </c>
      <c r="F28" s="1463">
        <f t="shared" si="4"/>
        <v>610.55555555555554</v>
      </c>
      <c r="G28" s="1439">
        <f t="shared" si="1"/>
        <v>1150</v>
      </c>
      <c r="H28" s="400">
        <f t="shared" si="2"/>
        <v>1.883530482256597</v>
      </c>
      <c r="I28" s="689"/>
      <c r="J28" s="689"/>
      <c r="K28" s="689"/>
      <c r="L28" s="647">
        <f t="shared" si="3"/>
        <v>1.9189053896212249</v>
      </c>
      <c r="M28" s="305"/>
      <c r="N28" s="305"/>
    </row>
    <row r="29" spans="1:14" s="367" customFormat="1" ht="11.25" customHeight="1">
      <c r="A29" s="330">
        <v>21</v>
      </c>
      <c r="B29" s="365">
        <f>'FRIT HGE91-FHG'!B29</f>
        <v>46255</v>
      </c>
      <c r="C29" s="331" t="s">
        <v>334</v>
      </c>
      <c r="D29" s="1462"/>
      <c r="E29" s="1462">
        <f t="shared" si="0"/>
        <v>0</v>
      </c>
      <c r="F29" s="1463">
        <f t="shared" si="4"/>
        <v>610.55555555555554</v>
      </c>
      <c r="G29" s="1436">
        <f t="shared" si="1"/>
        <v>1150</v>
      </c>
      <c r="H29" s="400">
        <f t="shared" si="2"/>
        <v>1.883530482256597</v>
      </c>
      <c r="I29" s="689"/>
      <c r="J29" s="689"/>
      <c r="K29" s="689"/>
      <c r="L29" s="647">
        <f t="shared" si="3"/>
        <v>1.9189053896212249</v>
      </c>
      <c r="M29" s="305"/>
      <c r="N29" s="305"/>
    </row>
    <row r="30" spans="1:14" s="367" customFormat="1" ht="11.25" customHeight="1">
      <c r="A30" s="330">
        <v>22</v>
      </c>
      <c r="B30" s="365">
        <f>'FRIT HGE91-FHG'!B30</f>
        <v>46256</v>
      </c>
      <c r="C30" s="331" t="s">
        <v>334</v>
      </c>
      <c r="D30" s="1462"/>
      <c r="E30" s="1462">
        <f t="shared" si="0"/>
        <v>0</v>
      </c>
      <c r="F30" s="1463">
        <f t="shared" si="4"/>
        <v>610.55555555555554</v>
      </c>
      <c r="G30" s="1436">
        <f t="shared" si="1"/>
        <v>1150</v>
      </c>
      <c r="H30" s="400">
        <f t="shared" si="2"/>
        <v>1.883530482256597</v>
      </c>
      <c r="I30" s="689"/>
      <c r="J30" s="689"/>
      <c r="K30" s="689"/>
      <c r="L30" s="647">
        <f t="shared" si="3"/>
        <v>1.9189053896212249</v>
      </c>
      <c r="M30" s="305"/>
      <c r="N30" s="305"/>
    </row>
    <row r="31" spans="1:14" s="367" customFormat="1" ht="11.25" customHeight="1">
      <c r="A31" s="330">
        <v>23</v>
      </c>
      <c r="B31" s="365">
        <f>'FRIT HGE91-FHG'!B31</f>
        <v>46257</v>
      </c>
      <c r="C31" s="331" t="s">
        <v>334</v>
      </c>
      <c r="D31" s="1462"/>
      <c r="E31" s="1462">
        <f t="shared" si="0"/>
        <v>0</v>
      </c>
      <c r="F31" s="1463">
        <f t="shared" si="4"/>
        <v>610.55555555555554</v>
      </c>
      <c r="G31" s="1436">
        <f>G30+D31-E31</f>
        <v>1150</v>
      </c>
      <c r="H31" s="400">
        <f t="shared" si="2"/>
        <v>1.883530482256597</v>
      </c>
      <c r="I31" s="689"/>
      <c r="J31" s="689"/>
      <c r="K31" s="689"/>
      <c r="L31" s="647">
        <f t="shared" si="3"/>
        <v>1.9189053896212249</v>
      </c>
      <c r="M31" s="305"/>
      <c r="N31" s="305"/>
    </row>
    <row r="32" spans="1:14" s="367" customFormat="1" ht="11.25" customHeight="1">
      <c r="A32" s="330">
        <v>24</v>
      </c>
      <c r="B32" s="365">
        <f>'FRIT HGE91-FHG'!B32</f>
        <v>46258</v>
      </c>
      <c r="C32" s="331" t="s">
        <v>334</v>
      </c>
      <c r="D32" s="1462"/>
      <c r="E32" s="1462">
        <f t="shared" si="0"/>
        <v>0</v>
      </c>
      <c r="F32" s="1463">
        <f t="shared" si="4"/>
        <v>610.55555555555554</v>
      </c>
      <c r="G32" s="1436">
        <f t="shared" si="1"/>
        <v>1150</v>
      </c>
      <c r="H32" s="400">
        <f t="shared" si="2"/>
        <v>1.883530482256597</v>
      </c>
      <c r="I32" s="689"/>
      <c r="J32" s="689"/>
      <c r="K32" s="689"/>
      <c r="L32" s="647">
        <f t="shared" si="3"/>
        <v>1.9189053896212249</v>
      </c>
      <c r="M32" s="305"/>
      <c r="N32" s="305"/>
    </row>
    <row r="33" spans="1:14" s="367" customFormat="1" ht="11.25" customHeight="1">
      <c r="A33" s="426">
        <v>25</v>
      </c>
      <c r="B33" s="365">
        <f>'FRIT HGE91-FHG'!B33</f>
        <v>46259</v>
      </c>
      <c r="C33" s="331" t="s">
        <v>349</v>
      </c>
      <c r="D33" s="1462"/>
      <c r="E33" s="1462">
        <f t="shared" si="0"/>
        <v>0</v>
      </c>
      <c r="F33" s="1463">
        <f t="shared" si="4"/>
        <v>610.55555555555554</v>
      </c>
      <c r="G33" s="1440">
        <f t="shared" si="1"/>
        <v>1150</v>
      </c>
      <c r="H33" s="400">
        <f t="shared" si="2"/>
        <v>1.883530482256597</v>
      </c>
      <c r="I33" s="689"/>
      <c r="J33" s="689"/>
      <c r="K33" s="689"/>
      <c r="L33" s="647">
        <f t="shared" si="3"/>
        <v>1.9189053896212249</v>
      </c>
      <c r="M33" s="305"/>
      <c r="N33" s="305"/>
    </row>
    <row r="34" spans="1:14" s="367" customFormat="1" ht="11.25" customHeight="1">
      <c r="A34" s="330">
        <v>26</v>
      </c>
      <c r="B34" s="365">
        <f>'FRIT HGE91-FHG'!B34</f>
        <v>46260</v>
      </c>
      <c r="C34" s="331" t="s">
        <v>349</v>
      </c>
      <c r="D34" s="1462"/>
      <c r="E34" s="1462">
        <f t="shared" si="0"/>
        <v>0</v>
      </c>
      <c r="F34" s="1463">
        <f t="shared" si="4"/>
        <v>610.55555555555554</v>
      </c>
      <c r="G34" s="1436">
        <f t="shared" si="1"/>
        <v>1150</v>
      </c>
      <c r="H34" s="400">
        <f t="shared" si="2"/>
        <v>1.883530482256597</v>
      </c>
      <c r="I34" s="689"/>
      <c r="J34" s="689"/>
      <c r="K34" s="689"/>
      <c r="L34" s="647">
        <f t="shared" si="3"/>
        <v>1.9189053896212249</v>
      </c>
      <c r="M34" s="305"/>
      <c r="N34" s="305"/>
    </row>
    <row r="35" spans="1:14" s="367" customFormat="1" ht="11.25" customHeight="1">
      <c r="A35" s="330">
        <v>27</v>
      </c>
      <c r="B35" s="365">
        <f>'FRIT HGE91-FHG'!B35</f>
        <v>46261</v>
      </c>
      <c r="C35" s="331" t="s">
        <v>346</v>
      </c>
      <c r="D35" s="1462"/>
      <c r="E35" s="1462">
        <f t="shared" si="0"/>
        <v>0</v>
      </c>
      <c r="F35" s="1463">
        <f t="shared" si="4"/>
        <v>610.55555555555554</v>
      </c>
      <c r="G35" s="1436">
        <f t="shared" si="1"/>
        <v>1150</v>
      </c>
      <c r="H35" s="400">
        <f t="shared" si="2"/>
        <v>1.883530482256597</v>
      </c>
      <c r="I35" s="689"/>
      <c r="J35" s="689"/>
      <c r="K35" s="689"/>
      <c r="L35" s="647">
        <f t="shared" si="3"/>
        <v>1.9189053896212249</v>
      </c>
      <c r="M35" s="333"/>
    </row>
    <row r="36" spans="1:14" s="367" customFormat="1" ht="11.25" customHeight="1">
      <c r="A36" s="330">
        <v>28</v>
      </c>
      <c r="B36" s="365">
        <f>'FRIT HGE91-FHG'!B36</f>
        <v>46262</v>
      </c>
      <c r="C36" s="331" t="s">
        <v>349</v>
      </c>
      <c r="D36" s="1462"/>
      <c r="E36" s="1462">
        <f t="shared" si="0"/>
        <v>0</v>
      </c>
      <c r="F36" s="1463">
        <f t="shared" si="4"/>
        <v>610.55555555555554</v>
      </c>
      <c r="G36" s="1436">
        <f t="shared" si="1"/>
        <v>1150</v>
      </c>
      <c r="H36" s="400">
        <f t="shared" si="2"/>
        <v>1.883530482256597</v>
      </c>
      <c r="I36" s="689"/>
      <c r="J36" s="689"/>
      <c r="K36" s="689"/>
      <c r="L36" s="647">
        <f t="shared" si="3"/>
        <v>1.9189053896212249</v>
      </c>
      <c r="M36" s="333"/>
    </row>
    <row r="37" spans="1:14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1462"/>
      <c r="E37" s="1462">
        <f t="shared" si="0"/>
        <v>0</v>
      </c>
      <c r="F37" s="1463">
        <f t="shared" si="4"/>
        <v>610.55555555555554</v>
      </c>
      <c r="G37" s="1436">
        <f t="shared" si="1"/>
        <v>1150</v>
      </c>
      <c r="H37" s="400">
        <f t="shared" si="2"/>
        <v>1.883530482256597</v>
      </c>
      <c r="I37" s="689"/>
      <c r="J37" s="689"/>
      <c r="K37" s="689"/>
      <c r="L37" s="647">
        <f t="shared" si="3"/>
        <v>1.9189053896212249</v>
      </c>
    </row>
    <row r="38" spans="1:14" s="367" customFormat="1" ht="11.25" customHeight="1">
      <c r="A38" s="425">
        <v>30</v>
      </c>
      <c r="B38" s="365">
        <f>'FRIT HGE91-FHG'!B38</f>
        <v>46264</v>
      </c>
      <c r="C38" s="331" t="s">
        <v>349</v>
      </c>
      <c r="D38" s="1462"/>
      <c r="E38" s="1462">
        <f t="shared" si="0"/>
        <v>0</v>
      </c>
      <c r="F38" s="1463">
        <f t="shared" si="4"/>
        <v>610.55555555555554</v>
      </c>
      <c r="G38" s="1439">
        <f t="shared" si="1"/>
        <v>1150</v>
      </c>
      <c r="H38" s="400">
        <f t="shared" si="2"/>
        <v>1.883530482256597</v>
      </c>
      <c r="I38" s="689"/>
      <c r="J38" s="689"/>
      <c r="K38" s="689"/>
      <c r="L38" s="647">
        <f t="shared" si="3"/>
        <v>1.9189053896212249</v>
      </c>
    </row>
    <row r="39" spans="1:14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1462"/>
      <c r="E39" s="1462">
        <f t="shared" si="0"/>
        <v>0</v>
      </c>
      <c r="F39" s="1463">
        <f t="shared" si="4"/>
        <v>610.55555555555554</v>
      </c>
      <c r="G39" s="1436">
        <f t="shared" si="1"/>
        <v>1150</v>
      </c>
      <c r="H39" s="400">
        <f t="shared" si="2"/>
        <v>1.883530482256597</v>
      </c>
      <c r="I39" s="689"/>
      <c r="J39" s="689"/>
      <c r="K39" s="689"/>
      <c r="L39" s="647">
        <f t="shared" si="3"/>
        <v>1.9189053896212249</v>
      </c>
    </row>
    <row r="40" spans="1:14" s="486" customFormat="1" ht="11.25" customHeight="1">
      <c r="A40" s="1661" t="s">
        <v>29</v>
      </c>
      <c r="B40" s="1661"/>
      <c r="C40" s="1661"/>
      <c r="D40" s="664">
        <f>SUM(D9:D39)</f>
        <v>10495</v>
      </c>
      <c r="E40" s="662">
        <f>SUM(E9:E39)</f>
        <v>9345</v>
      </c>
      <c r="F40" s="487"/>
      <c r="G40" s="489">
        <f>G39</f>
        <v>1150</v>
      </c>
      <c r="H40" s="560"/>
      <c r="I40" s="664">
        <f>SUM(I9:I39)</f>
        <v>9345</v>
      </c>
      <c r="J40" s="664">
        <f>SUM(J9:J39)</f>
        <v>0</v>
      </c>
      <c r="K40" s="664">
        <f>SUM(K9:K39)</f>
        <v>0</v>
      </c>
      <c r="L40" s="374"/>
      <c r="M40" s="367"/>
    </row>
    <row r="41" spans="1:14" s="486" customFormat="1" ht="11.25" customHeight="1">
      <c r="A41" s="1661" t="s">
        <v>15</v>
      </c>
      <c r="B41" s="1661"/>
      <c r="C41" s="1661"/>
      <c r="D41" s="563">
        <f>D8+D40</f>
        <v>10495</v>
      </c>
      <c r="E41" s="487">
        <f>E40</f>
        <v>9345</v>
      </c>
      <c r="F41" s="487"/>
      <c r="G41" s="487">
        <f>D41-E41</f>
        <v>1150</v>
      </c>
      <c r="H41" s="485"/>
      <c r="I41" s="689"/>
      <c r="J41" s="689"/>
      <c r="K41" s="689"/>
      <c r="L41" s="374"/>
      <c r="M41" s="367"/>
    </row>
    <row r="42" spans="1:14" s="324" customFormat="1" ht="12.75">
      <c r="D42" s="343"/>
      <c r="E42" s="343"/>
      <c r="F42" s="343"/>
      <c r="H42" s="343" t="s">
        <v>227</v>
      </c>
      <c r="I42" s="343"/>
      <c r="M42" s="367"/>
    </row>
    <row r="43" spans="1:14" s="324" customFormat="1" ht="12.75">
      <c r="D43" s="343"/>
      <c r="E43" s="343"/>
      <c r="F43" s="343"/>
      <c r="H43" s="343"/>
      <c r="I43" s="343"/>
    </row>
    <row r="44" spans="1:14" s="324" customFormat="1" ht="12.75">
      <c r="D44" s="343"/>
      <c r="E44" s="343"/>
      <c r="F44" s="343"/>
      <c r="H44" s="343"/>
      <c r="I44" s="343"/>
    </row>
    <row r="45" spans="1:14" s="324" customFormat="1" ht="12.75">
      <c r="D45" s="343"/>
      <c r="E45" s="343"/>
      <c r="F45" s="343"/>
      <c r="H45" s="343"/>
      <c r="I45" s="343"/>
    </row>
    <row r="46" spans="1:14" s="324" customFormat="1" ht="12.75">
      <c r="D46" s="343"/>
      <c r="E46" s="343"/>
      <c r="F46" s="343"/>
      <c r="H46" s="343" t="s">
        <v>333</v>
      </c>
      <c r="I46" s="343"/>
    </row>
    <row r="47" spans="1:14" s="340" customFormat="1" ht="15.75">
      <c r="D47" s="341"/>
      <c r="E47" s="341"/>
      <c r="F47" s="341"/>
      <c r="G47" s="341"/>
      <c r="H47" s="341"/>
      <c r="I47" s="341"/>
      <c r="J47" s="341"/>
      <c r="K47" s="341"/>
      <c r="L47" s="143"/>
    </row>
  </sheetData>
  <mergeCells count="3">
    <mergeCell ref="A40:C40"/>
    <mergeCell ref="A41:C41"/>
    <mergeCell ref="A3:J3"/>
  </mergeCells>
  <conditionalFormatting sqref="H40">
    <cfRule type="cellIs" dxfId="5654" priority="4" operator="between">
      <formula>3</formula>
      <formula>6</formula>
    </cfRule>
    <cfRule type="cellIs" dxfId="5653" priority="5" operator="lessThan">
      <formula>3</formula>
    </cfRule>
    <cfRule type="cellIs" dxfId="5652" priority="6" operator="greaterThan">
      <formula>6</formula>
    </cfRule>
  </conditionalFormatting>
  <conditionalFormatting sqref="H9:H39">
    <cfRule type="cellIs" dxfId="5651" priority="1" operator="between">
      <formula>3</formula>
      <formula>6</formula>
    </cfRule>
    <cfRule type="cellIs" dxfId="5650" priority="2" operator="lessThan">
      <formula>3</formula>
    </cfRule>
    <cfRule type="cellIs" dxfId="5649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47"/>
  <sheetViews>
    <sheetView workbookViewId="0">
      <pane ySplit="8" topLeftCell="A21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6.5703125" style="42" customWidth="1"/>
    <col min="4" max="5" width="13.42578125" style="6" customWidth="1"/>
    <col min="6" max="6" width="15.140625" style="6" customWidth="1"/>
    <col min="7" max="7" width="13.42578125" style="6" customWidth="1"/>
    <col min="8" max="8" width="18.28515625" style="42" customWidth="1"/>
    <col min="9" max="9" width="10.42578125" style="42" customWidth="1"/>
    <col min="10" max="10" width="10.28515625" style="42" customWidth="1"/>
    <col min="11" max="11" width="7.42578125" style="143" customWidth="1"/>
    <col min="12" max="12" width="7.5703125" style="42" customWidth="1"/>
    <col min="13" max="16384" width="9.28515625" style="42"/>
  </cols>
  <sheetData>
    <row r="1" spans="1:23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3"/>
      <c r="M1" s="323"/>
      <c r="N1" s="324"/>
      <c r="O1" s="324"/>
      <c r="P1" s="324"/>
      <c r="Q1" s="324"/>
      <c r="R1" s="324"/>
      <c r="S1" s="324"/>
      <c r="T1" s="324"/>
      <c r="U1" s="324"/>
      <c r="V1" s="324"/>
      <c r="W1" s="324"/>
    </row>
    <row r="2" spans="1:23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K2" s="323"/>
      <c r="M2" s="323"/>
      <c r="N2" s="324"/>
      <c r="O2" s="324"/>
      <c r="P2" s="324"/>
      <c r="Q2" s="324"/>
      <c r="R2" s="324"/>
      <c r="S2" s="324"/>
      <c r="T2" s="324"/>
      <c r="U2" s="324"/>
      <c r="V2" s="324"/>
    </row>
    <row r="3" spans="1:23" s="143" customFormat="1" ht="18.75" customHeight="1">
      <c r="A3" s="1543" t="s">
        <v>0</v>
      </c>
      <c r="B3" s="1543"/>
      <c r="C3" s="1543"/>
      <c r="D3" s="1543"/>
      <c r="E3" s="1543"/>
      <c r="F3" s="1543"/>
      <c r="G3" s="1543"/>
      <c r="H3" s="1543"/>
      <c r="I3" s="1543"/>
      <c r="J3" s="1543"/>
      <c r="L3" s="442"/>
    </row>
    <row r="4" spans="1:23" s="382" customFormat="1" ht="15" customHeight="1">
      <c r="A4" s="564" t="s">
        <v>33</v>
      </c>
      <c r="B4" s="564"/>
      <c r="C4" s="318" t="str">
        <f>H4</f>
        <v>KE NHỰA 4080 và 6060 MM</v>
      </c>
      <c r="D4" s="328"/>
      <c r="E4" s="328" t="s">
        <v>228</v>
      </c>
      <c r="F4" s="328" t="s">
        <v>237</v>
      </c>
      <c r="G4" s="328" t="s">
        <v>114</v>
      </c>
      <c r="H4" s="318" t="s">
        <v>1054</v>
      </c>
      <c r="K4" s="143"/>
    </row>
    <row r="5" spans="1:23" s="229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143"/>
    </row>
    <row r="6" spans="1:23" s="382" customFormat="1" ht="15" customHeight="1">
      <c r="D6" s="328"/>
      <c r="E6" s="329"/>
      <c r="F6" s="329"/>
      <c r="G6" s="328">
        <v>645.99999999999545</v>
      </c>
      <c r="H6" s="322" t="s">
        <v>292</v>
      </c>
      <c r="I6" s="578" t="s">
        <v>149</v>
      </c>
      <c r="K6" s="143"/>
      <c r="L6" s="382" t="s">
        <v>225</v>
      </c>
    </row>
    <row r="7" spans="1:23" s="305" customFormat="1" ht="28.5" customHeight="1">
      <c r="A7" s="680" t="s">
        <v>2</v>
      </c>
      <c r="B7" s="681" t="s">
        <v>1</v>
      </c>
      <c r="C7" s="681" t="s">
        <v>24</v>
      </c>
      <c r="D7" s="679" t="s">
        <v>250</v>
      </c>
      <c r="E7" s="679" t="s">
        <v>249</v>
      </c>
      <c r="F7" s="679" t="s">
        <v>265</v>
      </c>
      <c r="G7" s="679" t="s">
        <v>253</v>
      </c>
      <c r="H7" s="679" t="s">
        <v>30</v>
      </c>
      <c r="I7" s="697" t="s">
        <v>1109</v>
      </c>
      <c r="J7" s="697" t="s">
        <v>244</v>
      </c>
      <c r="K7" s="143"/>
    </row>
    <row r="8" spans="1:23" s="305" customFormat="1" ht="11.25" customHeight="1">
      <c r="A8" s="568" t="s">
        <v>3</v>
      </c>
      <c r="B8" s="677"/>
      <c r="C8" s="678"/>
      <c r="D8" s="475">
        <f>G8</f>
        <v>215</v>
      </c>
      <c r="E8" s="300">
        <f>E40</f>
        <v>0</v>
      </c>
      <c r="F8" s="300"/>
      <c r="G8" s="423">
        <v>215</v>
      </c>
      <c r="H8" s="581"/>
      <c r="I8" s="689"/>
      <c r="J8" s="689"/>
      <c r="K8" s="143">
        <v>599.29999999999995</v>
      </c>
    </row>
    <row r="9" spans="1:23" s="333" customFormat="1" ht="11.25" customHeight="1">
      <c r="A9" s="330">
        <v>1</v>
      </c>
      <c r="B9" s="365">
        <f>'FRIT HGE91-FHG'!B9</f>
        <v>46235</v>
      </c>
      <c r="C9" s="365" t="s">
        <v>334</v>
      </c>
      <c r="D9" s="480"/>
      <c r="E9" s="480">
        <f>I9+J9</f>
        <v>0</v>
      </c>
      <c r="F9" s="567">
        <f>35000/900000*15700</f>
        <v>610.55555555555554</v>
      </c>
      <c r="G9" s="433">
        <f>G8+D9-E9</f>
        <v>215</v>
      </c>
      <c r="H9" s="424">
        <f>G9/F9</f>
        <v>0.35213830755232028</v>
      </c>
      <c r="I9" s="689"/>
      <c r="J9" s="689"/>
      <c r="K9" s="647">
        <f>G9/$K$8</f>
        <v>0.35875187719005508</v>
      </c>
      <c r="L9" s="305"/>
    </row>
    <row r="10" spans="1:23" s="333" customFormat="1" ht="11.25" customHeight="1">
      <c r="A10" s="330">
        <v>2</v>
      </c>
      <c r="B10" s="365">
        <f>'FRIT HGE91-FHG'!B10</f>
        <v>46236</v>
      </c>
      <c r="C10" s="365" t="s">
        <v>334</v>
      </c>
      <c r="D10" s="480"/>
      <c r="E10" s="480">
        <f t="shared" ref="E10:E39" si="0">I10+J10</f>
        <v>0</v>
      </c>
      <c r="F10" s="567">
        <f>$F$9</f>
        <v>610.55555555555554</v>
      </c>
      <c r="G10" s="433">
        <f t="shared" ref="G10:G39" si="1">G9+D10-E10</f>
        <v>215</v>
      </c>
      <c r="H10" s="424">
        <f t="shared" ref="H10:H39" si="2">G10/F10</f>
        <v>0.35213830755232028</v>
      </c>
      <c r="I10" s="689"/>
      <c r="J10" s="689"/>
      <c r="K10" s="647">
        <f t="shared" ref="K10:K39" si="3">G10/$K$8</f>
        <v>0.35875187719005508</v>
      </c>
      <c r="L10" s="305"/>
    </row>
    <row r="11" spans="1:23" s="333" customFormat="1" ht="11.25" customHeight="1">
      <c r="A11" s="330">
        <v>3</v>
      </c>
      <c r="B11" s="365">
        <f>'FRIT HGE91-FHG'!B11</f>
        <v>46237</v>
      </c>
      <c r="C11" s="365" t="s">
        <v>334</v>
      </c>
      <c r="D11" s="480"/>
      <c r="E11" s="480">
        <f t="shared" si="0"/>
        <v>0</v>
      </c>
      <c r="F11" s="567">
        <f t="shared" ref="F11:F39" si="4">$F$9</f>
        <v>610.55555555555554</v>
      </c>
      <c r="G11" s="433">
        <f>G10+D11-E11</f>
        <v>215</v>
      </c>
      <c r="H11" s="424">
        <f t="shared" si="2"/>
        <v>0.35213830755232028</v>
      </c>
      <c r="I11" s="689"/>
      <c r="J11" s="689"/>
      <c r="K11" s="647">
        <f t="shared" si="3"/>
        <v>0.35875187719005508</v>
      </c>
      <c r="L11" s="305"/>
    </row>
    <row r="12" spans="1:23" s="367" customFormat="1" ht="11.25" customHeight="1">
      <c r="A12" s="330">
        <v>4</v>
      </c>
      <c r="B12" s="365">
        <f>'FRIT HGE91-FHG'!B12</f>
        <v>46238</v>
      </c>
      <c r="C12" s="365" t="s">
        <v>334</v>
      </c>
      <c r="D12" s="480"/>
      <c r="E12" s="480">
        <f t="shared" si="0"/>
        <v>0</v>
      </c>
      <c r="F12" s="567">
        <f t="shared" si="4"/>
        <v>610.55555555555554</v>
      </c>
      <c r="G12" s="433">
        <f>G11+D12-E12</f>
        <v>215</v>
      </c>
      <c r="H12" s="424">
        <f t="shared" si="2"/>
        <v>0.35213830755232028</v>
      </c>
      <c r="I12" s="689"/>
      <c r="J12" s="689"/>
      <c r="K12" s="647">
        <f t="shared" si="3"/>
        <v>0.35875187719005508</v>
      </c>
      <c r="L12" s="305"/>
    </row>
    <row r="13" spans="1:23" s="367" customFormat="1" ht="11.25" customHeight="1">
      <c r="A13" s="425">
        <v>5</v>
      </c>
      <c r="B13" s="365">
        <f>'FRIT HGE91-FHG'!B13</f>
        <v>46239</v>
      </c>
      <c r="C13" s="365" t="s">
        <v>285</v>
      </c>
      <c r="D13" s="480"/>
      <c r="E13" s="480">
        <f t="shared" si="0"/>
        <v>0</v>
      </c>
      <c r="F13" s="567">
        <f t="shared" si="4"/>
        <v>610.55555555555554</v>
      </c>
      <c r="G13" s="435">
        <f>G12+D13-E13</f>
        <v>215</v>
      </c>
      <c r="H13" s="424">
        <f t="shared" si="2"/>
        <v>0.35213830755232028</v>
      </c>
      <c r="I13" s="689"/>
      <c r="J13" s="689"/>
      <c r="K13" s="647">
        <f t="shared" si="3"/>
        <v>0.35875187719005508</v>
      </c>
      <c r="L13" s="305"/>
    </row>
    <row r="14" spans="1:23" s="367" customFormat="1" ht="11.25" customHeight="1">
      <c r="A14" s="330">
        <v>6</v>
      </c>
      <c r="B14" s="365">
        <f>'FRIT HGE91-FHG'!B14</f>
        <v>46240</v>
      </c>
      <c r="C14" s="365" t="s">
        <v>285</v>
      </c>
      <c r="D14" s="480"/>
      <c r="E14" s="480">
        <f t="shared" si="0"/>
        <v>0</v>
      </c>
      <c r="F14" s="567">
        <f t="shared" si="4"/>
        <v>610.55555555555554</v>
      </c>
      <c r="G14" s="433">
        <f t="shared" si="1"/>
        <v>215</v>
      </c>
      <c r="H14" s="424">
        <f t="shared" si="2"/>
        <v>0.35213830755232028</v>
      </c>
      <c r="I14" s="689"/>
      <c r="J14" s="689"/>
      <c r="K14" s="647">
        <f t="shared" si="3"/>
        <v>0.35875187719005508</v>
      </c>
      <c r="L14" s="305"/>
    </row>
    <row r="15" spans="1:23" s="367" customFormat="1" ht="11.25" customHeight="1">
      <c r="A15" s="330">
        <v>7</v>
      </c>
      <c r="B15" s="365">
        <f>'FRIT HGE91-FHG'!B15</f>
        <v>46241</v>
      </c>
      <c r="C15" s="365" t="s">
        <v>285</v>
      </c>
      <c r="D15" s="480"/>
      <c r="E15" s="480">
        <f t="shared" si="0"/>
        <v>0</v>
      </c>
      <c r="F15" s="567">
        <f t="shared" si="4"/>
        <v>610.55555555555554</v>
      </c>
      <c r="G15" s="433">
        <f>G14+D15-E15</f>
        <v>215</v>
      </c>
      <c r="H15" s="424">
        <f t="shared" si="2"/>
        <v>0.35213830755232028</v>
      </c>
      <c r="I15" s="689"/>
      <c r="J15" s="689"/>
      <c r="K15" s="647">
        <f t="shared" si="3"/>
        <v>0.35875187719005508</v>
      </c>
      <c r="L15" s="305"/>
    </row>
    <row r="16" spans="1:23" s="367" customFormat="1" ht="11.25" customHeight="1">
      <c r="A16" s="330">
        <v>8</v>
      </c>
      <c r="B16" s="365">
        <f>'FRIT HGE91-FHG'!B16</f>
        <v>46242</v>
      </c>
      <c r="C16" s="365" t="s">
        <v>285</v>
      </c>
      <c r="D16" s="480"/>
      <c r="E16" s="480">
        <f t="shared" si="0"/>
        <v>0</v>
      </c>
      <c r="F16" s="567">
        <f t="shared" si="4"/>
        <v>610.55555555555554</v>
      </c>
      <c r="G16" s="433">
        <f t="shared" si="1"/>
        <v>215</v>
      </c>
      <c r="H16" s="424">
        <f t="shared" si="2"/>
        <v>0.35213830755232028</v>
      </c>
      <c r="I16" s="689"/>
      <c r="J16" s="689"/>
      <c r="K16" s="647">
        <f t="shared" si="3"/>
        <v>0.35875187719005508</v>
      </c>
      <c r="L16" s="305"/>
    </row>
    <row r="17" spans="1:12" s="367" customFormat="1" ht="11.25" customHeight="1">
      <c r="A17" s="330">
        <v>9</v>
      </c>
      <c r="B17" s="365">
        <f>'FRIT HGE91-FHG'!B17</f>
        <v>46243</v>
      </c>
      <c r="C17" s="365" t="s">
        <v>285</v>
      </c>
      <c r="D17" s="480"/>
      <c r="E17" s="480">
        <f t="shared" si="0"/>
        <v>0</v>
      </c>
      <c r="F17" s="567">
        <f t="shared" si="4"/>
        <v>610.55555555555554</v>
      </c>
      <c r="G17" s="433">
        <f t="shared" si="1"/>
        <v>215</v>
      </c>
      <c r="H17" s="424">
        <f t="shared" si="2"/>
        <v>0.35213830755232028</v>
      </c>
      <c r="I17" s="689"/>
      <c r="J17" s="689"/>
      <c r="K17" s="647">
        <f t="shared" si="3"/>
        <v>0.35875187719005508</v>
      </c>
      <c r="L17" s="305"/>
    </row>
    <row r="18" spans="1:12" s="367" customFormat="1" ht="11.25" customHeight="1">
      <c r="A18" s="425">
        <v>10</v>
      </c>
      <c r="B18" s="365">
        <f>'FRIT HGE91-FHG'!B18</f>
        <v>46244</v>
      </c>
      <c r="C18" s="365" t="s">
        <v>285</v>
      </c>
      <c r="D18" s="480"/>
      <c r="E18" s="480">
        <f t="shared" si="0"/>
        <v>0</v>
      </c>
      <c r="F18" s="567">
        <f t="shared" si="4"/>
        <v>610.55555555555554</v>
      </c>
      <c r="G18" s="435">
        <f>G17+D18-E18</f>
        <v>215</v>
      </c>
      <c r="H18" s="424">
        <f t="shared" si="2"/>
        <v>0.35213830755232028</v>
      </c>
      <c r="I18" s="689"/>
      <c r="J18" s="689"/>
      <c r="K18" s="647">
        <f t="shared" si="3"/>
        <v>0.35875187719005508</v>
      </c>
      <c r="L18" s="305"/>
    </row>
    <row r="19" spans="1:12" s="367" customFormat="1" ht="11.25" customHeight="1">
      <c r="A19" s="330">
        <v>11</v>
      </c>
      <c r="B19" s="365">
        <f>'FRIT HGE91-FHG'!B19</f>
        <v>46245</v>
      </c>
      <c r="C19" s="365" t="s">
        <v>285</v>
      </c>
      <c r="D19" s="480"/>
      <c r="E19" s="480">
        <f t="shared" si="0"/>
        <v>0</v>
      </c>
      <c r="F19" s="567">
        <f t="shared" si="4"/>
        <v>610.55555555555554</v>
      </c>
      <c r="G19" s="433">
        <f t="shared" si="1"/>
        <v>215</v>
      </c>
      <c r="H19" s="424">
        <f t="shared" si="2"/>
        <v>0.35213830755232028</v>
      </c>
      <c r="I19" s="689"/>
      <c r="J19" s="689"/>
      <c r="K19" s="647">
        <f t="shared" si="3"/>
        <v>0.35875187719005508</v>
      </c>
      <c r="L19" s="333"/>
    </row>
    <row r="20" spans="1:12" s="367" customFormat="1" ht="11.25" customHeight="1">
      <c r="A20" s="330">
        <v>12</v>
      </c>
      <c r="B20" s="365">
        <f>'FRIT HGE91-FHG'!B20</f>
        <v>46246</v>
      </c>
      <c r="C20" s="365" t="s">
        <v>285</v>
      </c>
      <c r="D20" s="480"/>
      <c r="E20" s="480">
        <f t="shared" si="0"/>
        <v>0</v>
      </c>
      <c r="F20" s="567">
        <f t="shared" si="4"/>
        <v>610.55555555555554</v>
      </c>
      <c r="G20" s="433">
        <f t="shared" si="1"/>
        <v>215</v>
      </c>
      <c r="H20" s="424">
        <f t="shared" si="2"/>
        <v>0.35213830755232028</v>
      </c>
      <c r="I20" s="689"/>
      <c r="J20" s="689"/>
      <c r="K20" s="647">
        <f t="shared" si="3"/>
        <v>0.35875187719005508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65" t="s">
        <v>285</v>
      </c>
      <c r="D21" s="480"/>
      <c r="E21" s="480">
        <f t="shared" si="0"/>
        <v>0</v>
      </c>
      <c r="F21" s="567">
        <f t="shared" si="4"/>
        <v>610.55555555555554</v>
      </c>
      <c r="G21" s="433">
        <f t="shared" si="1"/>
        <v>215</v>
      </c>
      <c r="H21" s="424">
        <f t="shared" si="2"/>
        <v>0.35213830755232028</v>
      </c>
      <c r="I21" s="689"/>
      <c r="J21" s="689"/>
      <c r="K21" s="647">
        <f t="shared" si="3"/>
        <v>0.35875187719005508</v>
      </c>
      <c r="L21" s="333"/>
    </row>
    <row r="22" spans="1:12" s="367" customFormat="1" ht="11.25" customHeight="1">
      <c r="A22" s="330">
        <v>14</v>
      </c>
      <c r="B22" s="365">
        <f>'FRIT HGE91-FHG'!B22</f>
        <v>46248</v>
      </c>
      <c r="C22" s="365" t="s">
        <v>285</v>
      </c>
      <c r="D22" s="480"/>
      <c r="E22" s="480">
        <f t="shared" si="0"/>
        <v>0</v>
      </c>
      <c r="F22" s="567">
        <f t="shared" si="4"/>
        <v>610.55555555555554</v>
      </c>
      <c r="G22" s="433">
        <f t="shared" si="1"/>
        <v>215</v>
      </c>
      <c r="H22" s="424">
        <f t="shared" si="2"/>
        <v>0.35213830755232028</v>
      </c>
      <c r="I22" s="689"/>
      <c r="J22" s="689"/>
      <c r="K22" s="647">
        <f t="shared" si="3"/>
        <v>0.35875187719005508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65" t="s">
        <v>285</v>
      </c>
      <c r="D23" s="480"/>
      <c r="E23" s="480">
        <f t="shared" si="0"/>
        <v>0</v>
      </c>
      <c r="F23" s="567">
        <f t="shared" si="4"/>
        <v>610.55555555555554</v>
      </c>
      <c r="G23" s="435">
        <f t="shared" si="1"/>
        <v>215</v>
      </c>
      <c r="H23" s="424">
        <f t="shared" si="2"/>
        <v>0.35213830755232028</v>
      </c>
      <c r="I23" s="689"/>
      <c r="J23" s="689"/>
      <c r="K23" s="647">
        <f t="shared" si="3"/>
        <v>0.35875187719005508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65" t="s">
        <v>285</v>
      </c>
      <c r="D24" s="480"/>
      <c r="E24" s="480">
        <f t="shared" si="0"/>
        <v>0</v>
      </c>
      <c r="F24" s="567">
        <f t="shared" si="4"/>
        <v>610.55555555555554</v>
      </c>
      <c r="G24" s="433">
        <f t="shared" si="1"/>
        <v>215</v>
      </c>
      <c r="H24" s="424">
        <f t="shared" si="2"/>
        <v>0.35213830755232028</v>
      </c>
      <c r="I24" s="689"/>
      <c r="J24" s="689"/>
      <c r="K24" s="647">
        <f t="shared" si="3"/>
        <v>0.35875187719005508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65" t="s">
        <v>285</v>
      </c>
      <c r="D25" s="480"/>
      <c r="E25" s="480">
        <f t="shared" si="0"/>
        <v>0</v>
      </c>
      <c r="F25" s="567">
        <f t="shared" si="4"/>
        <v>610.55555555555554</v>
      </c>
      <c r="G25" s="433">
        <f t="shared" si="1"/>
        <v>215</v>
      </c>
      <c r="H25" s="424">
        <f t="shared" si="2"/>
        <v>0.35213830755232028</v>
      </c>
      <c r="I25" s="689"/>
      <c r="J25" s="689"/>
      <c r="K25" s="647">
        <f t="shared" si="3"/>
        <v>0.35875187719005508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65" t="s">
        <v>285</v>
      </c>
      <c r="D26" s="480"/>
      <c r="E26" s="480">
        <f t="shared" si="0"/>
        <v>0</v>
      </c>
      <c r="F26" s="567">
        <f t="shared" si="4"/>
        <v>610.55555555555554</v>
      </c>
      <c r="G26" s="433">
        <f t="shared" si="1"/>
        <v>215</v>
      </c>
      <c r="H26" s="424">
        <f t="shared" si="2"/>
        <v>0.35213830755232028</v>
      </c>
      <c r="I26" s="689"/>
      <c r="J26" s="689"/>
      <c r="K26" s="647">
        <f t="shared" si="3"/>
        <v>0.35875187719005508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65" t="s">
        <v>285</v>
      </c>
      <c r="D27" s="480"/>
      <c r="E27" s="480">
        <f t="shared" si="0"/>
        <v>0</v>
      </c>
      <c r="F27" s="567">
        <f t="shared" si="4"/>
        <v>610.55555555555554</v>
      </c>
      <c r="G27" s="433">
        <f t="shared" si="1"/>
        <v>215</v>
      </c>
      <c r="H27" s="424">
        <f t="shared" si="2"/>
        <v>0.35213830755232028</v>
      </c>
      <c r="I27" s="689"/>
      <c r="J27" s="689"/>
      <c r="K27" s="647">
        <f t="shared" si="3"/>
        <v>0.35875187719005508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65" t="s">
        <v>285</v>
      </c>
      <c r="D28" s="480"/>
      <c r="E28" s="480">
        <f t="shared" si="0"/>
        <v>0</v>
      </c>
      <c r="F28" s="567">
        <f t="shared" si="4"/>
        <v>610.55555555555554</v>
      </c>
      <c r="G28" s="435">
        <f t="shared" si="1"/>
        <v>215</v>
      </c>
      <c r="H28" s="424">
        <f t="shared" si="2"/>
        <v>0.35213830755232028</v>
      </c>
      <c r="I28" s="689"/>
      <c r="J28" s="689"/>
      <c r="K28" s="647">
        <f t="shared" si="3"/>
        <v>0.35875187719005508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65" t="s">
        <v>285</v>
      </c>
      <c r="D29" s="480"/>
      <c r="E29" s="480">
        <f t="shared" si="0"/>
        <v>0</v>
      </c>
      <c r="F29" s="567">
        <f t="shared" si="4"/>
        <v>610.55555555555554</v>
      </c>
      <c r="G29" s="433">
        <f t="shared" si="1"/>
        <v>215</v>
      </c>
      <c r="H29" s="424">
        <f t="shared" si="2"/>
        <v>0.35213830755232028</v>
      </c>
      <c r="I29" s="689"/>
      <c r="J29" s="689"/>
      <c r="K29" s="647">
        <f t="shared" si="3"/>
        <v>0.35875187719005508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65" t="s">
        <v>285</v>
      </c>
      <c r="D30" s="480"/>
      <c r="E30" s="480">
        <f t="shared" si="0"/>
        <v>0</v>
      </c>
      <c r="F30" s="567">
        <f t="shared" si="4"/>
        <v>610.55555555555554</v>
      </c>
      <c r="G30" s="433">
        <f t="shared" si="1"/>
        <v>215</v>
      </c>
      <c r="H30" s="424">
        <f t="shared" si="2"/>
        <v>0.35213830755232028</v>
      </c>
      <c r="I30" s="689"/>
      <c r="J30" s="689"/>
      <c r="K30" s="647">
        <f t="shared" si="3"/>
        <v>0.35875187719005508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65" t="s">
        <v>285</v>
      </c>
      <c r="D31" s="480"/>
      <c r="E31" s="480">
        <f t="shared" si="0"/>
        <v>0</v>
      </c>
      <c r="F31" s="567">
        <f t="shared" si="4"/>
        <v>610.55555555555554</v>
      </c>
      <c r="G31" s="433">
        <f>G30+D31-E31</f>
        <v>215</v>
      </c>
      <c r="H31" s="424">
        <f t="shared" si="2"/>
        <v>0.35213830755232028</v>
      </c>
      <c r="I31" s="689"/>
      <c r="J31" s="689"/>
      <c r="K31" s="647">
        <f t="shared" si="3"/>
        <v>0.35875187719005508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65" t="s">
        <v>285</v>
      </c>
      <c r="D32" s="480"/>
      <c r="E32" s="480">
        <f t="shared" si="0"/>
        <v>0</v>
      </c>
      <c r="F32" s="567">
        <f t="shared" si="4"/>
        <v>610.55555555555554</v>
      </c>
      <c r="G32" s="433">
        <f t="shared" si="1"/>
        <v>215</v>
      </c>
      <c r="H32" s="424">
        <f t="shared" si="2"/>
        <v>0.35213830755232028</v>
      </c>
      <c r="I32" s="689"/>
      <c r="J32" s="689"/>
      <c r="K32" s="647">
        <f t="shared" si="3"/>
        <v>0.35875187719005508</v>
      </c>
    </row>
    <row r="33" spans="1:11" s="367" customFormat="1" ht="11.25" customHeight="1">
      <c r="A33" s="426">
        <v>25</v>
      </c>
      <c r="B33" s="365">
        <f>'FRIT HGE91-FHG'!B33</f>
        <v>46259</v>
      </c>
      <c r="C33" s="365" t="s">
        <v>285</v>
      </c>
      <c r="D33" s="480"/>
      <c r="E33" s="480">
        <f t="shared" si="0"/>
        <v>0</v>
      </c>
      <c r="F33" s="567">
        <f t="shared" si="4"/>
        <v>610.55555555555554</v>
      </c>
      <c r="G33" s="436">
        <f t="shared" si="1"/>
        <v>215</v>
      </c>
      <c r="H33" s="424">
        <f t="shared" si="2"/>
        <v>0.35213830755232028</v>
      </c>
      <c r="I33" s="689"/>
      <c r="J33" s="689"/>
      <c r="K33" s="647">
        <f t="shared" si="3"/>
        <v>0.35875187719005508</v>
      </c>
    </row>
    <row r="34" spans="1:11" s="367" customFormat="1" ht="11.25" customHeight="1">
      <c r="A34" s="330">
        <v>26</v>
      </c>
      <c r="B34" s="365">
        <f>'FRIT HGE91-FHG'!B34</f>
        <v>46260</v>
      </c>
      <c r="C34" s="365" t="s">
        <v>285</v>
      </c>
      <c r="D34" s="480"/>
      <c r="E34" s="480">
        <f t="shared" si="0"/>
        <v>0</v>
      </c>
      <c r="F34" s="567">
        <f t="shared" si="4"/>
        <v>610.55555555555554</v>
      </c>
      <c r="G34" s="433">
        <f t="shared" si="1"/>
        <v>215</v>
      </c>
      <c r="H34" s="424">
        <f t="shared" si="2"/>
        <v>0.35213830755232028</v>
      </c>
      <c r="I34" s="689"/>
      <c r="J34" s="689"/>
      <c r="K34" s="647">
        <f t="shared" si="3"/>
        <v>0.35875187719005508</v>
      </c>
    </row>
    <row r="35" spans="1:11" s="367" customFormat="1" ht="11.25" customHeight="1">
      <c r="A35" s="330">
        <v>27</v>
      </c>
      <c r="B35" s="365">
        <f>'FRIT HGE91-FHG'!B35</f>
        <v>46261</v>
      </c>
      <c r="C35" s="365" t="s">
        <v>285</v>
      </c>
      <c r="D35" s="480"/>
      <c r="E35" s="480">
        <f t="shared" si="0"/>
        <v>0</v>
      </c>
      <c r="F35" s="567">
        <f t="shared" si="4"/>
        <v>610.55555555555554</v>
      </c>
      <c r="G35" s="433">
        <f t="shared" si="1"/>
        <v>215</v>
      </c>
      <c r="H35" s="424">
        <f t="shared" si="2"/>
        <v>0.35213830755232028</v>
      </c>
      <c r="I35" s="689"/>
      <c r="J35" s="689"/>
      <c r="K35" s="647">
        <f t="shared" si="3"/>
        <v>0.35875187719005508</v>
      </c>
    </row>
    <row r="36" spans="1:11" s="367" customFormat="1" ht="11.25" customHeight="1">
      <c r="A36" s="330">
        <v>28</v>
      </c>
      <c r="B36" s="365">
        <f>'FRIT HGE91-FHG'!B36</f>
        <v>46262</v>
      </c>
      <c r="C36" s="365" t="s">
        <v>285</v>
      </c>
      <c r="D36" s="480"/>
      <c r="E36" s="480">
        <f t="shared" si="0"/>
        <v>0</v>
      </c>
      <c r="F36" s="567">
        <f t="shared" si="4"/>
        <v>610.55555555555554</v>
      </c>
      <c r="G36" s="433">
        <f t="shared" si="1"/>
        <v>215</v>
      </c>
      <c r="H36" s="424">
        <f t="shared" si="2"/>
        <v>0.35213830755232028</v>
      </c>
      <c r="I36" s="689"/>
      <c r="J36" s="689"/>
      <c r="K36" s="647">
        <f t="shared" si="3"/>
        <v>0.35875187719005508</v>
      </c>
    </row>
    <row r="37" spans="1:11" s="367" customFormat="1" ht="11.25" customHeight="1">
      <c r="A37" s="330">
        <v>29</v>
      </c>
      <c r="B37" s="365">
        <f>'FRIT HGE91-FHG'!B37</f>
        <v>46263</v>
      </c>
      <c r="C37" s="365" t="s">
        <v>285</v>
      </c>
      <c r="D37" s="480"/>
      <c r="E37" s="480">
        <f t="shared" si="0"/>
        <v>0</v>
      </c>
      <c r="F37" s="567">
        <f t="shared" si="4"/>
        <v>610.55555555555554</v>
      </c>
      <c r="G37" s="433">
        <f t="shared" si="1"/>
        <v>215</v>
      </c>
      <c r="H37" s="424">
        <f t="shared" si="2"/>
        <v>0.35213830755232028</v>
      </c>
      <c r="I37" s="689"/>
      <c r="J37" s="689"/>
      <c r="K37" s="647">
        <f t="shared" si="3"/>
        <v>0.35875187719005508</v>
      </c>
    </row>
    <row r="38" spans="1:11" s="367" customFormat="1" ht="11.25" customHeight="1">
      <c r="A38" s="425">
        <v>30</v>
      </c>
      <c r="B38" s="365">
        <f>'FRIT HGE91-FHG'!B38</f>
        <v>46264</v>
      </c>
      <c r="C38" s="365" t="s">
        <v>285</v>
      </c>
      <c r="D38" s="480"/>
      <c r="E38" s="480">
        <f t="shared" si="0"/>
        <v>0</v>
      </c>
      <c r="F38" s="567">
        <f t="shared" si="4"/>
        <v>610.55555555555554</v>
      </c>
      <c r="G38" s="435">
        <f t="shared" si="1"/>
        <v>215</v>
      </c>
      <c r="H38" s="424">
        <f t="shared" si="2"/>
        <v>0.35213830755232028</v>
      </c>
      <c r="I38" s="689"/>
      <c r="J38" s="689"/>
      <c r="K38" s="647">
        <f t="shared" si="3"/>
        <v>0.35875187719005508</v>
      </c>
    </row>
    <row r="39" spans="1:11" s="367" customFormat="1" ht="11.25" customHeight="1">
      <c r="A39" s="330">
        <v>31</v>
      </c>
      <c r="B39" s="365">
        <f>'FRIT HGE91-FHG'!B39</f>
        <v>46265</v>
      </c>
      <c r="C39" s="365" t="s">
        <v>285</v>
      </c>
      <c r="D39" s="480"/>
      <c r="E39" s="480">
        <f t="shared" si="0"/>
        <v>0</v>
      </c>
      <c r="F39" s="567">
        <f t="shared" si="4"/>
        <v>610.55555555555554</v>
      </c>
      <c r="G39" s="433">
        <f t="shared" si="1"/>
        <v>215</v>
      </c>
      <c r="H39" s="424">
        <f t="shared" si="2"/>
        <v>0.35213830755232028</v>
      </c>
      <c r="I39" s="689"/>
      <c r="J39" s="689"/>
      <c r="K39" s="647">
        <f t="shared" si="3"/>
        <v>0.35875187719005508</v>
      </c>
    </row>
    <row r="40" spans="1:11" s="486" customFormat="1" ht="11.25" customHeight="1">
      <c r="A40" s="1661" t="s">
        <v>29</v>
      </c>
      <c r="B40" s="1661"/>
      <c r="C40" s="1661"/>
      <c r="D40" s="664">
        <f>SUM(D9:D39)</f>
        <v>0</v>
      </c>
      <c r="E40" s="662">
        <f>SUM(E9:E39)</f>
        <v>0</v>
      </c>
      <c r="F40" s="487"/>
      <c r="G40" s="489">
        <f>G39</f>
        <v>215</v>
      </c>
      <c r="H40" s="560"/>
      <c r="I40" s="689">
        <f>SUM(I9:I39)</f>
        <v>0</v>
      </c>
      <c r="J40" s="689">
        <f t="shared" ref="J40" si="5">SUM(J9:J39)</f>
        <v>0</v>
      </c>
      <c r="K40" s="374"/>
    </row>
    <row r="41" spans="1:11" s="486" customFormat="1" ht="11.25" customHeight="1">
      <c r="A41" s="1661" t="s">
        <v>15</v>
      </c>
      <c r="B41" s="1661"/>
      <c r="C41" s="1661"/>
      <c r="D41" s="563">
        <f>D8+D40</f>
        <v>215</v>
      </c>
      <c r="E41" s="487">
        <f>E40</f>
        <v>0</v>
      </c>
      <c r="F41" s="487"/>
      <c r="G41" s="487">
        <f>D41-E41</f>
        <v>215</v>
      </c>
      <c r="H41" s="485"/>
      <c r="I41" s="689"/>
      <c r="J41" s="689"/>
      <c r="K41" s="374"/>
    </row>
    <row r="42" spans="1:11" s="324" customFormat="1" ht="12.75">
      <c r="D42" s="343"/>
      <c r="E42" s="343"/>
      <c r="F42" s="343"/>
      <c r="H42" s="343" t="s">
        <v>227</v>
      </c>
      <c r="I42" s="343"/>
    </row>
    <row r="43" spans="1:11" s="324" customFormat="1" ht="12.75">
      <c r="D43" s="343"/>
      <c r="E43" s="343"/>
      <c r="F43" s="343"/>
      <c r="H43" s="343"/>
      <c r="I43" s="343"/>
    </row>
    <row r="44" spans="1:11" s="324" customFormat="1" ht="12.75">
      <c r="D44" s="343"/>
      <c r="E44" s="343"/>
      <c r="F44" s="343"/>
      <c r="H44" s="343"/>
      <c r="I44" s="343"/>
    </row>
    <row r="45" spans="1:11" s="324" customFormat="1" ht="12.75">
      <c r="D45" s="343"/>
      <c r="E45" s="343"/>
      <c r="F45" s="343"/>
      <c r="H45" s="343"/>
      <c r="I45" s="343"/>
    </row>
    <row r="46" spans="1:11" s="324" customFormat="1" ht="12.75">
      <c r="D46" s="343"/>
      <c r="E46" s="343"/>
      <c r="F46" s="343"/>
      <c r="H46" s="343" t="s">
        <v>333</v>
      </c>
      <c r="I46" s="343"/>
    </row>
    <row r="47" spans="1:11" s="340" customFormat="1" ht="15.75">
      <c r="D47" s="341"/>
      <c r="E47" s="341"/>
      <c r="F47" s="341"/>
      <c r="G47" s="341"/>
      <c r="H47" s="341"/>
      <c r="I47" s="341"/>
      <c r="J47" s="341"/>
      <c r="K47" s="143"/>
    </row>
  </sheetData>
  <mergeCells count="3">
    <mergeCell ref="A3:J3"/>
    <mergeCell ref="A40:C40"/>
    <mergeCell ref="A41:C41"/>
  </mergeCells>
  <conditionalFormatting sqref="H9:H39">
    <cfRule type="cellIs" dxfId="5648" priority="4" operator="between">
      <formula>3</formula>
      <formula>6</formula>
    </cfRule>
    <cfRule type="cellIs" dxfId="5647" priority="5" operator="lessThan">
      <formula>3</formula>
    </cfRule>
    <cfRule type="cellIs" dxfId="5646" priority="6" operator="greaterThan">
      <formula>6</formula>
    </cfRule>
  </conditionalFormatting>
  <conditionalFormatting sqref="H40">
    <cfRule type="cellIs" dxfId="5645" priority="1" operator="between">
      <formula>3</formula>
      <formula>6</formula>
    </cfRule>
    <cfRule type="cellIs" dxfId="5644" priority="2" operator="lessThan">
      <formula>3</formula>
    </cfRule>
    <cfRule type="cellIs" dxfId="5643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47"/>
  <sheetViews>
    <sheetView workbookViewId="0">
      <pane ySplit="8" topLeftCell="A9" activePane="bottomLeft" state="frozen"/>
      <selection pane="bottomLeft" activeCell="D27" sqref="D27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6.5703125" style="42" customWidth="1"/>
    <col min="4" max="5" width="13.42578125" style="6" customWidth="1"/>
    <col min="6" max="6" width="15.140625" style="6" customWidth="1"/>
    <col min="7" max="7" width="13.42578125" style="6" customWidth="1"/>
    <col min="8" max="8" width="18.28515625" style="42" customWidth="1"/>
    <col min="9" max="9" width="10.42578125" style="42" customWidth="1"/>
    <col min="10" max="10" width="10.28515625" style="42" customWidth="1"/>
    <col min="11" max="11" width="7.42578125" style="143" customWidth="1"/>
    <col min="12" max="12" width="7.5703125" style="42" customWidth="1"/>
    <col min="13" max="16384" width="9.28515625" style="42"/>
  </cols>
  <sheetData>
    <row r="1" spans="1:23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3"/>
      <c r="M1" s="323"/>
      <c r="N1" s="324"/>
      <c r="O1" s="324"/>
      <c r="P1" s="324"/>
      <c r="Q1" s="324"/>
      <c r="R1" s="324"/>
      <c r="S1" s="324"/>
      <c r="T1" s="324"/>
      <c r="U1" s="324"/>
      <c r="V1" s="324"/>
      <c r="W1" s="324"/>
    </row>
    <row r="2" spans="1:23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K2" s="323"/>
      <c r="M2" s="323"/>
      <c r="N2" s="324"/>
      <c r="O2" s="324"/>
      <c r="P2" s="324"/>
      <c r="Q2" s="324"/>
      <c r="R2" s="324"/>
      <c r="S2" s="324"/>
      <c r="T2" s="324"/>
      <c r="U2" s="324"/>
      <c r="V2" s="324"/>
    </row>
    <row r="3" spans="1:23" s="143" customFormat="1" ht="18.75" customHeight="1">
      <c r="A3" s="1543" t="s">
        <v>0</v>
      </c>
      <c r="B3" s="1543"/>
      <c r="C3" s="1543"/>
      <c r="D3" s="1543"/>
      <c r="E3" s="1543"/>
      <c r="F3" s="1543"/>
      <c r="G3" s="1543"/>
      <c r="H3" s="1543"/>
      <c r="I3" s="1543"/>
      <c r="J3" s="1543"/>
      <c r="L3" s="442"/>
    </row>
    <row r="4" spans="1:23" s="382" customFormat="1" ht="15" customHeight="1">
      <c r="A4" s="564" t="s">
        <v>33</v>
      </c>
      <c r="B4" s="564"/>
      <c r="C4" s="318" t="str">
        <f>H4</f>
        <v>KE NHỰA 4080 và 6060 MM 5V</v>
      </c>
      <c r="D4" s="328"/>
      <c r="E4" s="328" t="s">
        <v>228</v>
      </c>
      <c r="F4" s="328" t="s">
        <v>237</v>
      </c>
      <c r="G4" s="328" t="s">
        <v>114</v>
      </c>
      <c r="H4" s="318" t="s">
        <v>1055</v>
      </c>
      <c r="K4" s="143"/>
    </row>
    <row r="5" spans="1:23" s="229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143"/>
    </row>
    <row r="6" spans="1:23" s="382" customFormat="1" ht="15" customHeight="1">
      <c r="D6" s="328"/>
      <c r="E6" s="329"/>
      <c r="F6" s="329"/>
      <c r="G6" s="328">
        <v>645.99999999999545</v>
      </c>
      <c r="H6" s="322" t="s">
        <v>292</v>
      </c>
      <c r="I6" s="578" t="s">
        <v>149</v>
      </c>
      <c r="K6" s="143"/>
      <c r="L6" s="382" t="s">
        <v>225</v>
      </c>
    </row>
    <row r="7" spans="1:23" s="305" customFormat="1" ht="28.5" customHeight="1">
      <c r="A7" s="1262" t="s">
        <v>2</v>
      </c>
      <c r="B7" s="1263" t="s">
        <v>1</v>
      </c>
      <c r="C7" s="1263" t="s">
        <v>24</v>
      </c>
      <c r="D7" s="1261" t="s">
        <v>250</v>
      </c>
      <c r="E7" s="1261" t="s">
        <v>249</v>
      </c>
      <c r="F7" s="1261" t="s">
        <v>265</v>
      </c>
      <c r="G7" s="1261" t="s">
        <v>253</v>
      </c>
      <c r="H7" s="1261" t="s">
        <v>30</v>
      </c>
      <c r="I7" s="697" t="s">
        <v>341</v>
      </c>
      <c r="J7" s="697" t="s">
        <v>244</v>
      </c>
      <c r="K7" s="143"/>
    </row>
    <row r="8" spans="1:23" s="305" customFormat="1" ht="11.25" customHeight="1">
      <c r="A8" s="568" t="s">
        <v>3</v>
      </c>
      <c r="B8" s="1259"/>
      <c r="C8" s="1260"/>
      <c r="D8" s="475">
        <f>G8</f>
        <v>0</v>
      </c>
      <c r="E8" s="300">
        <f>E40</f>
        <v>2925</v>
      </c>
      <c r="F8" s="300"/>
      <c r="G8" s="423">
        <v>0</v>
      </c>
      <c r="H8" s="581"/>
      <c r="I8" s="689"/>
      <c r="J8" s="689"/>
      <c r="K8" s="143">
        <v>599.29999999999995</v>
      </c>
    </row>
    <row r="9" spans="1:23" s="333" customFormat="1" ht="11.25" customHeight="1">
      <c r="A9" s="330">
        <v>1</v>
      </c>
      <c r="B9" s="365">
        <f>'FRIT HGE91-FHG'!B9</f>
        <v>46235</v>
      </c>
      <c r="C9" s="365" t="s">
        <v>334</v>
      </c>
      <c r="D9" s="480"/>
      <c r="E9" s="480">
        <f>I9+J9</f>
        <v>0</v>
      </c>
      <c r="F9" s="567">
        <f>35000/900000*15700</f>
        <v>610.55555555555554</v>
      </c>
      <c r="G9" s="433">
        <f>G8+D9-E9</f>
        <v>0</v>
      </c>
      <c r="H9" s="424">
        <f>G9/F9</f>
        <v>0</v>
      </c>
      <c r="I9" s="689"/>
      <c r="J9" s="689"/>
      <c r="K9" s="647">
        <f>G9/$K$8</f>
        <v>0</v>
      </c>
      <c r="L9" s="305"/>
    </row>
    <row r="10" spans="1:23" s="333" customFormat="1" ht="11.25" customHeight="1">
      <c r="A10" s="330">
        <v>2</v>
      </c>
      <c r="B10" s="365">
        <f>'FRIT HGE91-FHG'!B10</f>
        <v>46236</v>
      </c>
      <c r="C10" s="365" t="s">
        <v>334</v>
      </c>
      <c r="D10" s="480"/>
      <c r="E10" s="480">
        <f t="shared" ref="E10:E39" si="0">I10+J10</f>
        <v>0</v>
      </c>
      <c r="F10" s="567">
        <f>$F$9</f>
        <v>610.55555555555554</v>
      </c>
      <c r="G10" s="433">
        <f t="shared" ref="G10:G39" si="1">G9+D10-E10</f>
        <v>0</v>
      </c>
      <c r="H10" s="424">
        <f t="shared" ref="H10:H39" si="2">G10/F10</f>
        <v>0</v>
      </c>
      <c r="I10" s="689"/>
      <c r="J10" s="689"/>
      <c r="K10" s="647">
        <f t="shared" ref="K10:K39" si="3">G10/$K$8</f>
        <v>0</v>
      </c>
      <c r="L10" s="305"/>
    </row>
    <row r="11" spans="1:23" s="333" customFormat="1" ht="11.25" customHeight="1">
      <c r="A11" s="330">
        <v>3</v>
      </c>
      <c r="B11" s="365">
        <f>'FRIT HGE91-FHG'!B11</f>
        <v>46237</v>
      </c>
      <c r="C11" s="365" t="s">
        <v>334</v>
      </c>
      <c r="D11" s="480"/>
      <c r="E11" s="480">
        <f t="shared" si="0"/>
        <v>0</v>
      </c>
      <c r="F11" s="567">
        <f t="shared" ref="F11:F39" si="4">$F$9</f>
        <v>610.55555555555554</v>
      </c>
      <c r="G11" s="433">
        <f>G10+D11-E11</f>
        <v>0</v>
      </c>
      <c r="H11" s="424">
        <f t="shared" si="2"/>
        <v>0</v>
      </c>
      <c r="I11" s="689"/>
      <c r="J11" s="689"/>
      <c r="K11" s="647">
        <f t="shared" si="3"/>
        <v>0</v>
      </c>
      <c r="L11" s="305"/>
    </row>
    <row r="12" spans="1:23" s="367" customFormat="1" ht="11.25" customHeight="1">
      <c r="A12" s="330">
        <v>4</v>
      </c>
      <c r="B12" s="365">
        <f>'FRIT HGE91-FHG'!B12</f>
        <v>46238</v>
      </c>
      <c r="C12" s="365" t="s">
        <v>334</v>
      </c>
      <c r="D12" s="480"/>
      <c r="E12" s="480">
        <f t="shared" si="0"/>
        <v>0</v>
      </c>
      <c r="F12" s="567">
        <f t="shared" si="4"/>
        <v>610.55555555555554</v>
      </c>
      <c r="G12" s="433">
        <f>G11+D12-E12</f>
        <v>0</v>
      </c>
      <c r="H12" s="424">
        <f t="shared" si="2"/>
        <v>0</v>
      </c>
      <c r="I12" s="689"/>
      <c r="J12" s="689"/>
      <c r="K12" s="647">
        <f t="shared" si="3"/>
        <v>0</v>
      </c>
      <c r="L12" s="305"/>
    </row>
    <row r="13" spans="1:23" s="367" customFormat="1" ht="11.25" customHeight="1">
      <c r="A13" s="425">
        <v>5</v>
      </c>
      <c r="B13" s="365">
        <f>'FRIT HGE91-FHG'!B13</f>
        <v>46239</v>
      </c>
      <c r="C13" s="365" t="s">
        <v>285</v>
      </c>
      <c r="D13" s="480"/>
      <c r="E13" s="480">
        <f t="shared" si="0"/>
        <v>0</v>
      </c>
      <c r="F13" s="567">
        <f t="shared" si="4"/>
        <v>610.55555555555554</v>
      </c>
      <c r="G13" s="435">
        <f>G12+D13-E13</f>
        <v>0</v>
      </c>
      <c r="H13" s="424">
        <f t="shared" si="2"/>
        <v>0</v>
      </c>
      <c r="I13" s="689"/>
      <c r="J13" s="689"/>
      <c r="K13" s="647">
        <f t="shared" si="3"/>
        <v>0</v>
      </c>
      <c r="L13" s="305"/>
    </row>
    <row r="14" spans="1:23" s="367" customFormat="1" ht="11.25" customHeight="1">
      <c r="A14" s="330">
        <v>6</v>
      </c>
      <c r="B14" s="365">
        <f>'FRIT HGE91-FHG'!B14</f>
        <v>46240</v>
      </c>
      <c r="C14" s="365" t="s">
        <v>285</v>
      </c>
      <c r="D14" s="480"/>
      <c r="E14" s="480">
        <f t="shared" si="0"/>
        <v>0</v>
      </c>
      <c r="F14" s="567">
        <f t="shared" si="4"/>
        <v>610.55555555555554</v>
      </c>
      <c r="G14" s="433">
        <f t="shared" si="1"/>
        <v>0</v>
      </c>
      <c r="H14" s="424">
        <f t="shared" si="2"/>
        <v>0</v>
      </c>
      <c r="I14" s="689"/>
      <c r="J14" s="689"/>
      <c r="K14" s="647">
        <f t="shared" si="3"/>
        <v>0</v>
      </c>
      <c r="L14" s="305"/>
    </row>
    <row r="15" spans="1:23" s="367" customFormat="1" ht="11.25" customHeight="1">
      <c r="A15" s="330">
        <v>7</v>
      </c>
      <c r="B15" s="365">
        <f>'FRIT HGE91-FHG'!B15</f>
        <v>46241</v>
      </c>
      <c r="C15" s="365" t="s">
        <v>285</v>
      </c>
      <c r="D15" s="480"/>
      <c r="E15" s="480">
        <f t="shared" si="0"/>
        <v>0</v>
      </c>
      <c r="F15" s="567">
        <f t="shared" si="4"/>
        <v>610.55555555555554</v>
      </c>
      <c r="G15" s="433">
        <f>G14+D15-E15</f>
        <v>0</v>
      </c>
      <c r="H15" s="424">
        <f t="shared" si="2"/>
        <v>0</v>
      </c>
      <c r="I15" s="689"/>
      <c r="J15" s="689"/>
      <c r="K15" s="647">
        <f t="shared" si="3"/>
        <v>0</v>
      </c>
      <c r="L15" s="305"/>
    </row>
    <row r="16" spans="1:23" s="367" customFormat="1" ht="11.25" customHeight="1">
      <c r="A16" s="330">
        <v>8</v>
      </c>
      <c r="B16" s="365">
        <f>'FRIT HGE91-FHG'!B16</f>
        <v>46242</v>
      </c>
      <c r="C16" s="365" t="s">
        <v>285</v>
      </c>
      <c r="D16" s="480"/>
      <c r="E16" s="480">
        <f t="shared" si="0"/>
        <v>0</v>
      </c>
      <c r="F16" s="567">
        <f t="shared" si="4"/>
        <v>610.55555555555554</v>
      </c>
      <c r="G16" s="433">
        <f t="shared" si="1"/>
        <v>0</v>
      </c>
      <c r="H16" s="424">
        <f t="shared" si="2"/>
        <v>0</v>
      </c>
      <c r="I16" s="689"/>
      <c r="J16" s="689"/>
      <c r="K16" s="647">
        <f t="shared" si="3"/>
        <v>0</v>
      </c>
      <c r="L16" s="305"/>
    </row>
    <row r="17" spans="1:12" s="367" customFormat="1" ht="11.25" customHeight="1">
      <c r="A17" s="330">
        <v>9</v>
      </c>
      <c r="B17" s="365">
        <f>'FRIT HGE91-FHG'!B17</f>
        <v>46243</v>
      </c>
      <c r="C17" s="365" t="s">
        <v>285</v>
      </c>
      <c r="D17" s="480"/>
      <c r="E17" s="480">
        <f t="shared" si="0"/>
        <v>0</v>
      </c>
      <c r="F17" s="567">
        <f t="shared" si="4"/>
        <v>610.55555555555554</v>
      </c>
      <c r="G17" s="433">
        <f t="shared" si="1"/>
        <v>0</v>
      </c>
      <c r="H17" s="424">
        <f t="shared" si="2"/>
        <v>0</v>
      </c>
      <c r="I17" s="689"/>
      <c r="J17" s="689"/>
      <c r="K17" s="647">
        <f t="shared" si="3"/>
        <v>0</v>
      </c>
      <c r="L17" s="305"/>
    </row>
    <row r="18" spans="1:12" s="367" customFormat="1" ht="11.25" customHeight="1">
      <c r="A18" s="425">
        <v>10</v>
      </c>
      <c r="B18" s="365">
        <f>'FRIT HGE91-FHG'!B18</f>
        <v>46244</v>
      </c>
      <c r="C18" s="365" t="s">
        <v>285</v>
      </c>
      <c r="D18" s="480">
        <v>1230</v>
      </c>
      <c r="E18" s="480">
        <f t="shared" si="0"/>
        <v>0</v>
      </c>
      <c r="F18" s="567">
        <f t="shared" si="4"/>
        <v>610.55555555555554</v>
      </c>
      <c r="G18" s="435">
        <f>G17+D18-E18</f>
        <v>1230</v>
      </c>
      <c r="H18" s="424">
        <f t="shared" si="2"/>
        <v>2.0145586897179255</v>
      </c>
      <c r="I18" s="689"/>
      <c r="J18" s="689"/>
      <c r="K18" s="647">
        <f t="shared" si="3"/>
        <v>2.0523944602035709</v>
      </c>
      <c r="L18" s="305"/>
    </row>
    <row r="19" spans="1:12" s="367" customFormat="1" ht="11.25" customHeight="1">
      <c r="A19" s="330">
        <v>11</v>
      </c>
      <c r="B19" s="365">
        <f>'FRIT HGE91-FHG'!B19</f>
        <v>46245</v>
      </c>
      <c r="C19" s="365" t="s">
        <v>285</v>
      </c>
      <c r="D19" s="480"/>
      <c r="E19" s="480">
        <f t="shared" si="0"/>
        <v>0</v>
      </c>
      <c r="F19" s="567">
        <f t="shared" si="4"/>
        <v>610.55555555555554</v>
      </c>
      <c r="G19" s="433">
        <f t="shared" si="1"/>
        <v>1230</v>
      </c>
      <c r="H19" s="424">
        <f t="shared" si="2"/>
        <v>2.0145586897179255</v>
      </c>
      <c r="I19" s="689"/>
      <c r="J19" s="689"/>
      <c r="K19" s="647">
        <f t="shared" si="3"/>
        <v>2.0523944602035709</v>
      </c>
      <c r="L19" s="333"/>
    </row>
    <row r="20" spans="1:12" s="367" customFormat="1" ht="11.25" customHeight="1">
      <c r="A20" s="330">
        <v>12</v>
      </c>
      <c r="B20" s="365">
        <f>'FRIT HGE91-FHG'!B20</f>
        <v>46246</v>
      </c>
      <c r="C20" s="365" t="s">
        <v>285</v>
      </c>
      <c r="D20" s="480">
        <v>495</v>
      </c>
      <c r="E20" s="480">
        <f t="shared" si="0"/>
        <v>0</v>
      </c>
      <c r="F20" s="567">
        <f t="shared" si="4"/>
        <v>610.55555555555554</v>
      </c>
      <c r="G20" s="433">
        <f t="shared" si="1"/>
        <v>1725</v>
      </c>
      <c r="H20" s="424">
        <f t="shared" si="2"/>
        <v>2.8252957233848952</v>
      </c>
      <c r="I20" s="689"/>
      <c r="J20" s="689"/>
      <c r="K20" s="647">
        <f t="shared" si="3"/>
        <v>2.8783580844318375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65" t="s">
        <v>285</v>
      </c>
      <c r="D21" s="480"/>
      <c r="E21" s="480">
        <f t="shared" si="0"/>
        <v>1725</v>
      </c>
      <c r="F21" s="567">
        <f t="shared" si="4"/>
        <v>610.55555555555554</v>
      </c>
      <c r="G21" s="433">
        <f t="shared" si="1"/>
        <v>0</v>
      </c>
      <c r="H21" s="424">
        <f t="shared" si="2"/>
        <v>0</v>
      </c>
      <c r="I21" s="689"/>
      <c r="J21" s="689">
        <v>1725</v>
      </c>
      <c r="K21" s="647">
        <f t="shared" si="3"/>
        <v>0</v>
      </c>
      <c r="L21" s="333"/>
    </row>
    <row r="22" spans="1:12" s="367" customFormat="1" ht="11.25" customHeight="1">
      <c r="A22" s="330">
        <v>14</v>
      </c>
      <c r="B22" s="365">
        <f>'FRIT HGE91-FHG'!B22</f>
        <v>46248</v>
      </c>
      <c r="C22" s="365" t="s">
        <v>285</v>
      </c>
      <c r="D22" s="480">
        <v>605</v>
      </c>
      <c r="E22" s="480">
        <f t="shared" si="0"/>
        <v>0</v>
      </c>
      <c r="F22" s="567">
        <f t="shared" si="4"/>
        <v>610.55555555555554</v>
      </c>
      <c r="G22" s="433">
        <f t="shared" si="1"/>
        <v>605</v>
      </c>
      <c r="H22" s="424">
        <f t="shared" si="2"/>
        <v>0.99090081892629667</v>
      </c>
      <c r="I22" s="689"/>
      <c r="J22" s="689"/>
      <c r="K22" s="647">
        <f t="shared" si="3"/>
        <v>1.0095110962789922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65" t="s">
        <v>285</v>
      </c>
      <c r="D23" s="480"/>
      <c r="E23" s="480">
        <f t="shared" si="0"/>
        <v>605</v>
      </c>
      <c r="F23" s="567">
        <f t="shared" si="4"/>
        <v>610.55555555555554</v>
      </c>
      <c r="G23" s="435">
        <f t="shared" si="1"/>
        <v>0</v>
      </c>
      <c r="H23" s="424">
        <f t="shared" si="2"/>
        <v>0</v>
      </c>
      <c r="I23" s="689"/>
      <c r="J23" s="689">
        <v>605</v>
      </c>
      <c r="K23" s="647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65" t="s">
        <v>285</v>
      </c>
      <c r="D24" s="480"/>
      <c r="E24" s="480">
        <f t="shared" si="0"/>
        <v>0</v>
      </c>
      <c r="F24" s="567">
        <f t="shared" si="4"/>
        <v>610.55555555555554</v>
      </c>
      <c r="G24" s="433">
        <f t="shared" si="1"/>
        <v>0</v>
      </c>
      <c r="H24" s="424">
        <f t="shared" si="2"/>
        <v>0</v>
      </c>
      <c r="I24" s="689"/>
      <c r="J24" s="689"/>
      <c r="K24" s="647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65" t="s">
        <v>285</v>
      </c>
      <c r="D25" s="480">
        <v>595</v>
      </c>
      <c r="E25" s="480">
        <f t="shared" si="0"/>
        <v>0</v>
      </c>
      <c r="F25" s="567">
        <f t="shared" si="4"/>
        <v>610.55555555555554</v>
      </c>
      <c r="G25" s="433">
        <f t="shared" si="1"/>
        <v>595</v>
      </c>
      <c r="H25" s="424">
        <f t="shared" si="2"/>
        <v>0.97452229299363058</v>
      </c>
      <c r="I25" s="689"/>
      <c r="J25" s="689"/>
      <c r="K25" s="647">
        <f t="shared" si="3"/>
        <v>0.992824962456199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65" t="s">
        <v>285</v>
      </c>
      <c r="D26" s="480">
        <v>595</v>
      </c>
      <c r="E26" s="480">
        <f t="shared" si="0"/>
        <v>595</v>
      </c>
      <c r="F26" s="567">
        <f t="shared" si="4"/>
        <v>610.55555555555554</v>
      </c>
      <c r="G26" s="433">
        <f t="shared" si="1"/>
        <v>595</v>
      </c>
      <c r="H26" s="424">
        <f t="shared" si="2"/>
        <v>0.97452229299363058</v>
      </c>
      <c r="I26" s="689"/>
      <c r="J26" s="689">
        <v>595</v>
      </c>
      <c r="K26" s="647">
        <f t="shared" si="3"/>
        <v>0.992824962456199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65" t="s">
        <v>285</v>
      </c>
      <c r="D27" s="480"/>
      <c r="E27" s="480">
        <f t="shared" si="0"/>
        <v>0</v>
      </c>
      <c r="F27" s="567">
        <f t="shared" si="4"/>
        <v>610.55555555555554</v>
      </c>
      <c r="G27" s="433">
        <f t="shared" si="1"/>
        <v>595</v>
      </c>
      <c r="H27" s="424">
        <f t="shared" si="2"/>
        <v>0.97452229299363058</v>
      </c>
      <c r="I27" s="689"/>
      <c r="J27" s="689"/>
      <c r="K27" s="647">
        <f t="shared" si="3"/>
        <v>0.992824962456199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65" t="s">
        <v>285</v>
      </c>
      <c r="D28" s="480"/>
      <c r="E28" s="480">
        <f t="shared" si="0"/>
        <v>0</v>
      </c>
      <c r="F28" s="567">
        <f t="shared" si="4"/>
        <v>610.55555555555554</v>
      </c>
      <c r="G28" s="435">
        <f t="shared" si="1"/>
        <v>595</v>
      </c>
      <c r="H28" s="424">
        <f t="shared" si="2"/>
        <v>0.97452229299363058</v>
      </c>
      <c r="I28" s="689"/>
      <c r="J28" s="689"/>
      <c r="K28" s="647">
        <f t="shared" si="3"/>
        <v>0.992824962456199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65" t="s">
        <v>285</v>
      </c>
      <c r="D29" s="480"/>
      <c r="E29" s="480">
        <f t="shared" si="0"/>
        <v>0</v>
      </c>
      <c r="F29" s="567">
        <f t="shared" si="4"/>
        <v>610.55555555555554</v>
      </c>
      <c r="G29" s="433">
        <f t="shared" si="1"/>
        <v>595</v>
      </c>
      <c r="H29" s="424">
        <f t="shared" si="2"/>
        <v>0.97452229299363058</v>
      </c>
      <c r="I29" s="689"/>
      <c r="J29" s="689"/>
      <c r="K29" s="647">
        <f t="shared" si="3"/>
        <v>0.992824962456199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65" t="s">
        <v>285</v>
      </c>
      <c r="D30" s="480"/>
      <c r="E30" s="480">
        <f t="shared" si="0"/>
        <v>0</v>
      </c>
      <c r="F30" s="567">
        <f t="shared" si="4"/>
        <v>610.55555555555554</v>
      </c>
      <c r="G30" s="433">
        <f t="shared" si="1"/>
        <v>595</v>
      </c>
      <c r="H30" s="424">
        <f t="shared" si="2"/>
        <v>0.97452229299363058</v>
      </c>
      <c r="I30" s="689"/>
      <c r="J30" s="689"/>
      <c r="K30" s="647">
        <f t="shared" si="3"/>
        <v>0.992824962456199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65" t="s">
        <v>285</v>
      </c>
      <c r="D31" s="480"/>
      <c r="E31" s="480">
        <f t="shared" si="0"/>
        <v>0</v>
      </c>
      <c r="F31" s="567">
        <f t="shared" si="4"/>
        <v>610.55555555555554</v>
      </c>
      <c r="G31" s="433">
        <f>G30+D31-E31</f>
        <v>595</v>
      </c>
      <c r="H31" s="424">
        <f t="shared" si="2"/>
        <v>0.97452229299363058</v>
      </c>
      <c r="I31" s="689"/>
      <c r="J31" s="689"/>
      <c r="K31" s="647">
        <f t="shared" si="3"/>
        <v>0.992824962456199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65" t="s">
        <v>285</v>
      </c>
      <c r="D32" s="480"/>
      <c r="E32" s="480">
        <f t="shared" si="0"/>
        <v>0</v>
      </c>
      <c r="F32" s="567">
        <f t="shared" si="4"/>
        <v>610.55555555555554</v>
      </c>
      <c r="G32" s="433">
        <f t="shared" si="1"/>
        <v>595</v>
      </c>
      <c r="H32" s="424">
        <f t="shared" si="2"/>
        <v>0.97452229299363058</v>
      </c>
      <c r="I32" s="689"/>
      <c r="J32" s="689"/>
      <c r="K32" s="647">
        <f t="shared" si="3"/>
        <v>0.992824962456199</v>
      </c>
    </row>
    <row r="33" spans="1:11" s="367" customFormat="1" ht="11.25" customHeight="1">
      <c r="A33" s="426">
        <v>25</v>
      </c>
      <c r="B33" s="365">
        <f>'FRIT HGE91-FHG'!B33</f>
        <v>46259</v>
      </c>
      <c r="C33" s="365" t="s">
        <v>285</v>
      </c>
      <c r="D33" s="480"/>
      <c r="E33" s="480">
        <f t="shared" si="0"/>
        <v>0</v>
      </c>
      <c r="F33" s="567">
        <f t="shared" si="4"/>
        <v>610.55555555555554</v>
      </c>
      <c r="G33" s="436">
        <f t="shared" si="1"/>
        <v>595</v>
      </c>
      <c r="H33" s="424">
        <f t="shared" si="2"/>
        <v>0.97452229299363058</v>
      </c>
      <c r="I33" s="689"/>
      <c r="J33" s="689"/>
      <c r="K33" s="647">
        <f t="shared" si="3"/>
        <v>0.992824962456199</v>
      </c>
    </row>
    <row r="34" spans="1:11" s="367" customFormat="1" ht="11.25" customHeight="1">
      <c r="A34" s="330">
        <v>26</v>
      </c>
      <c r="B34" s="365">
        <f>'FRIT HGE91-FHG'!B34</f>
        <v>46260</v>
      </c>
      <c r="C34" s="365" t="s">
        <v>285</v>
      </c>
      <c r="D34" s="480"/>
      <c r="E34" s="480">
        <f t="shared" si="0"/>
        <v>0</v>
      </c>
      <c r="F34" s="567">
        <f t="shared" si="4"/>
        <v>610.55555555555554</v>
      </c>
      <c r="G34" s="433">
        <f t="shared" si="1"/>
        <v>595</v>
      </c>
      <c r="H34" s="424">
        <f t="shared" si="2"/>
        <v>0.97452229299363058</v>
      </c>
      <c r="I34" s="689"/>
      <c r="J34" s="689"/>
      <c r="K34" s="647">
        <f t="shared" si="3"/>
        <v>0.992824962456199</v>
      </c>
    </row>
    <row r="35" spans="1:11" s="367" customFormat="1" ht="11.25" customHeight="1">
      <c r="A35" s="330">
        <v>27</v>
      </c>
      <c r="B35" s="365">
        <f>'FRIT HGE91-FHG'!B35</f>
        <v>46261</v>
      </c>
      <c r="C35" s="365" t="s">
        <v>285</v>
      </c>
      <c r="D35" s="480"/>
      <c r="E35" s="480">
        <f t="shared" si="0"/>
        <v>0</v>
      </c>
      <c r="F35" s="567">
        <f t="shared" si="4"/>
        <v>610.55555555555554</v>
      </c>
      <c r="G35" s="433">
        <f t="shared" si="1"/>
        <v>595</v>
      </c>
      <c r="H35" s="424">
        <f t="shared" si="2"/>
        <v>0.97452229299363058</v>
      </c>
      <c r="I35" s="689"/>
      <c r="J35" s="689"/>
      <c r="K35" s="647">
        <f t="shared" si="3"/>
        <v>0.992824962456199</v>
      </c>
    </row>
    <row r="36" spans="1:11" s="367" customFormat="1" ht="11.25" customHeight="1">
      <c r="A36" s="330">
        <v>28</v>
      </c>
      <c r="B36" s="365">
        <f>'FRIT HGE91-FHG'!B36</f>
        <v>46262</v>
      </c>
      <c r="C36" s="365" t="s">
        <v>285</v>
      </c>
      <c r="D36" s="480"/>
      <c r="E36" s="480">
        <f t="shared" si="0"/>
        <v>0</v>
      </c>
      <c r="F36" s="567">
        <f t="shared" si="4"/>
        <v>610.55555555555554</v>
      </c>
      <c r="G36" s="433">
        <f t="shared" si="1"/>
        <v>595</v>
      </c>
      <c r="H36" s="424">
        <f t="shared" si="2"/>
        <v>0.97452229299363058</v>
      </c>
      <c r="I36" s="689"/>
      <c r="J36" s="689"/>
      <c r="K36" s="647">
        <f t="shared" si="3"/>
        <v>0.992824962456199</v>
      </c>
    </row>
    <row r="37" spans="1:11" s="367" customFormat="1" ht="11.25" customHeight="1">
      <c r="A37" s="330">
        <v>29</v>
      </c>
      <c r="B37" s="365">
        <f>'FRIT HGE91-FHG'!B37</f>
        <v>46263</v>
      </c>
      <c r="C37" s="365" t="s">
        <v>285</v>
      </c>
      <c r="D37" s="480"/>
      <c r="E37" s="480">
        <f t="shared" si="0"/>
        <v>0</v>
      </c>
      <c r="F37" s="567">
        <f t="shared" si="4"/>
        <v>610.55555555555554</v>
      </c>
      <c r="G37" s="433">
        <f t="shared" si="1"/>
        <v>595</v>
      </c>
      <c r="H37" s="424">
        <f t="shared" si="2"/>
        <v>0.97452229299363058</v>
      </c>
      <c r="I37" s="689"/>
      <c r="J37" s="689"/>
      <c r="K37" s="647">
        <f t="shared" si="3"/>
        <v>0.992824962456199</v>
      </c>
    </row>
    <row r="38" spans="1:11" s="367" customFormat="1" ht="11.25" customHeight="1">
      <c r="A38" s="425">
        <v>30</v>
      </c>
      <c r="B38" s="365">
        <f>'FRIT HGE91-FHG'!B38</f>
        <v>46264</v>
      </c>
      <c r="C38" s="365" t="s">
        <v>285</v>
      </c>
      <c r="D38" s="480"/>
      <c r="E38" s="480">
        <f t="shared" si="0"/>
        <v>0</v>
      </c>
      <c r="F38" s="567">
        <f t="shared" si="4"/>
        <v>610.55555555555554</v>
      </c>
      <c r="G38" s="435">
        <f t="shared" si="1"/>
        <v>595</v>
      </c>
      <c r="H38" s="424">
        <f t="shared" si="2"/>
        <v>0.97452229299363058</v>
      </c>
      <c r="I38" s="689"/>
      <c r="J38" s="689"/>
      <c r="K38" s="647">
        <f t="shared" si="3"/>
        <v>0.992824962456199</v>
      </c>
    </row>
    <row r="39" spans="1:11" s="367" customFormat="1" ht="11.25" customHeight="1">
      <c r="A39" s="330">
        <v>31</v>
      </c>
      <c r="B39" s="365">
        <f>'FRIT HGE91-FHG'!B39</f>
        <v>46265</v>
      </c>
      <c r="C39" s="365" t="s">
        <v>285</v>
      </c>
      <c r="D39" s="480"/>
      <c r="E39" s="480">
        <f t="shared" si="0"/>
        <v>0</v>
      </c>
      <c r="F39" s="567">
        <f t="shared" si="4"/>
        <v>610.55555555555554</v>
      </c>
      <c r="G39" s="433">
        <f t="shared" si="1"/>
        <v>595</v>
      </c>
      <c r="H39" s="424">
        <f t="shared" si="2"/>
        <v>0.97452229299363058</v>
      </c>
      <c r="I39" s="689"/>
      <c r="J39" s="689"/>
      <c r="K39" s="647">
        <f t="shared" si="3"/>
        <v>0.992824962456199</v>
      </c>
    </row>
    <row r="40" spans="1:11" s="486" customFormat="1" ht="11.25" customHeight="1">
      <c r="A40" s="1661" t="s">
        <v>29</v>
      </c>
      <c r="B40" s="1661"/>
      <c r="C40" s="1661"/>
      <c r="D40" s="664">
        <f>SUM(D9:D39)</f>
        <v>3520</v>
      </c>
      <c r="E40" s="662">
        <f>SUM(E9:E39)</f>
        <v>2925</v>
      </c>
      <c r="F40" s="487"/>
      <c r="G40" s="489">
        <f>G39</f>
        <v>595</v>
      </c>
      <c r="H40" s="560"/>
      <c r="I40" s="689">
        <f>SUM(I9:I39)</f>
        <v>0</v>
      </c>
      <c r="J40" s="689">
        <f t="shared" ref="J40" si="5">SUM(J9:J39)</f>
        <v>2925</v>
      </c>
      <c r="K40" s="374"/>
    </row>
    <row r="41" spans="1:11" s="486" customFormat="1" ht="11.25" customHeight="1">
      <c r="A41" s="1661" t="s">
        <v>15</v>
      </c>
      <c r="B41" s="1661"/>
      <c r="C41" s="1661"/>
      <c r="D41" s="563">
        <f>D8+D40</f>
        <v>3520</v>
      </c>
      <c r="E41" s="487">
        <f>E40</f>
        <v>2925</v>
      </c>
      <c r="F41" s="487"/>
      <c r="G41" s="487">
        <f>D41-E41</f>
        <v>595</v>
      </c>
      <c r="H41" s="485"/>
      <c r="I41" s="689"/>
      <c r="J41" s="689"/>
      <c r="K41" s="374"/>
    </row>
    <row r="42" spans="1:11" s="324" customFormat="1" ht="12.75">
      <c r="D42" s="343"/>
      <c r="E42" s="343"/>
      <c r="F42" s="343"/>
      <c r="H42" s="343" t="s">
        <v>227</v>
      </c>
      <c r="I42" s="343"/>
    </row>
    <row r="43" spans="1:11" s="324" customFormat="1" ht="12.75">
      <c r="D43" s="343"/>
      <c r="E43" s="343"/>
      <c r="F43" s="343"/>
      <c r="H43" s="343"/>
      <c r="I43" s="343"/>
    </row>
    <row r="44" spans="1:11" s="324" customFormat="1" ht="12.75">
      <c r="D44" s="343"/>
      <c r="E44" s="343"/>
      <c r="F44" s="343"/>
      <c r="H44" s="343"/>
      <c r="I44" s="343"/>
    </row>
    <row r="45" spans="1:11" s="324" customFormat="1" ht="12.75">
      <c r="D45" s="343"/>
      <c r="E45" s="343"/>
      <c r="F45" s="343"/>
      <c r="H45" s="343"/>
      <c r="I45" s="343"/>
    </row>
    <row r="46" spans="1:11" s="324" customFormat="1" ht="12.75">
      <c r="D46" s="343"/>
      <c r="E46" s="343"/>
      <c r="F46" s="343"/>
      <c r="H46" s="343" t="s">
        <v>333</v>
      </c>
      <c r="I46" s="343"/>
    </row>
    <row r="47" spans="1:11" s="340" customFormat="1" ht="15.75">
      <c r="D47" s="341"/>
      <c r="E47" s="341"/>
      <c r="F47" s="341"/>
      <c r="G47" s="341"/>
      <c r="H47" s="341"/>
      <c r="I47" s="341"/>
      <c r="J47" s="341"/>
      <c r="K47" s="143"/>
    </row>
  </sheetData>
  <mergeCells count="3">
    <mergeCell ref="A3:J3"/>
    <mergeCell ref="A40:C40"/>
    <mergeCell ref="A41:C41"/>
  </mergeCells>
  <conditionalFormatting sqref="H9:H39">
    <cfRule type="cellIs" dxfId="5642" priority="4" operator="between">
      <formula>3</formula>
      <formula>6</formula>
    </cfRule>
    <cfRule type="cellIs" dxfId="5641" priority="5" operator="lessThan">
      <formula>3</formula>
    </cfRule>
    <cfRule type="cellIs" dxfId="5640" priority="6" operator="greaterThan">
      <formula>6</formula>
    </cfRule>
  </conditionalFormatting>
  <conditionalFormatting sqref="H40">
    <cfRule type="cellIs" dxfId="5639" priority="1" operator="between">
      <formula>3</formula>
      <formula>6</formula>
    </cfRule>
    <cfRule type="cellIs" dxfId="5638" priority="2" operator="lessThan">
      <formula>3</formula>
    </cfRule>
    <cfRule type="cellIs" dxfId="5637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47"/>
  <sheetViews>
    <sheetView workbookViewId="0">
      <pane ySplit="8" topLeftCell="A9" activePane="bottomLeft" state="frozen"/>
      <selection pane="bottomLeft" activeCell="J20" sqref="J20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6.5703125" style="42" customWidth="1"/>
    <col min="4" max="5" width="13.42578125" style="6" customWidth="1"/>
    <col min="6" max="6" width="15.140625" style="6" customWidth="1"/>
    <col min="7" max="7" width="13.42578125" style="6" customWidth="1"/>
    <col min="8" max="8" width="18.28515625" style="42" customWidth="1"/>
    <col min="9" max="9" width="10.42578125" style="42" customWidth="1"/>
    <col min="10" max="10" width="10.28515625" style="42" customWidth="1"/>
    <col min="11" max="11" width="7.42578125" style="143" customWidth="1"/>
    <col min="12" max="12" width="7.5703125" style="42" customWidth="1"/>
    <col min="13" max="13" width="11.140625" style="42" customWidth="1"/>
    <col min="14" max="16384" width="9.28515625" style="42"/>
  </cols>
  <sheetData>
    <row r="1" spans="1:23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3"/>
      <c r="M1" s="323"/>
      <c r="N1" s="324"/>
      <c r="O1" s="324"/>
      <c r="P1" s="324"/>
      <c r="Q1" s="324"/>
      <c r="R1" s="324"/>
      <c r="S1" s="324"/>
      <c r="T1" s="324"/>
      <c r="U1" s="324"/>
      <c r="V1" s="324"/>
      <c r="W1" s="324"/>
    </row>
    <row r="2" spans="1:23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K2" s="323"/>
      <c r="M2" s="323"/>
      <c r="N2" s="324"/>
      <c r="O2" s="324"/>
      <c r="P2" s="324"/>
      <c r="Q2" s="324"/>
      <c r="R2" s="324"/>
      <c r="S2" s="324"/>
      <c r="T2" s="324"/>
      <c r="U2" s="324"/>
      <c r="V2" s="324"/>
    </row>
    <row r="3" spans="1:23" s="143" customFormat="1" ht="18.75" customHeight="1">
      <c r="A3" s="1543" t="s">
        <v>0</v>
      </c>
      <c r="B3" s="1543"/>
      <c r="C3" s="1543"/>
      <c r="D3" s="1543"/>
      <c r="E3" s="1543"/>
      <c r="F3" s="1543"/>
      <c r="G3" s="1543"/>
      <c r="H3" s="1543"/>
      <c r="I3" s="1543"/>
      <c r="J3" s="1543"/>
      <c r="L3" s="442"/>
    </row>
    <row r="4" spans="1:23" s="382" customFormat="1" ht="15" customHeight="1">
      <c r="A4" s="564" t="s">
        <v>33</v>
      </c>
      <c r="B4" s="564"/>
      <c r="C4" s="318" t="str">
        <f>H4</f>
        <v>KE NHỰA 500 X 500 MM</v>
      </c>
      <c r="D4" s="328"/>
      <c r="E4" s="328" t="s">
        <v>228</v>
      </c>
      <c r="F4" s="328" t="s">
        <v>237</v>
      </c>
      <c r="G4" s="328" t="s">
        <v>114</v>
      </c>
      <c r="H4" s="318" t="s">
        <v>817</v>
      </c>
      <c r="K4" s="143"/>
    </row>
    <row r="5" spans="1:23" s="229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143"/>
    </row>
    <row r="6" spans="1:23" s="382" customFormat="1" ht="15" customHeight="1">
      <c r="D6" s="328"/>
      <c r="E6" s="329"/>
      <c r="F6" s="329"/>
      <c r="G6" s="328">
        <v>645.99999999999545</v>
      </c>
      <c r="H6" s="322" t="s">
        <v>292</v>
      </c>
      <c r="I6" s="578" t="s">
        <v>149</v>
      </c>
      <c r="K6" s="143"/>
      <c r="L6" s="382" t="s">
        <v>225</v>
      </c>
    </row>
    <row r="7" spans="1:23" s="305" customFormat="1" ht="28.5" customHeight="1">
      <c r="A7" s="1004" t="s">
        <v>2</v>
      </c>
      <c r="B7" s="1005" t="s">
        <v>1</v>
      </c>
      <c r="C7" s="1005" t="s">
        <v>24</v>
      </c>
      <c r="D7" s="1003" t="s">
        <v>250</v>
      </c>
      <c r="E7" s="1003" t="s">
        <v>249</v>
      </c>
      <c r="F7" s="1003" t="s">
        <v>265</v>
      </c>
      <c r="G7" s="1003" t="s">
        <v>253</v>
      </c>
      <c r="H7" s="1003" t="s">
        <v>30</v>
      </c>
      <c r="I7" s="697" t="s">
        <v>341</v>
      </c>
      <c r="J7" s="697" t="s">
        <v>244</v>
      </c>
      <c r="K7" s="143"/>
    </row>
    <row r="8" spans="1:23" s="305" customFormat="1" ht="11.25" customHeight="1">
      <c r="A8" s="568" t="s">
        <v>3</v>
      </c>
      <c r="B8" s="1001"/>
      <c r="C8" s="1002"/>
      <c r="D8" s="475">
        <f>G8</f>
        <v>0</v>
      </c>
      <c r="E8" s="300">
        <f>E40</f>
        <v>3005</v>
      </c>
      <c r="F8" s="300"/>
      <c r="G8" s="423">
        <v>0</v>
      </c>
      <c r="H8" s="581"/>
      <c r="I8" s="689"/>
      <c r="J8" s="689"/>
      <c r="K8" s="143">
        <v>599.29999999999995</v>
      </c>
    </row>
    <row r="9" spans="1:23" s="333" customFormat="1" ht="11.25" customHeight="1">
      <c r="A9" s="330">
        <v>1</v>
      </c>
      <c r="B9" s="365">
        <f>'FRIT HGE91-FHG'!B9</f>
        <v>46235</v>
      </c>
      <c r="C9" s="365" t="s">
        <v>334</v>
      </c>
      <c r="D9" s="480"/>
      <c r="E9" s="480">
        <f>I9+J9</f>
        <v>0</v>
      </c>
      <c r="F9" s="567">
        <f>35000/900000*15700</f>
        <v>610.55555555555554</v>
      </c>
      <c r="G9" s="433">
        <f>G8+D9-E9</f>
        <v>0</v>
      </c>
      <c r="H9" s="424">
        <f>G9/F9</f>
        <v>0</v>
      </c>
      <c r="I9" s="689"/>
      <c r="J9" s="689"/>
      <c r="K9" s="647">
        <f>G9/$K$8</f>
        <v>0</v>
      </c>
      <c r="L9" s="305"/>
    </row>
    <row r="10" spans="1:23" s="333" customFormat="1" ht="11.25" customHeight="1">
      <c r="A10" s="330">
        <v>2</v>
      </c>
      <c r="B10" s="365">
        <f>'FRIT HGE91-FHG'!B10</f>
        <v>46236</v>
      </c>
      <c r="C10" s="365" t="s">
        <v>334</v>
      </c>
      <c r="D10" s="480"/>
      <c r="E10" s="480">
        <f t="shared" ref="E10:E39" si="0">I10+J10</f>
        <v>0</v>
      </c>
      <c r="F10" s="567">
        <f>$F$9</f>
        <v>610.55555555555554</v>
      </c>
      <c r="G10" s="433">
        <f t="shared" ref="G10:G39" si="1">G9+D10-E10</f>
        <v>0</v>
      </c>
      <c r="H10" s="424">
        <f t="shared" ref="H10:H39" si="2">G10/F10</f>
        <v>0</v>
      </c>
      <c r="I10" s="689"/>
      <c r="J10" s="689"/>
      <c r="K10" s="647">
        <f t="shared" ref="K10:K39" si="3">G10/$K$8</f>
        <v>0</v>
      </c>
      <c r="L10" s="305"/>
    </row>
    <row r="11" spans="1:23" s="333" customFormat="1" ht="11.25" customHeight="1">
      <c r="A11" s="330">
        <v>3</v>
      </c>
      <c r="B11" s="365">
        <f>'FRIT HGE91-FHG'!B11</f>
        <v>46237</v>
      </c>
      <c r="C11" s="365" t="s">
        <v>334</v>
      </c>
      <c r="D11" s="480">
        <v>615</v>
      </c>
      <c r="E11" s="480">
        <f t="shared" si="0"/>
        <v>0</v>
      </c>
      <c r="F11" s="567">
        <f t="shared" ref="F11:F39" si="4">$F$9</f>
        <v>610.55555555555554</v>
      </c>
      <c r="G11" s="433">
        <f>G10+D11-E11</f>
        <v>615</v>
      </c>
      <c r="H11" s="424">
        <f t="shared" si="2"/>
        <v>1.0072793448589628</v>
      </c>
      <c r="I11" s="689"/>
      <c r="J11" s="689"/>
      <c r="K11" s="647">
        <f t="shared" si="3"/>
        <v>1.0261972301017854</v>
      </c>
      <c r="L11" s="305"/>
    </row>
    <row r="12" spans="1:23" s="367" customFormat="1" ht="11.25" customHeight="1">
      <c r="A12" s="330">
        <v>4</v>
      </c>
      <c r="B12" s="365">
        <f>'FRIT HGE91-FHG'!B12</f>
        <v>46238</v>
      </c>
      <c r="C12" s="365" t="s">
        <v>334</v>
      </c>
      <c r="D12" s="480"/>
      <c r="E12" s="480">
        <f t="shared" si="0"/>
        <v>615</v>
      </c>
      <c r="F12" s="567">
        <f t="shared" si="4"/>
        <v>610.55555555555554</v>
      </c>
      <c r="G12" s="433">
        <f>G11+D12-E12</f>
        <v>0</v>
      </c>
      <c r="H12" s="424">
        <f t="shared" si="2"/>
        <v>0</v>
      </c>
      <c r="I12" s="689"/>
      <c r="J12" s="689">
        <v>615</v>
      </c>
      <c r="K12" s="647">
        <f t="shared" si="3"/>
        <v>0</v>
      </c>
      <c r="L12" s="305"/>
      <c r="M12" s="333"/>
    </row>
    <row r="13" spans="1:23" s="367" customFormat="1" ht="11.25" customHeight="1">
      <c r="A13" s="425">
        <v>5</v>
      </c>
      <c r="B13" s="365">
        <f>'FRIT HGE91-FHG'!B13</f>
        <v>46239</v>
      </c>
      <c r="C13" s="365" t="s">
        <v>285</v>
      </c>
      <c r="D13" s="480">
        <v>605</v>
      </c>
      <c r="E13" s="480">
        <f t="shared" si="0"/>
        <v>605</v>
      </c>
      <c r="F13" s="567">
        <f t="shared" si="4"/>
        <v>610.55555555555554</v>
      </c>
      <c r="G13" s="435">
        <f>G12+D13-E13</f>
        <v>0</v>
      </c>
      <c r="H13" s="424">
        <f t="shared" si="2"/>
        <v>0</v>
      </c>
      <c r="I13" s="689"/>
      <c r="J13" s="689">
        <v>605</v>
      </c>
      <c r="K13" s="647">
        <f t="shared" si="3"/>
        <v>0</v>
      </c>
      <c r="L13" s="305"/>
      <c r="M13" s="333"/>
    </row>
    <row r="14" spans="1:23" s="367" customFormat="1" ht="11.25" customHeight="1">
      <c r="A14" s="330">
        <v>6</v>
      </c>
      <c r="B14" s="365">
        <f>'FRIT HGE91-FHG'!B14</f>
        <v>46240</v>
      </c>
      <c r="C14" s="365" t="s">
        <v>285</v>
      </c>
      <c r="D14" s="480"/>
      <c r="E14" s="480">
        <f t="shared" si="0"/>
        <v>0</v>
      </c>
      <c r="F14" s="567">
        <f t="shared" si="4"/>
        <v>610.55555555555554</v>
      </c>
      <c r="G14" s="433">
        <f t="shared" si="1"/>
        <v>0</v>
      </c>
      <c r="H14" s="424">
        <f t="shared" si="2"/>
        <v>0</v>
      </c>
      <c r="I14" s="689"/>
      <c r="J14" s="689"/>
      <c r="K14" s="647">
        <f t="shared" si="3"/>
        <v>0</v>
      </c>
      <c r="L14" s="305"/>
      <c r="M14" s="333"/>
    </row>
    <row r="15" spans="1:23" s="367" customFormat="1" ht="11.25" customHeight="1">
      <c r="A15" s="330">
        <v>7</v>
      </c>
      <c r="B15" s="365">
        <f>'FRIT HGE91-FHG'!B15</f>
        <v>46241</v>
      </c>
      <c r="C15" s="365" t="s">
        <v>285</v>
      </c>
      <c r="D15" s="480">
        <v>605</v>
      </c>
      <c r="E15" s="480">
        <f t="shared" si="0"/>
        <v>0</v>
      </c>
      <c r="F15" s="567">
        <f t="shared" si="4"/>
        <v>610.55555555555554</v>
      </c>
      <c r="G15" s="433">
        <f>G14+D15-E15</f>
        <v>605</v>
      </c>
      <c r="H15" s="424">
        <f t="shared" si="2"/>
        <v>0.99090081892629667</v>
      </c>
      <c r="I15" s="689"/>
      <c r="J15" s="689"/>
      <c r="K15" s="647">
        <f t="shared" si="3"/>
        <v>1.0095110962789922</v>
      </c>
      <c r="L15" s="305"/>
      <c r="M15" s="333"/>
    </row>
    <row r="16" spans="1:23" s="367" customFormat="1" ht="11.25" customHeight="1">
      <c r="A16" s="330">
        <v>8</v>
      </c>
      <c r="B16" s="365">
        <f>'FRIT HGE91-FHG'!B16</f>
        <v>46242</v>
      </c>
      <c r="C16" s="365" t="s">
        <v>285</v>
      </c>
      <c r="D16" s="480">
        <v>605</v>
      </c>
      <c r="E16" s="480">
        <f t="shared" si="0"/>
        <v>605</v>
      </c>
      <c r="F16" s="567">
        <f t="shared" si="4"/>
        <v>610.55555555555554</v>
      </c>
      <c r="G16" s="433">
        <f t="shared" si="1"/>
        <v>605</v>
      </c>
      <c r="H16" s="424">
        <f t="shared" si="2"/>
        <v>0.99090081892629667</v>
      </c>
      <c r="I16" s="689"/>
      <c r="J16" s="689">
        <v>605</v>
      </c>
      <c r="K16" s="647">
        <f t="shared" si="3"/>
        <v>1.0095110962789922</v>
      </c>
      <c r="L16" s="305"/>
      <c r="M16" s="333"/>
    </row>
    <row r="17" spans="1:13" s="367" customFormat="1" ht="11.25" customHeight="1">
      <c r="A17" s="330">
        <v>9</v>
      </c>
      <c r="B17" s="365">
        <f>'FRIT HGE91-FHG'!B17</f>
        <v>46243</v>
      </c>
      <c r="C17" s="365" t="s">
        <v>285</v>
      </c>
      <c r="D17" s="480"/>
      <c r="E17" s="480">
        <f t="shared" si="0"/>
        <v>0</v>
      </c>
      <c r="F17" s="567">
        <f t="shared" si="4"/>
        <v>610.55555555555554</v>
      </c>
      <c r="G17" s="433">
        <f t="shared" si="1"/>
        <v>605</v>
      </c>
      <c r="H17" s="424">
        <f t="shared" si="2"/>
        <v>0.99090081892629667</v>
      </c>
      <c r="I17" s="689"/>
      <c r="J17" s="689"/>
      <c r="K17" s="647">
        <f t="shared" si="3"/>
        <v>1.0095110962789922</v>
      </c>
      <c r="L17" s="305"/>
      <c r="M17" s="333"/>
    </row>
    <row r="18" spans="1:13" s="367" customFormat="1" ht="11.25" customHeight="1">
      <c r="A18" s="425">
        <v>10</v>
      </c>
      <c r="B18" s="365">
        <f>'FRIT HGE91-FHG'!B18</f>
        <v>46244</v>
      </c>
      <c r="C18" s="365" t="s">
        <v>285</v>
      </c>
      <c r="D18" s="480">
        <v>575</v>
      </c>
      <c r="E18" s="480">
        <f t="shared" si="0"/>
        <v>605</v>
      </c>
      <c r="F18" s="567">
        <f t="shared" si="4"/>
        <v>610.55555555555554</v>
      </c>
      <c r="G18" s="435">
        <f>G17+D18-E18</f>
        <v>575</v>
      </c>
      <c r="H18" s="424">
        <f t="shared" si="2"/>
        <v>0.94176524112829851</v>
      </c>
      <c r="I18" s="689"/>
      <c r="J18" s="689">
        <v>605</v>
      </c>
      <c r="K18" s="647">
        <f t="shared" si="3"/>
        <v>0.95945269481061246</v>
      </c>
      <c r="L18" s="305"/>
      <c r="M18" s="333"/>
    </row>
    <row r="19" spans="1:13" s="367" customFormat="1" ht="11.25" customHeight="1">
      <c r="A19" s="330">
        <v>11</v>
      </c>
      <c r="B19" s="365">
        <f>'FRIT HGE91-FHG'!B19</f>
        <v>46245</v>
      </c>
      <c r="C19" s="365" t="s">
        <v>285</v>
      </c>
      <c r="D19" s="480"/>
      <c r="E19" s="480">
        <f t="shared" si="0"/>
        <v>575</v>
      </c>
      <c r="F19" s="567">
        <f t="shared" si="4"/>
        <v>610.55555555555554</v>
      </c>
      <c r="G19" s="433">
        <f t="shared" si="1"/>
        <v>0</v>
      </c>
      <c r="H19" s="424">
        <f t="shared" si="2"/>
        <v>0</v>
      </c>
      <c r="I19" s="689"/>
      <c r="J19" s="689">
        <v>575</v>
      </c>
      <c r="K19" s="647">
        <f t="shared" si="3"/>
        <v>0</v>
      </c>
      <c r="L19" s="333"/>
      <c r="M19" s="333"/>
    </row>
    <row r="20" spans="1:13" s="367" customFormat="1" ht="11.25" customHeight="1">
      <c r="A20" s="330">
        <v>12</v>
      </c>
      <c r="B20" s="365">
        <f>'FRIT HGE91-FHG'!B20</f>
        <v>46246</v>
      </c>
      <c r="C20" s="365" t="s">
        <v>285</v>
      </c>
      <c r="D20" s="480"/>
      <c r="E20" s="480">
        <f t="shared" si="0"/>
        <v>0</v>
      </c>
      <c r="F20" s="567">
        <f t="shared" si="4"/>
        <v>610.55555555555554</v>
      </c>
      <c r="G20" s="433">
        <f t="shared" si="1"/>
        <v>0</v>
      </c>
      <c r="H20" s="424">
        <f t="shared" si="2"/>
        <v>0</v>
      </c>
      <c r="I20" s="689"/>
      <c r="J20" s="689"/>
      <c r="K20" s="647">
        <f t="shared" si="3"/>
        <v>0</v>
      </c>
    </row>
    <row r="21" spans="1:13" s="367" customFormat="1" ht="11.25" customHeight="1">
      <c r="A21" s="330">
        <v>13</v>
      </c>
      <c r="B21" s="365">
        <f>'FRIT HGE91-FHG'!B21</f>
        <v>46247</v>
      </c>
      <c r="C21" s="365" t="s">
        <v>285</v>
      </c>
      <c r="D21" s="480"/>
      <c r="E21" s="480">
        <f t="shared" si="0"/>
        <v>0</v>
      </c>
      <c r="F21" s="567">
        <f t="shared" si="4"/>
        <v>610.55555555555554</v>
      </c>
      <c r="G21" s="433">
        <f t="shared" si="1"/>
        <v>0</v>
      </c>
      <c r="H21" s="424">
        <f t="shared" si="2"/>
        <v>0</v>
      </c>
      <c r="I21" s="689"/>
      <c r="J21" s="689"/>
      <c r="K21" s="647">
        <f t="shared" si="3"/>
        <v>0</v>
      </c>
      <c r="L21" s="333"/>
    </row>
    <row r="22" spans="1:13" s="367" customFormat="1" ht="11.25" customHeight="1">
      <c r="A22" s="330">
        <v>14</v>
      </c>
      <c r="B22" s="365">
        <f>'FRIT HGE91-FHG'!B22</f>
        <v>46248</v>
      </c>
      <c r="C22" s="365" t="s">
        <v>285</v>
      </c>
      <c r="D22" s="480"/>
      <c r="E22" s="480">
        <f t="shared" si="0"/>
        <v>0</v>
      </c>
      <c r="F22" s="567">
        <f t="shared" si="4"/>
        <v>610.55555555555554</v>
      </c>
      <c r="G22" s="433">
        <f t="shared" si="1"/>
        <v>0</v>
      </c>
      <c r="H22" s="424">
        <f t="shared" si="2"/>
        <v>0</v>
      </c>
      <c r="I22" s="689"/>
      <c r="J22" s="689"/>
      <c r="K22" s="647">
        <f t="shared" si="3"/>
        <v>0</v>
      </c>
    </row>
    <row r="23" spans="1:13" s="367" customFormat="1" ht="11.25" customHeight="1">
      <c r="A23" s="425">
        <v>15</v>
      </c>
      <c r="B23" s="365">
        <f>'FRIT HGE91-FHG'!B23</f>
        <v>46249</v>
      </c>
      <c r="C23" s="365" t="s">
        <v>285</v>
      </c>
      <c r="D23" s="480"/>
      <c r="E23" s="480">
        <f t="shared" si="0"/>
        <v>0</v>
      </c>
      <c r="F23" s="567">
        <f t="shared" si="4"/>
        <v>610.55555555555554</v>
      </c>
      <c r="G23" s="435">
        <f t="shared" si="1"/>
        <v>0</v>
      </c>
      <c r="H23" s="424">
        <f t="shared" si="2"/>
        <v>0</v>
      </c>
      <c r="I23" s="689"/>
      <c r="J23" s="689"/>
      <c r="K23" s="647">
        <f t="shared" si="3"/>
        <v>0</v>
      </c>
    </row>
    <row r="24" spans="1:13" s="367" customFormat="1" ht="11.25" customHeight="1">
      <c r="A24" s="330">
        <v>16</v>
      </c>
      <c r="B24" s="365">
        <f>'FRIT HGE91-FHG'!B24</f>
        <v>46250</v>
      </c>
      <c r="C24" s="365" t="s">
        <v>285</v>
      </c>
      <c r="D24" s="480"/>
      <c r="E24" s="480">
        <f t="shared" si="0"/>
        <v>0</v>
      </c>
      <c r="F24" s="567">
        <f t="shared" si="4"/>
        <v>610.55555555555554</v>
      </c>
      <c r="G24" s="433">
        <f t="shared" si="1"/>
        <v>0</v>
      </c>
      <c r="H24" s="424">
        <f t="shared" si="2"/>
        <v>0</v>
      </c>
      <c r="I24" s="689"/>
      <c r="J24" s="689"/>
      <c r="K24" s="647">
        <f t="shared" si="3"/>
        <v>0</v>
      </c>
    </row>
    <row r="25" spans="1:13" s="367" customFormat="1" ht="11.25" customHeight="1">
      <c r="A25" s="330">
        <v>17</v>
      </c>
      <c r="B25" s="365">
        <f>'FRIT HGE91-FHG'!B25</f>
        <v>46251</v>
      </c>
      <c r="C25" s="365" t="s">
        <v>285</v>
      </c>
      <c r="D25" s="480"/>
      <c r="E25" s="480">
        <f t="shared" si="0"/>
        <v>0</v>
      </c>
      <c r="F25" s="567">
        <f t="shared" si="4"/>
        <v>610.55555555555554</v>
      </c>
      <c r="G25" s="433">
        <f t="shared" si="1"/>
        <v>0</v>
      </c>
      <c r="H25" s="424">
        <f t="shared" si="2"/>
        <v>0</v>
      </c>
      <c r="I25" s="689"/>
      <c r="J25" s="689"/>
      <c r="K25" s="647">
        <f t="shared" si="3"/>
        <v>0</v>
      </c>
    </row>
    <row r="26" spans="1:13" s="367" customFormat="1" ht="11.25" customHeight="1">
      <c r="A26" s="330">
        <v>18</v>
      </c>
      <c r="B26" s="365">
        <f>'FRIT HGE91-FHG'!B26</f>
        <v>46252</v>
      </c>
      <c r="C26" s="365" t="s">
        <v>285</v>
      </c>
      <c r="D26" s="480"/>
      <c r="E26" s="480">
        <f t="shared" si="0"/>
        <v>0</v>
      </c>
      <c r="F26" s="567">
        <f t="shared" si="4"/>
        <v>610.55555555555554</v>
      </c>
      <c r="G26" s="433">
        <f t="shared" si="1"/>
        <v>0</v>
      </c>
      <c r="H26" s="424">
        <f t="shared" si="2"/>
        <v>0</v>
      </c>
      <c r="I26" s="689"/>
      <c r="J26" s="689"/>
      <c r="K26" s="647">
        <f t="shared" si="3"/>
        <v>0</v>
      </c>
    </row>
    <row r="27" spans="1:13" s="367" customFormat="1" ht="11.25" customHeight="1">
      <c r="A27" s="330">
        <v>19</v>
      </c>
      <c r="B27" s="365">
        <f>'FRIT HGE91-FHG'!B27</f>
        <v>46253</v>
      </c>
      <c r="C27" s="365" t="s">
        <v>285</v>
      </c>
      <c r="D27" s="480"/>
      <c r="E27" s="480">
        <f t="shared" si="0"/>
        <v>0</v>
      </c>
      <c r="F27" s="567">
        <f t="shared" si="4"/>
        <v>610.55555555555554</v>
      </c>
      <c r="G27" s="433">
        <f t="shared" si="1"/>
        <v>0</v>
      </c>
      <c r="H27" s="424">
        <f t="shared" si="2"/>
        <v>0</v>
      </c>
      <c r="I27" s="689"/>
      <c r="J27" s="689"/>
      <c r="K27" s="647">
        <f t="shared" si="3"/>
        <v>0</v>
      </c>
    </row>
    <row r="28" spans="1:13" s="367" customFormat="1" ht="11.25" customHeight="1">
      <c r="A28" s="425">
        <v>20</v>
      </c>
      <c r="B28" s="365">
        <f>'FRIT HGE91-FHG'!B28</f>
        <v>46254</v>
      </c>
      <c r="C28" s="365" t="s">
        <v>285</v>
      </c>
      <c r="D28" s="480"/>
      <c r="E28" s="480">
        <f t="shared" si="0"/>
        <v>0</v>
      </c>
      <c r="F28" s="567">
        <f t="shared" si="4"/>
        <v>610.55555555555554</v>
      </c>
      <c r="G28" s="435">
        <f t="shared" si="1"/>
        <v>0</v>
      </c>
      <c r="H28" s="424">
        <f t="shared" si="2"/>
        <v>0</v>
      </c>
      <c r="I28" s="689"/>
      <c r="J28" s="689"/>
      <c r="K28" s="647">
        <f t="shared" si="3"/>
        <v>0</v>
      </c>
    </row>
    <row r="29" spans="1:13" s="367" customFormat="1" ht="11.25" customHeight="1">
      <c r="A29" s="330">
        <v>21</v>
      </c>
      <c r="B29" s="365">
        <f>'FRIT HGE91-FHG'!B29</f>
        <v>46255</v>
      </c>
      <c r="C29" s="365" t="s">
        <v>285</v>
      </c>
      <c r="D29" s="480"/>
      <c r="E29" s="480">
        <f t="shared" si="0"/>
        <v>0</v>
      </c>
      <c r="F29" s="567">
        <f t="shared" si="4"/>
        <v>610.55555555555554</v>
      </c>
      <c r="G29" s="433">
        <f t="shared" si="1"/>
        <v>0</v>
      </c>
      <c r="H29" s="424">
        <f t="shared" si="2"/>
        <v>0</v>
      </c>
      <c r="I29" s="689"/>
      <c r="J29" s="689"/>
      <c r="K29" s="647">
        <f t="shared" si="3"/>
        <v>0</v>
      </c>
    </row>
    <row r="30" spans="1:13" s="367" customFormat="1" ht="11.25" customHeight="1">
      <c r="A30" s="330">
        <v>22</v>
      </c>
      <c r="B30" s="365">
        <f>'FRIT HGE91-FHG'!B30</f>
        <v>46256</v>
      </c>
      <c r="C30" s="365" t="s">
        <v>285</v>
      </c>
      <c r="D30" s="480"/>
      <c r="E30" s="480">
        <f t="shared" si="0"/>
        <v>0</v>
      </c>
      <c r="F30" s="567">
        <f t="shared" si="4"/>
        <v>610.55555555555554</v>
      </c>
      <c r="G30" s="433">
        <f t="shared" si="1"/>
        <v>0</v>
      </c>
      <c r="H30" s="424">
        <f t="shared" si="2"/>
        <v>0</v>
      </c>
      <c r="I30" s="689"/>
      <c r="J30" s="689"/>
      <c r="K30" s="647">
        <f t="shared" si="3"/>
        <v>0</v>
      </c>
    </row>
    <row r="31" spans="1:13" s="367" customFormat="1" ht="11.25" customHeight="1">
      <c r="A31" s="330">
        <v>23</v>
      </c>
      <c r="B31" s="365">
        <f>'FRIT HGE91-FHG'!B31</f>
        <v>46257</v>
      </c>
      <c r="C31" s="365" t="s">
        <v>285</v>
      </c>
      <c r="D31" s="480"/>
      <c r="E31" s="480">
        <f t="shared" si="0"/>
        <v>0</v>
      </c>
      <c r="F31" s="567">
        <f t="shared" si="4"/>
        <v>610.55555555555554</v>
      </c>
      <c r="G31" s="433">
        <f>G30+D31-E31</f>
        <v>0</v>
      </c>
      <c r="H31" s="424">
        <f t="shared" si="2"/>
        <v>0</v>
      </c>
      <c r="I31" s="689"/>
      <c r="J31" s="689"/>
      <c r="K31" s="647">
        <f t="shared" si="3"/>
        <v>0</v>
      </c>
    </row>
    <row r="32" spans="1:13" s="367" customFormat="1" ht="11.25" customHeight="1">
      <c r="A32" s="330">
        <v>24</v>
      </c>
      <c r="B32" s="365">
        <f>'FRIT HGE91-FHG'!B32</f>
        <v>46258</v>
      </c>
      <c r="C32" s="365" t="s">
        <v>285</v>
      </c>
      <c r="D32" s="480"/>
      <c r="E32" s="480">
        <f t="shared" si="0"/>
        <v>0</v>
      </c>
      <c r="F32" s="567">
        <f t="shared" si="4"/>
        <v>610.55555555555554</v>
      </c>
      <c r="G32" s="433">
        <f t="shared" si="1"/>
        <v>0</v>
      </c>
      <c r="H32" s="424">
        <f t="shared" si="2"/>
        <v>0</v>
      </c>
      <c r="I32" s="689"/>
      <c r="J32" s="689"/>
      <c r="K32" s="647">
        <f t="shared" si="3"/>
        <v>0</v>
      </c>
    </row>
    <row r="33" spans="1:11" s="367" customFormat="1" ht="11.25" customHeight="1">
      <c r="A33" s="426">
        <v>25</v>
      </c>
      <c r="B33" s="365">
        <f>'FRIT HGE91-FHG'!B33</f>
        <v>46259</v>
      </c>
      <c r="C33" s="365" t="s">
        <v>285</v>
      </c>
      <c r="D33" s="480"/>
      <c r="E33" s="480">
        <f t="shared" si="0"/>
        <v>0</v>
      </c>
      <c r="F33" s="567">
        <f t="shared" si="4"/>
        <v>610.55555555555554</v>
      </c>
      <c r="G33" s="436">
        <f t="shared" si="1"/>
        <v>0</v>
      </c>
      <c r="H33" s="424">
        <f t="shared" si="2"/>
        <v>0</v>
      </c>
      <c r="I33" s="689"/>
      <c r="J33" s="689"/>
      <c r="K33" s="647">
        <f t="shared" si="3"/>
        <v>0</v>
      </c>
    </row>
    <row r="34" spans="1:11" s="367" customFormat="1" ht="11.25" customHeight="1">
      <c r="A34" s="330">
        <v>26</v>
      </c>
      <c r="B34" s="365">
        <f>'FRIT HGE91-FHG'!B34</f>
        <v>46260</v>
      </c>
      <c r="C34" s="365" t="s">
        <v>285</v>
      </c>
      <c r="D34" s="480"/>
      <c r="E34" s="480">
        <f t="shared" si="0"/>
        <v>0</v>
      </c>
      <c r="F34" s="567">
        <f t="shared" si="4"/>
        <v>610.55555555555554</v>
      </c>
      <c r="G34" s="433">
        <f t="shared" si="1"/>
        <v>0</v>
      </c>
      <c r="H34" s="424">
        <f t="shared" si="2"/>
        <v>0</v>
      </c>
      <c r="I34" s="689"/>
      <c r="J34" s="689"/>
      <c r="K34" s="647">
        <f t="shared" si="3"/>
        <v>0</v>
      </c>
    </row>
    <row r="35" spans="1:11" s="367" customFormat="1" ht="11.25" customHeight="1">
      <c r="A35" s="330">
        <v>27</v>
      </c>
      <c r="B35" s="365">
        <f>'FRIT HGE91-FHG'!B35</f>
        <v>46261</v>
      </c>
      <c r="C35" s="365" t="s">
        <v>346</v>
      </c>
      <c r="D35" s="480"/>
      <c r="E35" s="480">
        <f t="shared" si="0"/>
        <v>0</v>
      </c>
      <c r="F35" s="567">
        <f t="shared" si="4"/>
        <v>610.55555555555554</v>
      </c>
      <c r="G35" s="433">
        <f t="shared" si="1"/>
        <v>0</v>
      </c>
      <c r="H35" s="424">
        <f t="shared" si="2"/>
        <v>0</v>
      </c>
      <c r="I35" s="689"/>
      <c r="J35" s="689"/>
      <c r="K35" s="647">
        <f t="shared" si="3"/>
        <v>0</v>
      </c>
    </row>
    <row r="36" spans="1:11" s="367" customFormat="1" ht="11.25" customHeight="1">
      <c r="A36" s="330">
        <v>28</v>
      </c>
      <c r="B36" s="365">
        <f>'FRIT HGE91-FHG'!B36</f>
        <v>46262</v>
      </c>
      <c r="C36" s="365" t="s">
        <v>285</v>
      </c>
      <c r="D36" s="480"/>
      <c r="E36" s="480">
        <f t="shared" si="0"/>
        <v>0</v>
      </c>
      <c r="F36" s="567">
        <f t="shared" si="4"/>
        <v>610.55555555555554</v>
      </c>
      <c r="G36" s="433">
        <f t="shared" si="1"/>
        <v>0</v>
      </c>
      <c r="H36" s="424">
        <f t="shared" si="2"/>
        <v>0</v>
      </c>
      <c r="I36" s="689"/>
      <c r="J36" s="689"/>
      <c r="K36" s="647">
        <f t="shared" si="3"/>
        <v>0</v>
      </c>
    </row>
    <row r="37" spans="1:11" s="367" customFormat="1" ht="11.25" customHeight="1">
      <c r="A37" s="330">
        <v>29</v>
      </c>
      <c r="B37" s="365">
        <f>'FRIT HGE91-FHG'!B37</f>
        <v>46263</v>
      </c>
      <c r="C37" s="365" t="s">
        <v>285</v>
      </c>
      <c r="D37" s="480"/>
      <c r="E37" s="480">
        <f t="shared" si="0"/>
        <v>0</v>
      </c>
      <c r="F37" s="567">
        <f t="shared" si="4"/>
        <v>610.55555555555554</v>
      </c>
      <c r="G37" s="433">
        <f t="shared" si="1"/>
        <v>0</v>
      </c>
      <c r="H37" s="424">
        <f t="shared" si="2"/>
        <v>0</v>
      </c>
      <c r="I37" s="689"/>
      <c r="J37" s="689"/>
      <c r="K37" s="647">
        <f t="shared" si="3"/>
        <v>0</v>
      </c>
    </row>
    <row r="38" spans="1:11" s="367" customFormat="1" ht="11.25" customHeight="1">
      <c r="A38" s="425">
        <v>30</v>
      </c>
      <c r="B38" s="365">
        <f>'FRIT HGE91-FHG'!B38</f>
        <v>46264</v>
      </c>
      <c r="C38" s="365" t="s">
        <v>346</v>
      </c>
      <c r="D38" s="480"/>
      <c r="E38" s="480">
        <f t="shared" si="0"/>
        <v>0</v>
      </c>
      <c r="F38" s="567">
        <f t="shared" si="4"/>
        <v>610.55555555555554</v>
      </c>
      <c r="G38" s="435">
        <f t="shared" si="1"/>
        <v>0</v>
      </c>
      <c r="H38" s="424">
        <f t="shared" si="2"/>
        <v>0</v>
      </c>
      <c r="I38" s="689"/>
      <c r="J38" s="689"/>
      <c r="K38" s="647">
        <f t="shared" si="3"/>
        <v>0</v>
      </c>
    </row>
    <row r="39" spans="1:11" s="367" customFormat="1" ht="11.25" customHeight="1">
      <c r="A39" s="330">
        <v>31</v>
      </c>
      <c r="B39" s="365">
        <f>'FRIT HGE91-FHG'!B39</f>
        <v>46265</v>
      </c>
      <c r="C39" s="365" t="s">
        <v>285</v>
      </c>
      <c r="D39" s="480"/>
      <c r="E39" s="480">
        <f t="shared" si="0"/>
        <v>0</v>
      </c>
      <c r="F39" s="567">
        <f t="shared" si="4"/>
        <v>610.55555555555554</v>
      </c>
      <c r="G39" s="433">
        <f t="shared" si="1"/>
        <v>0</v>
      </c>
      <c r="H39" s="424">
        <f t="shared" si="2"/>
        <v>0</v>
      </c>
      <c r="I39" s="689"/>
      <c r="J39" s="689"/>
      <c r="K39" s="647">
        <f t="shared" si="3"/>
        <v>0</v>
      </c>
    </row>
    <row r="40" spans="1:11" s="486" customFormat="1" ht="11.25" customHeight="1">
      <c r="A40" s="1661" t="s">
        <v>29</v>
      </c>
      <c r="B40" s="1661"/>
      <c r="C40" s="1661"/>
      <c r="D40" s="664">
        <f>SUM(D9:D39)</f>
        <v>3005</v>
      </c>
      <c r="E40" s="662">
        <f>SUM(E9:E39)</f>
        <v>3005</v>
      </c>
      <c r="F40" s="487"/>
      <c r="G40" s="489">
        <f>G39</f>
        <v>0</v>
      </c>
      <c r="H40" s="560"/>
      <c r="I40" s="689">
        <f>SUM(I9:I39)</f>
        <v>0</v>
      </c>
      <c r="J40" s="689">
        <f t="shared" ref="J40" si="5">SUM(J9:J39)</f>
        <v>3005</v>
      </c>
      <c r="K40" s="374"/>
    </row>
    <row r="41" spans="1:11" s="486" customFormat="1" ht="11.25" customHeight="1">
      <c r="A41" s="1661" t="s">
        <v>15</v>
      </c>
      <c r="B41" s="1661"/>
      <c r="C41" s="1661"/>
      <c r="D41" s="563">
        <f>D8+D40</f>
        <v>3005</v>
      </c>
      <c r="E41" s="487">
        <f>E40</f>
        <v>3005</v>
      </c>
      <c r="F41" s="487"/>
      <c r="G41" s="487">
        <f>D41-E41</f>
        <v>0</v>
      </c>
      <c r="H41" s="485"/>
      <c r="I41" s="689"/>
      <c r="J41" s="689"/>
      <c r="K41" s="374"/>
    </row>
    <row r="42" spans="1:11" s="324" customFormat="1" ht="12.75">
      <c r="D42" s="343"/>
      <c r="E42" s="343"/>
      <c r="F42" s="343"/>
      <c r="H42" s="343" t="s">
        <v>227</v>
      </c>
      <c r="I42" s="343"/>
    </row>
    <row r="43" spans="1:11" s="324" customFormat="1" ht="12.75">
      <c r="D43" s="343"/>
      <c r="E43" s="343"/>
      <c r="F43" s="343"/>
      <c r="H43" s="343"/>
      <c r="I43" s="343"/>
    </row>
    <row r="44" spans="1:11" s="324" customFormat="1" ht="12.75">
      <c r="D44" s="343"/>
      <c r="E44" s="343"/>
      <c r="F44" s="343"/>
      <c r="H44" s="343"/>
      <c r="I44" s="343"/>
    </row>
    <row r="45" spans="1:11" s="324" customFormat="1" ht="12.75">
      <c r="D45" s="343"/>
      <c r="E45" s="343"/>
      <c r="F45" s="343"/>
      <c r="H45" s="343"/>
      <c r="I45" s="343"/>
    </row>
    <row r="46" spans="1:11" s="324" customFormat="1" ht="12.75">
      <c r="D46" s="343"/>
      <c r="E46" s="343"/>
      <c r="F46" s="343"/>
      <c r="H46" s="343" t="s">
        <v>333</v>
      </c>
      <c r="I46" s="343"/>
    </row>
    <row r="47" spans="1:11" s="340" customFormat="1" ht="15.75">
      <c r="D47" s="341"/>
      <c r="E47" s="341"/>
      <c r="F47" s="341"/>
      <c r="G47" s="341"/>
      <c r="H47" s="341"/>
      <c r="I47" s="341"/>
      <c r="J47" s="341"/>
      <c r="K47" s="143"/>
    </row>
  </sheetData>
  <mergeCells count="3">
    <mergeCell ref="A3:J3"/>
    <mergeCell ref="A40:C40"/>
    <mergeCell ref="A41:C41"/>
  </mergeCells>
  <conditionalFormatting sqref="H9:H39">
    <cfRule type="cellIs" dxfId="5636" priority="4" operator="between">
      <formula>3</formula>
      <formula>6</formula>
    </cfRule>
    <cfRule type="cellIs" dxfId="5635" priority="5" operator="lessThan">
      <formula>3</formula>
    </cfRule>
    <cfRule type="cellIs" dxfId="5634" priority="6" operator="greaterThan">
      <formula>6</formula>
    </cfRule>
  </conditionalFormatting>
  <conditionalFormatting sqref="H40">
    <cfRule type="cellIs" dxfId="5633" priority="1" operator="between">
      <formula>3</formula>
      <formula>6</formula>
    </cfRule>
    <cfRule type="cellIs" dxfId="5632" priority="2" operator="lessThan">
      <formula>3</formula>
    </cfRule>
    <cfRule type="cellIs" dxfId="5631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47"/>
  <sheetViews>
    <sheetView workbookViewId="0">
      <pane ySplit="8" topLeftCell="A18" activePane="bottomLeft" state="frozen"/>
      <selection pane="bottomLeft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6.5703125" style="42" customWidth="1"/>
    <col min="4" max="5" width="13.42578125" style="6" customWidth="1"/>
    <col min="6" max="6" width="15.140625" style="6" customWidth="1"/>
    <col min="7" max="7" width="13.42578125" style="6" customWidth="1"/>
    <col min="8" max="8" width="18.28515625" style="42" customWidth="1"/>
    <col min="9" max="9" width="10.42578125" style="42" customWidth="1"/>
    <col min="10" max="10" width="10.28515625" style="42" customWidth="1"/>
    <col min="11" max="11" width="7.42578125" style="143" customWidth="1"/>
    <col min="12" max="12" width="7.5703125" style="42" customWidth="1"/>
    <col min="13" max="16384" width="9.28515625" style="42"/>
  </cols>
  <sheetData>
    <row r="1" spans="1:23" s="143" customFormat="1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3"/>
      <c r="M1" s="323"/>
      <c r="N1" s="324"/>
      <c r="O1" s="324"/>
      <c r="P1" s="324"/>
      <c r="Q1" s="324"/>
      <c r="R1" s="324"/>
      <c r="S1" s="324"/>
      <c r="T1" s="324"/>
      <c r="U1" s="324"/>
      <c r="V1" s="324"/>
      <c r="W1" s="324"/>
    </row>
    <row r="2" spans="1:23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K2" s="323"/>
      <c r="M2" s="323"/>
      <c r="N2" s="324"/>
      <c r="O2" s="324"/>
      <c r="P2" s="324"/>
      <c r="Q2" s="324"/>
      <c r="R2" s="324"/>
      <c r="S2" s="324"/>
      <c r="T2" s="324"/>
      <c r="U2" s="324"/>
      <c r="V2" s="324"/>
    </row>
    <row r="3" spans="1:23" s="143" customFormat="1" ht="18.75" customHeight="1">
      <c r="A3" s="1543" t="s">
        <v>0</v>
      </c>
      <c r="B3" s="1543"/>
      <c r="C3" s="1543"/>
      <c r="D3" s="1543"/>
      <c r="E3" s="1543"/>
      <c r="F3" s="1543"/>
      <c r="G3" s="1543"/>
      <c r="H3" s="1543"/>
      <c r="I3" s="1543"/>
      <c r="J3" s="1543"/>
      <c r="L3" s="442"/>
    </row>
    <row r="4" spans="1:23" s="382" customFormat="1" ht="15" customHeight="1">
      <c r="A4" s="564" t="s">
        <v>33</v>
      </c>
      <c r="B4" s="564"/>
      <c r="C4" s="318" t="str">
        <f>H4</f>
        <v>KE NHỰA 400 X 600 MM</v>
      </c>
      <c r="D4" s="328"/>
      <c r="E4" s="328" t="s">
        <v>228</v>
      </c>
      <c r="F4" s="328" t="s">
        <v>237</v>
      </c>
      <c r="G4" s="328" t="s">
        <v>114</v>
      </c>
      <c r="H4" s="318" t="s">
        <v>819</v>
      </c>
      <c r="K4" s="143"/>
    </row>
    <row r="5" spans="1:23" s="229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143"/>
    </row>
    <row r="6" spans="1:23" s="382" customFormat="1" ht="15" customHeight="1">
      <c r="D6" s="328"/>
      <c r="E6" s="329"/>
      <c r="F6" s="329"/>
      <c r="G6" s="328">
        <v>645.99999999999545</v>
      </c>
      <c r="H6" s="322" t="s">
        <v>292</v>
      </c>
      <c r="I6" s="578" t="s">
        <v>149</v>
      </c>
      <c r="K6" s="143"/>
      <c r="L6" s="382" t="s">
        <v>225</v>
      </c>
    </row>
    <row r="7" spans="1:23" s="305" customFormat="1" ht="28.5" customHeight="1">
      <c r="A7" s="1004" t="s">
        <v>2</v>
      </c>
      <c r="B7" s="1005" t="s">
        <v>1</v>
      </c>
      <c r="C7" s="1005" t="s">
        <v>24</v>
      </c>
      <c r="D7" s="1003" t="s">
        <v>250</v>
      </c>
      <c r="E7" s="1003" t="s">
        <v>249</v>
      </c>
      <c r="F7" s="1003" t="s">
        <v>265</v>
      </c>
      <c r="G7" s="1003" t="s">
        <v>253</v>
      </c>
      <c r="H7" s="1003" t="s">
        <v>30</v>
      </c>
      <c r="I7" s="697" t="s">
        <v>341</v>
      </c>
      <c r="J7" s="697" t="s">
        <v>244</v>
      </c>
      <c r="K7" s="143"/>
    </row>
    <row r="8" spans="1:23" s="305" customFormat="1" ht="11.25" customHeight="1">
      <c r="A8" s="568" t="s">
        <v>3</v>
      </c>
      <c r="B8" s="1001"/>
      <c r="C8" s="1002"/>
      <c r="D8" s="475">
        <f>G8</f>
        <v>0</v>
      </c>
      <c r="E8" s="300">
        <f>E40</f>
        <v>0</v>
      </c>
      <c r="F8" s="300"/>
      <c r="G8" s="423">
        <v>0</v>
      </c>
      <c r="H8" s="581"/>
      <c r="I8" s="689"/>
      <c r="J8" s="689"/>
      <c r="K8" s="143">
        <v>599.29999999999995</v>
      </c>
    </row>
    <row r="9" spans="1:23" s="333" customFormat="1" ht="11.25" customHeight="1">
      <c r="A9" s="330">
        <v>1</v>
      </c>
      <c r="B9" s="365">
        <f>'FRIT HGE91-FHG'!B9</f>
        <v>46235</v>
      </c>
      <c r="C9" s="365" t="s">
        <v>334</v>
      </c>
      <c r="D9" s="480"/>
      <c r="E9" s="480">
        <f>I9+J9</f>
        <v>0</v>
      </c>
      <c r="F9" s="567">
        <f>35000/900000*15700</f>
        <v>610.55555555555554</v>
      </c>
      <c r="G9" s="433">
        <f>G8+D9-E9</f>
        <v>0</v>
      </c>
      <c r="H9" s="424">
        <f>G9/F9</f>
        <v>0</v>
      </c>
      <c r="I9" s="689"/>
      <c r="J9" s="689"/>
      <c r="K9" s="647">
        <f>G9/$K$8</f>
        <v>0</v>
      </c>
      <c r="L9" s="305"/>
    </row>
    <row r="10" spans="1:23" s="333" customFormat="1" ht="11.25" customHeight="1">
      <c r="A10" s="330">
        <v>2</v>
      </c>
      <c r="B10" s="365">
        <f>'FRIT HGE91-FHG'!B10</f>
        <v>46236</v>
      </c>
      <c r="C10" s="365" t="s">
        <v>334</v>
      </c>
      <c r="D10" s="480"/>
      <c r="E10" s="480">
        <f t="shared" ref="E10:E39" si="0">I10+J10</f>
        <v>0</v>
      </c>
      <c r="F10" s="567">
        <f>$F$9</f>
        <v>610.55555555555554</v>
      </c>
      <c r="G10" s="433">
        <f t="shared" ref="G10:G39" si="1">G9+D10-E10</f>
        <v>0</v>
      </c>
      <c r="H10" s="424">
        <f t="shared" ref="H10:H39" si="2">G10/F10</f>
        <v>0</v>
      </c>
      <c r="I10" s="689"/>
      <c r="J10" s="689"/>
      <c r="K10" s="647">
        <f t="shared" ref="K10:K39" si="3">G10/$K$8</f>
        <v>0</v>
      </c>
      <c r="L10" s="305"/>
    </row>
    <row r="11" spans="1:23" s="333" customFormat="1" ht="11.25" customHeight="1">
      <c r="A11" s="330">
        <v>3</v>
      </c>
      <c r="B11" s="365">
        <f>'FRIT HGE91-FHG'!B11</f>
        <v>46237</v>
      </c>
      <c r="C11" s="365" t="s">
        <v>334</v>
      </c>
      <c r="D11" s="480"/>
      <c r="E11" s="480">
        <f t="shared" si="0"/>
        <v>0</v>
      </c>
      <c r="F11" s="567">
        <f t="shared" ref="F11:F39" si="4">$F$9</f>
        <v>610.55555555555554</v>
      </c>
      <c r="G11" s="433">
        <f>G10+D11-E11</f>
        <v>0</v>
      </c>
      <c r="H11" s="424">
        <f t="shared" si="2"/>
        <v>0</v>
      </c>
      <c r="I11" s="689"/>
      <c r="J11" s="689"/>
      <c r="K11" s="647">
        <f t="shared" si="3"/>
        <v>0</v>
      </c>
      <c r="L11" s="305"/>
    </row>
    <row r="12" spans="1:23" s="367" customFormat="1" ht="11.25" customHeight="1">
      <c r="A12" s="330">
        <v>4</v>
      </c>
      <c r="B12" s="365">
        <f>'FRIT HGE91-FHG'!B12</f>
        <v>46238</v>
      </c>
      <c r="C12" s="365" t="s">
        <v>334</v>
      </c>
      <c r="D12" s="480"/>
      <c r="E12" s="480">
        <f t="shared" si="0"/>
        <v>0</v>
      </c>
      <c r="F12" s="567">
        <f t="shared" si="4"/>
        <v>610.55555555555554</v>
      </c>
      <c r="G12" s="433">
        <f>G11+D12-E12</f>
        <v>0</v>
      </c>
      <c r="H12" s="424">
        <f t="shared" si="2"/>
        <v>0</v>
      </c>
      <c r="I12" s="689"/>
      <c r="J12" s="689"/>
      <c r="K12" s="647">
        <f t="shared" si="3"/>
        <v>0</v>
      </c>
      <c r="L12" s="305"/>
    </row>
    <row r="13" spans="1:23" s="367" customFormat="1" ht="11.25" customHeight="1">
      <c r="A13" s="425">
        <v>5</v>
      </c>
      <c r="B13" s="365">
        <f>'FRIT HGE91-FHG'!B13</f>
        <v>46239</v>
      </c>
      <c r="C13" s="365" t="s">
        <v>285</v>
      </c>
      <c r="D13" s="480"/>
      <c r="E13" s="480">
        <f t="shared" si="0"/>
        <v>0</v>
      </c>
      <c r="F13" s="567">
        <f t="shared" si="4"/>
        <v>610.55555555555554</v>
      </c>
      <c r="G13" s="435">
        <f>G12+D13-E13</f>
        <v>0</v>
      </c>
      <c r="H13" s="424">
        <f t="shared" si="2"/>
        <v>0</v>
      </c>
      <c r="I13" s="689"/>
      <c r="J13" s="689"/>
      <c r="K13" s="647">
        <f t="shared" si="3"/>
        <v>0</v>
      </c>
      <c r="L13" s="305"/>
    </row>
    <row r="14" spans="1:23" s="367" customFormat="1" ht="11.25" customHeight="1">
      <c r="A14" s="330">
        <v>6</v>
      </c>
      <c r="B14" s="365">
        <f>'FRIT HGE91-FHG'!B14</f>
        <v>46240</v>
      </c>
      <c r="C14" s="365" t="s">
        <v>285</v>
      </c>
      <c r="D14" s="480"/>
      <c r="E14" s="480">
        <f t="shared" si="0"/>
        <v>0</v>
      </c>
      <c r="F14" s="567">
        <f t="shared" si="4"/>
        <v>610.55555555555554</v>
      </c>
      <c r="G14" s="433">
        <f t="shared" si="1"/>
        <v>0</v>
      </c>
      <c r="H14" s="424">
        <f t="shared" si="2"/>
        <v>0</v>
      </c>
      <c r="I14" s="689"/>
      <c r="J14" s="689"/>
      <c r="K14" s="647">
        <f t="shared" si="3"/>
        <v>0</v>
      </c>
      <c r="L14" s="305"/>
    </row>
    <row r="15" spans="1:23" s="367" customFormat="1" ht="11.25" customHeight="1">
      <c r="A15" s="330">
        <v>7</v>
      </c>
      <c r="B15" s="365">
        <f>'FRIT HGE91-FHG'!B15</f>
        <v>46241</v>
      </c>
      <c r="C15" s="365" t="s">
        <v>285</v>
      </c>
      <c r="D15" s="480"/>
      <c r="E15" s="480">
        <f t="shared" si="0"/>
        <v>0</v>
      </c>
      <c r="F15" s="567">
        <f t="shared" si="4"/>
        <v>610.55555555555554</v>
      </c>
      <c r="G15" s="433">
        <f>G14+D15-E15</f>
        <v>0</v>
      </c>
      <c r="H15" s="424">
        <f t="shared" si="2"/>
        <v>0</v>
      </c>
      <c r="I15" s="689"/>
      <c r="J15" s="689"/>
      <c r="K15" s="647">
        <f t="shared" si="3"/>
        <v>0</v>
      </c>
      <c r="L15" s="305"/>
    </row>
    <row r="16" spans="1:23" s="367" customFormat="1" ht="11.25" customHeight="1">
      <c r="A16" s="330">
        <v>8</v>
      </c>
      <c r="B16" s="365">
        <f>'FRIT HGE91-FHG'!B16</f>
        <v>46242</v>
      </c>
      <c r="C16" s="365" t="s">
        <v>285</v>
      </c>
      <c r="D16" s="480"/>
      <c r="E16" s="480">
        <f t="shared" si="0"/>
        <v>0</v>
      </c>
      <c r="F16" s="567">
        <f t="shared" si="4"/>
        <v>610.55555555555554</v>
      </c>
      <c r="G16" s="433">
        <f t="shared" si="1"/>
        <v>0</v>
      </c>
      <c r="H16" s="424">
        <f t="shared" si="2"/>
        <v>0</v>
      </c>
      <c r="I16" s="689"/>
      <c r="J16" s="689"/>
      <c r="K16" s="647">
        <f t="shared" si="3"/>
        <v>0</v>
      </c>
      <c r="L16" s="305"/>
    </row>
    <row r="17" spans="1:12" s="367" customFormat="1" ht="11.25" customHeight="1">
      <c r="A17" s="330">
        <v>9</v>
      </c>
      <c r="B17" s="365">
        <f>'FRIT HGE91-FHG'!B17</f>
        <v>46243</v>
      </c>
      <c r="C17" s="365" t="s">
        <v>285</v>
      </c>
      <c r="D17" s="480"/>
      <c r="E17" s="480">
        <f t="shared" si="0"/>
        <v>0</v>
      </c>
      <c r="F17" s="567">
        <f t="shared" si="4"/>
        <v>610.55555555555554</v>
      </c>
      <c r="G17" s="433">
        <f t="shared" si="1"/>
        <v>0</v>
      </c>
      <c r="H17" s="424">
        <f t="shared" si="2"/>
        <v>0</v>
      </c>
      <c r="I17" s="689"/>
      <c r="J17" s="689"/>
      <c r="K17" s="647">
        <f t="shared" si="3"/>
        <v>0</v>
      </c>
      <c r="L17" s="305"/>
    </row>
    <row r="18" spans="1:12" s="367" customFormat="1" ht="11.25" customHeight="1">
      <c r="A18" s="425">
        <v>10</v>
      </c>
      <c r="B18" s="365">
        <f>'FRIT HGE91-FHG'!B18</f>
        <v>46244</v>
      </c>
      <c r="C18" s="365" t="s">
        <v>285</v>
      </c>
      <c r="D18" s="480"/>
      <c r="E18" s="480">
        <f t="shared" si="0"/>
        <v>0</v>
      </c>
      <c r="F18" s="567">
        <f t="shared" si="4"/>
        <v>610.55555555555554</v>
      </c>
      <c r="G18" s="435">
        <f>G17+D18-E18</f>
        <v>0</v>
      </c>
      <c r="H18" s="424">
        <f t="shared" si="2"/>
        <v>0</v>
      </c>
      <c r="I18" s="689"/>
      <c r="J18" s="689"/>
      <c r="K18" s="647">
        <f t="shared" si="3"/>
        <v>0</v>
      </c>
      <c r="L18" s="305"/>
    </row>
    <row r="19" spans="1:12" s="367" customFormat="1" ht="11.25" customHeight="1">
      <c r="A19" s="330">
        <v>11</v>
      </c>
      <c r="B19" s="365">
        <f>'FRIT HGE91-FHG'!B19</f>
        <v>46245</v>
      </c>
      <c r="C19" s="365" t="s">
        <v>285</v>
      </c>
      <c r="D19" s="480"/>
      <c r="E19" s="480">
        <f t="shared" si="0"/>
        <v>0</v>
      </c>
      <c r="F19" s="567">
        <f t="shared" si="4"/>
        <v>610.55555555555554</v>
      </c>
      <c r="G19" s="433">
        <f t="shared" si="1"/>
        <v>0</v>
      </c>
      <c r="H19" s="424">
        <f t="shared" si="2"/>
        <v>0</v>
      </c>
      <c r="I19" s="689"/>
      <c r="J19" s="689"/>
      <c r="K19" s="647">
        <f t="shared" si="3"/>
        <v>0</v>
      </c>
      <c r="L19" s="333"/>
    </row>
    <row r="20" spans="1:12" s="367" customFormat="1" ht="11.25" customHeight="1">
      <c r="A20" s="330">
        <v>12</v>
      </c>
      <c r="B20" s="365">
        <f>'FRIT HGE91-FHG'!B20</f>
        <v>46246</v>
      </c>
      <c r="C20" s="365" t="s">
        <v>285</v>
      </c>
      <c r="D20" s="480"/>
      <c r="E20" s="480">
        <f t="shared" si="0"/>
        <v>0</v>
      </c>
      <c r="F20" s="567">
        <f t="shared" si="4"/>
        <v>610.55555555555554</v>
      </c>
      <c r="G20" s="433">
        <f t="shared" si="1"/>
        <v>0</v>
      </c>
      <c r="H20" s="424">
        <f t="shared" si="2"/>
        <v>0</v>
      </c>
      <c r="I20" s="689"/>
      <c r="J20" s="689"/>
      <c r="K20" s="647">
        <f t="shared" si="3"/>
        <v>0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65" t="s">
        <v>285</v>
      </c>
      <c r="D21" s="480"/>
      <c r="E21" s="480">
        <f t="shared" si="0"/>
        <v>0</v>
      </c>
      <c r="F21" s="567">
        <f t="shared" si="4"/>
        <v>610.55555555555554</v>
      </c>
      <c r="G21" s="433">
        <f t="shared" si="1"/>
        <v>0</v>
      </c>
      <c r="H21" s="424">
        <f t="shared" si="2"/>
        <v>0</v>
      </c>
      <c r="I21" s="689"/>
      <c r="J21" s="689"/>
      <c r="K21" s="647">
        <f t="shared" si="3"/>
        <v>0</v>
      </c>
      <c r="L21" s="333"/>
    </row>
    <row r="22" spans="1:12" s="367" customFormat="1" ht="11.25" customHeight="1">
      <c r="A22" s="330">
        <v>14</v>
      </c>
      <c r="B22" s="365">
        <f>'FRIT HGE91-FHG'!B22</f>
        <v>46248</v>
      </c>
      <c r="C22" s="365" t="s">
        <v>285</v>
      </c>
      <c r="D22" s="480"/>
      <c r="E22" s="480">
        <f t="shared" si="0"/>
        <v>0</v>
      </c>
      <c r="F22" s="567">
        <f t="shared" si="4"/>
        <v>610.55555555555554</v>
      </c>
      <c r="G22" s="433">
        <f t="shared" si="1"/>
        <v>0</v>
      </c>
      <c r="H22" s="424">
        <f t="shared" si="2"/>
        <v>0</v>
      </c>
      <c r="I22" s="689"/>
      <c r="J22" s="689"/>
      <c r="K22" s="647">
        <f t="shared" si="3"/>
        <v>0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65" t="s">
        <v>285</v>
      </c>
      <c r="D23" s="480"/>
      <c r="E23" s="480">
        <f t="shared" si="0"/>
        <v>0</v>
      </c>
      <c r="F23" s="567">
        <f t="shared" si="4"/>
        <v>610.55555555555554</v>
      </c>
      <c r="G23" s="435">
        <f t="shared" si="1"/>
        <v>0</v>
      </c>
      <c r="H23" s="424">
        <f t="shared" si="2"/>
        <v>0</v>
      </c>
      <c r="I23" s="689"/>
      <c r="J23" s="689"/>
      <c r="K23" s="647">
        <f t="shared" si="3"/>
        <v>0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65" t="s">
        <v>285</v>
      </c>
      <c r="D24" s="480"/>
      <c r="E24" s="480">
        <f t="shared" si="0"/>
        <v>0</v>
      </c>
      <c r="F24" s="567">
        <f t="shared" si="4"/>
        <v>610.55555555555554</v>
      </c>
      <c r="G24" s="433">
        <f t="shared" si="1"/>
        <v>0</v>
      </c>
      <c r="H24" s="424">
        <f t="shared" si="2"/>
        <v>0</v>
      </c>
      <c r="I24" s="689"/>
      <c r="J24" s="689"/>
      <c r="K24" s="647">
        <f t="shared" si="3"/>
        <v>0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65" t="s">
        <v>285</v>
      </c>
      <c r="D25" s="480"/>
      <c r="E25" s="480">
        <f t="shared" si="0"/>
        <v>0</v>
      </c>
      <c r="F25" s="567">
        <f t="shared" si="4"/>
        <v>610.55555555555554</v>
      </c>
      <c r="G25" s="433">
        <f t="shared" si="1"/>
        <v>0</v>
      </c>
      <c r="H25" s="424">
        <f t="shared" si="2"/>
        <v>0</v>
      </c>
      <c r="I25" s="689"/>
      <c r="J25" s="689"/>
      <c r="K25" s="647">
        <f t="shared" si="3"/>
        <v>0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65" t="s">
        <v>285</v>
      </c>
      <c r="D26" s="480"/>
      <c r="E26" s="480">
        <f t="shared" si="0"/>
        <v>0</v>
      </c>
      <c r="F26" s="567">
        <f t="shared" si="4"/>
        <v>610.55555555555554</v>
      </c>
      <c r="G26" s="433">
        <f t="shared" si="1"/>
        <v>0</v>
      </c>
      <c r="H26" s="424">
        <f t="shared" si="2"/>
        <v>0</v>
      </c>
      <c r="I26" s="689"/>
      <c r="J26" s="689"/>
      <c r="K26" s="647">
        <f t="shared" si="3"/>
        <v>0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65" t="s">
        <v>285</v>
      </c>
      <c r="D27" s="480"/>
      <c r="E27" s="480">
        <f t="shared" si="0"/>
        <v>0</v>
      </c>
      <c r="F27" s="567">
        <f t="shared" si="4"/>
        <v>610.55555555555554</v>
      </c>
      <c r="G27" s="433">
        <f t="shared" si="1"/>
        <v>0</v>
      </c>
      <c r="H27" s="424">
        <f t="shared" si="2"/>
        <v>0</v>
      </c>
      <c r="I27" s="689"/>
      <c r="J27" s="689"/>
      <c r="K27" s="647">
        <f t="shared" si="3"/>
        <v>0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65" t="s">
        <v>285</v>
      </c>
      <c r="D28" s="480"/>
      <c r="E28" s="480">
        <f t="shared" si="0"/>
        <v>0</v>
      </c>
      <c r="F28" s="567">
        <f t="shared" si="4"/>
        <v>610.55555555555554</v>
      </c>
      <c r="G28" s="435">
        <f t="shared" si="1"/>
        <v>0</v>
      </c>
      <c r="H28" s="424">
        <f t="shared" si="2"/>
        <v>0</v>
      </c>
      <c r="I28" s="689"/>
      <c r="J28" s="689"/>
      <c r="K28" s="647">
        <f t="shared" si="3"/>
        <v>0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65" t="s">
        <v>285</v>
      </c>
      <c r="D29" s="480"/>
      <c r="E29" s="480">
        <f t="shared" si="0"/>
        <v>0</v>
      </c>
      <c r="F29" s="567">
        <f t="shared" si="4"/>
        <v>610.55555555555554</v>
      </c>
      <c r="G29" s="433">
        <f t="shared" si="1"/>
        <v>0</v>
      </c>
      <c r="H29" s="424">
        <f t="shared" si="2"/>
        <v>0</v>
      </c>
      <c r="I29" s="689"/>
      <c r="J29" s="689"/>
      <c r="K29" s="647">
        <f t="shared" si="3"/>
        <v>0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65" t="s">
        <v>285</v>
      </c>
      <c r="D30" s="480"/>
      <c r="E30" s="480">
        <f t="shared" si="0"/>
        <v>0</v>
      </c>
      <c r="F30" s="567">
        <f t="shared" si="4"/>
        <v>610.55555555555554</v>
      </c>
      <c r="G30" s="433">
        <f t="shared" si="1"/>
        <v>0</v>
      </c>
      <c r="H30" s="424">
        <f t="shared" si="2"/>
        <v>0</v>
      </c>
      <c r="I30" s="689"/>
      <c r="J30" s="689"/>
      <c r="K30" s="647">
        <f t="shared" si="3"/>
        <v>0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65" t="s">
        <v>285</v>
      </c>
      <c r="D31" s="480"/>
      <c r="E31" s="480">
        <f t="shared" si="0"/>
        <v>0</v>
      </c>
      <c r="F31" s="567">
        <f t="shared" si="4"/>
        <v>610.55555555555554</v>
      </c>
      <c r="G31" s="433">
        <f>G30+D31-E31</f>
        <v>0</v>
      </c>
      <c r="H31" s="424">
        <f t="shared" si="2"/>
        <v>0</v>
      </c>
      <c r="I31" s="689"/>
      <c r="J31" s="689"/>
      <c r="K31" s="647">
        <f t="shared" si="3"/>
        <v>0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65" t="s">
        <v>285</v>
      </c>
      <c r="D32" s="480"/>
      <c r="E32" s="480">
        <f t="shared" si="0"/>
        <v>0</v>
      </c>
      <c r="F32" s="567">
        <f t="shared" si="4"/>
        <v>610.55555555555554</v>
      </c>
      <c r="G32" s="433">
        <f t="shared" si="1"/>
        <v>0</v>
      </c>
      <c r="H32" s="424">
        <f t="shared" si="2"/>
        <v>0</v>
      </c>
      <c r="I32" s="689"/>
      <c r="J32" s="689"/>
      <c r="K32" s="647">
        <f t="shared" si="3"/>
        <v>0</v>
      </c>
    </row>
    <row r="33" spans="1:11" s="367" customFormat="1" ht="11.25" customHeight="1">
      <c r="A33" s="426">
        <v>25</v>
      </c>
      <c r="B33" s="365">
        <f>'FRIT HGE91-FHG'!B33</f>
        <v>46259</v>
      </c>
      <c r="C33" s="365" t="s">
        <v>285</v>
      </c>
      <c r="D33" s="480"/>
      <c r="E33" s="480">
        <f t="shared" si="0"/>
        <v>0</v>
      </c>
      <c r="F33" s="567">
        <f t="shared" si="4"/>
        <v>610.55555555555554</v>
      </c>
      <c r="G33" s="436">
        <f t="shared" si="1"/>
        <v>0</v>
      </c>
      <c r="H33" s="424">
        <f t="shared" si="2"/>
        <v>0</v>
      </c>
      <c r="I33" s="689"/>
      <c r="J33" s="689"/>
      <c r="K33" s="647">
        <f t="shared" si="3"/>
        <v>0</v>
      </c>
    </row>
    <row r="34" spans="1:11" s="367" customFormat="1" ht="11.25" customHeight="1">
      <c r="A34" s="330">
        <v>26</v>
      </c>
      <c r="B34" s="365">
        <f>'FRIT HGE91-FHG'!B34</f>
        <v>46260</v>
      </c>
      <c r="C34" s="365" t="s">
        <v>285</v>
      </c>
      <c r="D34" s="480"/>
      <c r="E34" s="480">
        <f t="shared" si="0"/>
        <v>0</v>
      </c>
      <c r="F34" s="567">
        <f t="shared" si="4"/>
        <v>610.55555555555554</v>
      </c>
      <c r="G34" s="433">
        <f t="shared" si="1"/>
        <v>0</v>
      </c>
      <c r="H34" s="424">
        <f t="shared" si="2"/>
        <v>0</v>
      </c>
      <c r="I34" s="689"/>
      <c r="J34" s="689"/>
      <c r="K34" s="647">
        <f t="shared" si="3"/>
        <v>0</v>
      </c>
    </row>
    <row r="35" spans="1:11" s="367" customFormat="1" ht="11.25" customHeight="1">
      <c r="A35" s="330">
        <v>27</v>
      </c>
      <c r="B35" s="365">
        <f>'FRIT HGE91-FHG'!B35</f>
        <v>46261</v>
      </c>
      <c r="C35" s="365" t="s">
        <v>285</v>
      </c>
      <c r="D35" s="480"/>
      <c r="E35" s="480">
        <f t="shared" si="0"/>
        <v>0</v>
      </c>
      <c r="F35" s="567">
        <f t="shared" si="4"/>
        <v>610.55555555555554</v>
      </c>
      <c r="G35" s="433">
        <f t="shared" si="1"/>
        <v>0</v>
      </c>
      <c r="H35" s="424">
        <f t="shared" si="2"/>
        <v>0</v>
      </c>
      <c r="I35" s="689"/>
      <c r="J35" s="689"/>
      <c r="K35" s="647">
        <f t="shared" si="3"/>
        <v>0</v>
      </c>
    </row>
    <row r="36" spans="1:11" s="367" customFormat="1" ht="11.25" customHeight="1">
      <c r="A36" s="330">
        <v>28</v>
      </c>
      <c r="B36" s="365">
        <f>'FRIT HGE91-FHG'!B36</f>
        <v>46262</v>
      </c>
      <c r="C36" s="365" t="s">
        <v>285</v>
      </c>
      <c r="D36" s="480"/>
      <c r="E36" s="480">
        <f t="shared" si="0"/>
        <v>0</v>
      </c>
      <c r="F36" s="567">
        <f t="shared" si="4"/>
        <v>610.55555555555554</v>
      </c>
      <c r="G36" s="433">
        <f t="shared" si="1"/>
        <v>0</v>
      </c>
      <c r="H36" s="424">
        <f t="shared" si="2"/>
        <v>0</v>
      </c>
      <c r="I36" s="689"/>
      <c r="J36" s="689"/>
      <c r="K36" s="647">
        <f t="shared" si="3"/>
        <v>0</v>
      </c>
    </row>
    <row r="37" spans="1:11" s="367" customFormat="1" ht="11.25" customHeight="1">
      <c r="A37" s="330">
        <v>29</v>
      </c>
      <c r="B37" s="365">
        <f>'FRIT HGE91-FHG'!B37</f>
        <v>46263</v>
      </c>
      <c r="C37" s="365" t="s">
        <v>285</v>
      </c>
      <c r="D37" s="480"/>
      <c r="E37" s="480">
        <f t="shared" si="0"/>
        <v>0</v>
      </c>
      <c r="F37" s="567">
        <f t="shared" si="4"/>
        <v>610.55555555555554</v>
      </c>
      <c r="G37" s="433">
        <f t="shared" si="1"/>
        <v>0</v>
      </c>
      <c r="H37" s="424">
        <f t="shared" si="2"/>
        <v>0</v>
      </c>
      <c r="I37" s="689"/>
      <c r="J37" s="689"/>
      <c r="K37" s="647">
        <f t="shared" si="3"/>
        <v>0</v>
      </c>
    </row>
    <row r="38" spans="1:11" s="367" customFormat="1" ht="11.25" customHeight="1">
      <c r="A38" s="425">
        <v>30</v>
      </c>
      <c r="B38" s="365">
        <f>'FRIT HGE91-FHG'!B38</f>
        <v>46264</v>
      </c>
      <c r="C38" s="365" t="s">
        <v>285</v>
      </c>
      <c r="D38" s="480"/>
      <c r="E38" s="480">
        <f t="shared" si="0"/>
        <v>0</v>
      </c>
      <c r="F38" s="567">
        <f t="shared" si="4"/>
        <v>610.55555555555554</v>
      </c>
      <c r="G38" s="435">
        <f t="shared" si="1"/>
        <v>0</v>
      </c>
      <c r="H38" s="424">
        <f t="shared" si="2"/>
        <v>0</v>
      </c>
      <c r="I38" s="689"/>
      <c r="J38" s="689"/>
      <c r="K38" s="647">
        <f t="shared" si="3"/>
        <v>0</v>
      </c>
    </row>
    <row r="39" spans="1:11" s="367" customFormat="1" ht="11.25" customHeight="1">
      <c r="A39" s="330">
        <v>31</v>
      </c>
      <c r="B39" s="365">
        <f>'FRIT HGE91-FHG'!B39</f>
        <v>46265</v>
      </c>
      <c r="C39" s="365" t="s">
        <v>285</v>
      </c>
      <c r="D39" s="480"/>
      <c r="E39" s="480">
        <f t="shared" si="0"/>
        <v>0</v>
      </c>
      <c r="F39" s="567">
        <f t="shared" si="4"/>
        <v>610.55555555555554</v>
      </c>
      <c r="G39" s="433">
        <f t="shared" si="1"/>
        <v>0</v>
      </c>
      <c r="H39" s="424">
        <f t="shared" si="2"/>
        <v>0</v>
      </c>
      <c r="I39" s="689"/>
      <c r="J39" s="689"/>
      <c r="K39" s="647">
        <f t="shared" si="3"/>
        <v>0</v>
      </c>
    </row>
    <row r="40" spans="1:11" s="486" customFormat="1" ht="11.25" customHeight="1">
      <c r="A40" s="1661" t="s">
        <v>29</v>
      </c>
      <c r="B40" s="1661"/>
      <c r="C40" s="1661"/>
      <c r="D40" s="664">
        <f>SUM(D9:D39)</f>
        <v>0</v>
      </c>
      <c r="E40" s="662">
        <f>SUM(E9:E39)</f>
        <v>0</v>
      </c>
      <c r="F40" s="487"/>
      <c r="G40" s="489">
        <f>G39</f>
        <v>0</v>
      </c>
      <c r="H40" s="560"/>
      <c r="I40" s="689">
        <f>SUM(I9:I39)</f>
        <v>0</v>
      </c>
      <c r="J40" s="689">
        <f t="shared" ref="J40" si="5">SUM(J9:J39)</f>
        <v>0</v>
      </c>
      <c r="K40" s="374"/>
    </row>
    <row r="41" spans="1:11" s="486" customFormat="1" ht="11.25" customHeight="1">
      <c r="A41" s="1661" t="s">
        <v>15</v>
      </c>
      <c r="B41" s="1661"/>
      <c r="C41" s="1661"/>
      <c r="D41" s="563">
        <f>D8+D40</f>
        <v>0</v>
      </c>
      <c r="E41" s="487">
        <f>E40</f>
        <v>0</v>
      </c>
      <c r="F41" s="487"/>
      <c r="G41" s="487">
        <f>D41-E41</f>
        <v>0</v>
      </c>
      <c r="H41" s="485"/>
      <c r="I41" s="689"/>
      <c r="J41" s="689"/>
      <c r="K41" s="374"/>
    </row>
    <row r="42" spans="1:11" s="324" customFormat="1" ht="12.75">
      <c r="D42" s="343"/>
      <c r="E42" s="343"/>
      <c r="F42" s="343"/>
      <c r="H42" s="343" t="s">
        <v>227</v>
      </c>
      <c r="I42" s="343"/>
    </row>
    <row r="43" spans="1:11" s="324" customFormat="1" ht="12.75">
      <c r="D43" s="343"/>
      <c r="E43" s="343"/>
      <c r="F43" s="343"/>
      <c r="H43" s="343"/>
      <c r="I43" s="343"/>
    </row>
    <row r="44" spans="1:11" s="324" customFormat="1" ht="12.75">
      <c r="D44" s="343"/>
      <c r="E44" s="343"/>
      <c r="F44" s="343"/>
      <c r="H44" s="343"/>
      <c r="I44" s="343"/>
    </row>
    <row r="45" spans="1:11" s="324" customFormat="1" ht="12.75">
      <c r="D45" s="343"/>
      <c r="E45" s="343"/>
      <c r="F45" s="343"/>
      <c r="H45" s="343"/>
      <c r="I45" s="343"/>
    </row>
    <row r="46" spans="1:11" s="324" customFormat="1" ht="12.75">
      <c r="D46" s="343"/>
      <c r="E46" s="343"/>
      <c r="F46" s="343"/>
      <c r="H46" s="343" t="s">
        <v>333</v>
      </c>
      <c r="I46" s="343"/>
    </row>
    <row r="47" spans="1:11" s="340" customFormat="1" ht="15.75">
      <c r="D47" s="341"/>
      <c r="E47" s="341"/>
      <c r="F47" s="341"/>
      <c r="G47" s="341"/>
      <c r="H47" s="341"/>
      <c r="I47" s="341"/>
      <c r="J47" s="341"/>
      <c r="K47" s="143"/>
    </row>
  </sheetData>
  <mergeCells count="3">
    <mergeCell ref="A3:J3"/>
    <mergeCell ref="A40:C40"/>
    <mergeCell ref="A41:C41"/>
  </mergeCells>
  <conditionalFormatting sqref="H9:H39">
    <cfRule type="cellIs" dxfId="5630" priority="4" operator="between">
      <formula>3</formula>
      <formula>6</formula>
    </cfRule>
    <cfRule type="cellIs" dxfId="5629" priority="5" operator="lessThan">
      <formula>3</formula>
    </cfRule>
    <cfRule type="cellIs" dxfId="5628" priority="6" operator="greaterThan">
      <formula>6</formula>
    </cfRule>
  </conditionalFormatting>
  <conditionalFormatting sqref="H40">
    <cfRule type="cellIs" dxfId="5627" priority="1" operator="between">
      <formula>3</formula>
      <formula>6</formula>
    </cfRule>
    <cfRule type="cellIs" dxfId="5626" priority="2" operator="lessThan">
      <formula>3</formula>
    </cfRule>
    <cfRule type="cellIs" dxfId="5625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7"/>
  <sheetViews>
    <sheetView workbookViewId="0">
      <pane ySplit="8" topLeftCell="A21" activePane="bottomLeft" state="frozen"/>
      <selection pane="bottomLeft" activeCell="D37" sqref="D37:D38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5.85546875" style="42" customWidth="1"/>
    <col min="4" max="7" width="14.140625" style="6" customWidth="1"/>
    <col min="8" max="8" width="18.28515625" style="42" customWidth="1"/>
    <col min="9" max="9" width="11.5703125" style="42" customWidth="1"/>
    <col min="10" max="11" width="11.140625" style="42" customWidth="1"/>
    <col min="12" max="12" width="8" style="143" customWidth="1"/>
    <col min="13" max="14" width="7.5703125" style="42" customWidth="1"/>
    <col min="15" max="16384" width="9.28515625" style="42"/>
  </cols>
  <sheetData>
    <row r="1" spans="1:25" s="143" customFormat="1" ht="14.2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s="143" customFormat="1" ht="14.2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K2" s="324"/>
      <c r="L2" s="323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s="143" customFormat="1" ht="18.75" customHeight="1">
      <c r="A3" s="1543" t="s">
        <v>0</v>
      </c>
      <c r="B3" s="1543"/>
      <c r="C3" s="1543"/>
      <c r="D3" s="1543"/>
      <c r="E3" s="1543"/>
      <c r="F3" s="1543"/>
      <c r="G3" s="1543"/>
      <c r="H3" s="1543"/>
      <c r="I3" s="1543"/>
      <c r="J3" s="1543"/>
      <c r="K3" s="683"/>
      <c r="M3" s="442"/>
      <c r="N3" s="442"/>
    </row>
    <row r="4" spans="1:25" s="382" customFormat="1" ht="15" customHeight="1">
      <c r="A4" s="564" t="s">
        <v>33</v>
      </c>
      <c r="B4" s="564"/>
      <c r="C4" s="318" t="str">
        <f>H4</f>
        <v>BỌ SẮT-TPĐ</v>
      </c>
      <c r="D4" s="328"/>
      <c r="E4" s="328" t="s">
        <v>228</v>
      </c>
      <c r="F4" s="383" t="s">
        <v>231</v>
      </c>
      <c r="G4" s="328" t="s">
        <v>114</v>
      </c>
      <c r="H4" s="318" t="s">
        <v>295</v>
      </c>
      <c r="L4" s="143"/>
    </row>
    <row r="5" spans="1:25" s="229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143"/>
    </row>
    <row r="6" spans="1:25" s="382" customFormat="1" ht="15" customHeight="1">
      <c r="D6" s="328"/>
      <c r="E6" s="329"/>
      <c r="F6" s="329"/>
      <c r="G6" s="328"/>
      <c r="H6" s="322" t="s">
        <v>292</v>
      </c>
      <c r="I6" s="578" t="s">
        <v>149</v>
      </c>
      <c r="L6" s="143"/>
      <c r="N6" s="382" t="s">
        <v>225</v>
      </c>
    </row>
    <row r="7" spans="1:25" s="305" customFormat="1" ht="25.5" customHeight="1">
      <c r="A7" s="381" t="s">
        <v>2</v>
      </c>
      <c r="B7" s="380" t="s">
        <v>1</v>
      </c>
      <c r="C7" s="380" t="s">
        <v>24</v>
      </c>
      <c r="D7" s="379" t="s">
        <v>250</v>
      </c>
      <c r="E7" s="379" t="s">
        <v>249</v>
      </c>
      <c r="F7" s="379" t="s">
        <v>265</v>
      </c>
      <c r="G7" s="379" t="s">
        <v>253</v>
      </c>
      <c r="H7" s="379" t="s">
        <v>30</v>
      </c>
      <c r="I7" s="697" t="s">
        <v>341</v>
      </c>
      <c r="J7" s="697" t="s">
        <v>244</v>
      </c>
      <c r="K7" s="697" t="s">
        <v>821</v>
      </c>
      <c r="L7" s="143"/>
    </row>
    <row r="8" spans="1:25" s="305" customFormat="1" ht="11.25" customHeight="1">
      <c r="A8" s="1597" t="s">
        <v>3</v>
      </c>
      <c r="B8" s="1598"/>
      <c r="C8" s="1599"/>
      <c r="D8" s="306">
        <f>G8</f>
        <v>200</v>
      </c>
      <c r="E8" s="300"/>
      <c r="F8" s="300"/>
      <c r="G8" s="307">
        <v>200</v>
      </c>
      <c r="H8" s="308"/>
      <c r="I8" s="689"/>
      <c r="J8" s="689"/>
      <c r="K8" s="689"/>
      <c r="L8" s="143">
        <v>1.7</v>
      </c>
    </row>
    <row r="9" spans="1:25" s="333" customFormat="1" ht="11.25" customHeight="1">
      <c r="A9" s="330">
        <v>1</v>
      </c>
      <c r="B9" s="365">
        <f>'FRIT HGE91-FHG'!B9</f>
        <v>46235</v>
      </c>
      <c r="C9" s="331" t="s">
        <v>285</v>
      </c>
      <c r="D9" s="334"/>
      <c r="E9" s="695">
        <f>I9+J9+K9</f>
        <v>0</v>
      </c>
      <c r="F9" s="335">
        <f>SUM($E$8:E9)/A9</f>
        <v>0</v>
      </c>
      <c r="G9" s="570">
        <f>G8+D9-E9</f>
        <v>200</v>
      </c>
      <c r="H9" s="337" t="e">
        <f>G9/F9</f>
        <v>#DIV/0!</v>
      </c>
      <c r="I9" s="689"/>
      <c r="J9" s="689"/>
      <c r="K9" s="689"/>
      <c r="L9" s="647">
        <f>G9/$L$8</f>
        <v>117.64705882352942</v>
      </c>
    </row>
    <row r="10" spans="1:25" s="333" customFormat="1" ht="11.25" customHeight="1">
      <c r="A10" s="330">
        <v>2</v>
      </c>
      <c r="B10" s="365">
        <f>'FRIT HGE91-FHG'!B10</f>
        <v>46236</v>
      </c>
      <c r="C10" s="331" t="s">
        <v>285</v>
      </c>
      <c r="D10" s="334"/>
      <c r="E10" s="695">
        <f t="shared" ref="E10:E39" si="0">I10+J10+K10</f>
        <v>0</v>
      </c>
      <c r="F10" s="335">
        <f>SUM($E$8:E10)/A10</f>
        <v>0</v>
      </c>
      <c r="G10" s="570">
        <f>G9+D10-E10</f>
        <v>200</v>
      </c>
      <c r="H10" s="337" t="e">
        <f t="shared" ref="H10:H39" si="1">G10/F10</f>
        <v>#DIV/0!</v>
      </c>
      <c r="I10" s="689"/>
      <c r="J10" s="689"/>
      <c r="K10" s="689"/>
      <c r="L10" s="647">
        <f t="shared" ref="L10:L39" si="2">G10/$L$8</f>
        <v>117.64705882352942</v>
      </c>
    </row>
    <row r="11" spans="1:25" s="333" customFormat="1" ht="11.25" customHeight="1">
      <c r="A11" s="330">
        <v>3</v>
      </c>
      <c r="B11" s="365">
        <f>'FRIT HGE91-FHG'!B11</f>
        <v>46237</v>
      </c>
      <c r="C11" s="331" t="s">
        <v>285</v>
      </c>
      <c r="D11" s="334"/>
      <c r="E11" s="695">
        <f t="shared" si="0"/>
        <v>0</v>
      </c>
      <c r="F11" s="335">
        <f>SUM($E$8:E11)/A11</f>
        <v>0</v>
      </c>
      <c r="G11" s="570">
        <f t="shared" ref="G11:G39" si="3">G10+D11-E11</f>
        <v>200</v>
      </c>
      <c r="H11" s="467" t="e">
        <f t="shared" si="1"/>
        <v>#DIV/0!</v>
      </c>
      <c r="I11" s="689"/>
      <c r="J11" s="689"/>
      <c r="K11" s="689"/>
      <c r="L11" s="647">
        <f t="shared" si="2"/>
        <v>117.64705882352942</v>
      </c>
    </row>
    <row r="12" spans="1:25" s="367" customFormat="1" ht="11.25" customHeight="1">
      <c r="A12" s="330">
        <v>4</v>
      </c>
      <c r="B12" s="365">
        <f>'FRIT HGE91-FHG'!B12</f>
        <v>46238</v>
      </c>
      <c r="C12" s="331" t="s">
        <v>285</v>
      </c>
      <c r="D12" s="334"/>
      <c r="E12" s="695">
        <f t="shared" si="0"/>
        <v>0</v>
      </c>
      <c r="F12" s="335">
        <f>SUM($E$8:E12)/A12</f>
        <v>0</v>
      </c>
      <c r="G12" s="570">
        <f t="shared" si="3"/>
        <v>200</v>
      </c>
      <c r="H12" s="467" t="e">
        <f t="shared" si="1"/>
        <v>#DIV/0!</v>
      </c>
      <c r="I12" s="689"/>
      <c r="J12" s="689"/>
      <c r="K12" s="689"/>
      <c r="L12" s="647">
        <f t="shared" si="2"/>
        <v>117.64705882352942</v>
      </c>
    </row>
    <row r="13" spans="1:25" s="367" customFormat="1" ht="11.25" customHeight="1">
      <c r="A13" s="425">
        <v>5</v>
      </c>
      <c r="B13" s="365">
        <f>'FRIT HGE91-FHG'!B13</f>
        <v>46239</v>
      </c>
      <c r="C13" s="331" t="s">
        <v>329</v>
      </c>
      <c r="D13" s="334"/>
      <c r="E13" s="695">
        <f t="shared" si="0"/>
        <v>0</v>
      </c>
      <c r="F13" s="335">
        <f>SUM($E$8:E13)/A13</f>
        <v>0</v>
      </c>
      <c r="G13" s="571">
        <f t="shared" si="3"/>
        <v>200</v>
      </c>
      <c r="H13" s="467" t="e">
        <f t="shared" si="1"/>
        <v>#DIV/0!</v>
      </c>
      <c r="I13" s="689"/>
      <c r="J13" s="689"/>
      <c r="K13" s="689"/>
      <c r="L13" s="647">
        <f t="shared" si="2"/>
        <v>117.64705882352942</v>
      </c>
    </row>
    <row r="14" spans="1:25" s="367" customFormat="1" ht="11.25" customHeight="1">
      <c r="A14" s="330">
        <v>6</v>
      </c>
      <c r="B14" s="365">
        <f>'FRIT HGE91-FHG'!B14</f>
        <v>46240</v>
      </c>
      <c r="C14" s="331" t="s">
        <v>285</v>
      </c>
      <c r="D14" s="334"/>
      <c r="E14" s="695">
        <f t="shared" si="0"/>
        <v>0</v>
      </c>
      <c r="F14" s="335">
        <f>SUM($E$8:E14)/A14</f>
        <v>0</v>
      </c>
      <c r="G14" s="570">
        <f t="shared" si="3"/>
        <v>200</v>
      </c>
      <c r="H14" s="467" t="e">
        <f t="shared" si="1"/>
        <v>#DIV/0!</v>
      </c>
      <c r="I14" s="689"/>
      <c r="J14" s="689"/>
      <c r="K14" s="689"/>
      <c r="L14" s="647">
        <f t="shared" si="2"/>
        <v>117.64705882352942</v>
      </c>
    </row>
    <row r="15" spans="1:25" s="367" customFormat="1" ht="11.25" customHeight="1">
      <c r="A15" s="330">
        <v>7</v>
      </c>
      <c r="B15" s="365">
        <f>'FRIT HGE91-FHG'!B15</f>
        <v>46241</v>
      </c>
      <c r="C15" s="331" t="s">
        <v>285</v>
      </c>
      <c r="D15" s="334"/>
      <c r="E15" s="695">
        <f t="shared" si="0"/>
        <v>0</v>
      </c>
      <c r="F15" s="335">
        <f>SUM($E$8:E15)/A15</f>
        <v>0</v>
      </c>
      <c r="G15" s="570">
        <f t="shared" si="3"/>
        <v>200</v>
      </c>
      <c r="H15" s="467" t="e">
        <f t="shared" si="1"/>
        <v>#DIV/0!</v>
      </c>
      <c r="I15" s="689"/>
      <c r="J15" s="689"/>
      <c r="K15" s="689"/>
      <c r="L15" s="647">
        <f t="shared" si="2"/>
        <v>117.64705882352942</v>
      </c>
    </row>
    <row r="16" spans="1:25" s="367" customFormat="1" ht="11.25" customHeight="1">
      <c r="A16" s="330">
        <v>8</v>
      </c>
      <c r="B16" s="365">
        <f>'FRIT HGE91-FHG'!B16</f>
        <v>46242</v>
      </c>
      <c r="C16" s="331" t="s">
        <v>285</v>
      </c>
      <c r="D16" s="334"/>
      <c r="E16" s="695">
        <f t="shared" si="0"/>
        <v>0</v>
      </c>
      <c r="F16" s="335">
        <f>SUM($E$8:E16)/A16</f>
        <v>0</v>
      </c>
      <c r="G16" s="570">
        <f t="shared" si="3"/>
        <v>200</v>
      </c>
      <c r="H16" s="467" t="e">
        <f t="shared" si="1"/>
        <v>#DIV/0!</v>
      </c>
      <c r="I16" s="689"/>
      <c r="J16" s="689"/>
      <c r="K16" s="689"/>
      <c r="L16" s="647">
        <f t="shared" si="2"/>
        <v>117.64705882352942</v>
      </c>
    </row>
    <row r="17" spans="1:12" s="367" customFormat="1" ht="11.25" customHeight="1">
      <c r="A17" s="330">
        <v>9</v>
      </c>
      <c r="B17" s="365">
        <f>'FRIT HGE91-FHG'!B17</f>
        <v>46243</v>
      </c>
      <c r="C17" s="331" t="s">
        <v>285</v>
      </c>
      <c r="D17" s="334"/>
      <c r="E17" s="695">
        <f t="shared" si="0"/>
        <v>0</v>
      </c>
      <c r="F17" s="335">
        <f>SUM($E$8:E17)/A17</f>
        <v>0</v>
      </c>
      <c r="G17" s="570">
        <f t="shared" si="3"/>
        <v>200</v>
      </c>
      <c r="H17" s="467" t="e">
        <f t="shared" si="1"/>
        <v>#DIV/0!</v>
      </c>
      <c r="I17" s="689"/>
      <c r="J17" s="689"/>
      <c r="K17" s="689"/>
      <c r="L17" s="647">
        <f t="shared" si="2"/>
        <v>117.64705882352942</v>
      </c>
    </row>
    <row r="18" spans="1:12" s="367" customFormat="1" ht="11.25" customHeight="1">
      <c r="A18" s="425">
        <v>10</v>
      </c>
      <c r="B18" s="365">
        <f>'FRIT HGE91-FHG'!B18</f>
        <v>46244</v>
      </c>
      <c r="C18" s="331" t="s">
        <v>285</v>
      </c>
      <c r="D18" s="334"/>
      <c r="E18" s="695">
        <f t="shared" si="0"/>
        <v>0</v>
      </c>
      <c r="F18" s="335">
        <f>SUM($E$8:E18)/A18</f>
        <v>0</v>
      </c>
      <c r="G18" s="571">
        <f t="shared" si="3"/>
        <v>200</v>
      </c>
      <c r="H18" s="467" t="e">
        <f t="shared" si="1"/>
        <v>#DIV/0!</v>
      </c>
      <c r="I18" s="689"/>
      <c r="J18" s="689"/>
      <c r="K18" s="689"/>
      <c r="L18" s="647">
        <f t="shared" si="2"/>
        <v>117.64705882352942</v>
      </c>
    </row>
    <row r="19" spans="1:12" s="367" customFormat="1" ht="11.25" customHeight="1">
      <c r="A19" s="330">
        <v>11</v>
      </c>
      <c r="B19" s="365">
        <f>'FRIT HGE91-FHG'!B19</f>
        <v>46245</v>
      </c>
      <c r="C19" s="331" t="s">
        <v>285</v>
      </c>
      <c r="D19" s="334"/>
      <c r="E19" s="695">
        <f t="shared" si="0"/>
        <v>0</v>
      </c>
      <c r="F19" s="335">
        <f>SUM($E$8:E19)/A19</f>
        <v>0</v>
      </c>
      <c r="G19" s="570">
        <f t="shared" si="3"/>
        <v>200</v>
      </c>
      <c r="H19" s="467" t="e">
        <f t="shared" si="1"/>
        <v>#DIV/0!</v>
      </c>
      <c r="I19" s="689"/>
      <c r="J19" s="689"/>
      <c r="K19" s="689"/>
      <c r="L19" s="647">
        <f t="shared" si="2"/>
        <v>117.64705882352942</v>
      </c>
    </row>
    <row r="20" spans="1:12" s="367" customFormat="1" ht="11.25" customHeight="1">
      <c r="A20" s="330">
        <v>12</v>
      </c>
      <c r="B20" s="365">
        <f>'FRIT HGE91-FHG'!B20</f>
        <v>46246</v>
      </c>
      <c r="C20" s="331" t="s">
        <v>285</v>
      </c>
      <c r="D20" s="334"/>
      <c r="E20" s="695">
        <f t="shared" si="0"/>
        <v>0</v>
      </c>
      <c r="F20" s="335">
        <f>SUM($E$8:E20)/A20</f>
        <v>0</v>
      </c>
      <c r="G20" s="570">
        <f t="shared" si="3"/>
        <v>200</v>
      </c>
      <c r="H20" s="467" t="e">
        <f t="shared" si="1"/>
        <v>#DIV/0!</v>
      </c>
      <c r="I20" s="689"/>
      <c r="J20" s="689"/>
      <c r="K20" s="689"/>
      <c r="L20" s="647">
        <f t="shared" si="2"/>
        <v>117.64705882352942</v>
      </c>
    </row>
    <row r="21" spans="1:12" s="367" customFormat="1" ht="11.25" customHeight="1">
      <c r="A21" s="330">
        <v>13</v>
      </c>
      <c r="B21" s="365">
        <f>'FRIT HGE91-FHG'!B21</f>
        <v>46247</v>
      </c>
      <c r="C21" s="331" t="s">
        <v>285</v>
      </c>
      <c r="D21" s="334"/>
      <c r="E21" s="695">
        <f t="shared" si="0"/>
        <v>0</v>
      </c>
      <c r="F21" s="335">
        <f>SUM($E$8:E21)/A21</f>
        <v>0</v>
      </c>
      <c r="G21" s="570">
        <f t="shared" si="3"/>
        <v>200</v>
      </c>
      <c r="H21" s="467" t="e">
        <f t="shared" si="1"/>
        <v>#DIV/0!</v>
      </c>
      <c r="I21" s="689"/>
      <c r="J21" s="689"/>
      <c r="K21" s="689"/>
      <c r="L21" s="647">
        <f t="shared" si="2"/>
        <v>117.64705882352942</v>
      </c>
    </row>
    <row r="22" spans="1:12" s="367" customFormat="1" ht="11.25" customHeight="1">
      <c r="A22" s="330">
        <v>14</v>
      </c>
      <c r="B22" s="365">
        <f>'FRIT HGE91-FHG'!B22</f>
        <v>46248</v>
      </c>
      <c r="C22" s="331" t="s">
        <v>285</v>
      </c>
      <c r="D22" s="334"/>
      <c r="E22" s="695">
        <f t="shared" si="0"/>
        <v>0</v>
      </c>
      <c r="F22" s="335">
        <f>SUM($E$8:E22)/A22</f>
        <v>0</v>
      </c>
      <c r="G22" s="570">
        <f t="shared" si="3"/>
        <v>200</v>
      </c>
      <c r="H22" s="467" t="e">
        <f t="shared" si="1"/>
        <v>#DIV/0!</v>
      </c>
      <c r="I22" s="689"/>
      <c r="J22" s="689"/>
      <c r="K22" s="689"/>
      <c r="L22" s="647">
        <f t="shared" si="2"/>
        <v>117.64705882352942</v>
      </c>
    </row>
    <row r="23" spans="1:12" s="367" customFormat="1" ht="11.25" customHeight="1">
      <c r="A23" s="425">
        <v>15</v>
      </c>
      <c r="B23" s="365">
        <f>'FRIT HGE91-FHG'!B23</f>
        <v>46249</v>
      </c>
      <c r="C23" s="331" t="s">
        <v>285</v>
      </c>
      <c r="D23" s="334"/>
      <c r="E23" s="695">
        <f t="shared" si="0"/>
        <v>0</v>
      </c>
      <c r="F23" s="335">
        <f>SUM($E$8:E23)/A23</f>
        <v>0</v>
      </c>
      <c r="G23" s="571">
        <f t="shared" si="3"/>
        <v>200</v>
      </c>
      <c r="H23" s="467" t="e">
        <f t="shared" si="1"/>
        <v>#DIV/0!</v>
      </c>
      <c r="I23" s="689"/>
      <c r="J23" s="689"/>
      <c r="K23" s="689"/>
      <c r="L23" s="647">
        <f t="shared" si="2"/>
        <v>117.64705882352942</v>
      </c>
    </row>
    <row r="24" spans="1:12" s="367" customFormat="1" ht="11.25" customHeight="1">
      <c r="A24" s="330">
        <v>16</v>
      </c>
      <c r="B24" s="365">
        <f>'FRIT HGE91-FHG'!B24</f>
        <v>46250</v>
      </c>
      <c r="C24" s="331" t="s">
        <v>285</v>
      </c>
      <c r="D24" s="334"/>
      <c r="E24" s="695">
        <f t="shared" si="0"/>
        <v>0</v>
      </c>
      <c r="F24" s="335">
        <f>SUM($E$8:E24)/A24</f>
        <v>0</v>
      </c>
      <c r="G24" s="570">
        <f t="shared" si="3"/>
        <v>200</v>
      </c>
      <c r="H24" s="467" t="e">
        <f t="shared" si="1"/>
        <v>#DIV/0!</v>
      </c>
      <c r="I24" s="689"/>
      <c r="J24" s="689"/>
      <c r="K24" s="689"/>
      <c r="L24" s="647">
        <f t="shared" si="2"/>
        <v>117.64705882352942</v>
      </c>
    </row>
    <row r="25" spans="1:12" s="367" customFormat="1" ht="11.25" customHeight="1">
      <c r="A25" s="330">
        <v>17</v>
      </c>
      <c r="B25" s="365">
        <f>'FRIT HGE91-FHG'!B25</f>
        <v>46251</v>
      </c>
      <c r="C25" s="331" t="s">
        <v>285</v>
      </c>
      <c r="D25" s="334"/>
      <c r="E25" s="695">
        <f t="shared" si="0"/>
        <v>0</v>
      </c>
      <c r="F25" s="335">
        <f>SUM($E$8:E25)/A25</f>
        <v>0</v>
      </c>
      <c r="G25" s="570">
        <f t="shared" si="3"/>
        <v>200</v>
      </c>
      <c r="H25" s="467" t="e">
        <f t="shared" si="1"/>
        <v>#DIV/0!</v>
      </c>
      <c r="I25" s="689"/>
      <c r="J25" s="689"/>
      <c r="K25" s="689"/>
      <c r="L25" s="647">
        <f t="shared" si="2"/>
        <v>117.64705882352942</v>
      </c>
    </row>
    <row r="26" spans="1:12" s="367" customFormat="1" ht="11.25" customHeight="1">
      <c r="A26" s="330">
        <v>18</v>
      </c>
      <c r="B26" s="365">
        <f>'FRIT HGE91-FHG'!B26</f>
        <v>46252</v>
      </c>
      <c r="C26" s="331" t="s">
        <v>285</v>
      </c>
      <c r="D26" s="334"/>
      <c r="E26" s="695">
        <f t="shared" si="0"/>
        <v>0</v>
      </c>
      <c r="F26" s="335">
        <f>SUM($E$8:E26)/A26</f>
        <v>0</v>
      </c>
      <c r="G26" s="570">
        <f t="shared" si="3"/>
        <v>200</v>
      </c>
      <c r="H26" s="467" t="e">
        <f t="shared" si="1"/>
        <v>#DIV/0!</v>
      </c>
      <c r="I26" s="689"/>
      <c r="J26" s="689"/>
      <c r="K26" s="689"/>
      <c r="L26" s="647">
        <f t="shared" si="2"/>
        <v>117.64705882352942</v>
      </c>
    </row>
    <row r="27" spans="1:12" s="367" customFormat="1" ht="11.25" customHeight="1">
      <c r="A27" s="330">
        <v>19</v>
      </c>
      <c r="B27" s="365">
        <f>'FRIT HGE91-FHG'!B27</f>
        <v>46253</v>
      </c>
      <c r="C27" s="331" t="s">
        <v>285</v>
      </c>
      <c r="D27" s="334"/>
      <c r="E27" s="695">
        <f t="shared" si="0"/>
        <v>0</v>
      </c>
      <c r="F27" s="335">
        <f>SUM($E$8:E27)/A27</f>
        <v>0</v>
      </c>
      <c r="G27" s="570">
        <f t="shared" si="3"/>
        <v>200</v>
      </c>
      <c r="H27" s="467" t="e">
        <f t="shared" si="1"/>
        <v>#DIV/0!</v>
      </c>
      <c r="I27" s="689"/>
      <c r="J27" s="689"/>
      <c r="K27" s="689"/>
      <c r="L27" s="647">
        <f t="shared" si="2"/>
        <v>117.64705882352942</v>
      </c>
    </row>
    <row r="28" spans="1:12" s="367" customFormat="1" ht="11.25" customHeight="1">
      <c r="A28" s="425">
        <v>20</v>
      </c>
      <c r="B28" s="365">
        <f>'FRIT HGE91-FHG'!B28</f>
        <v>46254</v>
      </c>
      <c r="C28" s="331" t="s">
        <v>285</v>
      </c>
      <c r="D28" s="334"/>
      <c r="E28" s="695">
        <f t="shared" si="0"/>
        <v>0</v>
      </c>
      <c r="F28" s="335">
        <f>SUM($E$8:E28)/A28</f>
        <v>0</v>
      </c>
      <c r="G28" s="571">
        <f t="shared" si="3"/>
        <v>200</v>
      </c>
      <c r="H28" s="467" t="e">
        <f t="shared" si="1"/>
        <v>#DIV/0!</v>
      </c>
      <c r="I28" s="689"/>
      <c r="J28" s="689"/>
      <c r="K28" s="689"/>
      <c r="L28" s="647">
        <f t="shared" si="2"/>
        <v>117.64705882352942</v>
      </c>
    </row>
    <row r="29" spans="1:12" s="367" customFormat="1" ht="11.25" customHeight="1">
      <c r="A29" s="330">
        <v>21</v>
      </c>
      <c r="B29" s="365">
        <f>'FRIT HGE91-FHG'!B29</f>
        <v>46255</v>
      </c>
      <c r="C29" s="331" t="s">
        <v>285</v>
      </c>
      <c r="D29" s="334"/>
      <c r="E29" s="695">
        <f t="shared" si="0"/>
        <v>0</v>
      </c>
      <c r="F29" s="335">
        <f>SUM($E$8:E29)/A29</f>
        <v>0</v>
      </c>
      <c r="G29" s="570">
        <f t="shared" si="3"/>
        <v>200</v>
      </c>
      <c r="H29" s="467" t="e">
        <f t="shared" si="1"/>
        <v>#DIV/0!</v>
      </c>
      <c r="I29" s="689"/>
      <c r="J29" s="689"/>
      <c r="K29" s="689"/>
      <c r="L29" s="647">
        <f t="shared" si="2"/>
        <v>117.64705882352942</v>
      </c>
    </row>
    <row r="30" spans="1:12" s="367" customFormat="1" ht="11.25" customHeight="1">
      <c r="A30" s="330">
        <v>22</v>
      </c>
      <c r="B30" s="365">
        <f>'FRIT HGE91-FHG'!B30</f>
        <v>46256</v>
      </c>
      <c r="C30" s="331" t="s">
        <v>285</v>
      </c>
      <c r="D30" s="334"/>
      <c r="E30" s="695">
        <f t="shared" si="0"/>
        <v>0</v>
      </c>
      <c r="F30" s="335">
        <f>SUM($E$8:E30)/A30</f>
        <v>0</v>
      </c>
      <c r="G30" s="570">
        <f t="shared" si="3"/>
        <v>200</v>
      </c>
      <c r="H30" s="467" t="e">
        <f t="shared" si="1"/>
        <v>#DIV/0!</v>
      </c>
      <c r="I30" s="689"/>
      <c r="J30" s="689"/>
      <c r="K30" s="689"/>
      <c r="L30" s="647">
        <f t="shared" si="2"/>
        <v>117.64705882352942</v>
      </c>
    </row>
    <row r="31" spans="1:12" s="367" customFormat="1" ht="11.25" customHeight="1">
      <c r="A31" s="330">
        <v>23</v>
      </c>
      <c r="B31" s="365">
        <f>'FRIT HGE91-FHG'!B31</f>
        <v>46257</v>
      </c>
      <c r="C31" s="331" t="s">
        <v>285</v>
      </c>
      <c r="D31" s="334"/>
      <c r="E31" s="695">
        <f t="shared" si="0"/>
        <v>0</v>
      </c>
      <c r="F31" s="335">
        <f>SUM($E$8:E31)/A31</f>
        <v>0</v>
      </c>
      <c r="G31" s="570">
        <f t="shared" si="3"/>
        <v>200</v>
      </c>
      <c r="H31" s="467" t="e">
        <f t="shared" si="1"/>
        <v>#DIV/0!</v>
      </c>
      <c r="I31" s="689"/>
      <c r="J31" s="689"/>
      <c r="K31" s="689"/>
      <c r="L31" s="647">
        <f t="shared" si="2"/>
        <v>117.64705882352942</v>
      </c>
    </row>
    <row r="32" spans="1:12" s="367" customFormat="1" ht="11.25" customHeight="1">
      <c r="A32" s="330">
        <v>24</v>
      </c>
      <c r="B32" s="365">
        <f>'FRIT HGE91-FHG'!B32</f>
        <v>46258</v>
      </c>
      <c r="C32" s="331" t="s">
        <v>285</v>
      </c>
      <c r="D32" s="334"/>
      <c r="E32" s="695">
        <f t="shared" si="0"/>
        <v>0</v>
      </c>
      <c r="F32" s="335">
        <f>SUM($E$8:E32)/A32</f>
        <v>0</v>
      </c>
      <c r="G32" s="570">
        <f t="shared" si="3"/>
        <v>200</v>
      </c>
      <c r="H32" s="467" t="e">
        <f t="shared" si="1"/>
        <v>#DIV/0!</v>
      </c>
      <c r="I32" s="689"/>
      <c r="J32" s="689"/>
      <c r="K32" s="689"/>
      <c r="L32" s="647">
        <f t="shared" si="2"/>
        <v>117.64705882352942</v>
      </c>
    </row>
    <row r="33" spans="1:12" s="367" customFormat="1" ht="11.25" customHeight="1">
      <c r="A33" s="426">
        <v>25</v>
      </c>
      <c r="B33" s="365">
        <f>'FRIT HGE91-FHG'!B33</f>
        <v>46259</v>
      </c>
      <c r="C33" s="331" t="s">
        <v>285</v>
      </c>
      <c r="D33" s="334"/>
      <c r="E33" s="695">
        <f t="shared" si="0"/>
        <v>0</v>
      </c>
      <c r="F33" s="335">
        <f>SUM($E$8:E33)/A33</f>
        <v>0</v>
      </c>
      <c r="G33" s="572">
        <f t="shared" si="3"/>
        <v>200</v>
      </c>
      <c r="H33" s="467" t="e">
        <f t="shared" si="1"/>
        <v>#DIV/0!</v>
      </c>
      <c r="I33" s="689"/>
      <c r="J33" s="689"/>
      <c r="K33" s="689"/>
      <c r="L33" s="647">
        <f t="shared" si="2"/>
        <v>117.64705882352942</v>
      </c>
    </row>
    <row r="34" spans="1:12" s="367" customFormat="1" ht="11.25" customHeight="1">
      <c r="A34" s="330">
        <v>26</v>
      </c>
      <c r="B34" s="365">
        <f>'FRIT HGE91-FHG'!B34</f>
        <v>46260</v>
      </c>
      <c r="C34" s="331" t="s">
        <v>285</v>
      </c>
      <c r="D34" s="334"/>
      <c r="E34" s="695">
        <f t="shared" si="0"/>
        <v>0</v>
      </c>
      <c r="F34" s="335">
        <f>SUM($E$8:E34)/A34</f>
        <v>0</v>
      </c>
      <c r="G34" s="570">
        <f t="shared" si="3"/>
        <v>200</v>
      </c>
      <c r="H34" s="467" t="e">
        <f t="shared" si="1"/>
        <v>#DIV/0!</v>
      </c>
      <c r="I34" s="689"/>
      <c r="J34" s="689"/>
      <c r="K34" s="689"/>
      <c r="L34" s="647">
        <f t="shared" si="2"/>
        <v>117.64705882352942</v>
      </c>
    </row>
    <row r="35" spans="1:12" s="367" customFormat="1" ht="11.25" customHeight="1">
      <c r="A35" s="330">
        <v>27</v>
      </c>
      <c r="B35" s="365">
        <f>'FRIT HGE91-FHG'!B35</f>
        <v>46261</v>
      </c>
      <c r="C35" s="331" t="s">
        <v>285</v>
      </c>
      <c r="D35" s="334"/>
      <c r="E35" s="695">
        <f t="shared" si="0"/>
        <v>0</v>
      </c>
      <c r="F35" s="335">
        <f>SUM($E$8:E35)/A35</f>
        <v>0</v>
      </c>
      <c r="G35" s="570">
        <f t="shared" si="3"/>
        <v>200</v>
      </c>
      <c r="H35" s="467" t="e">
        <f t="shared" si="1"/>
        <v>#DIV/0!</v>
      </c>
      <c r="I35" s="689"/>
      <c r="J35" s="689"/>
      <c r="K35" s="689"/>
      <c r="L35" s="647">
        <f t="shared" si="2"/>
        <v>117.64705882352942</v>
      </c>
    </row>
    <row r="36" spans="1:12" s="367" customFormat="1" ht="11.25" customHeight="1">
      <c r="A36" s="330">
        <v>28</v>
      </c>
      <c r="B36" s="365">
        <f>'FRIT HGE91-FHG'!B36</f>
        <v>46262</v>
      </c>
      <c r="C36" s="331" t="s">
        <v>285</v>
      </c>
      <c r="D36" s="334"/>
      <c r="E36" s="695">
        <f t="shared" si="0"/>
        <v>0</v>
      </c>
      <c r="F36" s="335">
        <f>SUM($E$8:E36)/A36</f>
        <v>0</v>
      </c>
      <c r="G36" s="570">
        <f t="shared" si="3"/>
        <v>200</v>
      </c>
      <c r="H36" s="467" t="e">
        <f t="shared" si="1"/>
        <v>#DIV/0!</v>
      </c>
      <c r="I36" s="689"/>
      <c r="J36" s="689"/>
      <c r="K36" s="689"/>
      <c r="L36" s="647">
        <f t="shared" si="2"/>
        <v>117.64705882352942</v>
      </c>
    </row>
    <row r="37" spans="1:12" s="367" customFormat="1" ht="11.25" customHeight="1">
      <c r="A37" s="330">
        <v>29</v>
      </c>
      <c r="B37" s="365">
        <f>'FRIT HGE91-FHG'!B37</f>
        <v>46263</v>
      </c>
      <c r="C37" s="331" t="s">
        <v>285</v>
      </c>
      <c r="D37" s="334"/>
      <c r="E37" s="695">
        <f t="shared" si="0"/>
        <v>0</v>
      </c>
      <c r="F37" s="335">
        <f>SUM($E$8:E37)/A37</f>
        <v>0</v>
      </c>
      <c r="G37" s="570">
        <f t="shared" si="3"/>
        <v>200</v>
      </c>
      <c r="H37" s="467" t="e">
        <f t="shared" si="1"/>
        <v>#DIV/0!</v>
      </c>
      <c r="I37" s="689"/>
      <c r="J37" s="689"/>
      <c r="K37" s="689"/>
      <c r="L37" s="647">
        <f t="shared" si="2"/>
        <v>117.64705882352942</v>
      </c>
    </row>
    <row r="38" spans="1:12" s="367" customFormat="1" ht="11.25" customHeight="1">
      <c r="A38" s="425">
        <v>30</v>
      </c>
      <c r="B38" s="365">
        <f>'FRIT HGE91-FHG'!B38</f>
        <v>46264</v>
      </c>
      <c r="C38" s="331" t="s">
        <v>285</v>
      </c>
      <c r="D38" s="334"/>
      <c r="E38" s="695">
        <f t="shared" si="0"/>
        <v>0</v>
      </c>
      <c r="F38" s="335">
        <f>SUM($E$8:E38)/A38</f>
        <v>0</v>
      </c>
      <c r="G38" s="571">
        <f t="shared" si="3"/>
        <v>200</v>
      </c>
      <c r="H38" s="467" t="e">
        <f t="shared" si="1"/>
        <v>#DIV/0!</v>
      </c>
      <c r="I38" s="689"/>
      <c r="J38" s="689"/>
      <c r="K38" s="689"/>
      <c r="L38" s="647">
        <f t="shared" si="2"/>
        <v>117.64705882352942</v>
      </c>
    </row>
    <row r="39" spans="1:12" s="367" customFormat="1" ht="11.25" customHeight="1">
      <c r="A39" s="330">
        <v>31</v>
      </c>
      <c r="B39" s="365">
        <f>'FRIT HGE91-FHG'!B39</f>
        <v>46265</v>
      </c>
      <c r="C39" s="331" t="s">
        <v>285</v>
      </c>
      <c r="D39" s="334"/>
      <c r="E39" s="695">
        <f t="shared" si="0"/>
        <v>0</v>
      </c>
      <c r="F39" s="335">
        <f>SUM($E$8:E39)/A39</f>
        <v>0</v>
      </c>
      <c r="G39" s="570">
        <f t="shared" si="3"/>
        <v>200</v>
      </c>
      <c r="H39" s="467" t="e">
        <f t="shared" si="1"/>
        <v>#DIV/0!</v>
      </c>
      <c r="I39" s="689"/>
      <c r="J39" s="689"/>
      <c r="K39" s="689"/>
      <c r="L39" s="647">
        <f t="shared" si="2"/>
        <v>117.64705882352942</v>
      </c>
    </row>
    <row r="40" spans="1:12" s="374" customFormat="1" ht="11.25" customHeight="1">
      <c r="A40" s="1647" t="s">
        <v>29</v>
      </c>
      <c r="B40" s="1647"/>
      <c r="C40" s="1647"/>
      <c r="D40" s="349">
        <f>SUM(D9:D39)</f>
        <v>0</v>
      </c>
      <c r="E40" s="315">
        <f>SUM(E9:E39)</f>
        <v>0</v>
      </c>
      <c r="F40" s="315"/>
      <c r="G40" s="461">
        <f>G39</f>
        <v>200</v>
      </c>
      <c r="H40" s="300"/>
      <c r="I40" s="689">
        <f>SUM(I9:I39)</f>
        <v>0</v>
      </c>
      <c r="J40" s="689">
        <f t="shared" ref="J40:K40" si="4">SUM(J9:J39)</f>
        <v>0</v>
      </c>
      <c r="K40" s="689">
        <f t="shared" si="4"/>
        <v>0</v>
      </c>
    </row>
    <row r="41" spans="1:12" s="374" customFormat="1" ht="11.25" customHeight="1">
      <c r="A41" s="1647" t="s">
        <v>15</v>
      </c>
      <c r="B41" s="1647"/>
      <c r="C41" s="1647"/>
      <c r="D41" s="349">
        <f>D8+D40</f>
        <v>200</v>
      </c>
      <c r="E41" s="315">
        <f>E40</f>
        <v>0</v>
      </c>
      <c r="F41" s="315"/>
      <c r="G41" s="389">
        <f>D41-E41</f>
        <v>200</v>
      </c>
      <c r="H41" s="300"/>
      <c r="I41" s="689"/>
      <c r="J41" s="689"/>
      <c r="K41" s="689"/>
    </row>
    <row r="42" spans="1:12" s="324" customFormat="1" ht="12.75">
      <c r="D42" s="343"/>
      <c r="E42" s="343"/>
      <c r="F42" s="343"/>
      <c r="H42" s="343" t="s">
        <v>227</v>
      </c>
      <c r="I42" s="343"/>
    </row>
    <row r="43" spans="1:12" s="324" customFormat="1" ht="12.75">
      <c r="D43" s="343"/>
      <c r="E43" s="343"/>
      <c r="F43" s="343"/>
      <c r="H43" s="343"/>
      <c r="I43" s="343"/>
    </row>
    <row r="44" spans="1:12" s="324" customFormat="1" ht="12.75">
      <c r="D44" s="343"/>
      <c r="E44" s="343"/>
      <c r="F44" s="343"/>
      <c r="H44" s="343"/>
      <c r="I44" s="343"/>
    </row>
    <row r="45" spans="1:12" s="324" customFormat="1" ht="12.75">
      <c r="D45" s="343"/>
      <c r="E45" s="343"/>
      <c r="F45" s="343"/>
      <c r="H45" s="343"/>
      <c r="I45" s="343"/>
    </row>
    <row r="46" spans="1:12" s="324" customFormat="1" ht="12.75">
      <c r="D46" s="343"/>
      <c r="E46" s="343"/>
      <c r="F46" s="343"/>
      <c r="H46" s="343" t="s">
        <v>333</v>
      </c>
      <c r="I46" s="343"/>
    </row>
    <row r="47" spans="1:12" s="340" customFormat="1" ht="15.75">
      <c r="D47" s="341"/>
      <c r="E47" s="341"/>
      <c r="F47" s="341"/>
      <c r="G47" s="341"/>
      <c r="H47" s="341"/>
      <c r="I47" s="341"/>
      <c r="J47" s="341"/>
      <c r="K47" s="341"/>
      <c r="L47" s="143"/>
    </row>
  </sheetData>
  <mergeCells count="4">
    <mergeCell ref="A3:J3"/>
    <mergeCell ref="A8:C8"/>
    <mergeCell ref="A40:C40"/>
    <mergeCell ref="A41:C41"/>
  </mergeCells>
  <conditionalFormatting sqref="H38">
    <cfRule type="cellIs" dxfId="5624" priority="1" operator="between">
      <formula>3</formula>
      <formula>6</formula>
    </cfRule>
    <cfRule type="cellIs" dxfId="5623" priority="2" operator="lessThan">
      <formula>3</formula>
    </cfRule>
    <cfRule type="cellIs" dxfId="5622" priority="3" operator="greaterThan">
      <formula>6</formula>
    </cfRule>
  </conditionalFormatting>
  <conditionalFormatting sqref="H9:H17 H19:H22 H24:H27 H29:H32 H34:H37 H39">
    <cfRule type="cellIs" dxfId="5621" priority="16" operator="between">
      <formula>3</formula>
      <formula>6</formula>
    </cfRule>
    <cfRule type="cellIs" dxfId="5620" priority="17" operator="lessThan">
      <formula>3</formula>
    </cfRule>
    <cfRule type="cellIs" dxfId="5619" priority="18" operator="greaterThan">
      <formula>6</formula>
    </cfRule>
  </conditionalFormatting>
  <conditionalFormatting sqref="H18">
    <cfRule type="cellIs" dxfId="5618" priority="13" operator="between">
      <formula>3</formula>
      <formula>6</formula>
    </cfRule>
    <cfRule type="cellIs" dxfId="5617" priority="14" operator="lessThan">
      <formula>3</formula>
    </cfRule>
    <cfRule type="cellIs" dxfId="5616" priority="15" operator="greaterThan">
      <formula>6</formula>
    </cfRule>
  </conditionalFormatting>
  <conditionalFormatting sqref="H23">
    <cfRule type="cellIs" dxfId="5615" priority="10" operator="between">
      <formula>3</formula>
      <formula>6</formula>
    </cfRule>
    <cfRule type="cellIs" dxfId="5614" priority="11" operator="lessThan">
      <formula>3</formula>
    </cfRule>
    <cfRule type="cellIs" dxfId="5613" priority="12" operator="greaterThan">
      <formula>6</formula>
    </cfRule>
  </conditionalFormatting>
  <conditionalFormatting sqref="H28">
    <cfRule type="cellIs" dxfId="5612" priority="7" operator="between">
      <formula>3</formula>
      <formula>6</formula>
    </cfRule>
    <cfRule type="cellIs" dxfId="5611" priority="8" operator="lessThan">
      <formula>3</formula>
    </cfRule>
    <cfRule type="cellIs" dxfId="5610" priority="9" operator="greaterThan">
      <formula>6</formula>
    </cfRule>
  </conditionalFormatting>
  <conditionalFormatting sqref="H33">
    <cfRule type="cellIs" dxfId="5609" priority="4" operator="between">
      <formula>3</formula>
      <formula>6</formula>
    </cfRule>
    <cfRule type="cellIs" dxfId="5608" priority="5" operator="lessThan">
      <formula>3</formula>
    </cfRule>
    <cfRule type="cellIs" dxfId="5607" priority="6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7"/>
  <sheetViews>
    <sheetView workbookViewId="0">
      <pane ySplit="8" topLeftCell="A18" activePane="bottomLeft" state="frozen"/>
      <selection pane="bottomLeft" activeCell="I6" sqref="I6"/>
    </sheetView>
  </sheetViews>
  <sheetFormatPr defaultColWidth="9.28515625" defaultRowHeight="16.5"/>
  <cols>
    <col min="1" max="1" width="3.42578125" style="42" customWidth="1"/>
    <col min="2" max="2" width="7.5703125" style="42" customWidth="1"/>
    <col min="3" max="3" width="15" style="42" customWidth="1"/>
    <col min="4" max="4" width="10.42578125" style="6" customWidth="1"/>
    <col min="5" max="5" width="12.7109375" style="6" customWidth="1"/>
    <col min="6" max="6" width="15.28515625" style="6" customWidth="1"/>
    <col min="7" max="7" width="12.7109375" style="6" customWidth="1"/>
    <col min="8" max="8" width="13.5703125" style="42" customWidth="1"/>
    <col min="9" max="9" width="13.42578125" style="42" customWidth="1"/>
    <col min="10" max="11" width="10.42578125" style="42" customWidth="1"/>
    <col min="12" max="12" width="11.5703125" style="143" bestFit="1" customWidth="1"/>
    <col min="13" max="14" width="7.5703125" style="42" customWidth="1"/>
    <col min="15" max="16384" width="9.28515625" style="42"/>
  </cols>
  <sheetData>
    <row r="1" spans="1:25" s="143" customFormat="1" ht="13.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s="143" customFormat="1" ht="13.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L2" s="323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s="143" customFormat="1" ht="17.2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M3" s="442"/>
      <c r="N3" s="442"/>
    </row>
    <row r="4" spans="1:25" s="758" customFormat="1" ht="16.5" customHeight="1">
      <c r="A4" s="1600" t="s">
        <v>33</v>
      </c>
      <c r="B4" s="1600"/>
      <c r="C4" s="318" t="s">
        <v>39</v>
      </c>
      <c r="D4" s="383"/>
      <c r="E4" s="383" t="s">
        <v>228</v>
      </c>
      <c r="F4" s="383" t="s">
        <v>238</v>
      </c>
      <c r="G4" s="383" t="s">
        <v>114</v>
      </c>
      <c r="H4" s="323" t="s">
        <v>440</v>
      </c>
      <c r="L4" s="143"/>
    </row>
    <row r="5" spans="1:25" s="324" customFormat="1" ht="1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143"/>
    </row>
    <row r="6" spans="1:25" s="758" customFormat="1" ht="15" customHeight="1">
      <c r="D6" s="383"/>
      <c r="E6" s="321"/>
      <c r="F6" s="321"/>
      <c r="G6" s="383">
        <v>416</v>
      </c>
      <c r="H6" s="322" t="s">
        <v>294</v>
      </c>
      <c r="I6" s="578" t="s">
        <v>149</v>
      </c>
      <c r="L6" s="143"/>
      <c r="N6" s="758" t="s">
        <v>225</v>
      </c>
    </row>
    <row r="7" spans="1:25" s="305" customFormat="1" ht="27.75" customHeight="1">
      <c r="A7" s="760" t="s">
        <v>2</v>
      </c>
      <c r="B7" s="762" t="s">
        <v>1</v>
      </c>
      <c r="C7" s="762" t="s">
        <v>24</v>
      </c>
      <c r="D7" s="759" t="s">
        <v>250</v>
      </c>
      <c r="E7" s="759" t="s">
        <v>249</v>
      </c>
      <c r="F7" s="759" t="s">
        <v>265</v>
      </c>
      <c r="G7" s="759" t="s">
        <v>253</v>
      </c>
      <c r="H7" s="759" t="s">
        <v>30</v>
      </c>
      <c r="I7" s="697" t="s">
        <v>341</v>
      </c>
      <c r="J7" s="697" t="s">
        <v>244</v>
      </c>
      <c r="K7" s="698" t="s">
        <v>821</v>
      </c>
      <c r="L7" s="143"/>
    </row>
    <row r="8" spans="1:25" s="305" customFormat="1" ht="12" customHeight="1">
      <c r="A8" s="1597" t="s">
        <v>3</v>
      </c>
      <c r="B8" s="1598"/>
      <c r="C8" s="1599"/>
      <c r="D8" s="476">
        <f>G8</f>
        <v>1800</v>
      </c>
      <c r="E8" s="309"/>
      <c r="F8" s="309"/>
      <c r="G8" s="639">
        <v>1800</v>
      </c>
      <c r="H8" s="308"/>
      <c r="I8" s="689"/>
      <c r="J8" s="689"/>
      <c r="K8" s="346"/>
      <c r="L8" s="143">
        <v>54</v>
      </c>
    </row>
    <row r="9" spans="1:25" s="333" customFormat="1" ht="12" customHeight="1">
      <c r="A9" s="330">
        <v>1</v>
      </c>
      <c r="B9" s="365">
        <f>'FRIT HGE91-FHG'!B9</f>
        <v>46235</v>
      </c>
      <c r="C9" s="331" t="s">
        <v>285</v>
      </c>
      <c r="D9" s="334"/>
      <c r="E9" s="695">
        <f>I9+J9+K9</f>
        <v>0</v>
      </c>
      <c r="F9" s="565">
        <v>54</v>
      </c>
      <c r="G9" s="566">
        <f>G8+D9-E9</f>
        <v>1800</v>
      </c>
      <c r="H9" s="455">
        <f>G9/F9</f>
        <v>33.333333333333336</v>
      </c>
      <c r="I9" s="689"/>
      <c r="J9" s="689"/>
      <c r="K9" s="346"/>
      <c r="L9" s="647">
        <f>G9/$L$8</f>
        <v>33.333333333333336</v>
      </c>
    </row>
    <row r="10" spans="1:25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34"/>
      <c r="E10" s="695">
        <f t="shared" ref="E10:E39" si="0">I10+J10+K10</f>
        <v>0</v>
      </c>
      <c r="F10" s="565">
        <v>54</v>
      </c>
      <c r="G10" s="566">
        <f t="shared" ref="G10:G39" si="1">G9+D10-E10</f>
        <v>1800</v>
      </c>
      <c r="H10" s="455">
        <f t="shared" ref="H10:H39" si="2">G10/F10</f>
        <v>33.333333333333336</v>
      </c>
      <c r="I10" s="689"/>
      <c r="J10" s="689"/>
      <c r="K10" s="346"/>
      <c r="L10" s="647">
        <f t="shared" ref="L10:L39" si="3">G10/$L$8</f>
        <v>33.333333333333336</v>
      </c>
    </row>
    <row r="11" spans="1:25" s="333" customFormat="1" ht="12" customHeight="1">
      <c r="A11" s="330">
        <v>3</v>
      </c>
      <c r="B11" s="365">
        <f>'FRIT HGE91-FHG'!B11</f>
        <v>46237</v>
      </c>
      <c r="C11" s="331" t="s">
        <v>104</v>
      </c>
      <c r="D11" s="334"/>
      <c r="E11" s="695">
        <f t="shared" si="0"/>
        <v>0</v>
      </c>
      <c r="F11" s="565">
        <v>54</v>
      </c>
      <c r="G11" s="566">
        <f t="shared" si="1"/>
        <v>1800</v>
      </c>
      <c r="H11" s="455">
        <f t="shared" si="2"/>
        <v>33.333333333333336</v>
      </c>
      <c r="I11" s="689"/>
      <c r="J11" s="689"/>
      <c r="K11" s="346"/>
      <c r="L11" s="647">
        <f t="shared" si="3"/>
        <v>33.333333333333336</v>
      </c>
    </row>
    <row r="12" spans="1:25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34"/>
      <c r="E12" s="695">
        <f t="shared" si="0"/>
        <v>1200</v>
      </c>
      <c r="F12" s="565">
        <v>54</v>
      </c>
      <c r="G12" s="566">
        <f t="shared" si="1"/>
        <v>600</v>
      </c>
      <c r="H12" s="455">
        <f t="shared" si="2"/>
        <v>11.111111111111111</v>
      </c>
      <c r="I12" s="689"/>
      <c r="J12" s="689">
        <v>1200</v>
      </c>
      <c r="K12" s="346"/>
      <c r="L12" s="647">
        <f t="shared" si="3"/>
        <v>11.111111111111111</v>
      </c>
    </row>
    <row r="13" spans="1:25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34"/>
      <c r="E13" s="695">
        <f t="shared" si="0"/>
        <v>120</v>
      </c>
      <c r="F13" s="565">
        <v>54</v>
      </c>
      <c r="G13" s="566">
        <f t="shared" si="1"/>
        <v>480</v>
      </c>
      <c r="H13" s="455">
        <f t="shared" si="2"/>
        <v>8.8888888888888893</v>
      </c>
      <c r="I13" s="689">
        <v>120</v>
      </c>
      <c r="J13" s="689"/>
      <c r="K13" s="346"/>
      <c r="L13" s="647">
        <f t="shared" si="3"/>
        <v>8.8888888888888893</v>
      </c>
    </row>
    <row r="14" spans="1:25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34"/>
      <c r="E14" s="695">
        <f t="shared" si="0"/>
        <v>0</v>
      </c>
      <c r="F14" s="565">
        <v>54</v>
      </c>
      <c r="G14" s="566">
        <f t="shared" si="1"/>
        <v>480</v>
      </c>
      <c r="H14" s="455">
        <f t="shared" si="2"/>
        <v>8.8888888888888893</v>
      </c>
      <c r="I14" s="689"/>
      <c r="J14" s="689"/>
      <c r="K14" s="346"/>
      <c r="L14" s="647">
        <f t="shared" si="3"/>
        <v>8.8888888888888893</v>
      </c>
    </row>
    <row r="15" spans="1:25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34"/>
      <c r="E15" s="695">
        <f t="shared" si="0"/>
        <v>0</v>
      </c>
      <c r="F15" s="565">
        <v>54</v>
      </c>
      <c r="G15" s="566">
        <f t="shared" si="1"/>
        <v>480</v>
      </c>
      <c r="H15" s="455">
        <f t="shared" si="2"/>
        <v>8.8888888888888893</v>
      </c>
      <c r="I15" s="689"/>
      <c r="J15" s="689"/>
      <c r="K15" s="346"/>
      <c r="L15" s="647">
        <f t="shared" si="3"/>
        <v>8.8888888888888893</v>
      </c>
    </row>
    <row r="16" spans="1:25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34"/>
      <c r="E16" s="695">
        <f t="shared" si="0"/>
        <v>0</v>
      </c>
      <c r="F16" s="565">
        <v>54</v>
      </c>
      <c r="G16" s="566">
        <f t="shared" si="1"/>
        <v>480</v>
      </c>
      <c r="H16" s="455">
        <f t="shared" si="2"/>
        <v>8.8888888888888893</v>
      </c>
      <c r="I16" s="689"/>
      <c r="J16" s="689"/>
      <c r="K16" s="346"/>
      <c r="L16" s="647">
        <f t="shared" si="3"/>
        <v>8.8888888888888893</v>
      </c>
    </row>
    <row r="17" spans="1:12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334"/>
      <c r="E17" s="695">
        <f t="shared" si="0"/>
        <v>0</v>
      </c>
      <c r="F17" s="565">
        <v>54</v>
      </c>
      <c r="G17" s="566">
        <f t="shared" si="1"/>
        <v>480</v>
      </c>
      <c r="H17" s="455">
        <f t="shared" si="2"/>
        <v>8.8888888888888893</v>
      </c>
      <c r="I17" s="689"/>
      <c r="J17" s="689"/>
      <c r="K17" s="346"/>
      <c r="L17" s="647">
        <f t="shared" si="3"/>
        <v>8.8888888888888893</v>
      </c>
    </row>
    <row r="18" spans="1:12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334"/>
      <c r="E18" s="695">
        <f t="shared" si="0"/>
        <v>120</v>
      </c>
      <c r="F18" s="565">
        <v>54</v>
      </c>
      <c r="G18" s="566">
        <f t="shared" si="1"/>
        <v>360</v>
      </c>
      <c r="H18" s="455">
        <f t="shared" si="2"/>
        <v>6.666666666666667</v>
      </c>
      <c r="I18" s="689">
        <v>120</v>
      </c>
      <c r="J18" s="689"/>
      <c r="K18" s="346"/>
      <c r="L18" s="647">
        <f t="shared" si="3"/>
        <v>6.666666666666667</v>
      </c>
    </row>
    <row r="19" spans="1:12" s="367" customFormat="1" ht="12.75" customHeight="1">
      <c r="A19" s="330">
        <v>11</v>
      </c>
      <c r="B19" s="365">
        <f>'FRIT HGE91-FHG'!B19</f>
        <v>46245</v>
      </c>
      <c r="C19" s="331" t="s">
        <v>285</v>
      </c>
      <c r="D19" s="334"/>
      <c r="E19" s="695">
        <f t="shared" si="0"/>
        <v>0</v>
      </c>
      <c r="F19" s="565">
        <v>54</v>
      </c>
      <c r="G19" s="566">
        <f t="shared" si="1"/>
        <v>360</v>
      </c>
      <c r="H19" s="455">
        <f t="shared" si="2"/>
        <v>6.666666666666667</v>
      </c>
      <c r="I19" s="689"/>
      <c r="J19" s="689"/>
      <c r="K19" s="346"/>
      <c r="L19" s="647">
        <f t="shared" si="3"/>
        <v>6.666666666666667</v>
      </c>
    </row>
    <row r="20" spans="1:12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34"/>
      <c r="E20" s="695">
        <f t="shared" si="0"/>
        <v>0</v>
      </c>
      <c r="F20" s="565">
        <v>54</v>
      </c>
      <c r="G20" s="566">
        <f t="shared" si="1"/>
        <v>360</v>
      </c>
      <c r="H20" s="455">
        <f t="shared" si="2"/>
        <v>6.666666666666667</v>
      </c>
      <c r="I20" s="689"/>
      <c r="J20" s="689"/>
      <c r="K20" s="346"/>
      <c r="L20" s="647">
        <f t="shared" si="3"/>
        <v>6.666666666666667</v>
      </c>
    </row>
    <row r="21" spans="1:12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34"/>
      <c r="E21" s="695">
        <f t="shared" si="0"/>
        <v>1200</v>
      </c>
      <c r="F21" s="565">
        <v>54</v>
      </c>
      <c r="G21" s="566">
        <f t="shared" si="1"/>
        <v>-840</v>
      </c>
      <c r="H21" s="455">
        <f t="shared" si="2"/>
        <v>-15.555555555555555</v>
      </c>
      <c r="I21" s="689"/>
      <c r="J21" s="689">
        <v>1200</v>
      </c>
      <c r="K21" s="346"/>
      <c r="L21" s="647">
        <f t="shared" si="3"/>
        <v>-15.555555555555555</v>
      </c>
    </row>
    <row r="22" spans="1:12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34">
        <v>2400</v>
      </c>
      <c r="E22" s="695">
        <f t="shared" si="0"/>
        <v>0</v>
      </c>
      <c r="F22" s="565">
        <v>54</v>
      </c>
      <c r="G22" s="566">
        <f t="shared" si="1"/>
        <v>1560</v>
      </c>
      <c r="H22" s="455">
        <f t="shared" si="2"/>
        <v>28.888888888888889</v>
      </c>
      <c r="I22" s="689"/>
      <c r="J22" s="689"/>
      <c r="K22" s="346"/>
      <c r="L22" s="647">
        <f t="shared" si="3"/>
        <v>28.888888888888889</v>
      </c>
    </row>
    <row r="23" spans="1:12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334"/>
      <c r="E23" s="695">
        <f t="shared" si="0"/>
        <v>120</v>
      </c>
      <c r="F23" s="565">
        <v>54</v>
      </c>
      <c r="G23" s="566">
        <f t="shared" si="1"/>
        <v>1440</v>
      </c>
      <c r="H23" s="455">
        <f t="shared" si="2"/>
        <v>26.666666666666668</v>
      </c>
      <c r="I23" s="689">
        <v>120</v>
      </c>
      <c r="J23" s="689"/>
      <c r="K23" s="346"/>
      <c r="L23" s="647">
        <f t="shared" si="3"/>
        <v>26.666666666666668</v>
      </c>
    </row>
    <row r="24" spans="1:12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334"/>
      <c r="E24" s="695">
        <f t="shared" si="0"/>
        <v>0</v>
      </c>
      <c r="F24" s="565">
        <v>54</v>
      </c>
      <c r="G24" s="566">
        <f t="shared" si="1"/>
        <v>1440</v>
      </c>
      <c r="H24" s="455">
        <f t="shared" si="2"/>
        <v>26.666666666666668</v>
      </c>
      <c r="I24" s="689"/>
      <c r="J24" s="689"/>
      <c r="K24" s="346"/>
      <c r="L24" s="647">
        <f t="shared" si="3"/>
        <v>26.666666666666668</v>
      </c>
    </row>
    <row r="25" spans="1:12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334"/>
      <c r="E25" s="695">
        <f t="shared" si="0"/>
        <v>0</v>
      </c>
      <c r="F25" s="565">
        <v>54</v>
      </c>
      <c r="G25" s="566">
        <f t="shared" si="1"/>
        <v>1440</v>
      </c>
      <c r="H25" s="455">
        <f t="shared" si="2"/>
        <v>26.666666666666668</v>
      </c>
      <c r="I25" s="689"/>
      <c r="J25" s="689"/>
      <c r="K25" s="346"/>
      <c r="L25" s="647">
        <f t="shared" si="3"/>
        <v>26.666666666666668</v>
      </c>
    </row>
    <row r="26" spans="1:12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334"/>
      <c r="E26" s="695">
        <f t="shared" si="0"/>
        <v>0</v>
      </c>
      <c r="F26" s="565">
        <v>54</v>
      </c>
      <c r="G26" s="566">
        <f t="shared" si="1"/>
        <v>1440</v>
      </c>
      <c r="H26" s="455">
        <f t="shared" si="2"/>
        <v>26.666666666666668</v>
      </c>
      <c r="I26" s="689"/>
      <c r="J26" s="689"/>
      <c r="K26" s="346"/>
      <c r="L26" s="647">
        <f t="shared" si="3"/>
        <v>26.666666666666668</v>
      </c>
    </row>
    <row r="27" spans="1:12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334"/>
      <c r="E27" s="695">
        <f t="shared" si="0"/>
        <v>0</v>
      </c>
      <c r="F27" s="565">
        <v>54</v>
      </c>
      <c r="G27" s="566">
        <f t="shared" si="1"/>
        <v>1440</v>
      </c>
      <c r="H27" s="455">
        <f t="shared" si="2"/>
        <v>26.666666666666668</v>
      </c>
      <c r="I27" s="689"/>
      <c r="J27" s="689"/>
      <c r="K27" s="346"/>
      <c r="L27" s="647">
        <f t="shared" si="3"/>
        <v>26.666666666666668</v>
      </c>
    </row>
    <row r="28" spans="1:12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34"/>
      <c r="E28" s="695">
        <f t="shared" si="0"/>
        <v>0</v>
      </c>
      <c r="F28" s="565">
        <v>54</v>
      </c>
      <c r="G28" s="566">
        <f t="shared" si="1"/>
        <v>1440</v>
      </c>
      <c r="H28" s="455">
        <f t="shared" si="2"/>
        <v>26.666666666666668</v>
      </c>
      <c r="I28" s="689"/>
      <c r="J28" s="689"/>
      <c r="K28" s="346"/>
      <c r="L28" s="647">
        <f t="shared" si="3"/>
        <v>26.666666666666668</v>
      </c>
    </row>
    <row r="29" spans="1:12" s="367" customFormat="1" ht="12" customHeight="1">
      <c r="A29" s="330">
        <v>21</v>
      </c>
      <c r="B29" s="365">
        <f>'FRIT HGE91-FHG'!B29</f>
        <v>46255</v>
      </c>
      <c r="C29" s="331" t="s">
        <v>285</v>
      </c>
      <c r="D29" s="334"/>
      <c r="E29" s="695">
        <f t="shared" si="0"/>
        <v>0</v>
      </c>
      <c r="F29" s="565">
        <v>54</v>
      </c>
      <c r="G29" s="566">
        <f t="shared" si="1"/>
        <v>1440</v>
      </c>
      <c r="H29" s="455">
        <f t="shared" si="2"/>
        <v>26.666666666666668</v>
      </c>
      <c r="I29" s="689"/>
      <c r="J29" s="689"/>
      <c r="K29" s="346"/>
      <c r="L29" s="647">
        <f t="shared" si="3"/>
        <v>26.666666666666668</v>
      </c>
    </row>
    <row r="30" spans="1:12" s="367" customFormat="1" ht="12" customHeight="1">
      <c r="A30" s="330">
        <v>22</v>
      </c>
      <c r="B30" s="365">
        <f>'FRIT HGE91-FHG'!B30</f>
        <v>46256</v>
      </c>
      <c r="C30" s="331" t="s">
        <v>285</v>
      </c>
      <c r="D30" s="334"/>
      <c r="E30" s="695">
        <f t="shared" si="0"/>
        <v>0</v>
      </c>
      <c r="F30" s="565">
        <v>54</v>
      </c>
      <c r="G30" s="566">
        <f t="shared" si="1"/>
        <v>1440</v>
      </c>
      <c r="H30" s="455">
        <f t="shared" si="2"/>
        <v>26.666666666666668</v>
      </c>
      <c r="I30" s="689"/>
      <c r="J30" s="689"/>
      <c r="K30" s="346"/>
      <c r="L30" s="647">
        <f t="shared" si="3"/>
        <v>26.666666666666668</v>
      </c>
    </row>
    <row r="31" spans="1:12" s="367" customFormat="1" ht="12" customHeight="1">
      <c r="A31" s="330">
        <v>23</v>
      </c>
      <c r="B31" s="365">
        <f>'FRIT HGE91-FHG'!B31</f>
        <v>46257</v>
      </c>
      <c r="C31" s="331" t="s">
        <v>285</v>
      </c>
      <c r="D31" s="334"/>
      <c r="E31" s="695">
        <f t="shared" si="0"/>
        <v>0</v>
      </c>
      <c r="F31" s="565">
        <v>54</v>
      </c>
      <c r="G31" s="566">
        <f t="shared" si="1"/>
        <v>1440</v>
      </c>
      <c r="H31" s="455">
        <f t="shared" si="2"/>
        <v>26.666666666666668</v>
      </c>
      <c r="I31" s="689"/>
      <c r="J31" s="689"/>
      <c r="K31" s="346"/>
      <c r="L31" s="647">
        <f t="shared" si="3"/>
        <v>26.666666666666668</v>
      </c>
    </row>
    <row r="32" spans="1:12" s="367" customFormat="1" ht="12" customHeight="1">
      <c r="A32" s="330">
        <v>24</v>
      </c>
      <c r="B32" s="365">
        <f>'FRIT HGE91-FHG'!B32</f>
        <v>46258</v>
      </c>
      <c r="C32" s="331" t="s">
        <v>285</v>
      </c>
      <c r="D32" s="334"/>
      <c r="E32" s="695">
        <f t="shared" si="0"/>
        <v>0</v>
      </c>
      <c r="F32" s="565">
        <v>54</v>
      </c>
      <c r="G32" s="566">
        <f t="shared" si="1"/>
        <v>1440</v>
      </c>
      <c r="H32" s="455">
        <f t="shared" si="2"/>
        <v>26.666666666666668</v>
      </c>
      <c r="I32" s="689"/>
      <c r="J32" s="689"/>
      <c r="K32" s="346"/>
      <c r="L32" s="647">
        <f t="shared" si="3"/>
        <v>26.666666666666668</v>
      </c>
    </row>
    <row r="33" spans="1:12" s="367" customFormat="1" ht="12" customHeight="1">
      <c r="A33" s="426">
        <v>25</v>
      </c>
      <c r="B33" s="365">
        <f>'FRIT HGE91-FHG'!B33</f>
        <v>46259</v>
      </c>
      <c r="C33" s="331" t="s">
        <v>285</v>
      </c>
      <c r="D33" s="334"/>
      <c r="E33" s="695">
        <f t="shared" si="0"/>
        <v>0</v>
      </c>
      <c r="F33" s="565">
        <v>54</v>
      </c>
      <c r="G33" s="566">
        <f t="shared" si="1"/>
        <v>1440</v>
      </c>
      <c r="H33" s="455">
        <f t="shared" si="2"/>
        <v>26.666666666666668</v>
      </c>
      <c r="I33" s="689"/>
      <c r="J33" s="689"/>
      <c r="K33" s="346"/>
      <c r="L33" s="647">
        <f t="shared" si="3"/>
        <v>26.666666666666668</v>
      </c>
    </row>
    <row r="34" spans="1:12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334"/>
      <c r="E34" s="695">
        <f t="shared" si="0"/>
        <v>0</v>
      </c>
      <c r="F34" s="565">
        <v>54</v>
      </c>
      <c r="G34" s="566">
        <f t="shared" si="1"/>
        <v>1440</v>
      </c>
      <c r="H34" s="455">
        <f t="shared" si="2"/>
        <v>26.666666666666668</v>
      </c>
      <c r="I34" s="689"/>
      <c r="J34" s="689"/>
      <c r="K34" s="346"/>
      <c r="L34" s="647">
        <f t="shared" si="3"/>
        <v>26.666666666666668</v>
      </c>
    </row>
    <row r="35" spans="1:12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334"/>
      <c r="E35" s="695">
        <f t="shared" si="0"/>
        <v>0</v>
      </c>
      <c r="F35" s="565">
        <v>54</v>
      </c>
      <c r="G35" s="566">
        <f t="shared" si="1"/>
        <v>1440</v>
      </c>
      <c r="H35" s="455">
        <f t="shared" si="2"/>
        <v>26.666666666666668</v>
      </c>
      <c r="I35" s="689"/>
      <c r="J35" s="689"/>
      <c r="K35" s="346"/>
      <c r="L35" s="647">
        <f t="shared" si="3"/>
        <v>26.666666666666668</v>
      </c>
    </row>
    <row r="36" spans="1:12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34"/>
      <c r="E36" s="695">
        <f t="shared" si="0"/>
        <v>0</v>
      </c>
      <c r="F36" s="565">
        <v>54</v>
      </c>
      <c r="G36" s="566">
        <f t="shared" si="1"/>
        <v>1440</v>
      </c>
      <c r="H36" s="455">
        <f t="shared" si="2"/>
        <v>26.666666666666668</v>
      </c>
      <c r="I36" s="689"/>
      <c r="J36" s="689"/>
      <c r="K36" s="346"/>
      <c r="L36" s="647">
        <f t="shared" si="3"/>
        <v>26.666666666666668</v>
      </c>
    </row>
    <row r="37" spans="1:12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34"/>
      <c r="E37" s="695">
        <f>I37+J37+K37</f>
        <v>0</v>
      </c>
      <c r="F37" s="565">
        <v>54</v>
      </c>
      <c r="G37" s="566">
        <f t="shared" si="1"/>
        <v>1440</v>
      </c>
      <c r="H37" s="455">
        <f t="shared" si="2"/>
        <v>26.666666666666668</v>
      </c>
      <c r="I37" s="689"/>
      <c r="J37" s="689"/>
      <c r="K37" s="346"/>
      <c r="L37" s="647">
        <f t="shared" si="3"/>
        <v>26.666666666666668</v>
      </c>
    </row>
    <row r="38" spans="1:12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334"/>
      <c r="E38" s="695">
        <f t="shared" si="0"/>
        <v>0</v>
      </c>
      <c r="F38" s="565">
        <v>54</v>
      </c>
      <c r="G38" s="566">
        <f t="shared" si="1"/>
        <v>1440</v>
      </c>
      <c r="H38" s="455">
        <f t="shared" si="2"/>
        <v>26.666666666666668</v>
      </c>
      <c r="I38" s="689"/>
      <c r="J38" s="689"/>
      <c r="K38" s="346"/>
      <c r="L38" s="647">
        <f t="shared" si="3"/>
        <v>26.666666666666668</v>
      </c>
    </row>
    <row r="39" spans="1:12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334"/>
      <c r="E39" s="695">
        <f t="shared" si="0"/>
        <v>0</v>
      </c>
      <c r="F39" s="565">
        <v>54</v>
      </c>
      <c r="G39" s="566">
        <f t="shared" si="1"/>
        <v>1440</v>
      </c>
      <c r="H39" s="455">
        <f t="shared" si="2"/>
        <v>26.666666666666668</v>
      </c>
      <c r="I39" s="689"/>
      <c r="J39" s="689"/>
      <c r="K39" s="346"/>
      <c r="L39" s="647">
        <f t="shared" si="3"/>
        <v>26.666666666666668</v>
      </c>
    </row>
    <row r="40" spans="1:12" s="374" customFormat="1" ht="12" customHeight="1">
      <c r="A40" s="1613" t="s">
        <v>29</v>
      </c>
      <c r="B40" s="1614"/>
      <c r="C40" s="1615"/>
      <c r="D40" s="349">
        <f>SUM(D9:D39)</f>
        <v>2400</v>
      </c>
      <c r="E40" s="315">
        <f>SUM(E9:E39)</f>
        <v>2760</v>
      </c>
      <c r="F40" s="315"/>
      <c r="G40" s="465">
        <f>G39</f>
        <v>1440</v>
      </c>
      <c r="H40" s="300"/>
      <c r="I40" s="689">
        <f>SUM(I9:I39)</f>
        <v>360</v>
      </c>
      <c r="J40" s="689">
        <f t="shared" ref="J40:K40" si="4">SUM(J9:J39)</f>
        <v>2400</v>
      </c>
      <c r="K40" s="689">
        <f t="shared" si="4"/>
        <v>0</v>
      </c>
    </row>
    <row r="41" spans="1:12" s="374" customFormat="1" ht="12" customHeight="1">
      <c r="A41" s="1613" t="s">
        <v>15</v>
      </c>
      <c r="B41" s="1614"/>
      <c r="C41" s="1615"/>
      <c r="D41" s="349">
        <f>D8+D40</f>
        <v>4200</v>
      </c>
      <c r="E41" s="315">
        <f>E40</f>
        <v>2760</v>
      </c>
      <c r="F41" s="315"/>
      <c r="G41" s="315">
        <f>D41-E41</f>
        <v>1440</v>
      </c>
      <c r="H41" s="300"/>
      <c r="I41" s="689"/>
      <c r="J41" s="689"/>
      <c r="K41" s="427"/>
    </row>
    <row r="42" spans="1:12" s="324" customFormat="1" ht="12.75">
      <c r="D42" s="343"/>
      <c r="E42" s="343"/>
      <c r="F42" s="343"/>
      <c r="H42" s="343" t="s">
        <v>227</v>
      </c>
      <c r="I42" s="343"/>
      <c r="K42" s="343"/>
    </row>
    <row r="43" spans="1:12" s="324" customFormat="1" ht="12" customHeight="1">
      <c r="D43" s="343"/>
      <c r="E43" s="343"/>
      <c r="F43" s="343"/>
      <c r="H43" s="343"/>
      <c r="I43" s="343"/>
      <c r="K43" s="343"/>
    </row>
    <row r="44" spans="1:12" s="324" customFormat="1" ht="12" customHeight="1">
      <c r="D44" s="343"/>
      <c r="E44" s="343"/>
      <c r="F44" s="343"/>
      <c r="H44" s="343"/>
      <c r="I44" s="343"/>
      <c r="K44" s="343"/>
    </row>
    <row r="45" spans="1:12" s="324" customFormat="1" ht="12" customHeight="1">
      <c r="D45" s="343"/>
      <c r="E45" s="343"/>
      <c r="F45" s="343"/>
      <c r="H45" s="343"/>
      <c r="I45" s="343"/>
      <c r="K45" s="343"/>
    </row>
    <row r="46" spans="1:12" s="324" customFormat="1" ht="12.75">
      <c r="D46" s="343"/>
      <c r="E46" s="343"/>
      <c r="F46" s="343"/>
      <c r="H46" s="343" t="s">
        <v>333</v>
      </c>
      <c r="I46" s="343"/>
      <c r="K46" s="343"/>
    </row>
    <row r="47" spans="1:12" s="340" customFormat="1" ht="15.75">
      <c r="D47" s="341"/>
      <c r="E47" s="341"/>
      <c r="F47" s="341"/>
      <c r="G47" s="341"/>
      <c r="H47" s="341"/>
      <c r="I47" s="341"/>
      <c r="J47" s="341"/>
      <c r="K47" s="342"/>
      <c r="L47" s="143"/>
    </row>
  </sheetData>
  <mergeCells count="5">
    <mergeCell ref="A3:K3"/>
    <mergeCell ref="A8:C8"/>
    <mergeCell ref="A40:C40"/>
    <mergeCell ref="A41:C41"/>
    <mergeCell ref="A4:B4"/>
  </mergeCells>
  <conditionalFormatting sqref="H9:H39">
    <cfRule type="cellIs" dxfId="5606" priority="1" operator="between">
      <formula>3</formula>
      <formula>6</formula>
    </cfRule>
    <cfRule type="cellIs" dxfId="5605" priority="2" operator="lessThan">
      <formula>3</formula>
    </cfRule>
    <cfRule type="cellIs" dxfId="5604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7"/>
  <sheetViews>
    <sheetView workbookViewId="0">
      <pane ySplit="8" topLeftCell="A18" activePane="bottomLeft" state="frozen"/>
      <selection pane="bottomLeft" activeCell="D18" sqref="D18:D22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6.5703125" style="42" customWidth="1"/>
    <col min="4" max="5" width="12" style="6" customWidth="1"/>
    <col min="6" max="6" width="13.42578125" style="6" customWidth="1"/>
    <col min="7" max="7" width="12" style="6" customWidth="1"/>
    <col min="8" max="8" width="20.42578125" style="42" customWidth="1"/>
    <col min="9" max="9" width="13.42578125" style="42" customWidth="1"/>
    <col min="10" max="10" width="10.5703125" style="42" customWidth="1"/>
    <col min="11" max="11" width="10" style="42" customWidth="1"/>
    <col min="12" max="12" width="11.5703125" style="143" bestFit="1" customWidth="1"/>
    <col min="13" max="14" width="7.5703125" style="42" customWidth="1"/>
    <col min="15" max="16384" width="9.28515625" style="42"/>
  </cols>
  <sheetData>
    <row r="1" spans="1:25" s="143" customFormat="1" ht="12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L2" s="323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442"/>
      <c r="K3" s="442"/>
      <c r="M3" s="442"/>
      <c r="N3" s="442"/>
    </row>
    <row r="4" spans="1:25" s="758" customFormat="1" ht="13.5" customHeight="1">
      <c r="A4" s="1600" t="s">
        <v>33</v>
      </c>
      <c r="B4" s="1600"/>
      <c r="C4" s="318" t="str">
        <f>H4</f>
        <v>KÌM KẸP DÂY ĐAI-M</v>
      </c>
      <c r="D4" s="383"/>
      <c r="E4" s="383" t="s">
        <v>228</v>
      </c>
      <c r="F4" s="383" t="s">
        <v>237</v>
      </c>
      <c r="G4" s="383" t="s">
        <v>114</v>
      </c>
      <c r="H4" s="323" t="s">
        <v>439</v>
      </c>
      <c r="L4" s="143"/>
    </row>
    <row r="5" spans="1:25" s="324" customFormat="1" ht="13.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143"/>
    </row>
    <row r="6" spans="1:25" s="758" customFormat="1" ht="13.5" customHeight="1">
      <c r="D6" s="383"/>
      <c r="E6" s="321"/>
      <c r="F6" s="321"/>
      <c r="G6" s="383">
        <v>1</v>
      </c>
      <c r="H6" s="322" t="s">
        <v>293</v>
      </c>
      <c r="I6" s="578" t="s">
        <v>149</v>
      </c>
      <c r="L6" s="143"/>
      <c r="N6" s="758" t="s">
        <v>225</v>
      </c>
    </row>
    <row r="7" spans="1:25" s="305" customFormat="1" ht="28.5" customHeight="1">
      <c r="A7" s="760" t="s">
        <v>2</v>
      </c>
      <c r="B7" s="762" t="s">
        <v>1</v>
      </c>
      <c r="C7" s="762" t="s">
        <v>24</v>
      </c>
      <c r="D7" s="759" t="s">
        <v>250</v>
      </c>
      <c r="E7" s="759" t="s">
        <v>249</v>
      </c>
      <c r="F7" s="759" t="s">
        <v>265</v>
      </c>
      <c r="G7" s="759" t="s">
        <v>253</v>
      </c>
      <c r="H7" s="759" t="s">
        <v>30</v>
      </c>
      <c r="I7" s="697" t="s">
        <v>341</v>
      </c>
      <c r="J7" s="697" t="s">
        <v>244</v>
      </c>
      <c r="K7" s="698" t="s">
        <v>821</v>
      </c>
      <c r="L7" s="143"/>
    </row>
    <row r="8" spans="1:25" s="305" customFormat="1" ht="12" customHeight="1">
      <c r="A8" s="1597" t="s">
        <v>3</v>
      </c>
      <c r="B8" s="1598"/>
      <c r="C8" s="1599"/>
      <c r="D8" s="391">
        <f>G8</f>
        <v>4</v>
      </c>
      <c r="E8" s="387"/>
      <c r="F8" s="387"/>
      <c r="G8" s="389">
        <v>4</v>
      </c>
      <c r="H8" s="308"/>
      <c r="I8" s="689"/>
      <c r="J8" s="689"/>
      <c r="K8" s="346"/>
      <c r="L8" s="143"/>
    </row>
    <row r="9" spans="1:25" s="305" customFormat="1" ht="12" customHeight="1">
      <c r="A9" s="761">
        <v>1</v>
      </c>
      <c r="B9" s="365">
        <f>'FRIT HGE91-FHG'!B9</f>
        <v>46235</v>
      </c>
      <c r="C9" s="331" t="s">
        <v>285</v>
      </c>
      <c r="D9" s="457"/>
      <c r="E9" s="573">
        <f>I9+J9+K9</f>
        <v>0</v>
      </c>
      <c r="F9" s="574">
        <f>SUM($E$8:E9)/A9</f>
        <v>0</v>
      </c>
      <c r="G9" s="389">
        <f>G8+D9-E9</f>
        <v>4</v>
      </c>
      <c r="H9" s="312" t="e">
        <f>G9/F9</f>
        <v>#DIV/0!</v>
      </c>
      <c r="I9" s="689"/>
      <c r="J9" s="689"/>
      <c r="K9" s="346"/>
      <c r="L9" s="647"/>
    </row>
    <row r="10" spans="1:25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457"/>
      <c r="E10" s="573">
        <f t="shared" ref="E10:E39" si="0">I10+J10+K10</f>
        <v>0</v>
      </c>
      <c r="F10" s="458">
        <f>SUM($E$8:E10)/A10</f>
        <v>0</v>
      </c>
      <c r="G10" s="459">
        <f t="shared" ref="G10:G38" si="1">G9+D10-E10</f>
        <v>4</v>
      </c>
      <c r="H10" s="337" t="e">
        <f t="shared" ref="H10:H39" si="2">G10/F10</f>
        <v>#DIV/0!</v>
      </c>
      <c r="I10" s="689"/>
      <c r="J10" s="689"/>
      <c r="K10" s="346"/>
      <c r="L10" s="647"/>
    </row>
    <row r="11" spans="1:25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457"/>
      <c r="E11" s="573">
        <f t="shared" si="0"/>
        <v>0</v>
      </c>
      <c r="F11" s="458">
        <f>SUM($E$8:E11)/A11</f>
        <v>0</v>
      </c>
      <c r="G11" s="459">
        <f t="shared" si="1"/>
        <v>4</v>
      </c>
      <c r="H11" s="467" t="e">
        <f t="shared" si="2"/>
        <v>#DIV/0!</v>
      </c>
      <c r="I11" s="689"/>
      <c r="J11" s="689"/>
      <c r="K11" s="346"/>
      <c r="L11" s="647"/>
    </row>
    <row r="12" spans="1:25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457"/>
      <c r="E12" s="573">
        <f t="shared" si="0"/>
        <v>0</v>
      </c>
      <c r="F12" s="458">
        <f>SUM($E$8:E12)/A12</f>
        <v>0</v>
      </c>
      <c r="G12" s="459">
        <f t="shared" si="1"/>
        <v>4</v>
      </c>
      <c r="H12" s="467" t="e">
        <f t="shared" si="2"/>
        <v>#DIV/0!</v>
      </c>
      <c r="I12" s="689"/>
      <c r="J12" s="689"/>
      <c r="K12" s="346"/>
      <c r="L12" s="647"/>
    </row>
    <row r="13" spans="1:25" s="367" customFormat="1" ht="12.75" customHeight="1">
      <c r="A13" s="425">
        <v>5</v>
      </c>
      <c r="B13" s="365">
        <f>'FRIT HGE91-FHG'!B13</f>
        <v>46239</v>
      </c>
      <c r="C13" s="331" t="s">
        <v>285</v>
      </c>
      <c r="D13" s="457"/>
      <c r="E13" s="573">
        <f t="shared" si="0"/>
        <v>0</v>
      </c>
      <c r="F13" s="458">
        <f>SUM($E$8:E13)/A13</f>
        <v>0</v>
      </c>
      <c r="G13" s="504">
        <f t="shared" si="1"/>
        <v>4</v>
      </c>
      <c r="H13" s="467" t="e">
        <f t="shared" si="2"/>
        <v>#DIV/0!</v>
      </c>
      <c r="I13" s="689"/>
      <c r="J13" s="689"/>
      <c r="K13" s="346"/>
      <c r="L13" s="647"/>
    </row>
    <row r="14" spans="1:25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457"/>
      <c r="E14" s="573">
        <f t="shared" si="0"/>
        <v>0</v>
      </c>
      <c r="F14" s="458">
        <f>SUM($E$8:E14)/A14</f>
        <v>0</v>
      </c>
      <c r="G14" s="459">
        <f t="shared" si="1"/>
        <v>4</v>
      </c>
      <c r="H14" s="467" t="e">
        <f t="shared" si="2"/>
        <v>#DIV/0!</v>
      </c>
      <c r="I14" s="689"/>
      <c r="J14" s="689"/>
      <c r="K14" s="346"/>
      <c r="L14" s="647"/>
    </row>
    <row r="15" spans="1:25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457"/>
      <c r="E15" s="573">
        <f t="shared" si="0"/>
        <v>0</v>
      </c>
      <c r="F15" s="458">
        <f>SUM($E$8:E15)/A15</f>
        <v>0</v>
      </c>
      <c r="G15" s="459">
        <f t="shared" si="1"/>
        <v>4</v>
      </c>
      <c r="H15" s="467" t="e">
        <f t="shared" si="2"/>
        <v>#DIV/0!</v>
      </c>
      <c r="I15" s="689"/>
      <c r="J15" s="689"/>
      <c r="K15" s="346"/>
      <c r="L15" s="647"/>
    </row>
    <row r="16" spans="1:25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457"/>
      <c r="E16" s="573">
        <f t="shared" si="0"/>
        <v>0</v>
      </c>
      <c r="F16" s="458">
        <f>SUM($E$8:E16)/A16</f>
        <v>0</v>
      </c>
      <c r="G16" s="459">
        <f t="shared" si="1"/>
        <v>4</v>
      </c>
      <c r="H16" s="467" t="e">
        <f t="shared" si="2"/>
        <v>#DIV/0!</v>
      </c>
      <c r="I16" s="689"/>
      <c r="J16" s="689"/>
      <c r="K16" s="346"/>
      <c r="L16" s="647"/>
    </row>
    <row r="17" spans="1:12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457"/>
      <c r="E17" s="573">
        <f t="shared" si="0"/>
        <v>0</v>
      </c>
      <c r="F17" s="458">
        <f>SUM($E$8:E17)/A17</f>
        <v>0</v>
      </c>
      <c r="G17" s="459">
        <f t="shared" si="1"/>
        <v>4</v>
      </c>
      <c r="H17" s="467" t="e">
        <f t="shared" si="2"/>
        <v>#DIV/0!</v>
      </c>
      <c r="I17" s="689"/>
      <c r="J17" s="689"/>
      <c r="K17" s="346"/>
      <c r="L17" s="647"/>
    </row>
    <row r="18" spans="1:12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457"/>
      <c r="E18" s="573">
        <f t="shared" si="0"/>
        <v>0</v>
      </c>
      <c r="F18" s="458">
        <f>SUM($E$8:E18)/A18</f>
        <v>0</v>
      </c>
      <c r="G18" s="504">
        <f t="shared" si="1"/>
        <v>4</v>
      </c>
      <c r="H18" s="467" t="e">
        <f t="shared" si="2"/>
        <v>#DIV/0!</v>
      </c>
      <c r="I18" s="689"/>
      <c r="J18" s="689"/>
      <c r="K18" s="346"/>
      <c r="L18" s="647"/>
    </row>
    <row r="19" spans="1:12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457"/>
      <c r="E19" s="573">
        <f t="shared" si="0"/>
        <v>0</v>
      </c>
      <c r="F19" s="458">
        <f>SUM($E$8:E19)/A19</f>
        <v>0</v>
      </c>
      <c r="G19" s="459">
        <f t="shared" si="1"/>
        <v>4</v>
      </c>
      <c r="H19" s="467" t="e">
        <f t="shared" si="2"/>
        <v>#DIV/0!</v>
      </c>
      <c r="I19" s="689"/>
      <c r="J19" s="689"/>
      <c r="K19" s="346"/>
      <c r="L19" s="647"/>
    </row>
    <row r="20" spans="1:12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457"/>
      <c r="E20" s="573">
        <f t="shared" si="0"/>
        <v>0</v>
      </c>
      <c r="F20" s="458">
        <f>SUM($E$8:E20)/A20</f>
        <v>0</v>
      </c>
      <c r="G20" s="459">
        <f t="shared" si="1"/>
        <v>4</v>
      </c>
      <c r="H20" s="467" t="e">
        <f t="shared" si="2"/>
        <v>#DIV/0!</v>
      </c>
      <c r="I20" s="689"/>
      <c r="J20" s="689"/>
      <c r="K20" s="346"/>
      <c r="L20" s="647"/>
    </row>
    <row r="21" spans="1:12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457"/>
      <c r="E21" s="573">
        <f t="shared" si="0"/>
        <v>0</v>
      </c>
      <c r="F21" s="458">
        <f>SUM($E$8:E21)/A21</f>
        <v>0</v>
      </c>
      <c r="G21" s="459">
        <f t="shared" si="1"/>
        <v>4</v>
      </c>
      <c r="H21" s="467" t="e">
        <f t="shared" si="2"/>
        <v>#DIV/0!</v>
      </c>
      <c r="I21" s="689"/>
      <c r="J21" s="689"/>
      <c r="K21" s="346"/>
      <c r="L21" s="647"/>
    </row>
    <row r="22" spans="1:12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457"/>
      <c r="E22" s="573">
        <f t="shared" si="0"/>
        <v>0</v>
      </c>
      <c r="F22" s="458">
        <f>SUM($E$8:E22)/A22</f>
        <v>0</v>
      </c>
      <c r="G22" s="459">
        <f t="shared" si="1"/>
        <v>4</v>
      </c>
      <c r="H22" s="467" t="e">
        <f t="shared" si="2"/>
        <v>#DIV/0!</v>
      </c>
      <c r="I22" s="689"/>
      <c r="J22" s="689"/>
      <c r="K22" s="346"/>
      <c r="L22" s="647"/>
    </row>
    <row r="23" spans="1:12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457"/>
      <c r="E23" s="573">
        <f t="shared" si="0"/>
        <v>0</v>
      </c>
      <c r="F23" s="458">
        <f>SUM($E$8:E23)/A23</f>
        <v>0</v>
      </c>
      <c r="G23" s="504">
        <f t="shared" si="1"/>
        <v>4</v>
      </c>
      <c r="H23" s="467" t="e">
        <f t="shared" si="2"/>
        <v>#DIV/0!</v>
      </c>
      <c r="I23" s="689"/>
      <c r="J23" s="689"/>
      <c r="K23" s="346"/>
      <c r="L23" s="647"/>
    </row>
    <row r="24" spans="1:12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457"/>
      <c r="E24" s="573">
        <f t="shared" si="0"/>
        <v>0</v>
      </c>
      <c r="F24" s="458">
        <f>SUM($E$8:E24)/A24</f>
        <v>0</v>
      </c>
      <c r="G24" s="459">
        <f t="shared" si="1"/>
        <v>4</v>
      </c>
      <c r="H24" s="467" t="e">
        <f t="shared" si="2"/>
        <v>#DIV/0!</v>
      </c>
      <c r="I24" s="689"/>
      <c r="J24" s="689"/>
      <c r="K24" s="346"/>
      <c r="L24" s="647"/>
    </row>
    <row r="25" spans="1:12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457"/>
      <c r="E25" s="573">
        <f t="shared" si="0"/>
        <v>0</v>
      </c>
      <c r="F25" s="458">
        <f>SUM($E$8:E25)/A25</f>
        <v>0</v>
      </c>
      <c r="G25" s="459">
        <f t="shared" si="1"/>
        <v>4</v>
      </c>
      <c r="H25" s="467" t="e">
        <f t="shared" si="2"/>
        <v>#DIV/0!</v>
      </c>
      <c r="I25" s="689"/>
      <c r="J25" s="689"/>
      <c r="K25" s="346"/>
      <c r="L25" s="647"/>
    </row>
    <row r="26" spans="1:12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457"/>
      <c r="E26" s="573">
        <f t="shared" si="0"/>
        <v>0</v>
      </c>
      <c r="F26" s="458">
        <f>SUM($E$8:E26)/A26</f>
        <v>0</v>
      </c>
      <c r="G26" s="459">
        <f t="shared" si="1"/>
        <v>4</v>
      </c>
      <c r="H26" s="467" t="e">
        <f t="shared" si="2"/>
        <v>#DIV/0!</v>
      </c>
      <c r="I26" s="689"/>
      <c r="J26" s="689"/>
      <c r="K26" s="346"/>
      <c r="L26" s="647"/>
    </row>
    <row r="27" spans="1:12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457"/>
      <c r="E27" s="573">
        <f t="shared" si="0"/>
        <v>0</v>
      </c>
      <c r="F27" s="458">
        <f>SUM($E$8:E27)/A27</f>
        <v>0</v>
      </c>
      <c r="G27" s="459">
        <f t="shared" si="1"/>
        <v>4</v>
      </c>
      <c r="H27" s="467" t="e">
        <f t="shared" si="2"/>
        <v>#DIV/0!</v>
      </c>
      <c r="I27" s="689"/>
      <c r="J27" s="689"/>
      <c r="K27" s="346"/>
      <c r="L27" s="647"/>
    </row>
    <row r="28" spans="1:12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457"/>
      <c r="E28" s="573">
        <f t="shared" si="0"/>
        <v>0</v>
      </c>
      <c r="F28" s="458">
        <f>SUM($E$8:E28)/A28</f>
        <v>0</v>
      </c>
      <c r="G28" s="504">
        <f t="shared" si="1"/>
        <v>4</v>
      </c>
      <c r="H28" s="467" t="e">
        <f t="shared" si="2"/>
        <v>#DIV/0!</v>
      </c>
      <c r="I28" s="689"/>
      <c r="J28" s="689"/>
      <c r="K28" s="346"/>
      <c r="L28" s="647"/>
    </row>
    <row r="29" spans="1:12" s="367" customFormat="1" ht="12" customHeight="1">
      <c r="A29" s="330">
        <v>21</v>
      </c>
      <c r="B29" s="365">
        <f>'FRIT HGE91-FHG'!B29</f>
        <v>46255</v>
      </c>
      <c r="C29" s="331" t="s">
        <v>285</v>
      </c>
      <c r="D29" s="457"/>
      <c r="E29" s="573">
        <f t="shared" si="0"/>
        <v>0</v>
      </c>
      <c r="F29" s="458">
        <f>SUM($E$8:E29)/A29</f>
        <v>0</v>
      </c>
      <c r="G29" s="459">
        <f t="shared" si="1"/>
        <v>4</v>
      </c>
      <c r="H29" s="467" t="e">
        <f t="shared" si="2"/>
        <v>#DIV/0!</v>
      </c>
      <c r="I29" s="689"/>
      <c r="J29" s="689"/>
      <c r="K29" s="346"/>
      <c r="L29" s="647"/>
    </row>
    <row r="30" spans="1:12" s="367" customFormat="1" ht="12" customHeight="1">
      <c r="A30" s="330">
        <v>22</v>
      </c>
      <c r="B30" s="365">
        <f>'FRIT HGE91-FHG'!B30</f>
        <v>46256</v>
      </c>
      <c r="C30" s="331" t="s">
        <v>285</v>
      </c>
      <c r="D30" s="457"/>
      <c r="E30" s="573">
        <f t="shared" si="0"/>
        <v>0</v>
      </c>
      <c r="F30" s="458">
        <f>SUM($E$8:E30)/A30</f>
        <v>0</v>
      </c>
      <c r="G30" s="459">
        <f t="shared" si="1"/>
        <v>4</v>
      </c>
      <c r="H30" s="467" t="e">
        <f t="shared" si="2"/>
        <v>#DIV/0!</v>
      </c>
      <c r="I30" s="689"/>
      <c r="J30" s="689"/>
      <c r="K30" s="346"/>
      <c r="L30" s="647"/>
    </row>
    <row r="31" spans="1:12" s="367" customFormat="1" ht="12" customHeight="1">
      <c r="A31" s="330">
        <v>23</v>
      </c>
      <c r="B31" s="365">
        <f>'FRIT HGE91-FHG'!B31</f>
        <v>46257</v>
      </c>
      <c r="C31" s="331" t="s">
        <v>285</v>
      </c>
      <c r="D31" s="457"/>
      <c r="E31" s="573">
        <f t="shared" si="0"/>
        <v>0</v>
      </c>
      <c r="F31" s="458">
        <f>SUM($E$8:E31)/A31</f>
        <v>0</v>
      </c>
      <c r="G31" s="459">
        <f t="shared" si="1"/>
        <v>4</v>
      </c>
      <c r="H31" s="467" t="e">
        <f t="shared" si="2"/>
        <v>#DIV/0!</v>
      </c>
      <c r="I31" s="689"/>
      <c r="J31" s="689"/>
      <c r="K31" s="346"/>
      <c r="L31" s="647"/>
    </row>
    <row r="32" spans="1:12" s="367" customFormat="1" ht="12" customHeight="1">
      <c r="A32" s="330">
        <v>24</v>
      </c>
      <c r="B32" s="365">
        <f>'FRIT HGE91-FHG'!B32</f>
        <v>46258</v>
      </c>
      <c r="C32" s="331" t="s">
        <v>285</v>
      </c>
      <c r="D32" s="457"/>
      <c r="E32" s="573">
        <f t="shared" si="0"/>
        <v>0</v>
      </c>
      <c r="F32" s="458">
        <f>SUM($E$8:E32)/A32</f>
        <v>0</v>
      </c>
      <c r="G32" s="459">
        <f t="shared" si="1"/>
        <v>4</v>
      </c>
      <c r="H32" s="467" t="e">
        <f t="shared" si="2"/>
        <v>#DIV/0!</v>
      </c>
      <c r="I32" s="689"/>
      <c r="J32" s="689"/>
      <c r="K32" s="346"/>
      <c r="L32" s="647"/>
    </row>
    <row r="33" spans="1:12" s="367" customFormat="1" ht="12" customHeight="1">
      <c r="A33" s="426">
        <v>25</v>
      </c>
      <c r="B33" s="365">
        <f>'FRIT HGE91-FHG'!B33</f>
        <v>46259</v>
      </c>
      <c r="C33" s="331" t="s">
        <v>285</v>
      </c>
      <c r="D33" s="457"/>
      <c r="E33" s="573">
        <f t="shared" si="0"/>
        <v>0</v>
      </c>
      <c r="F33" s="458">
        <f>SUM($E$8:E33)/A33</f>
        <v>0</v>
      </c>
      <c r="G33" s="460">
        <f t="shared" si="1"/>
        <v>4</v>
      </c>
      <c r="H33" s="467" t="e">
        <f t="shared" si="2"/>
        <v>#DIV/0!</v>
      </c>
      <c r="I33" s="689"/>
      <c r="J33" s="689"/>
      <c r="K33" s="346"/>
      <c r="L33" s="647"/>
    </row>
    <row r="34" spans="1:12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457"/>
      <c r="E34" s="573">
        <f t="shared" si="0"/>
        <v>0</v>
      </c>
      <c r="F34" s="458">
        <f>SUM($E$8:E34)/A34</f>
        <v>0</v>
      </c>
      <c r="G34" s="459">
        <f t="shared" si="1"/>
        <v>4</v>
      </c>
      <c r="H34" s="467" t="e">
        <f t="shared" si="2"/>
        <v>#DIV/0!</v>
      </c>
      <c r="I34" s="689"/>
      <c r="J34" s="689"/>
      <c r="K34" s="346"/>
      <c r="L34" s="647"/>
    </row>
    <row r="35" spans="1:12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457"/>
      <c r="E35" s="573">
        <f t="shared" si="0"/>
        <v>0</v>
      </c>
      <c r="F35" s="458">
        <f>SUM($E$8:E35)/A35</f>
        <v>0</v>
      </c>
      <c r="G35" s="459">
        <f t="shared" si="1"/>
        <v>4</v>
      </c>
      <c r="H35" s="467" t="e">
        <f t="shared" si="2"/>
        <v>#DIV/0!</v>
      </c>
      <c r="I35" s="689"/>
      <c r="J35" s="689"/>
      <c r="K35" s="346"/>
      <c r="L35" s="647"/>
    </row>
    <row r="36" spans="1:12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457"/>
      <c r="E36" s="573">
        <f t="shared" si="0"/>
        <v>0</v>
      </c>
      <c r="F36" s="458">
        <f>SUM($E$8:E36)/A36</f>
        <v>0</v>
      </c>
      <c r="G36" s="459">
        <f t="shared" si="1"/>
        <v>4</v>
      </c>
      <c r="H36" s="467" t="e">
        <f t="shared" si="2"/>
        <v>#DIV/0!</v>
      </c>
      <c r="I36" s="689"/>
      <c r="J36" s="689"/>
      <c r="K36" s="346"/>
      <c r="L36" s="647"/>
    </row>
    <row r="37" spans="1:12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457"/>
      <c r="E37" s="573">
        <f t="shared" si="0"/>
        <v>0</v>
      </c>
      <c r="F37" s="458">
        <f>SUM($E$8:E37)/A37</f>
        <v>0</v>
      </c>
      <c r="G37" s="459">
        <f t="shared" si="1"/>
        <v>4</v>
      </c>
      <c r="H37" s="467" t="e">
        <f t="shared" si="2"/>
        <v>#DIV/0!</v>
      </c>
      <c r="I37" s="689"/>
      <c r="J37" s="689"/>
      <c r="K37" s="346"/>
      <c r="L37" s="647"/>
    </row>
    <row r="38" spans="1:12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457"/>
      <c r="E38" s="573">
        <f t="shared" si="0"/>
        <v>0</v>
      </c>
      <c r="F38" s="458">
        <f>SUM($E$8:E38)/A38</f>
        <v>0</v>
      </c>
      <c r="G38" s="504">
        <f t="shared" si="1"/>
        <v>4</v>
      </c>
      <c r="H38" s="467" t="e">
        <f t="shared" si="2"/>
        <v>#DIV/0!</v>
      </c>
      <c r="I38" s="689"/>
      <c r="J38" s="689"/>
      <c r="K38" s="346"/>
      <c r="L38" s="647"/>
    </row>
    <row r="39" spans="1:12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457"/>
      <c r="E39" s="573">
        <f t="shared" si="0"/>
        <v>0</v>
      </c>
      <c r="F39" s="458">
        <f>SUM($E$8:E39)/A39</f>
        <v>0</v>
      </c>
      <c r="G39" s="459">
        <f>G38+D39-E39</f>
        <v>4</v>
      </c>
      <c r="H39" s="467" t="e">
        <f t="shared" si="2"/>
        <v>#DIV/0!</v>
      </c>
      <c r="I39" s="689"/>
      <c r="J39" s="689"/>
      <c r="K39" s="346"/>
      <c r="L39" s="647"/>
    </row>
    <row r="40" spans="1:12" s="374" customFormat="1" ht="12" customHeight="1">
      <c r="A40" s="1613" t="s">
        <v>29</v>
      </c>
      <c r="B40" s="1614"/>
      <c r="C40" s="1615"/>
      <c r="D40" s="388">
        <f>SUM(D9:D39)</f>
        <v>0</v>
      </c>
      <c r="E40" s="389">
        <f>SUM(E9:E39)</f>
        <v>0</v>
      </c>
      <c r="F40" s="389"/>
      <c r="G40" s="461">
        <f>G39</f>
        <v>4</v>
      </c>
      <c r="H40" s="300"/>
      <c r="I40" s="689">
        <f>SUM(I9:I39)</f>
        <v>0</v>
      </c>
      <c r="J40" s="689">
        <f t="shared" ref="J40:K40" si="3">SUM(J9:J39)</f>
        <v>0</v>
      </c>
      <c r="K40" s="689">
        <f t="shared" si="3"/>
        <v>0</v>
      </c>
    </row>
    <row r="41" spans="1:12" s="374" customFormat="1" ht="12" customHeight="1">
      <c r="A41" s="1613" t="s">
        <v>15</v>
      </c>
      <c r="B41" s="1614"/>
      <c r="C41" s="1615"/>
      <c r="D41" s="388">
        <f>D8+D40</f>
        <v>4</v>
      </c>
      <c r="E41" s="389">
        <f>E40</f>
        <v>0</v>
      </c>
      <c r="F41" s="389"/>
      <c r="G41" s="389">
        <f>D41-E41</f>
        <v>4</v>
      </c>
      <c r="H41" s="300"/>
      <c r="I41" s="689"/>
      <c r="J41" s="689"/>
      <c r="K41" s="427"/>
    </row>
    <row r="42" spans="1:12" s="324" customFormat="1" ht="12.75">
      <c r="D42" s="343"/>
      <c r="E42" s="343"/>
      <c r="F42" s="343"/>
      <c r="H42" s="343" t="s">
        <v>227</v>
      </c>
      <c r="I42" s="343"/>
      <c r="K42" s="343"/>
    </row>
    <row r="43" spans="1:12" s="324" customFormat="1" ht="12.75">
      <c r="D43" s="343"/>
      <c r="E43" s="343"/>
      <c r="F43" s="343"/>
      <c r="H43" s="343"/>
      <c r="I43" s="343"/>
      <c r="K43" s="343"/>
    </row>
    <row r="44" spans="1:12" s="324" customFormat="1" ht="12.75">
      <c r="D44" s="343"/>
      <c r="E44" s="343"/>
      <c r="F44" s="343"/>
      <c r="H44" s="343"/>
      <c r="I44" s="343"/>
      <c r="K44" s="343"/>
    </row>
    <row r="45" spans="1:12" s="324" customFormat="1" ht="12.75">
      <c r="D45" s="343"/>
      <c r="E45" s="343"/>
      <c r="F45" s="343"/>
      <c r="H45" s="343"/>
      <c r="I45" s="343"/>
      <c r="K45" s="343"/>
    </row>
    <row r="46" spans="1:12" s="324" customFormat="1" ht="12.75">
      <c r="D46" s="343"/>
      <c r="E46" s="343"/>
      <c r="F46" s="343"/>
      <c r="H46" s="343" t="s">
        <v>333</v>
      </c>
      <c r="I46" s="343"/>
      <c r="K46" s="343"/>
    </row>
    <row r="47" spans="1:12" s="340" customFormat="1" ht="15.75">
      <c r="D47" s="341"/>
      <c r="E47" s="341"/>
      <c r="F47" s="341"/>
      <c r="G47" s="341"/>
      <c r="H47" s="341"/>
      <c r="I47" s="341"/>
      <c r="J47" s="341"/>
      <c r="K47" s="342"/>
      <c r="L47" s="143"/>
    </row>
  </sheetData>
  <mergeCells count="5">
    <mergeCell ref="A8:C8"/>
    <mergeCell ref="A40:C40"/>
    <mergeCell ref="A41:C41"/>
    <mergeCell ref="A3:I3"/>
    <mergeCell ref="A4:B4"/>
  </mergeCells>
  <conditionalFormatting sqref="H9:H39">
    <cfRule type="cellIs" dxfId="5603" priority="1" operator="between">
      <formula>3</formula>
      <formula>6</formula>
    </cfRule>
    <cfRule type="cellIs" dxfId="5602" priority="2" operator="lessThan">
      <formula>3</formula>
    </cfRule>
    <cfRule type="cellIs" dxfId="5601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7"/>
  <sheetViews>
    <sheetView workbookViewId="0">
      <pane ySplit="8" topLeftCell="A18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6.5703125" style="42" customWidth="1"/>
    <col min="4" max="5" width="12" style="6" customWidth="1"/>
    <col min="6" max="6" width="15.42578125" style="6" customWidth="1"/>
    <col min="7" max="7" width="12" style="6" customWidth="1"/>
    <col min="8" max="8" width="21" style="42" customWidth="1"/>
    <col min="9" max="9" width="13.42578125" style="42" customWidth="1"/>
    <col min="10" max="10" width="10.42578125" style="42" customWidth="1"/>
    <col min="11" max="11" width="9.28515625" style="42"/>
    <col min="12" max="12" width="11.5703125" style="143" bestFit="1" customWidth="1"/>
    <col min="13" max="14" width="7.5703125" style="42" customWidth="1"/>
    <col min="15" max="16384" width="9.28515625" style="42"/>
  </cols>
  <sheetData>
    <row r="1" spans="1:25" s="143" customFormat="1" ht="12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L2" s="323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442"/>
      <c r="K3" s="442"/>
      <c r="M3" s="442"/>
      <c r="N3" s="442"/>
    </row>
    <row r="4" spans="1:25" s="758" customFormat="1" ht="13.5" customHeight="1">
      <c r="A4" s="1600" t="s">
        <v>33</v>
      </c>
      <c r="B4" s="1600"/>
      <c r="C4" s="318" t="str">
        <f>H4</f>
        <v>TĂNG DÂY ĐAI-HHD</v>
      </c>
      <c r="D4" s="383"/>
      <c r="E4" s="383" t="s">
        <v>228</v>
      </c>
      <c r="F4" s="383" t="s">
        <v>234</v>
      </c>
      <c r="G4" s="383" t="s">
        <v>114</v>
      </c>
      <c r="H4" s="323" t="s">
        <v>438</v>
      </c>
      <c r="L4" s="143"/>
    </row>
    <row r="5" spans="1:25" s="324" customFormat="1" ht="13.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143"/>
    </row>
    <row r="6" spans="1:25" s="758" customFormat="1" ht="13.5" customHeight="1">
      <c r="D6" s="383"/>
      <c r="E6" s="321"/>
      <c r="F6" s="321"/>
      <c r="G6" s="383"/>
      <c r="H6" s="322" t="s">
        <v>293</v>
      </c>
      <c r="I6" s="578" t="s">
        <v>149</v>
      </c>
      <c r="L6" s="143"/>
      <c r="N6" s="758" t="s">
        <v>225</v>
      </c>
    </row>
    <row r="7" spans="1:25" s="305" customFormat="1" ht="28.5" customHeight="1">
      <c r="A7" s="760" t="s">
        <v>2</v>
      </c>
      <c r="B7" s="762" t="s">
        <v>1</v>
      </c>
      <c r="C7" s="762" t="s">
        <v>24</v>
      </c>
      <c r="D7" s="759" t="s">
        <v>250</v>
      </c>
      <c r="E7" s="759" t="s">
        <v>249</v>
      </c>
      <c r="F7" s="759" t="s">
        <v>265</v>
      </c>
      <c r="G7" s="759" t="s">
        <v>253</v>
      </c>
      <c r="H7" s="759" t="s">
        <v>30</v>
      </c>
      <c r="I7" s="697" t="s">
        <v>341</v>
      </c>
      <c r="J7" s="697" t="s">
        <v>244</v>
      </c>
      <c r="K7" s="698" t="s">
        <v>821</v>
      </c>
      <c r="L7" s="143"/>
    </row>
    <row r="8" spans="1:25" s="305" customFormat="1" ht="12" customHeight="1">
      <c r="A8" s="1597" t="s">
        <v>3</v>
      </c>
      <c r="B8" s="1598"/>
      <c r="C8" s="1599"/>
      <c r="D8" s="475">
        <f>G8</f>
        <v>4</v>
      </c>
      <c r="E8" s="300"/>
      <c r="F8" s="300"/>
      <c r="G8" s="422">
        <v>4</v>
      </c>
      <c r="H8" s="308"/>
      <c r="I8" s="689"/>
      <c r="J8" s="689"/>
      <c r="K8" s="346"/>
      <c r="L8" s="143"/>
    </row>
    <row r="9" spans="1:25" s="305" customFormat="1" ht="12" customHeight="1">
      <c r="A9" s="761">
        <v>1</v>
      </c>
      <c r="B9" s="365">
        <f>'FRIT HGE91-FHG'!B9</f>
        <v>46235</v>
      </c>
      <c r="C9" s="331" t="s">
        <v>285</v>
      </c>
      <c r="D9" s="575"/>
      <c r="E9" s="575">
        <f>I9+J9+K9</f>
        <v>0</v>
      </c>
      <c r="F9" s="576">
        <f>SUM($E$8:E9)/A9</f>
        <v>0</v>
      </c>
      <c r="G9" s="422">
        <f>G8+D9-E9</f>
        <v>4</v>
      </c>
      <c r="H9" s="312" t="e">
        <f>G9/F9</f>
        <v>#DIV/0!</v>
      </c>
      <c r="I9" s="689"/>
      <c r="J9" s="689"/>
      <c r="K9" s="346"/>
      <c r="L9" s="647"/>
    </row>
    <row r="10" spans="1:25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575"/>
      <c r="E10" s="575">
        <f t="shared" ref="E10:E39" si="0">I10+J10+K10</f>
        <v>0</v>
      </c>
      <c r="F10" s="429">
        <f>SUM($E$8:E10)/A10</f>
        <v>0</v>
      </c>
      <c r="G10" s="433">
        <f t="shared" ref="G10:G39" si="1">G9+D10-E10</f>
        <v>4</v>
      </c>
      <c r="H10" s="337" t="e">
        <f t="shared" ref="H10:H39" si="2">G10/F10</f>
        <v>#DIV/0!</v>
      </c>
      <c r="I10" s="689"/>
      <c r="J10" s="689"/>
      <c r="K10" s="346"/>
      <c r="L10" s="647"/>
    </row>
    <row r="11" spans="1:25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575"/>
      <c r="E11" s="575">
        <f t="shared" si="0"/>
        <v>0</v>
      </c>
      <c r="F11" s="429">
        <f>SUM($E$8:E11)/A11</f>
        <v>0</v>
      </c>
      <c r="G11" s="433">
        <f t="shared" si="1"/>
        <v>4</v>
      </c>
      <c r="H11" s="467" t="e">
        <f t="shared" si="2"/>
        <v>#DIV/0!</v>
      </c>
      <c r="I11" s="689"/>
      <c r="J11" s="689"/>
      <c r="K11" s="346"/>
      <c r="L11" s="647"/>
    </row>
    <row r="12" spans="1:25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575"/>
      <c r="E12" s="575">
        <f t="shared" si="0"/>
        <v>0</v>
      </c>
      <c r="F12" s="429">
        <f>SUM($E$8:E12)/A12</f>
        <v>0</v>
      </c>
      <c r="G12" s="433">
        <f t="shared" si="1"/>
        <v>4</v>
      </c>
      <c r="H12" s="467" t="e">
        <f t="shared" si="2"/>
        <v>#DIV/0!</v>
      </c>
      <c r="I12" s="689"/>
      <c r="J12" s="689"/>
      <c r="K12" s="346"/>
      <c r="L12" s="647"/>
    </row>
    <row r="13" spans="1:25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575"/>
      <c r="E13" s="575">
        <f t="shared" si="0"/>
        <v>0</v>
      </c>
      <c r="F13" s="429">
        <f>SUM($E$8:E13)/A13</f>
        <v>0</v>
      </c>
      <c r="G13" s="435">
        <f t="shared" si="1"/>
        <v>4</v>
      </c>
      <c r="H13" s="467" t="e">
        <f t="shared" si="2"/>
        <v>#DIV/0!</v>
      </c>
      <c r="I13" s="689"/>
      <c r="J13" s="689"/>
      <c r="K13" s="346"/>
      <c r="L13" s="647"/>
    </row>
    <row r="14" spans="1:25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575"/>
      <c r="E14" s="575">
        <f t="shared" si="0"/>
        <v>0</v>
      </c>
      <c r="F14" s="429">
        <f>SUM($E$8:E14)/A14</f>
        <v>0</v>
      </c>
      <c r="G14" s="433">
        <f t="shared" si="1"/>
        <v>4</v>
      </c>
      <c r="H14" s="467" t="e">
        <f t="shared" si="2"/>
        <v>#DIV/0!</v>
      </c>
      <c r="I14" s="689"/>
      <c r="J14" s="689"/>
      <c r="K14" s="346"/>
      <c r="L14" s="647"/>
    </row>
    <row r="15" spans="1:25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575"/>
      <c r="E15" s="575">
        <f t="shared" si="0"/>
        <v>0</v>
      </c>
      <c r="F15" s="429">
        <f>SUM($E$8:E15)/A15</f>
        <v>0</v>
      </c>
      <c r="G15" s="433">
        <f t="shared" si="1"/>
        <v>4</v>
      </c>
      <c r="H15" s="467" t="e">
        <f t="shared" si="2"/>
        <v>#DIV/0!</v>
      </c>
      <c r="I15" s="689"/>
      <c r="J15" s="689"/>
      <c r="K15" s="346"/>
      <c r="L15" s="647"/>
    </row>
    <row r="16" spans="1:25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575"/>
      <c r="E16" s="575">
        <f t="shared" si="0"/>
        <v>0</v>
      </c>
      <c r="F16" s="429">
        <f>SUM($E$8:E16)/A16</f>
        <v>0</v>
      </c>
      <c r="G16" s="433">
        <f t="shared" si="1"/>
        <v>4</v>
      </c>
      <c r="H16" s="467" t="e">
        <f t="shared" si="2"/>
        <v>#DIV/0!</v>
      </c>
      <c r="I16" s="689"/>
      <c r="J16" s="689"/>
      <c r="K16" s="346"/>
      <c r="L16" s="647"/>
    </row>
    <row r="17" spans="1:12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575"/>
      <c r="E17" s="575">
        <f t="shared" si="0"/>
        <v>0</v>
      </c>
      <c r="F17" s="429">
        <f>SUM($E$8:E17)/A17</f>
        <v>0</v>
      </c>
      <c r="G17" s="433">
        <f t="shared" si="1"/>
        <v>4</v>
      </c>
      <c r="H17" s="467" t="e">
        <f t="shared" si="2"/>
        <v>#DIV/0!</v>
      </c>
      <c r="I17" s="689"/>
      <c r="J17" s="689"/>
      <c r="K17" s="346"/>
      <c r="L17" s="647"/>
    </row>
    <row r="18" spans="1:12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575"/>
      <c r="E18" s="575">
        <f t="shared" si="0"/>
        <v>0</v>
      </c>
      <c r="F18" s="429">
        <f>SUM($E$8:E18)/A18</f>
        <v>0</v>
      </c>
      <c r="G18" s="435">
        <f t="shared" si="1"/>
        <v>4</v>
      </c>
      <c r="H18" s="467" t="e">
        <f t="shared" si="2"/>
        <v>#DIV/0!</v>
      </c>
      <c r="I18" s="689"/>
      <c r="J18" s="689"/>
      <c r="K18" s="346"/>
      <c r="L18" s="647"/>
    </row>
    <row r="19" spans="1:12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575"/>
      <c r="E19" s="575">
        <f t="shared" si="0"/>
        <v>0</v>
      </c>
      <c r="F19" s="429">
        <f>SUM($E$8:E19)/A19</f>
        <v>0</v>
      </c>
      <c r="G19" s="433">
        <f t="shared" si="1"/>
        <v>4</v>
      </c>
      <c r="H19" s="467" t="e">
        <f t="shared" si="2"/>
        <v>#DIV/0!</v>
      </c>
      <c r="I19" s="689"/>
      <c r="J19" s="689"/>
      <c r="K19" s="346"/>
      <c r="L19" s="647"/>
    </row>
    <row r="20" spans="1:12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575"/>
      <c r="E20" s="575">
        <f t="shared" si="0"/>
        <v>0</v>
      </c>
      <c r="F20" s="429">
        <f>SUM($E$8:E20)/A20</f>
        <v>0</v>
      </c>
      <c r="G20" s="433">
        <f t="shared" si="1"/>
        <v>4</v>
      </c>
      <c r="H20" s="467" t="e">
        <f t="shared" si="2"/>
        <v>#DIV/0!</v>
      </c>
      <c r="I20" s="689"/>
      <c r="J20" s="689"/>
      <c r="K20" s="346"/>
      <c r="L20" s="647"/>
    </row>
    <row r="21" spans="1:12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575"/>
      <c r="E21" s="575">
        <f t="shared" si="0"/>
        <v>0</v>
      </c>
      <c r="F21" s="429">
        <f>SUM($E$8:E21)/A21</f>
        <v>0</v>
      </c>
      <c r="G21" s="433">
        <f t="shared" si="1"/>
        <v>4</v>
      </c>
      <c r="H21" s="467" t="e">
        <f t="shared" si="2"/>
        <v>#DIV/0!</v>
      </c>
      <c r="I21" s="689"/>
      <c r="J21" s="689"/>
      <c r="K21" s="346"/>
      <c r="L21" s="647"/>
    </row>
    <row r="22" spans="1:12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575"/>
      <c r="E22" s="575">
        <f t="shared" si="0"/>
        <v>0</v>
      </c>
      <c r="F22" s="429">
        <f>SUM($E$8:E22)/A22</f>
        <v>0</v>
      </c>
      <c r="G22" s="433">
        <f t="shared" si="1"/>
        <v>4</v>
      </c>
      <c r="H22" s="467" t="e">
        <f t="shared" si="2"/>
        <v>#DIV/0!</v>
      </c>
      <c r="I22" s="689"/>
      <c r="J22" s="689"/>
      <c r="K22" s="346"/>
      <c r="L22" s="647"/>
    </row>
    <row r="23" spans="1:12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575"/>
      <c r="E23" s="575">
        <f t="shared" si="0"/>
        <v>0</v>
      </c>
      <c r="F23" s="429">
        <f>SUM($E$8:E23)/A23</f>
        <v>0</v>
      </c>
      <c r="G23" s="435">
        <f t="shared" si="1"/>
        <v>4</v>
      </c>
      <c r="H23" s="467" t="e">
        <f t="shared" si="2"/>
        <v>#DIV/0!</v>
      </c>
      <c r="I23" s="689"/>
      <c r="J23" s="689"/>
      <c r="K23" s="346"/>
      <c r="L23" s="647"/>
    </row>
    <row r="24" spans="1:12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575"/>
      <c r="E24" s="575">
        <f t="shared" si="0"/>
        <v>0</v>
      </c>
      <c r="F24" s="429">
        <f>SUM($E$8:E24)/A24</f>
        <v>0</v>
      </c>
      <c r="G24" s="433">
        <f t="shared" si="1"/>
        <v>4</v>
      </c>
      <c r="H24" s="467" t="e">
        <f t="shared" si="2"/>
        <v>#DIV/0!</v>
      </c>
      <c r="I24" s="689"/>
      <c r="J24" s="689"/>
      <c r="K24" s="346"/>
      <c r="L24" s="647"/>
    </row>
    <row r="25" spans="1:12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575"/>
      <c r="E25" s="575">
        <f t="shared" si="0"/>
        <v>0</v>
      </c>
      <c r="F25" s="429">
        <f>SUM($E$8:E25)/A25</f>
        <v>0</v>
      </c>
      <c r="G25" s="433">
        <f t="shared" si="1"/>
        <v>4</v>
      </c>
      <c r="H25" s="467" t="e">
        <f t="shared" si="2"/>
        <v>#DIV/0!</v>
      </c>
      <c r="I25" s="689"/>
      <c r="J25" s="689"/>
      <c r="K25" s="346"/>
      <c r="L25" s="647"/>
    </row>
    <row r="26" spans="1:12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575"/>
      <c r="E26" s="575">
        <f t="shared" si="0"/>
        <v>0</v>
      </c>
      <c r="F26" s="429">
        <f>SUM($E$8:E26)/A26</f>
        <v>0</v>
      </c>
      <c r="G26" s="433">
        <f t="shared" si="1"/>
        <v>4</v>
      </c>
      <c r="H26" s="467" t="e">
        <f t="shared" si="2"/>
        <v>#DIV/0!</v>
      </c>
      <c r="I26" s="689"/>
      <c r="J26" s="689"/>
      <c r="K26" s="346"/>
      <c r="L26" s="647"/>
    </row>
    <row r="27" spans="1:12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575"/>
      <c r="E27" s="575">
        <f t="shared" si="0"/>
        <v>0</v>
      </c>
      <c r="F27" s="429">
        <f>SUM($E$8:E27)/A27</f>
        <v>0</v>
      </c>
      <c r="G27" s="433">
        <f t="shared" si="1"/>
        <v>4</v>
      </c>
      <c r="H27" s="467" t="e">
        <f t="shared" si="2"/>
        <v>#DIV/0!</v>
      </c>
      <c r="I27" s="689"/>
      <c r="J27" s="689"/>
      <c r="K27" s="346"/>
      <c r="L27" s="647"/>
    </row>
    <row r="28" spans="1:12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575"/>
      <c r="E28" s="575">
        <f t="shared" si="0"/>
        <v>0</v>
      </c>
      <c r="F28" s="429">
        <f>SUM($E$8:E28)/A28</f>
        <v>0</v>
      </c>
      <c r="G28" s="435">
        <f t="shared" si="1"/>
        <v>4</v>
      </c>
      <c r="H28" s="467" t="e">
        <f t="shared" si="2"/>
        <v>#DIV/0!</v>
      </c>
      <c r="I28" s="689"/>
      <c r="J28" s="689"/>
      <c r="K28" s="346"/>
      <c r="L28" s="647"/>
    </row>
    <row r="29" spans="1:12" s="367" customFormat="1" ht="12" customHeight="1">
      <c r="A29" s="330">
        <v>21</v>
      </c>
      <c r="B29" s="365">
        <f>'FRIT HGE91-FHG'!B29</f>
        <v>46255</v>
      </c>
      <c r="C29" s="331" t="s">
        <v>285</v>
      </c>
      <c r="D29" s="575"/>
      <c r="E29" s="575">
        <f t="shared" si="0"/>
        <v>0</v>
      </c>
      <c r="F29" s="429">
        <f>SUM($E$8:E29)/A29</f>
        <v>0</v>
      </c>
      <c r="G29" s="433">
        <f t="shared" si="1"/>
        <v>4</v>
      </c>
      <c r="H29" s="467" t="e">
        <f t="shared" si="2"/>
        <v>#DIV/0!</v>
      </c>
      <c r="I29" s="689"/>
      <c r="J29" s="689"/>
      <c r="K29" s="346"/>
      <c r="L29" s="647"/>
    </row>
    <row r="30" spans="1:12" s="367" customFormat="1" ht="12" customHeight="1">
      <c r="A30" s="330">
        <v>22</v>
      </c>
      <c r="B30" s="365">
        <f>'FRIT HGE91-FHG'!B30</f>
        <v>46256</v>
      </c>
      <c r="C30" s="331" t="s">
        <v>285</v>
      </c>
      <c r="D30" s="575"/>
      <c r="E30" s="575">
        <f t="shared" si="0"/>
        <v>0</v>
      </c>
      <c r="F30" s="429">
        <f>SUM($E$8:E30)/A30</f>
        <v>0</v>
      </c>
      <c r="G30" s="433">
        <f t="shared" si="1"/>
        <v>4</v>
      </c>
      <c r="H30" s="467" t="e">
        <f t="shared" si="2"/>
        <v>#DIV/0!</v>
      </c>
      <c r="I30" s="689"/>
      <c r="J30" s="689"/>
      <c r="K30" s="346"/>
      <c r="L30" s="647"/>
    </row>
    <row r="31" spans="1:12" s="367" customFormat="1" ht="12" customHeight="1">
      <c r="A31" s="330">
        <v>23</v>
      </c>
      <c r="B31" s="365">
        <f>'FRIT HGE91-FHG'!B31</f>
        <v>46257</v>
      </c>
      <c r="C31" s="331" t="s">
        <v>285</v>
      </c>
      <c r="D31" s="575"/>
      <c r="E31" s="575">
        <f t="shared" si="0"/>
        <v>0</v>
      </c>
      <c r="F31" s="429">
        <f>SUM($E$8:E31)/A31</f>
        <v>0</v>
      </c>
      <c r="G31" s="433">
        <f t="shared" si="1"/>
        <v>4</v>
      </c>
      <c r="H31" s="467" t="e">
        <f t="shared" si="2"/>
        <v>#DIV/0!</v>
      </c>
      <c r="I31" s="689"/>
      <c r="J31" s="689"/>
      <c r="K31" s="346"/>
      <c r="L31" s="647"/>
    </row>
    <row r="32" spans="1:12" s="367" customFormat="1" ht="12" customHeight="1">
      <c r="A32" s="330">
        <v>24</v>
      </c>
      <c r="B32" s="365">
        <f>'FRIT HGE91-FHG'!B32</f>
        <v>46258</v>
      </c>
      <c r="C32" s="331" t="s">
        <v>285</v>
      </c>
      <c r="D32" s="575"/>
      <c r="E32" s="575">
        <f t="shared" si="0"/>
        <v>0</v>
      </c>
      <c r="F32" s="429">
        <f>SUM($E$8:E32)/A32</f>
        <v>0</v>
      </c>
      <c r="G32" s="433">
        <f t="shared" si="1"/>
        <v>4</v>
      </c>
      <c r="H32" s="467" t="e">
        <f t="shared" si="2"/>
        <v>#DIV/0!</v>
      </c>
      <c r="I32" s="689"/>
      <c r="J32" s="689"/>
      <c r="K32" s="346"/>
      <c r="L32" s="647"/>
    </row>
    <row r="33" spans="1:12" s="367" customFormat="1" ht="12" customHeight="1">
      <c r="A33" s="426">
        <v>25</v>
      </c>
      <c r="B33" s="365">
        <f>'FRIT HGE91-FHG'!B33</f>
        <v>46259</v>
      </c>
      <c r="C33" s="331" t="s">
        <v>285</v>
      </c>
      <c r="D33" s="575"/>
      <c r="E33" s="575">
        <f t="shared" si="0"/>
        <v>0</v>
      </c>
      <c r="F33" s="429">
        <f>SUM($E$8:E33)/A33</f>
        <v>0</v>
      </c>
      <c r="G33" s="436">
        <f t="shared" si="1"/>
        <v>4</v>
      </c>
      <c r="H33" s="467" t="e">
        <f t="shared" si="2"/>
        <v>#DIV/0!</v>
      </c>
      <c r="I33" s="689"/>
      <c r="J33" s="689"/>
      <c r="K33" s="346"/>
      <c r="L33" s="647"/>
    </row>
    <row r="34" spans="1:12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575"/>
      <c r="E34" s="575">
        <f t="shared" si="0"/>
        <v>0</v>
      </c>
      <c r="F34" s="429">
        <f>SUM($E$8:E34)/A34</f>
        <v>0</v>
      </c>
      <c r="G34" s="433">
        <f t="shared" si="1"/>
        <v>4</v>
      </c>
      <c r="H34" s="467" t="e">
        <f t="shared" si="2"/>
        <v>#DIV/0!</v>
      </c>
      <c r="I34" s="689"/>
      <c r="J34" s="689"/>
      <c r="K34" s="346"/>
      <c r="L34" s="647"/>
    </row>
    <row r="35" spans="1:12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575"/>
      <c r="E35" s="575">
        <f t="shared" si="0"/>
        <v>0</v>
      </c>
      <c r="F35" s="429">
        <f>SUM($E$8:E35)/A35</f>
        <v>0</v>
      </c>
      <c r="G35" s="433">
        <f t="shared" si="1"/>
        <v>4</v>
      </c>
      <c r="H35" s="467" t="e">
        <f t="shared" si="2"/>
        <v>#DIV/0!</v>
      </c>
      <c r="I35" s="689"/>
      <c r="J35" s="689"/>
      <c r="K35" s="346"/>
      <c r="L35" s="647"/>
    </row>
    <row r="36" spans="1:12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575"/>
      <c r="E36" s="575">
        <f t="shared" si="0"/>
        <v>0</v>
      </c>
      <c r="F36" s="429">
        <f>SUM($E$8:E36)/A36</f>
        <v>0</v>
      </c>
      <c r="G36" s="433">
        <f t="shared" si="1"/>
        <v>4</v>
      </c>
      <c r="H36" s="467" t="e">
        <f t="shared" si="2"/>
        <v>#DIV/0!</v>
      </c>
      <c r="I36" s="689"/>
      <c r="J36" s="689"/>
      <c r="K36" s="346"/>
      <c r="L36" s="647"/>
    </row>
    <row r="37" spans="1:12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575"/>
      <c r="E37" s="575">
        <f t="shared" si="0"/>
        <v>0</v>
      </c>
      <c r="F37" s="429">
        <f>SUM($E$8:E37)/A37</f>
        <v>0</v>
      </c>
      <c r="G37" s="433">
        <f t="shared" si="1"/>
        <v>4</v>
      </c>
      <c r="H37" s="467" t="e">
        <f t="shared" si="2"/>
        <v>#DIV/0!</v>
      </c>
      <c r="I37" s="689"/>
      <c r="J37" s="689"/>
      <c r="K37" s="346"/>
      <c r="L37" s="647"/>
    </row>
    <row r="38" spans="1:12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575"/>
      <c r="E38" s="575">
        <f t="shared" si="0"/>
        <v>0</v>
      </c>
      <c r="F38" s="429">
        <f>SUM($E$8:E38)/A38</f>
        <v>0</v>
      </c>
      <c r="G38" s="435">
        <f t="shared" si="1"/>
        <v>4</v>
      </c>
      <c r="H38" s="467" t="e">
        <f t="shared" si="2"/>
        <v>#DIV/0!</v>
      </c>
      <c r="I38" s="689"/>
      <c r="J38" s="689"/>
      <c r="K38" s="346"/>
      <c r="L38" s="647"/>
    </row>
    <row r="39" spans="1:12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575"/>
      <c r="E39" s="575">
        <f t="shared" si="0"/>
        <v>0</v>
      </c>
      <c r="F39" s="429">
        <f>SUM($E$8:E39)/A39</f>
        <v>0</v>
      </c>
      <c r="G39" s="433">
        <f t="shared" si="1"/>
        <v>4</v>
      </c>
      <c r="H39" s="467" t="e">
        <f t="shared" si="2"/>
        <v>#DIV/0!</v>
      </c>
      <c r="I39" s="689"/>
      <c r="J39" s="689"/>
      <c r="K39" s="346"/>
      <c r="L39" s="647"/>
    </row>
    <row r="40" spans="1:12" s="374" customFormat="1" ht="12" customHeight="1">
      <c r="A40" s="1613" t="s">
        <v>29</v>
      </c>
      <c r="B40" s="1614"/>
      <c r="C40" s="1615"/>
      <c r="D40" s="301">
        <f>SUM(D9:D39)</f>
        <v>0</v>
      </c>
      <c r="E40" s="422">
        <f>SUM(E9:E39)</f>
        <v>0</v>
      </c>
      <c r="F40" s="422"/>
      <c r="G40" s="439">
        <f>G39</f>
        <v>4</v>
      </c>
      <c r="H40" s="300"/>
      <c r="I40" s="689">
        <f>SUM(I9:I39)</f>
        <v>0</v>
      </c>
      <c r="J40" s="689">
        <f t="shared" ref="J40:K40" si="3">SUM(J9:J39)</f>
        <v>0</v>
      </c>
      <c r="K40" s="689">
        <f t="shared" si="3"/>
        <v>0</v>
      </c>
    </row>
    <row r="41" spans="1:12" s="374" customFormat="1" ht="12" customHeight="1">
      <c r="A41" s="1613" t="s">
        <v>15</v>
      </c>
      <c r="B41" s="1614"/>
      <c r="C41" s="1615"/>
      <c r="D41" s="301">
        <f>G8+D40</f>
        <v>4</v>
      </c>
      <c r="E41" s="422">
        <f>E40</f>
        <v>0</v>
      </c>
      <c r="F41" s="422"/>
      <c r="G41" s="422">
        <f>D41-E41</f>
        <v>4</v>
      </c>
      <c r="H41" s="300"/>
      <c r="I41" s="689"/>
      <c r="J41" s="689"/>
      <c r="K41" s="427"/>
    </row>
    <row r="42" spans="1:12" s="324" customFormat="1" ht="12.75">
      <c r="D42" s="343"/>
      <c r="E42" s="343"/>
      <c r="F42" s="343"/>
      <c r="H42" s="343" t="s">
        <v>227</v>
      </c>
      <c r="I42" s="343"/>
      <c r="K42" s="343"/>
    </row>
    <row r="43" spans="1:12" s="324" customFormat="1" ht="12.75">
      <c r="D43" s="343"/>
      <c r="E43" s="343"/>
      <c r="F43" s="343"/>
      <c r="H43" s="343"/>
      <c r="I43" s="343"/>
      <c r="K43" s="343"/>
    </row>
    <row r="44" spans="1:12" s="324" customFormat="1" ht="12.75">
      <c r="D44" s="343"/>
      <c r="E44" s="343"/>
      <c r="F44" s="343"/>
      <c r="H44" s="343"/>
      <c r="I44" s="343"/>
      <c r="K44" s="343"/>
    </row>
    <row r="45" spans="1:12" s="324" customFormat="1" ht="12.75">
      <c r="D45" s="343"/>
      <c r="E45" s="343"/>
      <c r="F45" s="343"/>
      <c r="H45" s="343"/>
      <c r="I45" s="343"/>
      <c r="K45" s="343"/>
    </row>
    <row r="46" spans="1:12" s="324" customFormat="1" ht="12.75">
      <c r="D46" s="343"/>
      <c r="E46" s="343"/>
      <c r="F46" s="343"/>
      <c r="H46" s="343" t="s">
        <v>333</v>
      </c>
      <c r="I46" s="343"/>
      <c r="K46" s="343"/>
    </row>
    <row r="47" spans="1:12" s="340" customFormat="1" ht="15.75">
      <c r="D47" s="341"/>
      <c r="E47" s="341"/>
      <c r="F47" s="341"/>
      <c r="G47" s="341"/>
      <c r="H47" s="341"/>
      <c r="I47" s="341"/>
      <c r="J47" s="341"/>
      <c r="K47" s="342"/>
      <c r="L47" s="143"/>
    </row>
  </sheetData>
  <mergeCells count="5">
    <mergeCell ref="A3:I3"/>
    <mergeCell ref="A4:B4"/>
    <mergeCell ref="A8:C8"/>
    <mergeCell ref="A40:C40"/>
    <mergeCell ref="A41:C41"/>
  </mergeCells>
  <conditionalFormatting sqref="H9:H39">
    <cfRule type="cellIs" dxfId="5600" priority="1" operator="between">
      <formula>3</formula>
      <formula>6</formula>
    </cfRule>
    <cfRule type="cellIs" dxfId="5599" priority="2" operator="lessThan">
      <formula>3</formula>
    </cfRule>
    <cfRule type="cellIs" dxfId="5598" priority="3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51"/>
  <sheetViews>
    <sheetView workbookViewId="0">
      <pane ySplit="8" topLeftCell="A9" activePane="bottomLeft" state="frozen"/>
      <selection pane="bottomLeft" activeCell="I6" sqref="I6"/>
    </sheetView>
  </sheetViews>
  <sheetFormatPr defaultColWidth="9.28515625" defaultRowHeight="16.5"/>
  <cols>
    <col min="1" max="1" width="5.42578125" style="42" customWidth="1"/>
    <col min="2" max="2" width="9.85546875" style="42" customWidth="1"/>
    <col min="3" max="3" width="16.5703125" style="42" customWidth="1"/>
    <col min="4" max="5" width="12.5703125" style="6" customWidth="1"/>
    <col min="6" max="6" width="15" style="6" customWidth="1"/>
    <col min="7" max="7" width="13.28515625" style="6" customWidth="1"/>
    <col min="8" max="8" width="18.7109375" style="42" customWidth="1"/>
    <col min="9" max="11" width="10.7109375" style="42" customWidth="1"/>
    <col min="12" max="12" width="11.5703125" style="143" bestFit="1" customWidth="1"/>
    <col min="13" max="14" width="7.5703125" style="42" customWidth="1"/>
    <col min="15" max="16384" width="9.28515625" style="42"/>
  </cols>
  <sheetData>
    <row r="1" spans="1:25" s="143" customFormat="1" ht="12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3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s="143" customFormat="1" ht="12.75" customHeight="1">
      <c r="A2" s="323" t="s">
        <v>173</v>
      </c>
      <c r="B2" s="324"/>
      <c r="C2" s="324"/>
      <c r="D2" s="324"/>
      <c r="E2" s="324"/>
      <c r="F2" s="324"/>
      <c r="G2" s="324"/>
      <c r="H2" s="183" t="s">
        <v>113</v>
      </c>
      <c r="I2" s="324"/>
      <c r="J2" s="324"/>
      <c r="L2" s="323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s="143" customFormat="1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442"/>
      <c r="K3" s="442"/>
      <c r="M3" s="442"/>
      <c r="N3" s="442"/>
    </row>
    <row r="4" spans="1:25" s="758" customFormat="1" ht="13.5" customHeight="1">
      <c r="A4" s="1600" t="s">
        <v>33</v>
      </c>
      <c r="B4" s="1600"/>
      <c r="C4" s="318" t="str">
        <f>H4</f>
        <v>DAO CẮT-HHD</v>
      </c>
      <c r="D4" s="383"/>
      <c r="E4" s="383" t="s">
        <v>228</v>
      </c>
      <c r="F4" s="383" t="s">
        <v>234</v>
      </c>
      <c r="G4" s="383" t="s">
        <v>114</v>
      </c>
      <c r="H4" s="323" t="s">
        <v>441</v>
      </c>
      <c r="L4" s="143"/>
    </row>
    <row r="5" spans="1:25" s="324" customFormat="1" ht="13.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L5" s="143"/>
    </row>
    <row r="6" spans="1:25" s="758" customFormat="1" ht="13.5" customHeight="1">
      <c r="D6" s="383"/>
      <c r="E6" s="321"/>
      <c r="F6" s="321"/>
      <c r="G6" s="383">
        <v>8</v>
      </c>
      <c r="H6" s="322" t="s">
        <v>293</v>
      </c>
      <c r="I6" s="578" t="s">
        <v>149</v>
      </c>
      <c r="L6" s="143"/>
      <c r="N6" s="758" t="s">
        <v>225</v>
      </c>
    </row>
    <row r="7" spans="1:25" s="305" customFormat="1" ht="28.5" customHeight="1">
      <c r="A7" s="760" t="s">
        <v>2</v>
      </c>
      <c r="B7" s="762" t="s">
        <v>1</v>
      </c>
      <c r="C7" s="762" t="s">
        <v>24</v>
      </c>
      <c r="D7" s="759" t="s">
        <v>250</v>
      </c>
      <c r="E7" s="759" t="s">
        <v>249</v>
      </c>
      <c r="F7" s="759" t="s">
        <v>265</v>
      </c>
      <c r="G7" s="759" t="s">
        <v>253</v>
      </c>
      <c r="H7" s="759" t="s">
        <v>30</v>
      </c>
      <c r="I7" s="697" t="s">
        <v>341</v>
      </c>
      <c r="J7" s="697" t="s">
        <v>244</v>
      </c>
      <c r="K7" s="698" t="s">
        <v>821</v>
      </c>
      <c r="L7" s="143"/>
    </row>
    <row r="8" spans="1:25" s="305" customFormat="1" ht="12" customHeight="1">
      <c r="A8" s="1597" t="s">
        <v>3</v>
      </c>
      <c r="B8" s="1598"/>
      <c r="C8" s="1599"/>
      <c r="D8" s="306">
        <f>G8</f>
        <v>11</v>
      </c>
      <c r="E8" s="300"/>
      <c r="F8" s="300"/>
      <c r="G8" s="640">
        <v>11</v>
      </c>
      <c r="H8" s="308"/>
      <c r="I8" s="689"/>
      <c r="J8" s="689"/>
      <c r="K8" s="346"/>
      <c r="L8" s="143">
        <v>3001</v>
      </c>
    </row>
    <row r="9" spans="1:25" s="305" customFormat="1" ht="12" customHeight="1">
      <c r="A9" s="761">
        <v>1</v>
      </c>
      <c r="B9" s="365">
        <f>'FRIT HGE91-FHG'!B9</f>
        <v>46235</v>
      </c>
      <c r="C9" s="331" t="s">
        <v>285</v>
      </c>
      <c r="D9" s="310"/>
      <c r="E9" s="696">
        <f>I9+J9+K9</f>
        <v>0</v>
      </c>
      <c r="F9" s="311">
        <f>SUM($E$8:E9)/A9</f>
        <v>0</v>
      </c>
      <c r="G9" s="307">
        <f>G8+D9-E9</f>
        <v>11</v>
      </c>
      <c r="H9" s="312" t="e">
        <f>G9/F9</f>
        <v>#DIV/0!</v>
      </c>
      <c r="I9" s="689"/>
      <c r="J9" s="689"/>
      <c r="K9" s="346"/>
      <c r="L9" s="647" t="e">
        <f>G9/$O$8</f>
        <v>#DIV/0!</v>
      </c>
    </row>
    <row r="10" spans="1:25" s="333" customFormat="1" ht="12" customHeight="1">
      <c r="A10" s="330">
        <v>2</v>
      </c>
      <c r="B10" s="365">
        <f>'FRIT HGE91-FHG'!B10</f>
        <v>46236</v>
      </c>
      <c r="C10" s="331" t="s">
        <v>285</v>
      </c>
      <c r="D10" s="334"/>
      <c r="E10" s="696">
        <f t="shared" ref="E10:E39" si="0">I10+J10+K10</f>
        <v>0</v>
      </c>
      <c r="F10" s="335">
        <f>SUM($E$8:E10)/A10</f>
        <v>0</v>
      </c>
      <c r="G10" s="336">
        <f t="shared" ref="G10:G39" si="1">G9+D10-E10</f>
        <v>11</v>
      </c>
      <c r="H10" s="337" t="e">
        <f t="shared" ref="H10:H39" si="2">G10/F10</f>
        <v>#DIV/0!</v>
      </c>
      <c r="I10" s="689"/>
      <c r="J10" s="689"/>
      <c r="K10" s="346"/>
      <c r="L10" s="647" t="e">
        <f t="shared" ref="L10:L39" si="3">G10/$O$8</f>
        <v>#DIV/0!</v>
      </c>
    </row>
    <row r="11" spans="1:25" s="333" customFormat="1" ht="12" customHeight="1">
      <c r="A11" s="330">
        <v>3</v>
      </c>
      <c r="B11" s="365">
        <f>'FRIT HGE91-FHG'!B11</f>
        <v>46237</v>
      </c>
      <c r="C11" s="331" t="s">
        <v>285</v>
      </c>
      <c r="D11" s="334"/>
      <c r="E11" s="696">
        <f t="shared" si="0"/>
        <v>0</v>
      </c>
      <c r="F11" s="335">
        <f>SUM($E$8:E11)/A11</f>
        <v>0</v>
      </c>
      <c r="G11" s="336">
        <f t="shared" si="1"/>
        <v>11</v>
      </c>
      <c r="H11" s="467" t="e">
        <f t="shared" si="2"/>
        <v>#DIV/0!</v>
      </c>
      <c r="I11" s="689"/>
      <c r="J11" s="689"/>
      <c r="K11" s="346"/>
      <c r="L11" s="647" t="e">
        <f t="shared" si="3"/>
        <v>#DIV/0!</v>
      </c>
    </row>
    <row r="12" spans="1:25" s="367" customFormat="1" ht="12" customHeight="1">
      <c r="A12" s="330">
        <v>4</v>
      </c>
      <c r="B12" s="365">
        <f>'FRIT HGE91-FHG'!B12</f>
        <v>46238</v>
      </c>
      <c r="C12" s="331" t="s">
        <v>285</v>
      </c>
      <c r="D12" s="334"/>
      <c r="E12" s="696">
        <f t="shared" si="0"/>
        <v>0</v>
      </c>
      <c r="F12" s="335">
        <f>SUM($E$8:E12)/A12</f>
        <v>0</v>
      </c>
      <c r="G12" s="336">
        <f t="shared" si="1"/>
        <v>11</v>
      </c>
      <c r="H12" s="467" t="e">
        <f t="shared" si="2"/>
        <v>#DIV/0!</v>
      </c>
      <c r="I12" s="689"/>
      <c r="J12" s="689"/>
      <c r="K12" s="346"/>
      <c r="L12" s="647" t="e">
        <f t="shared" si="3"/>
        <v>#DIV/0!</v>
      </c>
    </row>
    <row r="13" spans="1:25" s="367" customFormat="1" ht="12" customHeight="1">
      <c r="A13" s="425">
        <v>5</v>
      </c>
      <c r="B13" s="365">
        <f>'FRIT HGE91-FHG'!B13</f>
        <v>46239</v>
      </c>
      <c r="C13" s="331" t="s">
        <v>285</v>
      </c>
      <c r="D13" s="334"/>
      <c r="E13" s="696">
        <f t="shared" si="0"/>
        <v>0</v>
      </c>
      <c r="F13" s="335">
        <f>SUM($E$8:E13)/A13</f>
        <v>0</v>
      </c>
      <c r="G13" s="468">
        <f t="shared" si="1"/>
        <v>11</v>
      </c>
      <c r="H13" s="467" t="e">
        <f t="shared" si="2"/>
        <v>#DIV/0!</v>
      </c>
      <c r="I13" s="689"/>
      <c r="J13" s="689"/>
      <c r="K13" s="346"/>
      <c r="L13" s="647" t="e">
        <f t="shared" si="3"/>
        <v>#DIV/0!</v>
      </c>
    </row>
    <row r="14" spans="1:25" s="367" customFormat="1" ht="12" customHeight="1">
      <c r="A14" s="330">
        <v>6</v>
      </c>
      <c r="B14" s="365">
        <f>'FRIT HGE91-FHG'!B14</f>
        <v>46240</v>
      </c>
      <c r="C14" s="331" t="s">
        <v>285</v>
      </c>
      <c r="D14" s="334"/>
      <c r="E14" s="696">
        <f t="shared" si="0"/>
        <v>0</v>
      </c>
      <c r="F14" s="335">
        <f>SUM($E$8:E14)/A14</f>
        <v>0</v>
      </c>
      <c r="G14" s="336">
        <f t="shared" si="1"/>
        <v>11</v>
      </c>
      <c r="H14" s="467" t="e">
        <f t="shared" si="2"/>
        <v>#DIV/0!</v>
      </c>
      <c r="I14" s="689"/>
      <c r="J14" s="689"/>
      <c r="K14" s="346"/>
      <c r="L14" s="647" t="e">
        <f t="shared" si="3"/>
        <v>#DIV/0!</v>
      </c>
    </row>
    <row r="15" spans="1:25" s="367" customFormat="1" ht="12" customHeight="1">
      <c r="A15" s="330">
        <v>7</v>
      </c>
      <c r="B15" s="365">
        <f>'FRIT HGE91-FHG'!B15</f>
        <v>46241</v>
      </c>
      <c r="C15" s="331" t="s">
        <v>285</v>
      </c>
      <c r="D15" s="334"/>
      <c r="E15" s="696">
        <f t="shared" si="0"/>
        <v>0</v>
      </c>
      <c r="F15" s="335">
        <f>SUM($E$8:E15)/A15</f>
        <v>0</v>
      </c>
      <c r="G15" s="336">
        <f t="shared" si="1"/>
        <v>11</v>
      </c>
      <c r="H15" s="467" t="e">
        <f t="shared" si="2"/>
        <v>#DIV/0!</v>
      </c>
      <c r="I15" s="689"/>
      <c r="J15" s="689"/>
      <c r="K15" s="346"/>
      <c r="L15" s="647" t="e">
        <f t="shared" si="3"/>
        <v>#DIV/0!</v>
      </c>
    </row>
    <row r="16" spans="1:25" s="367" customFormat="1" ht="12" customHeight="1">
      <c r="A16" s="330">
        <v>8</v>
      </c>
      <c r="B16" s="365">
        <f>'FRIT HGE91-FHG'!B16</f>
        <v>46242</v>
      </c>
      <c r="C16" s="331" t="s">
        <v>285</v>
      </c>
      <c r="D16" s="334"/>
      <c r="E16" s="696">
        <f t="shared" si="0"/>
        <v>0</v>
      </c>
      <c r="F16" s="335">
        <f>SUM($E$8:E16)/A16</f>
        <v>0</v>
      </c>
      <c r="G16" s="336">
        <f t="shared" si="1"/>
        <v>11</v>
      </c>
      <c r="H16" s="467" t="e">
        <f t="shared" si="2"/>
        <v>#DIV/0!</v>
      </c>
      <c r="I16" s="689"/>
      <c r="J16" s="689"/>
      <c r="K16" s="346"/>
      <c r="L16" s="647" t="e">
        <f t="shared" si="3"/>
        <v>#DIV/0!</v>
      </c>
    </row>
    <row r="17" spans="1:12" s="367" customFormat="1" ht="12" customHeight="1">
      <c r="A17" s="330">
        <v>9</v>
      </c>
      <c r="B17" s="365">
        <f>'FRIT HGE91-FHG'!B17</f>
        <v>46243</v>
      </c>
      <c r="C17" s="331" t="s">
        <v>285</v>
      </c>
      <c r="D17" s="334"/>
      <c r="E17" s="696">
        <f t="shared" si="0"/>
        <v>0</v>
      </c>
      <c r="F17" s="335">
        <f>SUM($E$8:E17)/A17</f>
        <v>0</v>
      </c>
      <c r="G17" s="336">
        <f t="shared" si="1"/>
        <v>11</v>
      </c>
      <c r="H17" s="467" t="e">
        <f t="shared" si="2"/>
        <v>#DIV/0!</v>
      </c>
      <c r="I17" s="689"/>
      <c r="J17" s="689"/>
      <c r="K17" s="346"/>
      <c r="L17" s="647" t="e">
        <f t="shared" si="3"/>
        <v>#DIV/0!</v>
      </c>
    </row>
    <row r="18" spans="1:12" s="367" customFormat="1" ht="12" customHeight="1">
      <c r="A18" s="425">
        <v>10</v>
      </c>
      <c r="B18" s="365">
        <f>'FRIT HGE91-FHG'!B18</f>
        <v>46244</v>
      </c>
      <c r="C18" s="331" t="s">
        <v>285</v>
      </c>
      <c r="D18" s="334"/>
      <c r="E18" s="696">
        <f t="shared" si="0"/>
        <v>0</v>
      </c>
      <c r="F18" s="335">
        <f>SUM($E$8:E18)/A18</f>
        <v>0</v>
      </c>
      <c r="G18" s="468">
        <f t="shared" si="1"/>
        <v>11</v>
      </c>
      <c r="H18" s="467" t="e">
        <f t="shared" si="2"/>
        <v>#DIV/0!</v>
      </c>
      <c r="I18" s="689"/>
      <c r="J18" s="689"/>
      <c r="K18" s="346"/>
      <c r="L18" s="647" t="e">
        <f t="shared" si="3"/>
        <v>#DIV/0!</v>
      </c>
    </row>
    <row r="19" spans="1:12" s="367" customFormat="1" ht="12" customHeight="1">
      <c r="A19" s="330">
        <v>11</v>
      </c>
      <c r="B19" s="365">
        <f>'FRIT HGE91-FHG'!B19</f>
        <v>46245</v>
      </c>
      <c r="C19" s="331" t="s">
        <v>285</v>
      </c>
      <c r="D19" s="334"/>
      <c r="E19" s="696">
        <f t="shared" si="0"/>
        <v>0</v>
      </c>
      <c r="F19" s="335">
        <f>SUM($E$8:E19)/A19</f>
        <v>0</v>
      </c>
      <c r="G19" s="336">
        <f t="shared" si="1"/>
        <v>11</v>
      </c>
      <c r="H19" s="467" t="e">
        <f t="shared" si="2"/>
        <v>#DIV/0!</v>
      </c>
      <c r="I19" s="689"/>
      <c r="J19" s="689"/>
      <c r="K19" s="346"/>
      <c r="L19" s="647" t="e">
        <f t="shared" si="3"/>
        <v>#DIV/0!</v>
      </c>
    </row>
    <row r="20" spans="1:12" s="367" customFormat="1" ht="12" customHeight="1">
      <c r="A20" s="330">
        <v>12</v>
      </c>
      <c r="B20" s="365">
        <f>'FRIT HGE91-FHG'!B20</f>
        <v>46246</v>
      </c>
      <c r="C20" s="331" t="s">
        <v>285</v>
      </c>
      <c r="D20" s="334"/>
      <c r="E20" s="696">
        <f t="shared" si="0"/>
        <v>0</v>
      </c>
      <c r="F20" s="335">
        <f>SUM($E$8:E20)/A20</f>
        <v>0</v>
      </c>
      <c r="G20" s="336">
        <f t="shared" si="1"/>
        <v>11</v>
      </c>
      <c r="H20" s="467" t="e">
        <f t="shared" si="2"/>
        <v>#DIV/0!</v>
      </c>
      <c r="I20" s="689"/>
      <c r="J20" s="689"/>
      <c r="K20" s="346"/>
      <c r="L20" s="647" t="e">
        <f t="shared" si="3"/>
        <v>#DIV/0!</v>
      </c>
    </row>
    <row r="21" spans="1:12" s="367" customFormat="1" ht="12" customHeight="1">
      <c r="A21" s="330">
        <v>13</v>
      </c>
      <c r="B21" s="365">
        <f>'FRIT HGE91-FHG'!B21</f>
        <v>46247</v>
      </c>
      <c r="C21" s="331" t="s">
        <v>285</v>
      </c>
      <c r="D21" s="334"/>
      <c r="E21" s="696">
        <f t="shared" si="0"/>
        <v>0</v>
      </c>
      <c r="F21" s="335">
        <f>SUM($E$8:E21)/A21</f>
        <v>0</v>
      </c>
      <c r="G21" s="336">
        <f t="shared" si="1"/>
        <v>11</v>
      </c>
      <c r="H21" s="467" t="e">
        <f t="shared" si="2"/>
        <v>#DIV/0!</v>
      </c>
      <c r="I21" s="689"/>
      <c r="J21" s="689"/>
      <c r="K21" s="346"/>
      <c r="L21" s="647" t="e">
        <f t="shared" si="3"/>
        <v>#DIV/0!</v>
      </c>
    </row>
    <row r="22" spans="1:12" s="367" customFormat="1" ht="12" customHeight="1">
      <c r="A22" s="330">
        <v>14</v>
      </c>
      <c r="B22" s="365">
        <f>'FRIT HGE91-FHG'!B22</f>
        <v>46248</v>
      </c>
      <c r="C22" s="331" t="s">
        <v>285</v>
      </c>
      <c r="D22" s="334"/>
      <c r="E22" s="696">
        <f t="shared" si="0"/>
        <v>0</v>
      </c>
      <c r="F22" s="335">
        <f>SUM($E$8:E22)/A22</f>
        <v>0</v>
      </c>
      <c r="G22" s="336">
        <f t="shared" si="1"/>
        <v>11</v>
      </c>
      <c r="H22" s="467" t="e">
        <f t="shared" si="2"/>
        <v>#DIV/0!</v>
      </c>
      <c r="I22" s="689"/>
      <c r="J22" s="689"/>
      <c r="K22" s="346"/>
      <c r="L22" s="647" t="e">
        <f t="shared" si="3"/>
        <v>#DIV/0!</v>
      </c>
    </row>
    <row r="23" spans="1:12" s="367" customFormat="1" ht="12" customHeight="1">
      <c r="A23" s="425">
        <v>15</v>
      </c>
      <c r="B23" s="365">
        <f>'FRIT HGE91-FHG'!B23</f>
        <v>46249</v>
      </c>
      <c r="C23" s="331" t="s">
        <v>285</v>
      </c>
      <c r="D23" s="334"/>
      <c r="E23" s="696">
        <f t="shared" si="0"/>
        <v>0</v>
      </c>
      <c r="F23" s="335">
        <f>SUM($E$8:E23)/A23</f>
        <v>0</v>
      </c>
      <c r="G23" s="468">
        <f t="shared" si="1"/>
        <v>11</v>
      </c>
      <c r="H23" s="467" t="e">
        <f t="shared" si="2"/>
        <v>#DIV/0!</v>
      </c>
      <c r="I23" s="689"/>
      <c r="J23" s="689"/>
      <c r="K23" s="346"/>
      <c r="L23" s="647" t="e">
        <f t="shared" si="3"/>
        <v>#DIV/0!</v>
      </c>
    </row>
    <row r="24" spans="1:12" s="367" customFormat="1" ht="12" customHeight="1">
      <c r="A24" s="330">
        <v>16</v>
      </c>
      <c r="B24" s="365">
        <f>'FRIT HGE91-FHG'!B24</f>
        <v>46250</v>
      </c>
      <c r="C24" s="331" t="s">
        <v>285</v>
      </c>
      <c r="D24" s="334"/>
      <c r="E24" s="696">
        <f t="shared" si="0"/>
        <v>0</v>
      </c>
      <c r="F24" s="335">
        <f>SUM($E$8:E24)/A24</f>
        <v>0</v>
      </c>
      <c r="G24" s="336">
        <f t="shared" si="1"/>
        <v>11</v>
      </c>
      <c r="H24" s="467" t="e">
        <f t="shared" si="2"/>
        <v>#DIV/0!</v>
      </c>
      <c r="I24" s="689"/>
      <c r="J24" s="689"/>
      <c r="K24" s="346"/>
      <c r="L24" s="647" t="e">
        <f t="shared" si="3"/>
        <v>#DIV/0!</v>
      </c>
    </row>
    <row r="25" spans="1:12" s="367" customFormat="1" ht="12" customHeight="1">
      <c r="A25" s="330">
        <v>17</v>
      </c>
      <c r="B25" s="365">
        <f>'FRIT HGE91-FHG'!B25</f>
        <v>46251</v>
      </c>
      <c r="C25" s="331" t="s">
        <v>285</v>
      </c>
      <c r="D25" s="334"/>
      <c r="E25" s="696">
        <f t="shared" si="0"/>
        <v>0</v>
      </c>
      <c r="F25" s="335">
        <f>SUM($E$8:E25)/A25</f>
        <v>0</v>
      </c>
      <c r="G25" s="336">
        <f t="shared" si="1"/>
        <v>11</v>
      </c>
      <c r="H25" s="467" t="e">
        <f t="shared" si="2"/>
        <v>#DIV/0!</v>
      </c>
      <c r="I25" s="689"/>
      <c r="J25" s="689"/>
      <c r="K25" s="346"/>
      <c r="L25" s="647" t="e">
        <f t="shared" si="3"/>
        <v>#DIV/0!</v>
      </c>
    </row>
    <row r="26" spans="1:12" s="367" customFormat="1" ht="12" customHeight="1">
      <c r="A26" s="330">
        <v>18</v>
      </c>
      <c r="B26" s="365">
        <f>'FRIT HGE91-FHG'!B26</f>
        <v>46252</v>
      </c>
      <c r="C26" s="331" t="s">
        <v>285</v>
      </c>
      <c r="D26" s="334"/>
      <c r="E26" s="696">
        <f t="shared" si="0"/>
        <v>0</v>
      </c>
      <c r="F26" s="335">
        <f>SUM($E$8:E26)/A26</f>
        <v>0</v>
      </c>
      <c r="G26" s="336">
        <f t="shared" si="1"/>
        <v>11</v>
      </c>
      <c r="H26" s="467" t="e">
        <f t="shared" si="2"/>
        <v>#DIV/0!</v>
      </c>
      <c r="I26" s="689"/>
      <c r="J26" s="689"/>
      <c r="K26" s="346"/>
      <c r="L26" s="647" t="e">
        <f t="shared" si="3"/>
        <v>#DIV/0!</v>
      </c>
    </row>
    <row r="27" spans="1:12" s="367" customFormat="1" ht="12" customHeight="1">
      <c r="A27" s="330">
        <v>19</v>
      </c>
      <c r="B27" s="365">
        <f>'FRIT HGE91-FHG'!B27</f>
        <v>46253</v>
      </c>
      <c r="C27" s="331" t="s">
        <v>285</v>
      </c>
      <c r="D27" s="334"/>
      <c r="E27" s="696">
        <f t="shared" si="0"/>
        <v>0</v>
      </c>
      <c r="F27" s="335">
        <f>SUM($E$8:E27)/A27</f>
        <v>0</v>
      </c>
      <c r="G27" s="336">
        <f t="shared" si="1"/>
        <v>11</v>
      </c>
      <c r="H27" s="467" t="e">
        <f t="shared" si="2"/>
        <v>#DIV/0!</v>
      </c>
      <c r="I27" s="689"/>
      <c r="J27" s="689"/>
      <c r="K27" s="346"/>
      <c r="L27" s="647" t="e">
        <f t="shared" si="3"/>
        <v>#DIV/0!</v>
      </c>
    </row>
    <row r="28" spans="1:12" s="367" customFormat="1" ht="12" customHeight="1">
      <c r="A28" s="425">
        <v>20</v>
      </c>
      <c r="B28" s="365">
        <f>'FRIT HGE91-FHG'!B28</f>
        <v>46254</v>
      </c>
      <c r="C28" s="331" t="s">
        <v>285</v>
      </c>
      <c r="D28" s="334"/>
      <c r="E28" s="696">
        <f t="shared" si="0"/>
        <v>0</v>
      </c>
      <c r="F28" s="335">
        <f>SUM($E$8:E28)/A28</f>
        <v>0</v>
      </c>
      <c r="G28" s="468">
        <f t="shared" si="1"/>
        <v>11</v>
      </c>
      <c r="H28" s="467" t="e">
        <f t="shared" si="2"/>
        <v>#DIV/0!</v>
      </c>
      <c r="I28" s="689"/>
      <c r="J28" s="689"/>
      <c r="K28" s="346"/>
      <c r="L28" s="647" t="e">
        <f t="shared" si="3"/>
        <v>#DIV/0!</v>
      </c>
    </row>
    <row r="29" spans="1:12" s="367" customFormat="1" ht="12" customHeight="1">
      <c r="A29" s="330">
        <v>21</v>
      </c>
      <c r="B29" s="365">
        <f>'FRIT HGE91-FHG'!B29</f>
        <v>46255</v>
      </c>
      <c r="C29" s="331" t="s">
        <v>285</v>
      </c>
      <c r="D29" s="334"/>
      <c r="E29" s="696">
        <f t="shared" si="0"/>
        <v>0</v>
      </c>
      <c r="F29" s="335">
        <f>SUM($E$8:E29)/A29</f>
        <v>0</v>
      </c>
      <c r="G29" s="336">
        <f t="shared" si="1"/>
        <v>11</v>
      </c>
      <c r="H29" s="467" t="e">
        <f t="shared" si="2"/>
        <v>#DIV/0!</v>
      </c>
      <c r="I29" s="689"/>
      <c r="J29" s="689"/>
      <c r="K29" s="346"/>
      <c r="L29" s="647" t="e">
        <f t="shared" si="3"/>
        <v>#DIV/0!</v>
      </c>
    </row>
    <row r="30" spans="1:12" s="367" customFormat="1" ht="12" customHeight="1">
      <c r="A30" s="330">
        <v>22</v>
      </c>
      <c r="B30" s="365">
        <f>'FRIT HGE91-FHG'!B30</f>
        <v>46256</v>
      </c>
      <c r="C30" s="331" t="s">
        <v>285</v>
      </c>
      <c r="D30" s="334"/>
      <c r="E30" s="696">
        <f t="shared" si="0"/>
        <v>0</v>
      </c>
      <c r="F30" s="335">
        <f>SUM($E$8:E30)/A30</f>
        <v>0</v>
      </c>
      <c r="G30" s="336">
        <f t="shared" si="1"/>
        <v>11</v>
      </c>
      <c r="H30" s="467" t="e">
        <f t="shared" si="2"/>
        <v>#DIV/0!</v>
      </c>
      <c r="I30" s="689"/>
      <c r="J30" s="689"/>
      <c r="K30" s="346"/>
      <c r="L30" s="647" t="e">
        <f t="shared" si="3"/>
        <v>#DIV/0!</v>
      </c>
    </row>
    <row r="31" spans="1:12" s="367" customFormat="1" ht="12" customHeight="1">
      <c r="A31" s="330">
        <v>23</v>
      </c>
      <c r="B31" s="365">
        <f>'FRIT HGE91-FHG'!B31</f>
        <v>46257</v>
      </c>
      <c r="C31" s="331" t="s">
        <v>285</v>
      </c>
      <c r="D31" s="334"/>
      <c r="E31" s="696">
        <f t="shared" si="0"/>
        <v>0</v>
      </c>
      <c r="F31" s="335">
        <f>SUM($E$8:E31)/A31</f>
        <v>0</v>
      </c>
      <c r="G31" s="336">
        <f t="shared" si="1"/>
        <v>11</v>
      </c>
      <c r="H31" s="467" t="e">
        <f t="shared" si="2"/>
        <v>#DIV/0!</v>
      </c>
      <c r="I31" s="689"/>
      <c r="J31" s="689"/>
      <c r="K31" s="346"/>
      <c r="L31" s="647" t="e">
        <f t="shared" si="3"/>
        <v>#DIV/0!</v>
      </c>
    </row>
    <row r="32" spans="1:12" s="367" customFormat="1" ht="12" customHeight="1">
      <c r="A32" s="330">
        <v>24</v>
      </c>
      <c r="B32" s="365">
        <f>'FRIT HGE91-FHG'!B32</f>
        <v>46258</v>
      </c>
      <c r="C32" s="331" t="s">
        <v>285</v>
      </c>
      <c r="D32" s="334"/>
      <c r="E32" s="696">
        <f t="shared" si="0"/>
        <v>0</v>
      </c>
      <c r="F32" s="335">
        <f>SUM($E$8:E32)/A32</f>
        <v>0</v>
      </c>
      <c r="G32" s="336">
        <f t="shared" si="1"/>
        <v>11</v>
      </c>
      <c r="H32" s="467" t="e">
        <f t="shared" si="2"/>
        <v>#DIV/0!</v>
      </c>
      <c r="I32" s="689"/>
      <c r="J32" s="689"/>
      <c r="K32" s="346"/>
      <c r="L32" s="647" t="e">
        <f t="shared" si="3"/>
        <v>#DIV/0!</v>
      </c>
    </row>
    <row r="33" spans="1:12" s="367" customFormat="1" ht="12" customHeight="1">
      <c r="A33" s="426">
        <v>25</v>
      </c>
      <c r="B33" s="365">
        <f>'FRIT HGE91-FHG'!B33</f>
        <v>46259</v>
      </c>
      <c r="C33" s="331" t="s">
        <v>285</v>
      </c>
      <c r="D33" s="334"/>
      <c r="E33" s="696">
        <f t="shared" si="0"/>
        <v>0</v>
      </c>
      <c r="F33" s="335">
        <f>SUM($E$8:E33)/A33</f>
        <v>0</v>
      </c>
      <c r="G33" s="469">
        <f t="shared" si="1"/>
        <v>11</v>
      </c>
      <c r="H33" s="467" t="e">
        <f t="shared" si="2"/>
        <v>#DIV/0!</v>
      </c>
      <c r="I33" s="689"/>
      <c r="J33" s="689"/>
      <c r="K33" s="346"/>
      <c r="L33" s="647" t="e">
        <f t="shared" si="3"/>
        <v>#DIV/0!</v>
      </c>
    </row>
    <row r="34" spans="1:12" s="367" customFormat="1" ht="12" customHeight="1">
      <c r="A34" s="330">
        <v>26</v>
      </c>
      <c r="B34" s="365">
        <f>'FRIT HGE91-FHG'!B34</f>
        <v>46260</v>
      </c>
      <c r="C34" s="331" t="s">
        <v>285</v>
      </c>
      <c r="D34" s="334"/>
      <c r="E34" s="696">
        <f t="shared" si="0"/>
        <v>0</v>
      </c>
      <c r="F34" s="335">
        <f>SUM($E$8:E34)/A34</f>
        <v>0</v>
      </c>
      <c r="G34" s="336">
        <f t="shared" si="1"/>
        <v>11</v>
      </c>
      <c r="H34" s="467" t="e">
        <f t="shared" si="2"/>
        <v>#DIV/0!</v>
      </c>
      <c r="I34" s="689"/>
      <c r="J34" s="689"/>
      <c r="K34" s="346"/>
      <c r="L34" s="647" t="e">
        <f t="shared" si="3"/>
        <v>#DIV/0!</v>
      </c>
    </row>
    <row r="35" spans="1:12" s="367" customFormat="1" ht="12" customHeight="1">
      <c r="A35" s="330">
        <v>27</v>
      </c>
      <c r="B35" s="365">
        <f>'FRIT HGE91-FHG'!B35</f>
        <v>46261</v>
      </c>
      <c r="C35" s="331" t="s">
        <v>285</v>
      </c>
      <c r="D35" s="334"/>
      <c r="E35" s="696">
        <f t="shared" si="0"/>
        <v>0</v>
      </c>
      <c r="F35" s="335">
        <f>SUM($E$8:E35)/A35</f>
        <v>0</v>
      </c>
      <c r="G35" s="336">
        <f t="shared" si="1"/>
        <v>11</v>
      </c>
      <c r="H35" s="467" t="e">
        <f t="shared" si="2"/>
        <v>#DIV/0!</v>
      </c>
      <c r="I35" s="689"/>
      <c r="J35" s="689"/>
      <c r="K35" s="346"/>
      <c r="L35" s="647" t="e">
        <f t="shared" si="3"/>
        <v>#DIV/0!</v>
      </c>
    </row>
    <row r="36" spans="1:12" s="367" customFormat="1" ht="12" customHeight="1">
      <c r="A36" s="330">
        <v>28</v>
      </c>
      <c r="B36" s="365">
        <f>'FRIT HGE91-FHG'!B36</f>
        <v>46262</v>
      </c>
      <c r="C36" s="331" t="s">
        <v>285</v>
      </c>
      <c r="D36" s="334"/>
      <c r="E36" s="696">
        <f t="shared" si="0"/>
        <v>0</v>
      </c>
      <c r="F36" s="335">
        <f>SUM($E$8:E36)/A36</f>
        <v>0</v>
      </c>
      <c r="G36" s="336">
        <f t="shared" si="1"/>
        <v>11</v>
      </c>
      <c r="H36" s="467" t="e">
        <f t="shared" si="2"/>
        <v>#DIV/0!</v>
      </c>
      <c r="I36" s="689"/>
      <c r="J36" s="689"/>
      <c r="K36" s="346"/>
      <c r="L36" s="647" t="e">
        <f t="shared" si="3"/>
        <v>#DIV/0!</v>
      </c>
    </row>
    <row r="37" spans="1:12" s="367" customFormat="1" ht="12" customHeight="1">
      <c r="A37" s="330">
        <v>29</v>
      </c>
      <c r="B37" s="365">
        <f>'FRIT HGE91-FHG'!B37</f>
        <v>46263</v>
      </c>
      <c r="C37" s="331" t="s">
        <v>285</v>
      </c>
      <c r="D37" s="334"/>
      <c r="E37" s="696">
        <f t="shared" si="0"/>
        <v>0</v>
      </c>
      <c r="F37" s="335">
        <f>SUM($E$8:E37)/A37</f>
        <v>0</v>
      </c>
      <c r="G37" s="336">
        <f t="shared" si="1"/>
        <v>11</v>
      </c>
      <c r="H37" s="467" t="e">
        <f t="shared" si="2"/>
        <v>#DIV/0!</v>
      </c>
      <c r="I37" s="689"/>
      <c r="J37" s="689"/>
      <c r="K37" s="346"/>
      <c r="L37" s="647" t="e">
        <f t="shared" si="3"/>
        <v>#DIV/0!</v>
      </c>
    </row>
    <row r="38" spans="1:12" s="367" customFormat="1" ht="12" customHeight="1">
      <c r="A38" s="425">
        <v>30</v>
      </c>
      <c r="B38" s="365">
        <f>'FRIT HGE91-FHG'!B38</f>
        <v>46264</v>
      </c>
      <c r="C38" s="331" t="s">
        <v>285</v>
      </c>
      <c r="D38" s="334"/>
      <c r="E38" s="696">
        <f t="shared" si="0"/>
        <v>0</v>
      </c>
      <c r="F38" s="335">
        <f>SUM($E$8:E38)/A38</f>
        <v>0</v>
      </c>
      <c r="G38" s="468">
        <f t="shared" si="1"/>
        <v>11</v>
      </c>
      <c r="H38" s="467" t="e">
        <f t="shared" si="2"/>
        <v>#DIV/0!</v>
      </c>
      <c r="I38" s="689"/>
      <c r="J38" s="689"/>
      <c r="K38" s="346"/>
      <c r="L38" s="647" t="e">
        <f t="shared" si="3"/>
        <v>#DIV/0!</v>
      </c>
    </row>
    <row r="39" spans="1:12" s="367" customFormat="1" ht="12" customHeight="1">
      <c r="A39" s="330">
        <v>31</v>
      </c>
      <c r="B39" s="365">
        <f>'FRIT HGE91-FHG'!B39</f>
        <v>46265</v>
      </c>
      <c r="C39" s="331" t="s">
        <v>285</v>
      </c>
      <c r="D39" s="334"/>
      <c r="E39" s="696">
        <f t="shared" si="0"/>
        <v>0</v>
      </c>
      <c r="F39" s="335">
        <f>SUM($E$8:E39)/A39</f>
        <v>0</v>
      </c>
      <c r="G39" s="336">
        <f t="shared" si="1"/>
        <v>11</v>
      </c>
      <c r="H39" s="467" t="e">
        <f t="shared" si="2"/>
        <v>#DIV/0!</v>
      </c>
      <c r="I39" s="689"/>
      <c r="J39" s="690"/>
      <c r="K39" s="364"/>
      <c r="L39" s="647" t="e">
        <f t="shared" si="3"/>
        <v>#DIV/0!</v>
      </c>
    </row>
    <row r="40" spans="1:12" s="374" customFormat="1" ht="12" customHeight="1">
      <c r="A40" s="1613" t="s">
        <v>29</v>
      </c>
      <c r="B40" s="1614"/>
      <c r="C40" s="1615"/>
      <c r="D40" s="456">
        <f>SUM(D9:D39)</f>
        <v>0</v>
      </c>
      <c r="E40" s="350">
        <f>SUM(E9:E39)</f>
        <v>0</v>
      </c>
      <c r="F40" s="350"/>
      <c r="G40" s="373">
        <f>G39</f>
        <v>11</v>
      </c>
      <c r="H40" s="300"/>
      <c r="I40" s="689">
        <f>SUM(I9:I39)</f>
        <v>0</v>
      </c>
      <c r="J40" s="689">
        <f t="shared" ref="J40" si="4">SUM(J9:J39)</f>
        <v>0</v>
      </c>
      <c r="K40" s="689">
        <f>SUM(K9:K39)</f>
        <v>0</v>
      </c>
    </row>
    <row r="41" spans="1:12" s="374" customFormat="1" ht="12" customHeight="1">
      <c r="A41" s="1613" t="s">
        <v>15</v>
      </c>
      <c r="B41" s="1614"/>
      <c r="C41" s="1615"/>
      <c r="D41" s="456">
        <f>D8+D40</f>
        <v>11</v>
      </c>
      <c r="E41" s="350">
        <f>E40</f>
        <v>0</v>
      </c>
      <c r="F41" s="350"/>
      <c r="G41" s="350">
        <f>D41-E41</f>
        <v>11</v>
      </c>
      <c r="H41" s="300"/>
      <c r="I41" s="689"/>
      <c r="J41" s="689"/>
      <c r="K41" s="427"/>
    </row>
    <row r="42" spans="1:12" s="324" customFormat="1" ht="12.75">
      <c r="D42" s="343"/>
      <c r="E42" s="343"/>
      <c r="F42" s="343"/>
      <c r="H42" s="343" t="s">
        <v>227</v>
      </c>
      <c r="I42" s="343"/>
      <c r="K42" s="343"/>
    </row>
    <row r="43" spans="1:12" s="324" customFormat="1" ht="12.75">
      <c r="D43" s="343"/>
      <c r="E43" s="343"/>
      <c r="F43" s="343"/>
      <c r="H43" s="343"/>
      <c r="I43" s="343"/>
      <c r="K43" s="343"/>
    </row>
    <row r="44" spans="1:12" s="324" customFormat="1" ht="12.75">
      <c r="D44" s="343"/>
      <c r="E44" s="343"/>
      <c r="F44" s="343"/>
      <c r="H44" s="343"/>
      <c r="I44" s="343"/>
      <c r="K44" s="343"/>
    </row>
    <row r="45" spans="1:12" s="324" customFormat="1" ht="12.75">
      <c r="D45" s="343"/>
      <c r="E45" s="343"/>
      <c r="F45" s="343"/>
      <c r="H45" s="343"/>
      <c r="I45" s="343"/>
      <c r="K45" s="343"/>
    </row>
    <row r="46" spans="1:12" s="324" customFormat="1" ht="12.75">
      <c r="D46" s="343"/>
      <c r="E46" s="343"/>
      <c r="F46" s="343"/>
      <c r="H46" s="343" t="s">
        <v>333</v>
      </c>
      <c r="I46" s="343"/>
      <c r="K46" s="343"/>
    </row>
    <row r="47" spans="1:12" s="340" customFormat="1" ht="15.75">
      <c r="D47" s="341"/>
      <c r="E47" s="341"/>
      <c r="F47" s="341"/>
      <c r="G47" s="341"/>
      <c r="H47" s="341"/>
      <c r="I47" s="341"/>
      <c r="J47" s="341"/>
      <c r="K47" s="342"/>
      <c r="L47" s="143"/>
    </row>
    <row r="49" spans="4:7">
      <c r="D49" s="42"/>
      <c r="E49" s="42"/>
      <c r="F49" s="42"/>
      <c r="G49" s="42"/>
    </row>
    <row r="50" spans="4:7">
      <c r="D50" s="42"/>
      <c r="E50" s="42"/>
      <c r="F50" s="42"/>
      <c r="G50" s="42"/>
    </row>
    <row r="51" spans="4:7">
      <c r="D51" s="42"/>
      <c r="E51" s="42"/>
      <c r="F51" s="42"/>
      <c r="G51" s="42"/>
    </row>
  </sheetData>
  <mergeCells count="5">
    <mergeCell ref="A3:I3"/>
    <mergeCell ref="A4:B4"/>
    <mergeCell ref="A8:C8"/>
    <mergeCell ref="A40:C40"/>
    <mergeCell ref="A41:C41"/>
  </mergeCells>
  <conditionalFormatting sqref="H38">
    <cfRule type="cellIs" dxfId="5597" priority="1" operator="between">
      <formula>3</formula>
      <formula>6</formula>
    </cfRule>
    <cfRule type="cellIs" dxfId="5596" priority="2" operator="lessThan">
      <formula>3</formula>
    </cfRule>
    <cfRule type="cellIs" dxfId="5595" priority="3" operator="greaterThan">
      <formula>6</formula>
    </cfRule>
  </conditionalFormatting>
  <conditionalFormatting sqref="H9:H17 H19:H22 H24:H27 H29:H32 H34:H37 H39">
    <cfRule type="cellIs" dxfId="5594" priority="16" operator="between">
      <formula>3</formula>
      <formula>6</formula>
    </cfRule>
    <cfRule type="cellIs" dxfId="5593" priority="17" operator="lessThan">
      <formula>3</formula>
    </cfRule>
    <cfRule type="cellIs" dxfId="5592" priority="18" operator="greaterThan">
      <formula>6</formula>
    </cfRule>
  </conditionalFormatting>
  <conditionalFormatting sqref="H18">
    <cfRule type="cellIs" dxfId="5591" priority="13" operator="between">
      <formula>3</formula>
      <formula>6</formula>
    </cfRule>
    <cfRule type="cellIs" dxfId="5590" priority="14" operator="lessThan">
      <formula>3</formula>
    </cfRule>
    <cfRule type="cellIs" dxfId="5589" priority="15" operator="greaterThan">
      <formula>6</formula>
    </cfRule>
  </conditionalFormatting>
  <conditionalFormatting sqref="H23">
    <cfRule type="cellIs" dxfId="5588" priority="10" operator="between">
      <formula>3</formula>
      <formula>6</formula>
    </cfRule>
    <cfRule type="cellIs" dxfId="5587" priority="11" operator="lessThan">
      <formula>3</formula>
    </cfRule>
    <cfRule type="cellIs" dxfId="5586" priority="12" operator="greaterThan">
      <formula>6</formula>
    </cfRule>
  </conditionalFormatting>
  <conditionalFormatting sqref="H28">
    <cfRule type="cellIs" dxfId="5585" priority="7" operator="between">
      <formula>3</formula>
      <formula>6</formula>
    </cfRule>
    <cfRule type="cellIs" dxfId="5584" priority="8" operator="lessThan">
      <formula>3</formula>
    </cfRule>
    <cfRule type="cellIs" dxfId="5583" priority="9" operator="greaterThan">
      <formula>6</formula>
    </cfRule>
  </conditionalFormatting>
  <conditionalFormatting sqref="H33">
    <cfRule type="cellIs" dxfId="5582" priority="4" operator="between">
      <formula>3</formula>
      <formula>6</formula>
    </cfRule>
    <cfRule type="cellIs" dxfId="5581" priority="5" operator="lessThan">
      <formula>3</formula>
    </cfRule>
    <cfRule type="cellIs" dxfId="5580" priority="6" operator="greaterThan">
      <formula>6</formula>
    </cfRule>
  </conditionalFormatting>
  <hyperlinks>
    <hyperlink ref="I6" location="'TỔNG HỢP THÁNG'!A1" display="THA1"/>
  </hyperlinks>
  <pageMargins left="0.39370078740157483" right="0" top="0" bottom="0" header="0" footer="0"/>
  <pageSetup paperSize="8" orientation="landscape" horizontalDpi="4294967292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49"/>
  <sheetViews>
    <sheetView zoomScale="90" zoomScaleNormal="90" workbookViewId="0">
      <pane ySplit="8" topLeftCell="A18" activePane="bottomLeft" state="frozen"/>
      <selection pane="bottomLeft" activeCell="M5" sqref="M5"/>
    </sheetView>
  </sheetViews>
  <sheetFormatPr defaultColWidth="9.28515625" defaultRowHeight="15"/>
  <cols>
    <col min="1" max="1" width="5.5703125" style="143" customWidth="1"/>
    <col min="2" max="2" width="9" style="143" customWidth="1"/>
    <col min="3" max="3" width="16.7109375" style="143" customWidth="1"/>
    <col min="4" max="11" width="10" style="142" customWidth="1"/>
    <col min="12" max="13" width="11.7109375" style="143" customWidth="1"/>
    <col min="14" max="14" width="6.285156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758" customFormat="1" ht="18.75" customHeight="1">
      <c r="A4" s="1600" t="s">
        <v>33</v>
      </c>
      <c r="B4" s="1600"/>
      <c r="C4" s="316" t="str">
        <f>J4</f>
        <v>CAO LANH PT KL2</v>
      </c>
      <c r="D4" s="383"/>
      <c r="E4" s="383" t="s">
        <v>228</v>
      </c>
      <c r="F4" s="383" t="s">
        <v>229</v>
      </c>
      <c r="G4" s="383"/>
      <c r="I4" s="383" t="s">
        <v>120</v>
      </c>
      <c r="J4" s="316" t="s">
        <v>327</v>
      </c>
      <c r="K4" s="319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4764</v>
      </c>
      <c r="E8" s="388">
        <f>K8</f>
        <v>4764</v>
      </c>
      <c r="F8" s="389"/>
      <c r="G8" s="388"/>
      <c r="H8" s="387"/>
      <c r="I8" s="388"/>
      <c r="J8" s="390">
        <f>K8</f>
        <v>4764</v>
      </c>
      <c r="K8" s="389">
        <v>4764</v>
      </c>
      <c r="L8" s="303"/>
      <c r="M8" s="304"/>
      <c r="N8" s="366">
        <v>0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65" t="s">
        <v>285</v>
      </c>
      <c r="D9" s="490"/>
      <c r="E9" s="395"/>
      <c r="F9" s="393"/>
      <c r="G9" s="491"/>
      <c r="H9" s="394">
        <f>SUM($F$8:F9)/A9</f>
        <v>0</v>
      </c>
      <c r="I9" s="395">
        <f>SUM($G$8:G9)/A9</f>
        <v>0</v>
      </c>
      <c r="J9" s="396">
        <f t="shared" ref="J9:K11" si="0">J8+D9-F9</f>
        <v>4764</v>
      </c>
      <c r="K9" s="397">
        <f t="shared" si="0"/>
        <v>4764</v>
      </c>
      <c r="L9" s="338" t="e">
        <f>J9/H9</f>
        <v>#DIV/0!</v>
      </c>
      <c r="M9" s="300" t="e">
        <f>K9/I9</f>
        <v>#DIV/0!</v>
      </c>
      <c r="N9" s="366"/>
      <c r="O9" s="647">
        <f>J9/$O$8</f>
        <v>1.5874708430523159</v>
      </c>
    </row>
    <row r="10" spans="1:25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490"/>
      <c r="E10" s="395"/>
      <c r="F10" s="393"/>
      <c r="G10" s="491"/>
      <c r="H10" s="394">
        <f>SUM($F$8:F10)/A10</f>
        <v>0</v>
      </c>
      <c r="I10" s="395">
        <f>SUM($G$8:G10)/A10</f>
        <v>0</v>
      </c>
      <c r="J10" s="396">
        <f t="shared" si="0"/>
        <v>4764</v>
      </c>
      <c r="K10" s="397">
        <f t="shared" si="0"/>
        <v>4764</v>
      </c>
      <c r="L10" s="338" t="e">
        <f t="shared" ref="L10:L39" si="1">J10/H10</f>
        <v>#DIV/0!</v>
      </c>
      <c r="M10" s="300" t="e">
        <f t="shared" ref="M10:M39" si="2">K10/I10</f>
        <v>#DIV/0!</v>
      </c>
      <c r="N10" s="366"/>
      <c r="O10" s="647">
        <f t="shared" ref="O10:O39" si="3">J10/$O$8</f>
        <v>1.5874708430523159</v>
      </c>
    </row>
    <row r="11" spans="1:25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490"/>
      <c r="E11" s="395"/>
      <c r="F11" s="393"/>
      <c r="G11" s="491"/>
      <c r="H11" s="394">
        <f>SUM($F$8:F11)/A11</f>
        <v>0</v>
      </c>
      <c r="I11" s="395">
        <f>SUM($G$8:G11)/A11</f>
        <v>0</v>
      </c>
      <c r="J11" s="396">
        <f t="shared" si="0"/>
        <v>4764</v>
      </c>
      <c r="K11" s="397">
        <f t="shared" si="0"/>
        <v>4764</v>
      </c>
      <c r="L11" s="338" t="e">
        <f t="shared" si="1"/>
        <v>#DIV/0!</v>
      </c>
      <c r="M11" s="300" t="e">
        <f t="shared" si="2"/>
        <v>#DIV/0!</v>
      </c>
      <c r="N11" s="366"/>
      <c r="O11" s="647">
        <f t="shared" si="3"/>
        <v>1.5874708430523159</v>
      </c>
    </row>
    <row r="12" spans="1:25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490"/>
      <c r="E12" s="395"/>
      <c r="F12" s="393"/>
      <c r="G12" s="491"/>
      <c r="H12" s="394">
        <f>SUM($F$8:F12)/A12</f>
        <v>0</v>
      </c>
      <c r="I12" s="395">
        <f>SUM($G$8:G12)/A12</f>
        <v>0</v>
      </c>
      <c r="J12" s="396">
        <f t="shared" ref="J12:K27" si="4">J11+D12-F12</f>
        <v>4764</v>
      </c>
      <c r="K12" s="397">
        <f t="shared" si="4"/>
        <v>4764</v>
      </c>
      <c r="L12" s="338" t="e">
        <f t="shared" si="1"/>
        <v>#DIV/0!</v>
      </c>
      <c r="M12" s="300" t="e">
        <f t="shared" si="2"/>
        <v>#DIV/0!</v>
      </c>
      <c r="N12" s="366"/>
      <c r="O12" s="647">
        <f t="shared" si="3"/>
        <v>1.5874708430523159</v>
      </c>
    </row>
    <row r="13" spans="1:25" s="367" customFormat="1" ht="12" customHeight="1">
      <c r="A13" s="500">
        <v>5</v>
      </c>
      <c r="B13" s="365">
        <f>'FRIT HGE91-FHG'!B13</f>
        <v>46239</v>
      </c>
      <c r="C13" s="365" t="s">
        <v>285</v>
      </c>
      <c r="D13" s="490"/>
      <c r="E13" s="395"/>
      <c r="F13" s="393"/>
      <c r="G13" s="491"/>
      <c r="H13" s="492">
        <f>SUM($F$8:F13)/A13</f>
        <v>0</v>
      </c>
      <c r="I13" s="395">
        <f>SUM($G$8:G13)/A13</f>
        <v>0</v>
      </c>
      <c r="J13" s="492">
        <f t="shared" si="4"/>
        <v>4764</v>
      </c>
      <c r="K13" s="397">
        <f t="shared" si="4"/>
        <v>4764</v>
      </c>
      <c r="L13" s="368" t="e">
        <f t="shared" si="1"/>
        <v>#DIV/0!</v>
      </c>
      <c r="M13" s="300" t="e">
        <f t="shared" si="2"/>
        <v>#DIV/0!</v>
      </c>
      <c r="N13" s="366"/>
      <c r="O13" s="647">
        <f t="shared" si="3"/>
        <v>1.5874708430523159</v>
      </c>
    </row>
    <row r="14" spans="1:25" s="367" customFormat="1" ht="12" customHeight="1">
      <c r="A14" s="364">
        <v>6</v>
      </c>
      <c r="B14" s="365">
        <f>'FRIT HGE91-FHG'!B14</f>
        <v>46240</v>
      </c>
      <c r="C14" s="365" t="s">
        <v>334</v>
      </c>
      <c r="D14" s="490"/>
      <c r="E14" s="395"/>
      <c r="F14" s="393"/>
      <c r="G14" s="491"/>
      <c r="H14" s="394">
        <f>SUM($F$8:F14)/A14</f>
        <v>0</v>
      </c>
      <c r="I14" s="395">
        <f>SUM($G$8:G14)/A14</f>
        <v>0</v>
      </c>
      <c r="J14" s="396">
        <f t="shared" si="4"/>
        <v>4764</v>
      </c>
      <c r="K14" s="397">
        <f t="shared" si="4"/>
        <v>4764</v>
      </c>
      <c r="L14" s="338" t="e">
        <f t="shared" si="1"/>
        <v>#DIV/0!</v>
      </c>
      <c r="M14" s="300" t="e">
        <f t="shared" si="2"/>
        <v>#DIV/0!</v>
      </c>
      <c r="N14" s="366"/>
      <c r="O14" s="647">
        <f t="shared" si="3"/>
        <v>1.5874708430523159</v>
      </c>
    </row>
    <row r="15" spans="1:25" s="367" customFormat="1" ht="12" customHeight="1">
      <c r="A15" s="364">
        <v>7</v>
      </c>
      <c r="B15" s="365">
        <f>'FRIT HGE91-FHG'!B15</f>
        <v>46241</v>
      </c>
      <c r="C15" s="365" t="s">
        <v>334</v>
      </c>
      <c r="D15" s="490"/>
      <c r="E15" s="395"/>
      <c r="F15" s="393"/>
      <c r="G15" s="491"/>
      <c r="H15" s="394">
        <f>SUM($F$8:F15)/A15</f>
        <v>0</v>
      </c>
      <c r="I15" s="395">
        <f>SUM($G$8:G15)/A15</f>
        <v>0</v>
      </c>
      <c r="J15" s="396">
        <f t="shared" si="4"/>
        <v>4764</v>
      </c>
      <c r="K15" s="397">
        <f t="shared" si="4"/>
        <v>4764</v>
      </c>
      <c r="L15" s="338" t="e">
        <f t="shared" si="1"/>
        <v>#DIV/0!</v>
      </c>
      <c r="M15" s="300" t="e">
        <f t="shared" si="2"/>
        <v>#DIV/0!</v>
      </c>
      <c r="N15" s="366"/>
      <c r="O15" s="647">
        <f t="shared" si="3"/>
        <v>1.5874708430523159</v>
      </c>
    </row>
    <row r="16" spans="1:25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490"/>
      <c r="E16" s="395"/>
      <c r="F16" s="393"/>
      <c r="G16" s="491"/>
      <c r="H16" s="394">
        <f>SUM($F$8:F16)/A16</f>
        <v>0</v>
      </c>
      <c r="I16" s="395">
        <f>SUM($G$8:G16)/A16</f>
        <v>0</v>
      </c>
      <c r="J16" s="396">
        <f t="shared" si="4"/>
        <v>4764</v>
      </c>
      <c r="K16" s="397">
        <f t="shared" si="4"/>
        <v>4764</v>
      </c>
      <c r="L16" s="338" t="e">
        <f t="shared" si="1"/>
        <v>#DIV/0!</v>
      </c>
      <c r="M16" s="300" t="e">
        <f t="shared" si="2"/>
        <v>#DIV/0!</v>
      </c>
      <c r="N16" s="366"/>
      <c r="O16" s="647">
        <f t="shared" si="3"/>
        <v>1.5874708430523159</v>
      </c>
    </row>
    <row r="17" spans="1:15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490"/>
      <c r="E17" s="395"/>
      <c r="F17" s="393"/>
      <c r="G17" s="491"/>
      <c r="H17" s="394">
        <f>SUM($F$8:F17)/A17</f>
        <v>0</v>
      </c>
      <c r="I17" s="395">
        <f>SUM($G$8:G17)/A17</f>
        <v>0</v>
      </c>
      <c r="J17" s="396">
        <f t="shared" si="4"/>
        <v>4764</v>
      </c>
      <c r="K17" s="397">
        <f t="shared" si="4"/>
        <v>4764</v>
      </c>
      <c r="L17" s="338" t="e">
        <f t="shared" si="1"/>
        <v>#DIV/0!</v>
      </c>
      <c r="M17" s="300" t="e">
        <f t="shared" si="2"/>
        <v>#DIV/0!</v>
      </c>
      <c r="N17" s="366"/>
      <c r="O17" s="647">
        <f t="shared" si="3"/>
        <v>1.5874708430523159</v>
      </c>
    </row>
    <row r="18" spans="1:15" s="367" customFormat="1" ht="12" customHeight="1">
      <c r="A18" s="500">
        <v>10</v>
      </c>
      <c r="B18" s="365">
        <f>'FRIT HGE91-FHG'!B18</f>
        <v>46244</v>
      </c>
      <c r="C18" s="365" t="s">
        <v>285</v>
      </c>
      <c r="D18" s="490"/>
      <c r="E18" s="395"/>
      <c r="F18" s="393"/>
      <c r="G18" s="491"/>
      <c r="H18" s="492">
        <f>SUM($F$8:F18)/A18</f>
        <v>0</v>
      </c>
      <c r="I18" s="395">
        <f>SUM($G$8:G18)/A18</f>
        <v>0</v>
      </c>
      <c r="J18" s="492">
        <f t="shared" si="4"/>
        <v>4764</v>
      </c>
      <c r="K18" s="397">
        <f t="shared" si="4"/>
        <v>4764</v>
      </c>
      <c r="L18" s="368" t="e">
        <f t="shared" si="1"/>
        <v>#DIV/0!</v>
      </c>
      <c r="M18" s="300" t="e">
        <f t="shared" si="2"/>
        <v>#DIV/0!</v>
      </c>
      <c r="N18" s="366"/>
      <c r="O18" s="647">
        <f t="shared" si="3"/>
        <v>1.5874708430523159</v>
      </c>
    </row>
    <row r="19" spans="1:15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490"/>
      <c r="E19" s="395"/>
      <c r="F19" s="393"/>
      <c r="G19" s="491"/>
      <c r="H19" s="394">
        <f>SUM($F$8:F19)/A19</f>
        <v>0</v>
      </c>
      <c r="I19" s="395">
        <f>SUM($G$8:G19)/A19</f>
        <v>0</v>
      </c>
      <c r="J19" s="396">
        <f t="shared" si="4"/>
        <v>4764</v>
      </c>
      <c r="K19" s="397">
        <f t="shared" si="4"/>
        <v>4764</v>
      </c>
      <c r="L19" s="338" t="e">
        <f t="shared" si="1"/>
        <v>#DIV/0!</v>
      </c>
      <c r="M19" s="300" t="e">
        <f t="shared" si="2"/>
        <v>#DIV/0!</v>
      </c>
      <c r="N19" s="366"/>
      <c r="O19" s="647">
        <f t="shared" si="3"/>
        <v>1.5874708430523159</v>
      </c>
    </row>
    <row r="20" spans="1:15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490"/>
      <c r="E20" s="395"/>
      <c r="F20" s="393"/>
      <c r="G20" s="491"/>
      <c r="H20" s="394">
        <f>SUM($F$8:F20)/A20</f>
        <v>0</v>
      </c>
      <c r="I20" s="395">
        <f>SUM($G$8:G20)/A20</f>
        <v>0</v>
      </c>
      <c r="J20" s="396">
        <f t="shared" si="4"/>
        <v>4764</v>
      </c>
      <c r="K20" s="397">
        <f t="shared" si="4"/>
        <v>4764</v>
      </c>
      <c r="L20" s="338" t="e">
        <f t="shared" si="1"/>
        <v>#DIV/0!</v>
      </c>
      <c r="M20" s="300" t="e">
        <f t="shared" si="2"/>
        <v>#DIV/0!</v>
      </c>
      <c r="N20" s="366"/>
      <c r="O20" s="647">
        <f t="shared" si="3"/>
        <v>1.5874708430523159</v>
      </c>
    </row>
    <row r="21" spans="1:15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490"/>
      <c r="E21" s="395"/>
      <c r="F21" s="393"/>
      <c r="G21" s="491"/>
      <c r="H21" s="394">
        <f>SUM($F$8:F21)/A21</f>
        <v>0</v>
      </c>
      <c r="I21" s="395">
        <f>SUM($G$8:G21)/A21</f>
        <v>0</v>
      </c>
      <c r="J21" s="396">
        <f t="shared" si="4"/>
        <v>4764</v>
      </c>
      <c r="K21" s="397">
        <f>K20+E21-G21</f>
        <v>4764</v>
      </c>
      <c r="L21" s="338" t="e">
        <f t="shared" si="1"/>
        <v>#DIV/0!</v>
      </c>
      <c r="M21" s="300" t="e">
        <f t="shared" si="2"/>
        <v>#DIV/0!</v>
      </c>
      <c r="N21" s="366"/>
      <c r="O21" s="647">
        <f t="shared" si="3"/>
        <v>1.5874708430523159</v>
      </c>
    </row>
    <row r="22" spans="1:15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490"/>
      <c r="E22" s="395"/>
      <c r="F22" s="393"/>
      <c r="G22" s="491"/>
      <c r="H22" s="394">
        <f>SUM($F$8:F22)/A22</f>
        <v>0</v>
      </c>
      <c r="I22" s="395">
        <f>SUM($G$8:G22)/A22</f>
        <v>0</v>
      </c>
      <c r="J22" s="396">
        <f t="shared" si="4"/>
        <v>4764</v>
      </c>
      <c r="K22" s="397">
        <f>K21+E22-G22</f>
        <v>4764</v>
      </c>
      <c r="L22" s="338" t="e">
        <f t="shared" si="1"/>
        <v>#DIV/0!</v>
      </c>
      <c r="M22" s="300" t="e">
        <f t="shared" si="2"/>
        <v>#DIV/0!</v>
      </c>
      <c r="N22" s="366"/>
      <c r="O22" s="647">
        <f t="shared" si="3"/>
        <v>1.5874708430523159</v>
      </c>
    </row>
    <row r="23" spans="1:15" s="367" customFormat="1" ht="12" customHeight="1">
      <c r="A23" s="500">
        <v>15</v>
      </c>
      <c r="B23" s="365">
        <f>'FRIT HGE91-FHG'!B23</f>
        <v>46249</v>
      </c>
      <c r="C23" s="365" t="s">
        <v>285</v>
      </c>
      <c r="D23" s="490"/>
      <c r="E23" s="395"/>
      <c r="F23" s="393"/>
      <c r="G23" s="491"/>
      <c r="H23" s="492">
        <f>SUM($F$8:F23)/A23</f>
        <v>0</v>
      </c>
      <c r="I23" s="395">
        <f>SUM($G$8:G23)/A23</f>
        <v>0</v>
      </c>
      <c r="J23" s="492">
        <f t="shared" si="4"/>
        <v>4764</v>
      </c>
      <c r="K23" s="397">
        <f t="shared" si="4"/>
        <v>4764</v>
      </c>
      <c r="L23" s="368" t="e">
        <f t="shared" si="1"/>
        <v>#DIV/0!</v>
      </c>
      <c r="M23" s="300" t="e">
        <f t="shared" si="2"/>
        <v>#DIV/0!</v>
      </c>
      <c r="N23" s="366"/>
      <c r="O23" s="647">
        <f t="shared" si="3"/>
        <v>1.5874708430523159</v>
      </c>
    </row>
    <row r="24" spans="1:15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490"/>
      <c r="E24" s="395"/>
      <c r="F24" s="393"/>
      <c r="G24" s="491"/>
      <c r="H24" s="394">
        <f>SUM($F$8:F24)/A24</f>
        <v>0</v>
      </c>
      <c r="I24" s="395">
        <f>SUM($G$8:G24)/A24</f>
        <v>0</v>
      </c>
      <c r="J24" s="396">
        <f t="shared" si="4"/>
        <v>4764</v>
      </c>
      <c r="K24" s="397">
        <f>K23+E24-G24</f>
        <v>4764</v>
      </c>
      <c r="L24" s="338" t="e">
        <f t="shared" si="1"/>
        <v>#DIV/0!</v>
      </c>
      <c r="M24" s="300" t="e">
        <f t="shared" si="2"/>
        <v>#DIV/0!</v>
      </c>
      <c r="N24" s="366"/>
      <c r="O24" s="647">
        <f t="shared" si="3"/>
        <v>1.5874708430523159</v>
      </c>
    </row>
    <row r="25" spans="1:15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490"/>
      <c r="E25" s="395"/>
      <c r="F25" s="393"/>
      <c r="G25" s="491"/>
      <c r="H25" s="394">
        <f>SUM($F$8:F25)/A25</f>
        <v>0</v>
      </c>
      <c r="I25" s="395">
        <f>SUM($G$8:G25)/A25</f>
        <v>0</v>
      </c>
      <c r="J25" s="396">
        <f t="shared" si="4"/>
        <v>4764</v>
      </c>
      <c r="K25" s="397">
        <f>K24+E25-G25</f>
        <v>4764</v>
      </c>
      <c r="L25" s="338" t="e">
        <f t="shared" si="1"/>
        <v>#DIV/0!</v>
      </c>
      <c r="M25" s="300" t="e">
        <f t="shared" si="2"/>
        <v>#DIV/0!</v>
      </c>
      <c r="N25" s="366"/>
      <c r="O25" s="647">
        <f t="shared" si="3"/>
        <v>1.5874708430523159</v>
      </c>
    </row>
    <row r="26" spans="1:15" s="367" customFormat="1" ht="12" customHeight="1">
      <c r="A26" s="364">
        <v>18</v>
      </c>
      <c r="B26" s="365">
        <f>'FRIT HGE91-FHG'!B26</f>
        <v>46252</v>
      </c>
      <c r="C26" s="365" t="s">
        <v>285</v>
      </c>
      <c r="D26" s="490"/>
      <c r="E26" s="395"/>
      <c r="F26" s="393"/>
      <c r="G26" s="491"/>
      <c r="H26" s="394">
        <f>SUM($F$8:F26)/A26</f>
        <v>0</v>
      </c>
      <c r="I26" s="395">
        <f>SUM($G$8:G26)/A26</f>
        <v>0</v>
      </c>
      <c r="J26" s="396">
        <f t="shared" si="4"/>
        <v>4764</v>
      </c>
      <c r="K26" s="397">
        <f>K25+E26-G26</f>
        <v>4764</v>
      </c>
      <c r="L26" s="338" t="e">
        <f t="shared" si="1"/>
        <v>#DIV/0!</v>
      </c>
      <c r="M26" s="300" t="e">
        <f t="shared" si="2"/>
        <v>#DIV/0!</v>
      </c>
      <c r="N26" s="366"/>
      <c r="O26" s="647">
        <f t="shared" si="3"/>
        <v>1.5874708430523159</v>
      </c>
    </row>
    <row r="27" spans="1:15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490"/>
      <c r="E27" s="395"/>
      <c r="F27" s="393"/>
      <c r="G27" s="491"/>
      <c r="H27" s="394">
        <f>SUM($F$8:F27)/A27</f>
        <v>0</v>
      </c>
      <c r="I27" s="395">
        <f>SUM($G$8:G27)/A27</f>
        <v>0</v>
      </c>
      <c r="J27" s="396">
        <f t="shared" si="4"/>
        <v>4764</v>
      </c>
      <c r="K27" s="397">
        <f>K26+E27-G27</f>
        <v>4764</v>
      </c>
      <c r="L27" s="338" t="e">
        <f t="shared" si="1"/>
        <v>#DIV/0!</v>
      </c>
      <c r="M27" s="300" t="e">
        <f t="shared" si="2"/>
        <v>#DIV/0!</v>
      </c>
      <c r="N27" s="366"/>
      <c r="O27" s="647">
        <f t="shared" si="3"/>
        <v>1.5874708430523159</v>
      </c>
    </row>
    <row r="28" spans="1:15" s="367" customFormat="1" ht="12" customHeight="1">
      <c r="A28" s="500">
        <v>20</v>
      </c>
      <c r="B28" s="365">
        <f>'FRIT HGE91-FHG'!B28</f>
        <v>46254</v>
      </c>
      <c r="C28" s="365" t="s">
        <v>285</v>
      </c>
      <c r="D28" s="490"/>
      <c r="E28" s="395"/>
      <c r="F28" s="393"/>
      <c r="G28" s="491"/>
      <c r="H28" s="492">
        <f>SUM($F$8:F28)/A28</f>
        <v>0</v>
      </c>
      <c r="I28" s="395">
        <f>SUM($G$8:G28)/A28</f>
        <v>0</v>
      </c>
      <c r="J28" s="492">
        <f t="shared" ref="J28:K39" si="5">J27+D28-F28</f>
        <v>4764</v>
      </c>
      <c r="K28" s="397">
        <f t="shared" si="5"/>
        <v>4764</v>
      </c>
      <c r="L28" s="368" t="e">
        <f t="shared" si="1"/>
        <v>#DIV/0!</v>
      </c>
      <c r="M28" s="300" t="e">
        <f t="shared" si="2"/>
        <v>#DIV/0!</v>
      </c>
      <c r="N28" s="366"/>
      <c r="O28" s="647">
        <f t="shared" si="3"/>
        <v>1.5874708430523159</v>
      </c>
    </row>
    <row r="29" spans="1:15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490"/>
      <c r="E29" s="395"/>
      <c r="F29" s="393"/>
      <c r="G29" s="491"/>
      <c r="H29" s="394">
        <f>SUM($F$8:F29)/A29</f>
        <v>0</v>
      </c>
      <c r="I29" s="395">
        <f>SUM($G$8:G29)/A29</f>
        <v>0</v>
      </c>
      <c r="J29" s="396">
        <f t="shared" si="5"/>
        <v>4764</v>
      </c>
      <c r="K29" s="397">
        <f t="shared" si="5"/>
        <v>4764</v>
      </c>
      <c r="L29" s="338" t="e">
        <f t="shared" si="1"/>
        <v>#DIV/0!</v>
      </c>
      <c r="M29" s="300" t="e">
        <f t="shared" si="2"/>
        <v>#DIV/0!</v>
      </c>
      <c r="N29" s="366"/>
      <c r="O29" s="647">
        <f t="shared" si="3"/>
        <v>1.5874708430523159</v>
      </c>
    </row>
    <row r="30" spans="1:15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490"/>
      <c r="E30" s="395"/>
      <c r="F30" s="393"/>
      <c r="G30" s="491"/>
      <c r="H30" s="394">
        <f>SUM($F$8:F30)/A30</f>
        <v>0</v>
      </c>
      <c r="I30" s="395">
        <f>SUM($G$8:G30)/A30</f>
        <v>0</v>
      </c>
      <c r="J30" s="396">
        <f t="shared" si="5"/>
        <v>4764</v>
      </c>
      <c r="K30" s="397">
        <f t="shared" si="5"/>
        <v>4764</v>
      </c>
      <c r="L30" s="338" t="e">
        <f t="shared" si="1"/>
        <v>#DIV/0!</v>
      </c>
      <c r="M30" s="300" t="e">
        <f t="shared" si="2"/>
        <v>#DIV/0!</v>
      </c>
      <c r="N30" s="366"/>
      <c r="O30" s="647">
        <f t="shared" si="3"/>
        <v>1.5874708430523159</v>
      </c>
    </row>
    <row r="31" spans="1:15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490"/>
      <c r="E31" s="395"/>
      <c r="F31" s="393"/>
      <c r="G31" s="491"/>
      <c r="H31" s="394">
        <f>SUM($F$8:F31)/A31</f>
        <v>0</v>
      </c>
      <c r="I31" s="395">
        <f>SUM($G$8:G31)/A31</f>
        <v>0</v>
      </c>
      <c r="J31" s="396">
        <f t="shared" si="5"/>
        <v>4764</v>
      </c>
      <c r="K31" s="397">
        <f t="shared" si="5"/>
        <v>4764</v>
      </c>
      <c r="L31" s="338" t="e">
        <f t="shared" si="1"/>
        <v>#DIV/0!</v>
      </c>
      <c r="M31" s="300" t="e">
        <f t="shared" si="2"/>
        <v>#DIV/0!</v>
      </c>
      <c r="N31" s="366"/>
      <c r="O31" s="647">
        <f t="shared" si="3"/>
        <v>1.5874708430523159</v>
      </c>
    </row>
    <row r="32" spans="1:15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490"/>
      <c r="E32" s="395"/>
      <c r="F32" s="393"/>
      <c r="G32" s="491"/>
      <c r="H32" s="394">
        <f>SUM($F$8:F32)/A32</f>
        <v>0</v>
      </c>
      <c r="I32" s="395">
        <f>SUM($G$8:G32)/A32</f>
        <v>0</v>
      </c>
      <c r="J32" s="396">
        <f t="shared" si="5"/>
        <v>4764</v>
      </c>
      <c r="K32" s="397">
        <f t="shared" si="5"/>
        <v>4764</v>
      </c>
      <c r="L32" s="338" t="e">
        <f t="shared" si="1"/>
        <v>#DIV/0!</v>
      </c>
      <c r="M32" s="300" t="e">
        <f t="shared" si="2"/>
        <v>#DIV/0!</v>
      </c>
      <c r="N32" s="366"/>
      <c r="O32" s="647">
        <f t="shared" si="3"/>
        <v>1.5874708430523159</v>
      </c>
    </row>
    <row r="33" spans="1:15" s="367" customFormat="1" ht="12" customHeight="1">
      <c r="A33" s="448">
        <v>25</v>
      </c>
      <c r="B33" s="365">
        <f>'FRIT HGE91-FHG'!B33</f>
        <v>46259</v>
      </c>
      <c r="C33" s="365" t="s">
        <v>285</v>
      </c>
      <c r="D33" s="490"/>
      <c r="E33" s="395"/>
      <c r="F33" s="393"/>
      <c r="G33" s="491"/>
      <c r="H33" s="493">
        <f>SUM($F$8:F33)/A33</f>
        <v>0</v>
      </c>
      <c r="I33" s="395">
        <f>SUM($G$8:G33)/A33</f>
        <v>0</v>
      </c>
      <c r="J33" s="493">
        <f t="shared" si="5"/>
        <v>4764</v>
      </c>
      <c r="K33" s="397">
        <f t="shared" si="5"/>
        <v>4764</v>
      </c>
      <c r="L33" s="369" t="e">
        <f t="shared" si="1"/>
        <v>#DIV/0!</v>
      </c>
      <c r="M33" s="300" t="e">
        <f t="shared" si="2"/>
        <v>#DIV/0!</v>
      </c>
      <c r="N33" s="366"/>
      <c r="O33" s="647">
        <f t="shared" si="3"/>
        <v>1.5874708430523159</v>
      </c>
    </row>
    <row r="34" spans="1:15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490"/>
      <c r="E34" s="395"/>
      <c r="F34" s="393"/>
      <c r="G34" s="491"/>
      <c r="H34" s="394">
        <f>SUM($F$8:F34)/A34</f>
        <v>0</v>
      </c>
      <c r="I34" s="395">
        <f>SUM($G$8:G34)/A34</f>
        <v>0</v>
      </c>
      <c r="J34" s="396">
        <f t="shared" si="5"/>
        <v>4764</v>
      </c>
      <c r="K34" s="397">
        <f t="shared" si="5"/>
        <v>4764</v>
      </c>
      <c r="L34" s="338" t="e">
        <f t="shared" si="1"/>
        <v>#DIV/0!</v>
      </c>
      <c r="M34" s="300" t="e">
        <f t="shared" si="2"/>
        <v>#DIV/0!</v>
      </c>
      <c r="N34" s="366"/>
      <c r="O34" s="647">
        <f t="shared" si="3"/>
        <v>1.5874708430523159</v>
      </c>
    </row>
    <row r="35" spans="1:15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494"/>
      <c r="E35" s="395"/>
      <c r="F35" s="393"/>
      <c r="G35" s="491"/>
      <c r="H35" s="394">
        <f>SUM($F$8:F35)/A35</f>
        <v>0</v>
      </c>
      <c r="I35" s="395">
        <f>SUM($G$8:G35)/A35</f>
        <v>0</v>
      </c>
      <c r="J35" s="396">
        <f t="shared" si="5"/>
        <v>4764</v>
      </c>
      <c r="K35" s="397">
        <f t="shared" si="5"/>
        <v>4764</v>
      </c>
      <c r="L35" s="338" t="e">
        <f t="shared" si="1"/>
        <v>#DIV/0!</v>
      </c>
      <c r="M35" s="300" t="e">
        <f t="shared" si="2"/>
        <v>#DIV/0!</v>
      </c>
      <c r="N35" s="366"/>
      <c r="O35" s="647">
        <f t="shared" si="3"/>
        <v>1.5874708430523159</v>
      </c>
    </row>
    <row r="36" spans="1:15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494"/>
      <c r="E36" s="395"/>
      <c r="F36" s="393"/>
      <c r="G36" s="491"/>
      <c r="H36" s="394">
        <f>SUM($F$8:F36)/A36</f>
        <v>0</v>
      </c>
      <c r="I36" s="395">
        <f>SUM($G$8:G36)/A36</f>
        <v>0</v>
      </c>
      <c r="J36" s="396">
        <f t="shared" si="5"/>
        <v>4764</v>
      </c>
      <c r="K36" s="397">
        <f t="shared" si="5"/>
        <v>4764</v>
      </c>
      <c r="L36" s="338" t="e">
        <f t="shared" si="1"/>
        <v>#DIV/0!</v>
      </c>
      <c r="M36" s="300" t="e">
        <f t="shared" si="2"/>
        <v>#DIV/0!</v>
      </c>
      <c r="N36" s="366"/>
      <c r="O36" s="647">
        <f t="shared" si="3"/>
        <v>1.5874708430523159</v>
      </c>
    </row>
    <row r="37" spans="1:15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494"/>
      <c r="E37" s="395"/>
      <c r="F37" s="393"/>
      <c r="G37" s="491"/>
      <c r="H37" s="394">
        <f>SUM($F$8:F37)/A37</f>
        <v>0</v>
      </c>
      <c r="I37" s="395">
        <f>SUM($G$8:G37)/A37</f>
        <v>0</v>
      </c>
      <c r="J37" s="396">
        <f t="shared" si="5"/>
        <v>4764</v>
      </c>
      <c r="K37" s="397">
        <f t="shared" si="5"/>
        <v>4764</v>
      </c>
      <c r="L37" s="338" t="e">
        <f t="shared" si="1"/>
        <v>#DIV/0!</v>
      </c>
      <c r="M37" s="300" t="e">
        <f t="shared" si="2"/>
        <v>#DIV/0!</v>
      </c>
      <c r="N37" s="366"/>
      <c r="O37" s="647">
        <f t="shared" si="3"/>
        <v>1.5874708430523159</v>
      </c>
    </row>
    <row r="38" spans="1:15" s="367" customFormat="1" ht="12" customHeight="1">
      <c r="A38" s="500">
        <v>30</v>
      </c>
      <c r="B38" s="365">
        <f>'FRIT HGE91-FHG'!B38</f>
        <v>46264</v>
      </c>
      <c r="C38" s="365" t="s">
        <v>285</v>
      </c>
      <c r="D38" s="490"/>
      <c r="E38" s="395"/>
      <c r="F38" s="393"/>
      <c r="G38" s="491"/>
      <c r="H38" s="492">
        <f>SUM($F$8:F38)/A38</f>
        <v>0</v>
      </c>
      <c r="I38" s="395">
        <f>SUM($G$8:G38)/A38</f>
        <v>0</v>
      </c>
      <c r="J38" s="492">
        <f t="shared" si="5"/>
        <v>4764</v>
      </c>
      <c r="K38" s="397">
        <f t="shared" si="5"/>
        <v>4764</v>
      </c>
      <c r="L38" s="368" t="e">
        <f t="shared" si="1"/>
        <v>#DIV/0!</v>
      </c>
      <c r="M38" s="300" t="e">
        <f t="shared" si="2"/>
        <v>#DIV/0!</v>
      </c>
      <c r="N38" s="366"/>
      <c r="O38" s="647">
        <f t="shared" si="3"/>
        <v>1.5874708430523159</v>
      </c>
    </row>
    <row r="39" spans="1:15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490"/>
      <c r="E39" s="395"/>
      <c r="F39" s="393"/>
      <c r="G39" s="491"/>
      <c r="H39" s="394">
        <f>SUM($F$8:F39)/A39</f>
        <v>0</v>
      </c>
      <c r="I39" s="395">
        <f>SUM($G$8:G39)/A39</f>
        <v>0</v>
      </c>
      <c r="J39" s="396">
        <f t="shared" si="5"/>
        <v>4764</v>
      </c>
      <c r="K39" s="397">
        <f t="shared" si="5"/>
        <v>4764</v>
      </c>
      <c r="L39" s="338" t="e">
        <f t="shared" si="1"/>
        <v>#DIV/0!</v>
      </c>
      <c r="M39" s="300" t="e">
        <f t="shared" si="2"/>
        <v>#DIV/0!</v>
      </c>
      <c r="N39" s="366"/>
      <c r="O39" s="647">
        <f t="shared" si="3"/>
        <v>1.5874708430523159</v>
      </c>
    </row>
    <row r="40" spans="1:15" s="374" customFormat="1" ht="12" customHeight="1">
      <c r="A40" s="763" t="s">
        <v>29</v>
      </c>
      <c r="B40" s="764"/>
      <c r="C40" s="765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4764</v>
      </c>
      <c r="K40" s="461">
        <f>K39</f>
        <v>4764</v>
      </c>
      <c r="L40" s="302"/>
      <c r="M40" s="302"/>
      <c r="N40" s="507"/>
    </row>
    <row r="41" spans="1:15" s="374" customFormat="1" ht="12" customHeight="1">
      <c r="A41" s="763" t="s">
        <v>15</v>
      </c>
      <c r="B41" s="764"/>
      <c r="C41" s="765"/>
      <c r="D41" s="388">
        <f>D8+D40</f>
        <v>4764</v>
      </c>
      <c r="E41" s="388">
        <f>E8+E40</f>
        <v>4764</v>
      </c>
      <c r="F41" s="389">
        <f>F40</f>
        <v>0</v>
      </c>
      <c r="G41" s="496">
        <f>G40</f>
        <v>0</v>
      </c>
      <c r="H41" s="389"/>
      <c r="I41" s="496"/>
      <c r="J41" s="389">
        <f>D41-F41</f>
        <v>4764</v>
      </c>
      <c r="K41" s="389">
        <f>E41-G41</f>
        <v>4764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7" spans="1:15">
      <c r="D47" s="143"/>
      <c r="E47" s="143"/>
      <c r="F47" s="143"/>
      <c r="G47" s="143"/>
      <c r="H47" s="143"/>
      <c r="I47" s="143"/>
      <c r="K47" s="143"/>
    </row>
    <row r="48" spans="1:15">
      <c r="D48" s="143"/>
      <c r="E48" s="143"/>
      <c r="F48" s="143"/>
      <c r="G48" s="143"/>
      <c r="H48" s="143"/>
      <c r="I48" s="143"/>
      <c r="K48" s="143"/>
    </row>
    <row r="49" spans="4:11">
      <c r="D49" s="143"/>
      <c r="E49" s="143"/>
      <c r="F49" s="143"/>
      <c r="G49" s="143"/>
      <c r="H49" s="143"/>
      <c r="I49" s="143"/>
      <c r="J49" s="143"/>
      <c r="K49" s="143"/>
    </row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9:M39">
    <cfRule type="cellIs" dxfId="5579" priority="361" operator="lessThan">
      <formula>15</formula>
    </cfRule>
    <cfRule type="cellIs" dxfId="5578" priority="362" operator="greaterThan">
      <formula>20</formula>
    </cfRule>
    <cfRule type="cellIs" dxfId="5577" priority="363" operator="between">
      <formula>15</formula>
      <formula>20</formula>
    </cfRule>
    <cfRule type="cellIs" dxfId="5576" priority="364" operator="between">
      <formula>15</formula>
      <formula>20</formula>
    </cfRule>
    <cfRule type="cellIs" dxfId="5575" priority="365" operator="lessThan">
      <formula>15</formula>
    </cfRule>
    <cfRule type="cellIs" dxfId="5574" priority="366" operator="greaterThan">
      <formula>20</formula>
    </cfRule>
    <cfRule type="cellIs" dxfId="5573" priority="367" operator="between">
      <formula>15</formula>
      <formula>21</formula>
    </cfRule>
    <cfRule type="cellIs" dxfId="5572" priority="368" operator="lessThan">
      <formula>15</formula>
    </cfRule>
    <cfRule type="cellIs" dxfId="5571" priority="369" operator="greaterThan">
      <formula>21</formula>
    </cfRule>
  </conditionalFormatting>
  <conditionalFormatting sqref="M39">
    <cfRule type="cellIs" dxfId="5570" priority="352" operator="lessThan">
      <formula>15</formula>
    </cfRule>
    <cfRule type="cellIs" dxfId="5569" priority="353" operator="greaterThan">
      <formula>20</formula>
    </cfRule>
    <cfRule type="cellIs" dxfId="5568" priority="354" operator="between">
      <formula>15</formula>
      <formula>20</formula>
    </cfRule>
    <cfRule type="cellIs" dxfId="5567" priority="355" operator="between">
      <formula>15</formula>
      <formula>20</formula>
    </cfRule>
    <cfRule type="cellIs" dxfId="5566" priority="356" operator="lessThan">
      <formula>15</formula>
    </cfRule>
    <cfRule type="cellIs" dxfId="5565" priority="357" operator="greaterThan">
      <formula>20</formula>
    </cfRule>
    <cfRule type="cellIs" dxfId="5564" priority="358" operator="between">
      <formula>15</formula>
      <formula>21</formula>
    </cfRule>
    <cfRule type="cellIs" dxfId="5563" priority="359" operator="lessThan">
      <formula>15</formula>
    </cfRule>
    <cfRule type="cellIs" dxfId="5562" priority="360" operator="greaterThan">
      <formula>21</formula>
    </cfRule>
  </conditionalFormatting>
  <conditionalFormatting sqref="M34">
    <cfRule type="cellIs" dxfId="5561" priority="343" operator="lessThan">
      <formula>15</formula>
    </cfRule>
    <cfRule type="cellIs" dxfId="5560" priority="344" operator="greaterThan">
      <formula>20</formula>
    </cfRule>
    <cfRule type="cellIs" dxfId="5559" priority="345" operator="between">
      <formula>15</formula>
      <formula>20</formula>
    </cfRule>
    <cfRule type="cellIs" dxfId="5558" priority="346" operator="between">
      <formula>15</formula>
      <formula>20</formula>
    </cfRule>
    <cfRule type="cellIs" dxfId="5557" priority="347" operator="lessThan">
      <formula>15</formula>
    </cfRule>
    <cfRule type="cellIs" dxfId="5556" priority="348" operator="greaterThan">
      <formula>20</formula>
    </cfRule>
    <cfRule type="cellIs" dxfId="5555" priority="349" operator="between">
      <formula>15</formula>
      <formula>21</formula>
    </cfRule>
    <cfRule type="cellIs" dxfId="5554" priority="350" operator="lessThan">
      <formula>15</formula>
    </cfRule>
    <cfRule type="cellIs" dxfId="5553" priority="351" operator="greaterThan">
      <formula>21</formula>
    </cfRule>
  </conditionalFormatting>
  <conditionalFormatting sqref="M29">
    <cfRule type="cellIs" dxfId="5552" priority="334" operator="lessThan">
      <formula>15</formula>
    </cfRule>
    <cfRule type="cellIs" dxfId="5551" priority="335" operator="greaterThan">
      <formula>20</formula>
    </cfRule>
    <cfRule type="cellIs" dxfId="5550" priority="336" operator="between">
      <formula>15</formula>
      <formula>20</formula>
    </cfRule>
    <cfRule type="cellIs" dxfId="5549" priority="337" operator="between">
      <formula>15</formula>
      <formula>20</formula>
    </cfRule>
    <cfRule type="cellIs" dxfId="5548" priority="338" operator="lessThan">
      <formula>15</formula>
    </cfRule>
    <cfRule type="cellIs" dxfId="5547" priority="339" operator="greaterThan">
      <formula>20</formula>
    </cfRule>
    <cfRule type="cellIs" dxfId="5546" priority="340" operator="between">
      <formula>15</formula>
      <formula>21</formula>
    </cfRule>
    <cfRule type="cellIs" dxfId="5545" priority="341" operator="lessThan">
      <formula>15</formula>
    </cfRule>
    <cfRule type="cellIs" dxfId="5544" priority="342" operator="greaterThan">
      <formula>21</formula>
    </cfRule>
  </conditionalFormatting>
  <conditionalFormatting sqref="M24">
    <cfRule type="cellIs" dxfId="5543" priority="325" operator="lessThan">
      <formula>15</formula>
    </cfRule>
    <cfRule type="cellIs" dxfId="5542" priority="326" operator="greaterThan">
      <formula>20</formula>
    </cfRule>
    <cfRule type="cellIs" dxfId="5541" priority="327" operator="between">
      <formula>15</formula>
      <formula>20</formula>
    </cfRule>
    <cfRule type="cellIs" dxfId="5540" priority="328" operator="between">
      <formula>15</formula>
      <formula>20</formula>
    </cfRule>
    <cfRule type="cellIs" dxfId="5539" priority="329" operator="lessThan">
      <formula>15</formula>
    </cfRule>
    <cfRule type="cellIs" dxfId="5538" priority="330" operator="greaterThan">
      <formula>20</formula>
    </cfRule>
    <cfRule type="cellIs" dxfId="5537" priority="331" operator="between">
      <formula>15</formula>
      <formula>21</formula>
    </cfRule>
    <cfRule type="cellIs" dxfId="5536" priority="332" operator="lessThan">
      <formula>15</formula>
    </cfRule>
    <cfRule type="cellIs" dxfId="5535" priority="333" operator="greaterThan">
      <formula>21</formula>
    </cfRule>
  </conditionalFormatting>
  <conditionalFormatting sqref="M19">
    <cfRule type="cellIs" dxfId="5534" priority="316" operator="lessThan">
      <formula>15</formula>
    </cfRule>
    <cfRule type="cellIs" dxfId="5533" priority="317" operator="greaterThan">
      <formula>20</formula>
    </cfRule>
    <cfRule type="cellIs" dxfId="5532" priority="318" operator="between">
      <formula>15</formula>
      <formula>20</formula>
    </cfRule>
    <cfRule type="cellIs" dxfId="5531" priority="319" operator="between">
      <formula>15</formula>
      <formula>20</formula>
    </cfRule>
    <cfRule type="cellIs" dxfId="5530" priority="320" operator="lessThan">
      <formula>15</formula>
    </cfRule>
    <cfRule type="cellIs" dxfId="5529" priority="321" operator="greaterThan">
      <formula>20</formula>
    </cfRule>
    <cfRule type="cellIs" dxfId="5528" priority="322" operator="between">
      <formula>15</formula>
      <formula>21</formula>
    </cfRule>
    <cfRule type="cellIs" dxfId="5527" priority="323" operator="lessThan">
      <formula>15</formula>
    </cfRule>
    <cfRule type="cellIs" dxfId="5526" priority="324" operator="greaterThan">
      <formula>21</formula>
    </cfRule>
  </conditionalFormatting>
  <conditionalFormatting sqref="M36:M38">
    <cfRule type="cellIs" dxfId="5525" priority="307" operator="lessThan">
      <formula>15</formula>
    </cfRule>
    <cfRule type="cellIs" dxfId="5524" priority="308" operator="greaterThan">
      <formula>20</formula>
    </cfRule>
    <cfRule type="cellIs" dxfId="5523" priority="309" operator="between">
      <formula>15</formula>
      <formula>20</formula>
    </cfRule>
    <cfRule type="cellIs" dxfId="5522" priority="310" operator="between">
      <formula>15</formula>
      <formula>20</formula>
    </cfRule>
    <cfRule type="cellIs" dxfId="5521" priority="311" operator="lessThan">
      <formula>15</formula>
    </cfRule>
    <cfRule type="cellIs" dxfId="5520" priority="312" operator="greaterThan">
      <formula>20</formula>
    </cfRule>
    <cfRule type="cellIs" dxfId="5519" priority="313" operator="between">
      <formula>15</formula>
      <formula>21</formula>
    </cfRule>
    <cfRule type="cellIs" dxfId="5518" priority="314" operator="lessThan">
      <formula>15</formula>
    </cfRule>
    <cfRule type="cellIs" dxfId="5517" priority="315" operator="greaterThan">
      <formula>21</formula>
    </cfRule>
  </conditionalFormatting>
  <conditionalFormatting sqref="M14">
    <cfRule type="cellIs" dxfId="5516" priority="298" operator="lessThan">
      <formula>15</formula>
    </cfRule>
    <cfRule type="cellIs" dxfId="5515" priority="299" operator="greaterThan">
      <formula>20</formula>
    </cfRule>
    <cfRule type="cellIs" dxfId="5514" priority="300" operator="between">
      <formula>15</formula>
      <formula>20</formula>
    </cfRule>
    <cfRule type="cellIs" dxfId="5513" priority="301" operator="between">
      <formula>15</formula>
      <formula>20</formula>
    </cfRule>
    <cfRule type="cellIs" dxfId="5512" priority="302" operator="lessThan">
      <formula>15</formula>
    </cfRule>
    <cfRule type="cellIs" dxfId="5511" priority="303" operator="greaterThan">
      <formula>20</formula>
    </cfRule>
    <cfRule type="cellIs" dxfId="5510" priority="304" operator="between">
      <formula>15</formula>
      <formula>21</formula>
    </cfRule>
    <cfRule type="cellIs" dxfId="5509" priority="305" operator="lessThan">
      <formula>15</formula>
    </cfRule>
    <cfRule type="cellIs" dxfId="5508" priority="306" operator="greaterThan">
      <formula>21</formula>
    </cfRule>
  </conditionalFormatting>
  <conditionalFormatting sqref="M21">
    <cfRule type="cellIs" dxfId="5507" priority="289" operator="lessThan">
      <formula>15</formula>
    </cfRule>
    <cfRule type="cellIs" dxfId="5506" priority="290" operator="greaterThan">
      <formula>20</formula>
    </cfRule>
    <cfRule type="cellIs" dxfId="5505" priority="291" operator="between">
      <formula>15</formula>
      <formula>20</formula>
    </cfRule>
    <cfRule type="cellIs" dxfId="5504" priority="292" operator="between">
      <formula>15</formula>
      <formula>20</formula>
    </cfRule>
    <cfRule type="cellIs" dxfId="5503" priority="293" operator="lessThan">
      <formula>15</formula>
    </cfRule>
    <cfRule type="cellIs" dxfId="5502" priority="294" operator="greaterThan">
      <formula>20</formula>
    </cfRule>
    <cfRule type="cellIs" dxfId="5501" priority="295" operator="between">
      <formula>15</formula>
      <formula>21</formula>
    </cfRule>
    <cfRule type="cellIs" dxfId="5500" priority="296" operator="lessThan">
      <formula>15</formula>
    </cfRule>
    <cfRule type="cellIs" dxfId="5499" priority="297" operator="greaterThan">
      <formula>21</formula>
    </cfRule>
  </conditionalFormatting>
  <conditionalFormatting sqref="M28">
    <cfRule type="cellIs" dxfId="5498" priority="280" operator="lessThan">
      <formula>15</formula>
    </cfRule>
    <cfRule type="cellIs" dxfId="5497" priority="281" operator="greaterThan">
      <formula>20</formula>
    </cfRule>
    <cfRule type="cellIs" dxfId="5496" priority="282" operator="between">
      <formula>15</formula>
      <formula>20</formula>
    </cfRule>
    <cfRule type="cellIs" dxfId="5495" priority="283" operator="between">
      <formula>15</formula>
      <formula>20</formula>
    </cfRule>
    <cfRule type="cellIs" dxfId="5494" priority="284" operator="lessThan">
      <formula>15</formula>
    </cfRule>
    <cfRule type="cellIs" dxfId="5493" priority="285" operator="greaterThan">
      <formula>20</formula>
    </cfRule>
    <cfRule type="cellIs" dxfId="5492" priority="286" operator="between">
      <formula>15</formula>
      <formula>21</formula>
    </cfRule>
    <cfRule type="cellIs" dxfId="5491" priority="287" operator="lessThan">
      <formula>15</formula>
    </cfRule>
    <cfRule type="cellIs" dxfId="5490" priority="288" operator="greaterThan">
      <formula>21</formula>
    </cfRule>
  </conditionalFormatting>
  <conditionalFormatting sqref="M35">
    <cfRule type="cellIs" dxfId="5489" priority="271" operator="lessThan">
      <formula>15</formula>
    </cfRule>
    <cfRule type="cellIs" dxfId="5488" priority="272" operator="greaterThan">
      <formula>20</formula>
    </cfRule>
    <cfRule type="cellIs" dxfId="5487" priority="273" operator="between">
      <formula>15</formula>
      <formula>20</formula>
    </cfRule>
    <cfRule type="cellIs" dxfId="5486" priority="274" operator="between">
      <formula>15</formula>
      <formula>20</formula>
    </cfRule>
    <cfRule type="cellIs" dxfId="5485" priority="275" operator="lessThan">
      <formula>15</formula>
    </cfRule>
    <cfRule type="cellIs" dxfId="5484" priority="276" operator="greaterThan">
      <formula>20</formula>
    </cfRule>
    <cfRule type="cellIs" dxfId="5483" priority="277" operator="between">
      <formula>15</formula>
      <formula>21</formula>
    </cfRule>
    <cfRule type="cellIs" dxfId="5482" priority="278" operator="lessThan">
      <formula>15</formula>
    </cfRule>
    <cfRule type="cellIs" dxfId="5481" priority="279" operator="greaterThan">
      <formula>21</formula>
    </cfRule>
  </conditionalFormatting>
  <conditionalFormatting sqref="M15:M18 M40 M22:M23 M25:M27 M20">
    <cfRule type="cellIs" dxfId="5480" priority="262" operator="lessThan">
      <formula>15</formula>
    </cfRule>
    <cfRule type="cellIs" dxfId="5479" priority="263" operator="greaterThan">
      <formula>20</formula>
    </cfRule>
    <cfRule type="cellIs" dxfId="5478" priority="264" operator="between">
      <formula>15</formula>
      <formula>20</formula>
    </cfRule>
    <cfRule type="cellIs" dxfId="5477" priority="265" operator="between">
      <formula>15</formula>
      <formula>20</formula>
    </cfRule>
    <cfRule type="cellIs" dxfId="5476" priority="266" operator="lessThan">
      <formula>15</formula>
    </cfRule>
    <cfRule type="cellIs" dxfId="5475" priority="267" operator="greaterThan">
      <formula>20</formula>
    </cfRule>
    <cfRule type="cellIs" dxfId="5474" priority="268" operator="between">
      <formula>15</formula>
      <formula>21</formula>
    </cfRule>
    <cfRule type="cellIs" dxfId="5473" priority="269" operator="lessThan">
      <formula>15</formula>
    </cfRule>
    <cfRule type="cellIs" dxfId="5472" priority="270" operator="greaterThan">
      <formula>21</formula>
    </cfRule>
  </conditionalFormatting>
  <conditionalFormatting sqref="M10:M13">
    <cfRule type="cellIs" dxfId="5471" priority="253" operator="lessThan">
      <formula>15</formula>
    </cfRule>
    <cfRule type="cellIs" dxfId="5470" priority="254" operator="greaterThan">
      <formula>20</formula>
    </cfRule>
    <cfRule type="cellIs" dxfId="5469" priority="255" operator="between">
      <formula>15</formula>
      <formula>20</formula>
    </cfRule>
    <cfRule type="cellIs" dxfId="5468" priority="256" operator="between">
      <formula>15</formula>
      <formula>20</formula>
    </cfRule>
    <cfRule type="cellIs" dxfId="5467" priority="257" operator="lessThan">
      <formula>15</formula>
    </cfRule>
    <cfRule type="cellIs" dxfId="5466" priority="258" operator="greaterThan">
      <formula>20</formula>
    </cfRule>
    <cfRule type="cellIs" dxfId="5465" priority="259" operator="between">
      <formula>15</formula>
      <formula>21</formula>
    </cfRule>
    <cfRule type="cellIs" dxfId="5464" priority="260" operator="lessThan">
      <formula>15</formula>
    </cfRule>
    <cfRule type="cellIs" dxfId="5463" priority="261" operator="greaterThan">
      <formula>21</formula>
    </cfRule>
  </conditionalFormatting>
  <conditionalFormatting sqref="M30:M33">
    <cfRule type="cellIs" dxfId="5462" priority="244" operator="lessThan">
      <formula>15</formula>
    </cfRule>
    <cfRule type="cellIs" dxfId="5461" priority="245" operator="greaterThan">
      <formula>20</formula>
    </cfRule>
    <cfRule type="cellIs" dxfId="5460" priority="246" operator="between">
      <formula>15</formula>
      <formula>20</formula>
    </cfRule>
    <cfRule type="cellIs" dxfId="5459" priority="247" operator="between">
      <formula>15</formula>
      <formula>20</formula>
    </cfRule>
    <cfRule type="cellIs" dxfId="5458" priority="248" operator="lessThan">
      <formula>15</formula>
    </cfRule>
    <cfRule type="cellIs" dxfId="5457" priority="249" operator="greaterThan">
      <formula>20</formula>
    </cfRule>
    <cfRule type="cellIs" dxfId="5456" priority="250" operator="between">
      <formula>15</formula>
      <formula>21</formula>
    </cfRule>
    <cfRule type="cellIs" dxfId="5455" priority="251" operator="lessThan">
      <formula>15</formula>
    </cfRule>
    <cfRule type="cellIs" dxfId="5454" priority="252" operator="greaterThan">
      <formula>21</formula>
    </cfRule>
  </conditionalFormatting>
  <conditionalFormatting sqref="M38">
    <cfRule type="cellIs" dxfId="5453" priority="235" operator="lessThan">
      <formula>15</formula>
    </cfRule>
    <cfRule type="cellIs" dxfId="5452" priority="236" operator="greaterThan">
      <formula>20</formula>
    </cfRule>
    <cfRule type="cellIs" dxfId="5451" priority="237" operator="between">
      <formula>15</formula>
      <formula>20</formula>
    </cfRule>
    <cfRule type="cellIs" dxfId="5450" priority="238" operator="between">
      <formula>15</formula>
      <formula>20</formula>
    </cfRule>
    <cfRule type="cellIs" dxfId="5449" priority="239" operator="lessThan">
      <formula>15</formula>
    </cfRule>
    <cfRule type="cellIs" dxfId="5448" priority="240" operator="greaterThan">
      <formula>20</formula>
    </cfRule>
    <cfRule type="cellIs" dxfId="5447" priority="241" operator="between">
      <formula>15</formula>
      <formula>21</formula>
    </cfRule>
    <cfRule type="cellIs" dxfId="5446" priority="242" operator="lessThan">
      <formula>15</formula>
    </cfRule>
    <cfRule type="cellIs" dxfId="5445" priority="243" operator="greaterThan">
      <formula>21</formula>
    </cfRule>
  </conditionalFormatting>
  <conditionalFormatting sqref="M33">
    <cfRule type="cellIs" dxfId="5444" priority="226" operator="lessThan">
      <formula>15</formula>
    </cfRule>
    <cfRule type="cellIs" dxfId="5443" priority="227" operator="greaterThan">
      <formula>20</formula>
    </cfRule>
    <cfRule type="cellIs" dxfId="5442" priority="228" operator="between">
      <formula>15</formula>
      <formula>20</formula>
    </cfRule>
    <cfRule type="cellIs" dxfId="5441" priority="229" operator="between">
      <formula>15</formula>
      <formula>20</formula>
    </cfRule>
    <cfRule type="cellIs" dxfId="5440" priority="230" operator="lessThan">
      <formula>15</formula>
    </cfRule>
    <cfRule type="cellIs" dxfId="5439" priority="231" operator="greaterThan">
      <formula>20</formula>
    </cfRule>
    <cfRule type="cellIs" dxfId="5438" priority="232" operator="between">
      <formula>15</formula>
      <formula>21</formula>
    </cfRule>
    <cfRule type="cellIs" dxfId="5437" priority="233" operator="lessThan">
      <formula>15</formula>
    </cfRule>
    <cfRule type="cellIs" dxfId="5436" priority="234" operator="greaterThan">
      <formula>21</formula>
    </cfRule>
  </conditionalFormatting>
  <conditionalFormatting sqref="M28">
    <cfRule type="cellIs" dxfId="5435" priority="217" operator="lessThan">
      <formula>15</formula>
    </cfRule>
    <cfRule type="cellIs" dxfId="5434" priority="218" operator="greaterThan">
      <formula>20</formula>
    </cfRule>
    <cfRule type="cellIs" dxfId="5433" priority="219" operator="between">
      <formula>15</formula>
      <formula>20</formula>
    </cfRule>
    <cfRule type="cellIs" dxfId="5432" priority="220" operator="between">
      <formula>15</formula>
      <formula>20</formula>
    </cfRule>
    <cfRule type="cellIs" dxfId="5431" priority="221" operator="lessThan">
      <formula>15</formula>
    </cfRule>
    <cfRule type="cellIs" dxfId="5430" priority="222" operator="greaterThan">
      <formula>20</formula>
    </cfRule>
    <cfRule type="cellIs" dxfId="5429" priority="223" operator="between">
      <formula>15</formula>
      <formula>21</formula>
    </cfRule>
    <cfRule type="cellIs" dxfId="5428" priority="224" operator="lessThan">
      <formula>15</formula>
    </cfRule>
    <cfRule type="cellIs" dxfId="5427" priority="225" operator="greaterThan">
      <formula>21</formula>
    </cfRule>
  </conditionalFormatting>
  <conditionalFormatting sqref="M23">
    <cfRule type="cellIs" dxfId="5426" priority="208" operator="lessThan">
      <formula>15</formula>
    </cfRule>
    <cfRule type="cellIs" dxfId="5425" priority="209" operator="greaterThan">
      <formula>20</formula>
    </cfRule>
    <cfRule type="cellIs" dxfId="5424" priority="210" operator="between">
      <formula>15</formula>
      <formula>20</formula>
    </cfRule>
    <cfRule type="cellIs" dxfId="5423" priority="211" operator="between">
      <formula>15</formula>
      <formula>20</formula>
    </cfRule>
    <cfRule type="cellIs" dxfId="5422" priority="212" operator="lessThan">
      <formula>15</formula>
    </cfRule>
    <cfRule type="cellIs" dxfId="5421" priority="213" operator="greaterThan">
      <formula>20</formula>
    </cfRule>
    <cfRule type="cellIs" dxfId="5420" priority="214" operator="between">
      <formula>15</formula>
      <formula>21</formula>
    </cfRule>
    <cfRule type="cellIs" dxfId="5419" priority="215" operator="lessThan">
      <formula>15</formula>
    </cfRule>
    <cfRule type="cellIs" dxfId="5418" priority="216" operator="greaterThan">
      <formula>21</formula>
    </cfRule>
  </conditionalFormatting>
  <conditionalFormatting sqref="M18">
    <cfRule type="cellIs" dxfId="5417" priority="199" operator="lessThan">
      <formula>15</formula>
    </cfRule>
    <cfRule type="cellIs" dxfId="5416" priority="200" operator="greaterThan">
      <formula>20</formula>
    </cfRule>
    <cfRule type="cellIs" dxfId="5415" priority="201" operator="between">
      <formula>15</formula>
      <formula>20</formula>
    </cfRule>
    <cfRule type="cellIs" dxfId="5414" priority="202" operator="between">
      <formula>15</formula>
      <formula>20</formula>
    </cfRule>
    <cfRule type="cellIs" dxfId="5413" priority="203" operator="lessThan">
      <formula>15</formula>
    </cfRule>
    <cfRule type="cellIs" dxfId="5412" priority="204" operator="greaterThan">
      <formula>20</formula>
    </cfRule>
    <cfRule type="cellIs" dxfId="5411" priority="205" operator="between">
      <formula>15</formula>
      <formula>21</formula>
    </cfRule>
    <cfRule type="cellIs" dxfId="5410" priority="206" operator="lessThan">
      <formula>15</formula>
    </cfRule>
    <cfRule type="cellIs" dxfId="5409" priority="207" operator="greaterThan">
      <formula>21</formula>
    </cfRule>
  </conditionalFormatting>
  <conditionalFormatting sqref="M35:M37">
    <cfRule type="cellIs" dxfId="5408" priority="190" operator="lessThan">
      <formula>15</formula>
    </cfRule>
    <cfRule type="cellIs" dxfId="5407" priority="191" operator="greaterThan">
      <formula>20</formula>
    </cfRule>
    <cfRule type="cellIs" dxfId="5406" priority="192" operator="between">
      <formula>15</formula>
      <formula>20</formula>
    </cfRule>
    <cfRule type="cellIs" dxfId="5405" priority="193" operator="between">
      <formula>15</formula>
      <formula>20</formula>
    </cfRule>
    <cfRule type="cellIs" dxfId="5404" priority="194" operator="lessThan">
      <formula>15</formula>
    </cfRule>
    <cfRule type="cellIs" dxfId="5403" priority="195" operator="greaterThan">
      <formula>20</formula>
    </cfRule>
    <cfRule type="cellIs" dxfId="5402" priority="196" operator="between">
      <formula>15</formula>
      <formula>21</formula>
    </cfRule>
    <cfRule type="cellIs" dxfId="5401" priority="197" operator="lessThan">
      <formula>15</formula>
    </cfRule>
    <cfRule type="cellIs" dxfId="5400" priority="198" operator="greaterThan">
      <formula>21</formula>
    </cfRule>
  </conditionalFormatting>
  <conditionalFormatting sqref="M13">
    <cfRule type="cellIs" dxfId="5399" priority="181" operator="lessThan">
      <formula>15</formula>
    </cfRule>
    <cfRule type="cellIs" dxfId="5398" priority="182" operator="greaterThan">
      <formula>20</formula>
    </cfRule>
    <cfRule type="cellIs" dxfId="5397" priority="183" operator="between">
      <formula>15</formula>
      <formula>20</formula>
    </cfRule>
    <cfRule type="cellIs" dxfId="5396" priority="184" operator="between">
      <formula>15</formula>
      <formula>20</formula>
    </cfRule>
    <cfRule type="cellIs" dxfId="5395" priority="185" operator="lessThan">
      <formula>15</formula>
    </cfRule>
    <cfRule type="cellIs" dxfId="5394" priority="186" operator="greaterThan">
      <formula>20</formula>
    </cfRule>
    <cfRule type="cellIs" dxfId="5393" priority="187" operator="between">
      <formula>15</formula>
      <formula>21</formula>
    </cfRule>
    <cfRule type="cellIs" dxfId="5392" priority="188" operator="lessThan">
      <formula>15</formula>
    </cfRule>
    <cfRule type="cellIs" dxfId="5391" priority="189" operator="greaterThan">
      <formula>21</formula>
    </cfRule>
  </conditionalFormatting>
  <conditionalFormatting sqref="M20">
    <cfRule type="cellIs" dxfId="5390" priority="172" operator="lessThan">
      <formula>15</formula>
    </cfRule>
    <cfRule type="cellIs" dxfId="5389" priority="173" operator="greaterThan">
      <formula>20</formula>
    </cfRule>
    <cfRule type="cellIs" dxfId="5388" priority="174" operator="between">
      <formula>15</formula>
      <formula>20</formula>
    </cfRule>
    <cfRule type="cellIs" dxfId="5387" priority="175" operator="between">
      <formula>15</formula>
      <formula>20</formula>
    </cfRule>
    <cfRule type="cellIs" dxfId="5386" priority="176" operator="lessThan">
      <formula>15</formula>
    </cfRule>
    <cfRule type="cellIs" dxfId="5385" priority="177" operator="greaterThan">
      <formula>20</formula>
    </cfRule>
    <cfRule type="cellIs" dxfId="5384" priority="178" operator="between">
      <formula>15</formula>
      <formula>21</formula>
    </cfRule>
    <cfRule type="cellIs" dxfId="5383" priority="179" operator="lessThan">
      <formula>15</formula>
    </cfRule>
    <cfRule type="cellIs" dxfId="5382" priority="180" operator="greaterThan">
      <formula>21</formula>
    </cfRule>
  </conditionalFormatting>
  <conditionalFormatting sqref="M27">
    <cfRule type="cellIs" dxfId="5381" priority="163" operator="lessThan">
      <formula>15</formula>
    </cfRule>
    <cfRule type="cellIs" dxfId="5380" priority="164" operator="greaterThan">
      <formula>20</formula>
    </cfRule>
    <cfRule type="cellIs" dxfId="5379" priority="165" operator="between">
      <formula>15</formula>
      <formula>20</formula>
    </cfRule>
    <cfRule type="cellIs" dxfId="5378" priority="166" operator="between">
      <formula>15</formula>
      <formula>20</formula>
    </cfRule>
    <cfRule type="cellIs" dxfId="5377" priority="167" operator="lessThan">
      <formula>15</formula>
    </cfRule>
    <cfRule type="cellIs" dxfId="5376" priority="168" operator="greaterThan">
      <formula>20</formula>
    </cfRule>
    <cfRule type="cellIs" dxfId="5375" priority="169" operator="between">
      <formula>15</formula>
      <formula>21</formula>
    </cfRule>
    <cfRule type="cellIs" dxfId="5374" priority="170" operator="lessThan">
      <formula>15</formula>
    </cfRule>
    <cfRule type="cellIs" dxfId="5373" priority="171" operator="greaterThan">
      <formula>21</formula>
    </cfRule>
  </conditionalFormatting>
  <conditionalFormatting sqref="M34">
    <cfRule type="cellIs" dxfId="5372" priority="154" operator="lessThan">
      <formula>15</formula>
    </cfRule>
    <cfRule type="cellIs" dxfId="5371" priority="155" operator="greaterThan">
      <formula>20</formula>
    </cfRule>
    <cfRule type="cellIs" dxfId="5370" priority="156" operator="between">
      <formula>15</formula>
      <formula>20</formula>
    </cfRule>
    <cfRule type="cellIs" dxfId="5369" priority="157" operator="between">
      <formula>15</formula>
      <formula>20</formula>
    </cfRule>
    <cfRule type="cellIs" dxfId="5368" priority="158" operator="lessThan">
      <formula>15</formula>
    </cfRule>
    <cfRule type="cellIs" dxfId="5367" priority="159" operator="greaterThan">
      <formula>20</formula>
    </cfRule>
    <cfRule type="cellIs" dxfId="5366" priority="160" operator="between">
      <formula>15</formula>
      <formula>21</formula>
    </cfRule>
    <cfRule type="cellIs" dxfId="5365" priority="161" operator="lessThan">
      <formula>15</formula>
    </cfRule>
    <cfRule type="cellIs" dxfId="5364" priority="162" operator="greaterThan">
      <formula>21</formula>
    </cfRule>
  </conditionalFormatting>
  <conditionalFormatting sqref="M14:M17 M39 M21:M22 M24:M26 M19">
    <cfRule type="cellIs" dxfId="5363" priority="145" operator="lessThan">
      <formula>15</formula>
    </cfRule>
    <cfRule type="cellIs" dxfId="5362" priority="146" operator="greaterThan">
      <formula>20</formula>
    </cfRule>
    <cfRule type="cellIs" dxfId="5361" priority="147" operator="between">
      <formula>15</formula>
      <formula>20</formula>
    </cfRule>
    <cfRule type="cellIs" dxfId="5360" priority="148" operator="between">
      <formula>15</formula>
      <formula>20</formula>
    </cfRule>
    <cfRule type="cellIs" dxfId="5359" priority="149" operator="lessThan">
      <formula>15</formula>
    </cfRule>
    <cfRule type="cellIs" dxfId="5358" priority="150" operator="greaterThan">
      <formula>20</formula>
    </cfRule>
    <cfRule type="cellIs" dxfId="5357" priority="151" operator="between">
      <formula>15</formula>
      <formula>21</formula>
    </cfRule>
    <cfRule type="cellIs" dxfId="5356" priority="152" operator="lessThan">
      <formula>15</formula>
    </cfRule>
    <cfRule type="cellIs" dxfId="5355" priority="153" operator="greaterThan">
      <formula>21</formula>
    </cfRule>
  </conditionalFormatting>
  <conditionalFormatting sqref="M9:M12">
    <cfRule type="cellIs" dxfId="5354" priority="136" operator="lessThan">
      <formula>15</formula>
    </cfRule>
    <cfRule type="cellIs" dxfId="5353" priority="137" operator="greaterThan">
      <formula>20</formula>
    </cfRule>
    <cfRule type="cellIs" dxfId="5352" priority="138" operator="between">
      <formula>15</formula>
      <formula>20</formula>
    </cfRule>
    <cfRule type="cellIs" dxfId="5351" priority="139" operator="between">
      <formula>15</formula>
      <formula>20</formula>
    </cfRule>
    <cfRule type="cellIs" dxfId="5350" priority="140" operator="lessThan">
      <formula>15</formula>
    </cfRule>
    <cfRule type="cellIs" dxfId="5349" priority="141" operator="greaterThan">
      <formula>20</formula>
    </cfRule>
    <cfRule type="cellIs" dxfId="5348" priority="142" operator="between">
      <formula>15</formula>
      <formula>21</formula>
    </cfRule>
    <cfRule type="cellIs" dxfId="5347" priority="143" operator="lessThan">
      <formula>15</formula>
    </cfRule>
    <cfRule type="cellIs" dxfId="5346" priority="144" operator="greaterThan">
      <formula>21</formula>
    </cfRule>
  </conditionalFormatting>
  <conditionalFormatting sqref="M29:M32">
    <cfRule type="cellIs" dxfId="5345" priority="127" operator="lessThan">
      <formula>15</formula>
    </cfRule>
    <cfRule type="cellIs" dxfId="5344" priority="128" operator="greaterThan">
      <formula>20</formula>
    </cfRule>
    <cfRule type="cellIs" dxfId="5343" priority="129" operator="between">
      <formula>15</formula>
      <formula>20</formula>
    </cfRule>
    <cfRule type="cellIs" dxfId="5342" priority="130" operator="between">
      <formula>15</formula>
      <formula>20</formula>
    </cfRule>
    <cfRule type="cellIs" dxfId="5341" priority="131" operator="lessThan">
      <formula>15</formula>
    </cfRule>
    <cfRule type="cellIs" dxfId="5340" priority="132" operator="greaterThan">
      <formula>20</formula>
    </cfRule>
    <cfRule type="cellIs" dxfId="5339" priority="133" operator="between">
      <formula>15</formula>
      <formula>21</formula>
    </cfRule>
    <cfRule type="cellIs" dxfId="5338" priority="134" operator="lessThan">
      <formula>15</formula>
    </cfRule>
    <cfRule type="cellIs" dxfId="5337" priority="135" operator="greaterThan">
      <formula>21</formula>
    </cfRule>
  </conditionalFormatting>
  <conditionalFormatting sqref="M9:M39">
    <cfRule type="cellIs" dxfId="5336" priority="118" operator="lessThan">
      <formula>15</formula>
    </cfRule>
    <cfRule type="cellIs" dxfId="5335" priority="119" operator="greaterThan">
      <formula>20</formula>
    </cfRule>
    <cfRule type="cellIs" dxfId="5334" priority="120" operator="between">
      <formula>15</formula>
      <formula>20</formula>
    </cfRule>
    <cfRule type="cellIs" dxfId="5333" priority="121" operator="between">
      <formula>15</formula>
      <formula>20</formula>
    </cfRule>
    <cfRule type="cellIs" dxfId="5332" priority="122" operator="lessThan">
      <formula>15</formula>
    </cfRule>
    <cfRule type="cellIs" dxfId="5331" priority="123" operator="greaterThan">
      <formula>20</formula>
    </cfRule>
    <cfRule type="cellIs" dxfId="5330" priority="124" operator="between">
      <formula>15</formula>
      <formula>21</formula>
    </cfRule>
    <cfRule type="cellIs" dxfId="5329" priority="125" operator="lessThan">
      <formula>15</formula>
    </cfRule>
    <cfRule type="cellIs" dxfId="5328" priority="126" operator="greaterThan">
      <formula>21</formula>
    </cfRule>
  </conditionalFormatting>
  <conditionalFormatting sqref="M38">
    <cfRule type="cellIs" dxfId="5327" priority="109" operator="lessThan">
      <formula>15</formula>
    </cfRule>
    <cfRule type="cellIs" dxfId="5326" priority="110" operator="greaterThan">
      <formula>20</formula>
    </cfRule>
    <cfRule type="cellIs" dxfId="5325" priority="111" operator="between">
      <formula>15</formula>
      <formula>20</formula>
    </cfRule>
    <cfRule type="cellIs" dxfId="5324" priority="112" operator="between">
      <formula>15</formula>
      <formula>20</formula>
    </cfRule>
    <cfRule type="cellIs" dxfId="5323" priority="113" operator="lessThan">
      <formula>15</formula>
    </cfRule>
    <cfRule type="cellIs" dxfId="5322" priority="114" operator="greaterThan">
      <formula>20</formula>
    </cfRule>
    <cfRule type="cellIs" dxfId="5321" priority="115" operator="between">
      <formula>15</formula>
      <formula>21</formula>
    </cfRule>
    <cfRule type="cellIs" dxfId="5320" priority="116" operator="lessThan">
      <formula>15</formula>
    </cfRule>
    <cfRule type="cellIs" dxfId="5319" priority="117" operator="greaterThan">
      <formula>21</formula>
    </cfRule>
  </conditionalFormatting>
  <conditionalFormatting sqref="M33">
    <cfRule type="cellIs" dxfId="5318" priority="100" operator="lessThan">
      <formula>15</formula>
    </cfRule>
    <cfRule type="cellIs" dxfId="5317" priority="101" operator="greaterThan">
      <formula>20</formula>
    </cfRule>
    <cfRule type="cellIs" dxfId="5316" priority="102" operator="between">
      <formula>15</formula>
      <formula>20</formula>
    </cfRule>
    <cfRule type="cellIs" dxfId="5315" priority="103" operator="between">
      <formula>15</formula>
      <formula>20</formula>
    </cfRule>
    <cfRule type="cellIs" dxfId="5314" priority="104" operator="lessThan">
      <formula>15</formula>
    </cfRule>
    <cfRule type="cellIs" dxfId="5313" priority="105" operator="greaterThan">
      <formula>20</formula>
    </cfRule>
    <cfRule type="cellIs" dxfId="5312" priority="106" operator="between">
      <formula>15</formula>
      <formula>21</formula>
    </cfRule>
    <cfRule type="cellIs" dxfId="5311" priority="107" operator="lessThan">
      <formula>15</formula>
    </cfRule>
    <cfRule type="cellIs" dxfId="5310" priority="108" operator="greaterThan">
      <formula>21</formula>
    </cfRule>
  </conditionalFormatting>
  <conditionalFormatting sqref="M28">
    <cfRule type="cellIs" dxfId="5309" priority="91" operator="lessThan">
      <formula>15</formula>
    </cfRule>
    <cfRule type="cellIs" dxfId="5308" priority="92" operator="greaterThan">
      <formula>20</formula>
    </cfRule>
    <cfRule type="cellIs" dxfId="5307" priority="93" operator="between">
      <formula>15</formula>
      <formula>20</formula>
    </cfRule>
    <cfRule type="cellIs" dxfId="5306" priority="94" operator="between">
      <formula>15</formula>
      <formula>20</formula>
    </cfRule>
    <cfRule type="cellIs" dxfId="5305" priority="95" operator="lessThan">
      <formula>15</formula>
    </cfRule>
    <cfRule type="cellIs" dxfId="5304" priority="96" operator="greaterThan">
      <formula>20</formula>
    </cfRule>
    <cfRule type="cellIs" dxfId="5303" priority="97" operator="between">
      <formula>15</formula>
      <formula>21</formula>
    </cfRule>
    <cfRule type="cellIs" dxfId="5302" priority="98" operator="lessThan">
      <formula>15</formula>
    </cfRule>
    <cfRule type="cellIs" dxfId="5301" priority="99" operator="greaterThan">
      <formula>21</formula>
    </cfRule>
  </conditionalFormatting>
  <conditionalFormatting sqref="M23">
    <cfRule type="cellIs" dxfId="5300" priority="82" operator="lessThan">
      <formula>15</formula>
    </cfRule>
    <cfRule type="cellIs" dxfId="5299" priority="83" operator="greaterThan">
      <formula>20</formula>
    </cfRule>
    <cfRule type="cellIs" dxfId="5298" priority="84" operator="between">
      <formula>15</formula>
      <formula>20</formula>
    </cfRule>
    <cfRule type="cellIs" dxfId="5297" priority="85" operator="between">
      <formula>15</formula>
      <formula>20</formula>
    </cfRule>
    <cfRule type="cellIs" dxfId="5296" priority="86" operator="lessThan">
      <formula>15</formula>
    </cfRule>
    <cfRule type="cellIs" dxfId="5295" priority="87" operator="greaterThan">
      <formula>20</formula>
    </cfRule>
    <cfRule type="cellIs" dxfId="5294" priority="88" operator="between">
      <formula>15</formula>
      <formula>21</formula>
    </cfRule>
    <cfRule type="cellIs" dxfId="5293" priority="89" operator="lessThan">
      <formula>15</formula>
    </cfRule>
    <cfRule type="cellIs" dxfId="5292" priority="90" operator="greaterThan">
      <formula>21</formula>
    </cfRule>
  </conditionalFormatting>
  <conditionalFormatting sqref="M18">
    <cfRule type="cellIs" dxfId="5291" priority="73" operator="lessThan">
      <formula>15</formula>
    </cfRule>
    <cfRule type="cellIs" dxfId="5290" priority="74" operator="greaterThan">
      <formula>20</formula>
    </cfRule>
    <cfRule type="cellIs" dxfId="5289" priority="75" operator="between">
      <formula>15</formula>
      <formula>20</formula>
    </cfRule>
    <cfRule type="cellIs" dxfId="5288" priority="76" operator="between">
      <formula>15</formula>
      <formula>20</formula>
    </cfRule>
    <cfRule type="cellIs" dxfId="5287" priority="77" operator="lessThan">
      <formula>15</formula>
    </cfRule>
    <cfRule type="cellIs" dxfId="5286" priority="78" operator="greaterThan">
      <formula>20</formula>
    </cfRule>
    <cfRule type="cellIs" dxfId="5285" priority="79" operator="between">
      <formula>15</formula>
      <formula>21</formula>
    </cfRule>
    <cfRule type="cellIs" dxfId="5284" priority="80" operator="lessThan">
      <formula>15</formula>
    </cfRule>
    <cfRule type="cellIs" dxfId="5283" priority="81" operator="greaterThan">
      <formula>21</formula>
    </cfRule>
  </conditionalFormatting>
  <conditionalFormatting sqref="M35:M37">
    <cfRule type="cellIs" dxfId="5282" priority="64" operator="lessThan">
      <formula>15</formula>
    </cfRule>
    <cfRule type="cellIs" dxfId="5281" priority="65" operator="greaterThan">
      <formula>20</formula>
    </cfRule>
    <cfRule type="cellIs" dxfId="5280" priority="66" operator="between">
      <formula>15</formula>
      <formula>20</formula>
    </cfRule>
    <cfRule type="cellIs" dxfId="5279" priority="67" operator="between">
      <formula>15</formula>
      <formula>20</formula>
    </cfRule>
    <cfRule type="cellIs" dxfId="5278" priority="68" operator="lessThan">
      <formula>15</formula>
    </cfRule>
    <cfRule type="cellIs" dxfId="5277" priority="69" operator="greaterThan">
      <formula>20</formula>
    </cfRule>
    <cfRule type="cellIs" dxfId="5276" priority="70" operator="between">
      <formula>15</formula>
      <formula>21</formula>
    </cfRule>
    <cfRule type="cellIs" dxfId="5275" priority="71" operator="lessThan">
      <formula>15</formula>
    </cfRule>
    <cfRule type="cellIs" dxfId="5274" priority="72" operator="greaterThan">
      <formula>21</formula>
    </cfRule>
  </conditionalFormatting>
  <conditionalFormatting sqref="M13">
    <cfRule type="cellIs" dxfId="5273" priority="55" operator="lessThan">
      <formula>15</formula>
    </cfRule>
    <cfRule type="cellIs" dxfId="5272" priority="56" operator="greaterThan">
      <formula>20</formula>
    </cfRule>
    <cfRule type="cellIs" dxfId="5271" priority="57" operator="between">
      <formula>15</formula>
      <formula>20</formula>
    </cfRule>
    <cfRule type="cellIs" dxfId="5270" priority="58" operator="between">
      <formula>15</formula>
      <formula>20</formula>
    </cfRule>
    <cfRule type="cellIs" dxfId="5269" priority="59" operator="lessThan">
      <formula>15</formula>
    </cfRule>
    <cfRule type="cellIs" dxfId="5268" priority="60" operator="greaterThan">
      <formula>20</formula>
    </cfRule>
    <cfRule type="cellIs" dxfId="5267" priority="61" operator="between">
      <formula>15</formula>
      <formula>21</formula>
    </cfRule>
    <cfRule type="cellIs" dxfId="5266" priority="62" operator="lessThan">
      <formula>15</formula>
    </cfRule>
    <cfRule type="cellIs" dxfId="5265" priority="63" operator="greaterThan">
      <formula>21</formula>
    </cfRule>
  </conditionalFormatting>
  <conditionalFormatting sqref="M20">
    <cfRule type="cellIs" dxfId="5264" priority="46" operator="lessThan">
      <formula>15</formula>
    </cfRule>
    <cfRule type="cellIs" dxfId="5263" priority="47" operator="greaterThan">
      <formula>20</formula>
    </cfRule>
    <cfRule type="cellIs" dxfId="5262" priority="48" operator="between">
      <formula>15</formula>
      <formula>20</formula>
    </cfRule>
    <cfRule type="cellIs" dxfId="5261" priority="49" operator="between">
      <formula>15</formula>
      <formula>20</formula>
    </cfRule>
    <cfRule type="cellIs" dxfId="5260" priority="50" operator="lessThan">
      <formula>15</formula>
    </cfRule>
    <cfRule type="cellIs" dxfId="5259" priority="51" operator="greaterThan">
      <formula>20</formula>
    </cfRule>
    <cfRule type="cellIs" dxfId="5258" priority="52" operator="between">
      <formula>15</formula>
      <formula>21</formula>
    </cfRule>
    <cfRule type="cellIs" dxfId="5257" priority="53" operator="lessThan">
      <formula>15</formula>
    </cfRule>
    <cfRule type="cellIs" dxfId="5256" priority="54" operator="greaterThan">
      <formula>21</formula>
    </cfRule>
  </conditionalFormatting>
  <conditionalFormatting sqref="M27">
    <cfRule type="cellIs" dxfId="5255" priority="37" operator="lessThan">
      <formula>15</formula>
    </cfRule>
    <cfRule type="cellIs" dxfId="5254" priority="38" operator="greaterThan">
      <formula>20</formula>
    </cfRule>
    <cfRule type="cellIs" dxfId="5253" priority="39" operator="between">
      <formula>15</formula>
      <formula>20</formula>
    </cfRule>
    <cfRule type="cellIs" dxfId="5252" priority="40" operator="between">
      <formula>15</formula>
      <formula>20</formula>
    </cfRule>
    <cfRule type="cellIs" dxfId="5251" priority="41" operator="lessThan">
      <formula>15</formula>
    </cfRule>
    <cfRule type="cellIs" dxfId="5250" priority="42" operator="greaterThan">
      <formula>20</formula>
    </cfRule>
    <cfRule type="cellIs" dxfId="5249" priority="43" operator="between">
      <formula>15</formula>
      <formula>21</formula>
    </cfRule>
    <cfRule type="cellIs" dxfId="5248" priority="44" operator="lessThan">
      <formula>15</formula>
    </cfRule>
    <cfRule type="cellIs" dxfId="5247" priority="45" operator="greaterThan">
      <formula>21</formula>
    </cfRule>
  </conditionalFormatting>
  <conditionalFormatting sqref="M34">
    <cfRule type="cellIs" dxfId="5246" priority="28" operator="lessThan">
      <formula>15</formula>
    </cfRule>
    <cfRule type="cellIs" dxfId="5245" priority="29" operator="greaterThan">
      <formula>20</formula>
    </cfRule>
    <cfRule type="cellIs" dxfId="5244" priority="30" operator="between">
      <formula>15</formula>
      <formula>20</formula>
    </cfRule>
    <cfRule type="cellIs" dxfId="5243" priority="31" operator="between">
      <formula>15</formula>
      <formula>20</formula>
    </cfRule>
    <cfRule type="cellIs" dxfId="5242" priority="32" operator="lessThan">
      <formula>15</formula>
    </cfRule>
    <cfRule type="cellIs" dxfId="5241" priority="33" operator="greaterThan">
      <formula>20</formula>
    </cfRule>
    <cfRule type="cellIs" dxfId="5240" priority="34" operator="between">
      <formula>15</formula>
      <formula>21</formula>
    </cfRule>
    <cfRule type="cellIs" dxfId="5239" priority="35" operator="lessThan">
      <formula>15</formula>
    </cfRule>
    <cfRule type="cellIs" dxfId="5238" priority="36" operator="greaterThan">
      <formula>21</formula>
    </cfRule>
  </conditionalFormatting>
  <conditionalFormatting sqref="M14:M17 M39 M21:M22 M24:M26 M19">
    <cfRule type="cellIs" dxfId="5237" priority="19" operator="lessThan">
      <formula>15</formula>
    </cfRule>
    <cfRule type="cellIs" dxfId="5236" priority="20" operator="greaterThan">
      <formula>20</formula>
    </cfRule>
    <cfRule type="cellIs" dxfId="5235" priority="21" operator="between">
      <formula>15</formula>
      <formula>20</formula>
    </cfRule>
    <cfRule type="cellIs" dxfId="5234" priority="22" operator="between">
      <formula>15</formula>
      <formula>20</formula>
    </cfRule>
    <cfRule type="cellIs" dxfId="5233" priority="23" operator="lessThan">
      <formula>15</formula>
    </cfRule>
    <cfRule type="cellIs" dxfId="5232" priority="24" operator="greaterThan">
      <formula>20</formula>
    </cfRule>
    <cfRule type="cellIs" dxfId="5231" priority="25" operator="between">
      <formula>15</formula>
      <formula>21</formula>
    </cfRule>
    <cfRule type="cellIs" dxfId="5230" priority="26" operator="lessThan">
      <formula>15</formula>
    </cfRule>
    <cfRule type="cellIs" dxfId="5229" priority="27" operator="greaterThan">
      <formula>21</formula>
    </cfRule>
  </conditionalFormatting>
  <conditionalFormatting sqref="M9:M12">
    <cfRule type="cellIs" dxfId="5228" priority="10" operator="lessThan">
      <formula>15</formula>
    </cfRule>
    <cfRule type="cellIs" dxfId="5227" priority="11" operator="greaterThan">
      <formula>20</formula>
    </cfRule>
    <cfRule type="cellIs" dxfId="5226" priority="12" operator="between">
      <formula>15</formula>
      <formula>20</formula>
    </cfRule>
    <cfRule type="cellIs" dxfId="5225" priority="13" operator="between">
      <formula>15</formula>
      <formula>20</formula>
    </cfRule>
    <cfRule type="cellIs" dxfId="5224" priority="14" operator="lessThan">
      <formula>15</formula>
    </cfRule>
    <cfRule type="cellIs" dxfId="5223" priority="15" operator="greaterThan">
      <formula>20</formula>
    </cfRule>
    <cfRule type="cellIs" dxfId="5222" priority="16" operator="between">
      <formula>15</formula>
      <formula>21</formula>
    </cfRule>
    <cfRule type="cellIs" dxfId="5221" priority="17" operator="lessThan">
      <formula>15</formula>
    </cfRule>
    <cfRule type="cellIs" dxfId="5220" priority="18" operator="greaterThan">
      <formula>21</formula>
    </cfRule>
  </conditionalFormatting>
  <conditionalFormatting sqref="M29:M32">
    <cfRule type="cellIs" dxfId="5219" priority="1" operator="lessThan">
      <formula>15</formula>
    </cfRule>
    <cfRule type="cellIs" dxfId="5218" priority="2" operator="greaterThan">
      <formula>20</formula>
    </cfRule>
    <cfRule type="cellIs" dxfId="5217" priority="3" operator="between">
      <formula>15</formula>
      <formula>20</formula>
    </cfRule>
    <cfRule type="cellIs" dxfId="5216" priority="4" operator="between">
      <formula>15</formula>
      <formula>20</formula>
    </cfRule>
    <cfRule type="cellIs" dxfId="5215" priority="5" operator="lessThan">
      <formula>15</formula>
    </cfRule>
    <cfRule type="cellIs" dxfId="5214" priority="6" operator="greaterThan">
      <formula>20</formula>
    </cfRule>
    <cfRule type="cellIs" dxfId="5213" priority="7" operator="between">
      <formula>15</formula>
      <formula>21</formula>
    </cfRule>
    <cfRule type="cellIs" dxfId="5212" priority="8" operator="lessThan">
      <formula>15</formula>
    </cfRule>
    <cfRule type="cellIs" dxfId="5211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49"/>
  <sheetViews>
    <sheetView workbookViewId="0">
      <pane ySplit="8" topLeftCell="A30" activePane="bottomLeft" state="frozen"/>
      <selection pane="bottomLeft" activeCell="M5" sqref="M5"/>
    </sheetView>
  </sheetViews>
  <sheetFormatPr defaultColWidth="9.28515625" defaultRowHeight="15"/>
  <cols>
    <col min="1" max="1" width="5.5703125" style="143" customWidth="1"/>
    <col min="2" max="2" width="9" style="143" customWidth="1"/>
    <col min="3" max="3" width="16.7109375" style="143" customWidth="1"/>
    <col min="4" max="11" width="10" style="142" customWidth="1"/>
    <col min="12" max="13" width="11.7109375" style="143" customWidth="1"/>
    <col min="14" max="14" width="6.285156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758" customFormat="1" ht="18.75" customHeight="1">
      <c r="A4" s="1600" t="s">
        <v>33</v>
      </c>
      <c r="B4" s="1600"/>
      <c r="C4" s="316" t="str">
        <f>J4</f>
        <v>FFRIT FO716-FTA</v>
      </c>
      <c r="D4" s="383"/>
      <c r="E4" s="383" t="s">
        <v>228</v>
      </c>
      <c r="F4" s="383" t="s">
        <v>230</v>
      </c>
      <c r="G4" s="383"/>
      <c r="I4" s="383" t="s">
        <v>120</v>
      </c>
      <c r="J4" s="316" t="s">
        <v>328</v>
      </c>
      <c r="K4" s="319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825</v>
      </c>
      <c r="E8" s="388">
        <f>K8</f>
        <v>825</v>
      </c>
      <c r="F8" s="389"/>
      <c r="G8" s="388"/>
      <c r="H8" s="387"/>
      <c r="I8" s="388"/>
      <c r="J8" s="390">
        <f>K8-K8*N8</f>
        <v>825</v>
      </c>
      <c r="K8" s="389">
        <v>825</v>
      </c>
      <c r="L8" s="303"/>
      <c r="M8" s="304"/>
      <c r="N8" s="366">
        <v>0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65" t="s">
        <v>285</v>
      </c>
      <c r="D9" s="490"/>
      <c r="E9" s="395"/>
      <c r="F9" s="393"/>
      <c r="G9" s="491"/>
      <c r="H9" s="394">
        <f>SUM($F$8:F9)/A9</f>
        <v>0</v>
      </c>
      <c r="I9" s="395">
        <f>SUM($G$8:G9)/A9</f>
        <v>0</v>
      </c>
      <c r="J9" s="396">
        <f t="shared" ref="J9:K24" si="0">J8+D9-F9</f>
        <v>825</v>
      </c>
      <c r="K9" s="397">
        <f t="shared" si="0"/>
        <v>825</v>
      </c>
      <c r="L9" s="338" t="e">
        <f>J9/H9</f>
        <v>#DIV/0!</v>
      </c>
      <c r="M9" s="300" t="e">
        <f>K9/I9</f>
        <v>#DIV/0!</v>
      </c>
      <c r="N9" s="366"/>
      <c r="O9" s="647">
        <f>J9/$O$8</f>
        <v>0.2749083638787071</v>
      </c>
    </row>
    <row r="10" spans="1:25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490"/>
      <c r="E10" s="395"/>
      <c r="F10" s="393"/>
      <c r="G10" s="491"/>
      <c r="H10" s="394">
        <f>SUM($F$8:F10)/A10</f>
        <v>0</v>
      </c>
      <c r="I10" s="395">
        <f>SUM($G$8:G10)/A10</f>
        <v>0</v>
      </c>
      <c r="J10" s="396">
        <f t="shared" si="0"/>
        <v>825</v>
      </c>
      <c r="K10" s="397">
        <f t="shared" si="0"/>
        <v>825</v>
      </c>
      <c r="L10" s="338" t="e">
        <f t="shared" ref="L10:M39" si="1">J10/H10</f>
        <v>#DIV/0!</v>
      </c>
      <c r="M10" s="300" t="e">
        <f t="shared" si="1"/>
        <v>#DIV/0!</v>
      </c>
      <c r="N10" s="366"/>
      <c r="O10" s="647">
        <f t="shared" ref="O10:O39" si="2">J10/$O$8</f>
        <v>0.2749083638787071</v>
      </c>
    </row>
    <row r="11" spans="1:25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490"/>
      <c r="E11" s="395"/>
      <c r="F11" s="393"/>
      <c r="G11" s="491"/>
      <c r="H11" s="394">
        <f>SUM($F$8:F11)/A11</f>
        <v>0</v>
      </c>
      <c r="I11" s="395">
        <f>SUM($G$8:G11)/A11</f>
        <v>0</v>
      </c>
      <c r="J11" s="396">
        <f t="shared" si="0"/>
        <v>825</v>
      </c>
      <c r="K11" s="397">
        <f t="shared" si="0"/>
        <v>825</v>
      </c>
      <c r="L11" s="338" t="e">
        <f t="shared" si="1"/>
        <v>#DIV/0!</v>
      </c>
      <c r="M11" s="300" t="e">
        <f t="shared" si="1"/>
        <v>#DIV/0!</v>
      </c>
      <c r="N11" s="366"/>
      <c r="O11" s="647">
        <f t="shared" si="2"/>
        <v>0.2749083638787071</v>
      </c>
    </row>
    <row r="12" spans="1:25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490"/>
      <c r="E12" s="395"/>
      <c r="F12" s="393"/>
      <c r="G12" s="491"/>
      <c r="H12" s="394">
        <f>SUM($F$8:F12)/A12</f>
        <v>0</v>
      </c>
      <c r="I12" s="395">
        <f>SUM($G$8:G12)/A12</f>
        <v>0</v>
      </c>
      <c r="J12" s="396">
        <f t="shared" si="0"/>
        <v>825</v>
      </c>
      <c r="K12" s="397">
        <f t="shared" si="0"/>
        <v>825</v>
      </c>
      <c r="L12" s="338" t="e">
        <f t="shared" si="1"/>
        <v>#DIV/0!</v>
      </c>
      <c r="M12" s="300" t="e">
        <f t="shared" si="1"/>
        <v>#DIV/0!</v>
      </c>
      <c r="N12" s="366"/>
      <c r="O12" s="647">
        <f t="shared" si="2"/>
        <v>0.2749083638787071</v>
      </c>
    </row>
    <row r="13" spans="1:25" s="367" customFormat="1" ht="12" customHeight="1">
      <c r="A13" s="500">
        <v>5</v>
      </c>
      <c r="B13" s="365">
        <f>'FRIT HGE91-FHG'!B13</f>
        <v>46239</v>
      </c>
      <c r="C13" s="365" t="s">
        <v>285</v>
      </c>
      <c r="D13" s="490"/>
      <c r="E13" s="395"/>
      <c r="F13" s="393"/>
      <c r="G13" s="491"/>
      <c r="H13" s="492">
        <f>SUM($F$8:F13)/A13</f>
        <v>0</v>
      </c>
      <c r="I13" s="395">
        <f>SUM($G$8:G13)/A13</f>
        <v>0</v>
      </c>
      <c r="J13" s="492">
        <f t="shared" si="0"/>
        <v>825</v>
      </c>
      <c r="K13" s="397">
        <f t="shared" si="0"/>
        <v>825</v>
      </c>
      <c r="L13" s="368" t="e">
        <f t="shared" si="1"/>
        <v>#DIV/0!</v>
      </c>
      <c r="M13" s="300" t="e">
        <f t="shared" si="1"/>
        <v>#DIV/0!</v>
      </c>
      <c r="N13" s="366"/>
      <c r="O13" s="647">
        <f t="shared" si="2"/>
        <v>0.2749083638787071</v>
      </c>
    </row>
    <row r="14" spans="1:25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490"/>
      <c r="E14" s="395"/>
      <c r="F14" s="393"/>
      <c r="G14" s="491"/>
      <c r="H14" s="394">
        <f>SUM($F$8:F14)/A14</f>
        <v>0</v>
      </c>
      <c r="I14" s="395">
        <f>SUM($G$8:G14)/A14</f>
        <v>0</v>
      </c>
      <c r="J14" s="396">
        <f t="shared" si="0"/>
        <v>825</v>
      </c>
      <c r="K14" s="397">
        <f t="shared" si="0"/>
        <v>825</v>
      </c>
      <c r="L14" s="338" t="e">
        <f t="shared" si="1"/>
        <v>#DIV/0!</v>
      </c>
      <c r="M14" s="300" t="e">
        <f t="shared" si="1"/>
        <v>#DIV/0!</v>
      </c>
      <c r="N14" s="366"/>
      <c r="O14" s="647">
        <f t="shared" si="2"/>
        <v>0.2749083638787071</v>
      </c>
    </row>
    <row r="15" spans="1:25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490"/>
      <c r="E15" s="395"/>
      <c r="F15" s="393"/>
      <c r="G15" s="491"/>
      <c r="H15" s="394">
        <f>SUM($F$8:F15)/A15</f>
        <v>0</v>
      </c>
      <c r="I15" s="395">
        <f>SUM($G$8:G15)/A15</f>
        <v>0</v>
      </c>
      <c r="J15" s="396">
        <f t="shared" si="0"/>
        <v>825</v>
      </c>
      <c r="K15" s="397">
        <f t="shared" si="0"/>
        <v>825</v>
      </c>
      <c r="L15" s="338" t="e">
        <f t="shared" si="1"/>
        <v>#DIV/0!</v>
      </c>
      <c r="M15" s="300" t="e">
        <f t="shared" si="1"/>
        <v>#DIV/0!</v>
      </c>
      <c r="N15" s="366"/>
      <c r="O15" s="647">
        <f t="shared" si="2"/>
        <v>0.2749083638787071</v>
      </c>
    </row>
    <row r="16" spans="1:25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490"/>
      <c r="E16" s="395"/>
      <c r="F16" s="393"/>
      <c r="G16" s="491"/>
      <c r="H16" s="394">
        <f>SUM($F$8:F16)/A16</f>
        <v>0</v>
      </c>
      <c r="I16" s="395">
        <f>SUM($G$8:G16)/A16</f>
        <v>0</v>
      </c>
      <c r="J16" s="396">
        <f t="shared" si="0"/>
        <v>825</v>
      </c>
      <c r="K16" s="397">
        <f t="shared" si="0"/>
        <v>825</v>
      </c>
      <c r="L16" s="338" t="e">
        <f t="shared" si="1"/>
        <v>#DIV/0!</v>
      </c>
      <c r="M16" s="300" t="e">
        <f t="shared" si="1"/>
        <v>#DIV/0!</v>
      </c>
      <c r="N16" s="366"/>
      <c r="O16" s="647">
        <f t="shared" si="2"/>
        <v>0.2749083638787071</v>
      </c>
    </row>
    <row r="17" spans="1:15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490"/>
      <c r="E17" s="395"/>
      <c r="F17" s="393"/>
      <c r="G17" s="491"/>
      <c r="H17" s="394">
        <f>SUM($F$8:F17)/A17</f>
        <v>0</v>
      </c>
      <c r="I17" s="395">
        <f>SUM($G$8:G17)/A17</f>
        <v>0</v>
      </c>
      <c r="J17" s="396">
        <f t="shared" si="0"/>
        <v>825</v>
      </c>
      <c r="K17" s="397">
        <f t="shared" si="0"/>
        <v>825</v>
      </c>
      <c r="L17" s="338" t="e">
        <f t="shared" si="1"/>
        <v>#DIV/0!</v>
      </c>
      <c r="M17" s="300" t="e">
        <f t="shared" si="1"/>
        <v>#DIV/0!</v>
      </c>
      <c r="N17" s="366"/>
      <c r="O17" s="647">
        <f t="shared" si="2"/>
        <v>0.2749083638787071</v>
      </c>
    </row>
    <row r="18" spans="1:15" s="367" customFormat="1" ht="12" customHeight="1">
      <c r="A18" s="500">
        <v>10</v>
      </c>
      <c r="B18" s="365">
        <f>'FRIT HGE91-FHG'!B18</f>
        <v>46244</v>
      </c>
      <c r="C18" s="365" t="s">
        <v>285</v>
      </c>
      <c r="D18" s="490"/>
      <c r="E18" s="395"/>
      <c r="F18" s="393"/>
      <c r="G18" s="491"/>
      <c r="H18" s="492">
        <f>SUM($F$8:F18)/A18</f>
        <v>0</v>
      </c>
      <c r="I18" s="395">
        <f>SUM($G$8:G18)/A18</f>
        <v>0</v>
      </c>
      <c r="J18" s="492">
        <f t="shared" si="0"/>
        <v>825</v>
      </c>
      <c r="K18" s="397">
        <f t="shared" si="0"/>
        <v>825</v>
      </c>
      <c r="L18" s="368" t="e">
        <f t="shared" si="1"/>
        <v>#DIV/0!</v>
      </c>
      <c r="M18" s="300" t="e">
        <f t="shared" si="1"/>
        <v>#DIV/0!</v>
      </c>
      <c r="N18" s="366"/>
      <c r="O18" s="647">
        <f t="shared" si="2"/>
        <v>0.2749083638787071</v>
      </c>
    </row>
    <row r="19" spans="1:15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490"/>
      <c r="E19" s="395"/>
      <c r="F19" s="393"/>
      <c r="G19" s="491"/>
      <c r="H19" s="394">
        <f>SUM($F$8:F19)/A19</f>
        <v>0</v>
      </c>
      <c r="I19" s="395">
        <f>SUM($G$8:G19)/A19</f>
        <v>0</v>
      </c>
      <c r="J19" s="396">
        <f t="shared" si="0"/>
        <v>825</v>
      </c>
      <c r="K19" s="397">
        <f t="shared" si="0"/>
        <v>825</v>
      </c>
      <c r="L19" s="338" t="e">
        <f t="shared" si="1"/>
        <v>#DIV/0!</v>
      </c>
      <c r="M19" s="300" t="e">
        <f t="shared" si="1"/>
        <v>#DIV/0!</v>
      </c>
      <c r="N19" s="366"/>
      <c r="O19" s="647">
        <f t="shared" si="2"/>
        <v>0.2749083638787071</v>
      </c>
    </row>
    <row r="20" spans="1:15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490"/>
      <c r="E20" s="395"/>
      <c r="F20" s="393"/>
      <c r="G20" s="491"/>
      <c r="H20" s="394">
        <f>SUM($F$8:F20)/A20</f>
        <v>0</v>
      </c>
      <c r="I20" s="395">
        <f>SUM($G$8:G20)/A20</f>
        <v>0</v>
      </c>
      <c r="J20" s="396">
        <f t="shared" si="0"/>
        <v>825</v>
      </c>
      <c r="K20" s="397">
        <f t="shared" si="0"/>
        <v>825</v>
      </c>
      <c r="L20" s="338" t="e">
        <f t="shared" si="1"/>
        <v>#DIV/0!</v>
      </c>
      <c r="M20" s="300" t="e">
        <f t="shared" si="1"/>
        <v>#DIV/0!</v>
      </c>
      <c r="N20" s="366"/>
      <c r="O20" s="647">
        <f t="shared" si="2"/>
        <v>0.2749083638787071</v>
      </c>
    </row>
    <row r="21" spans="1:15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490"/>
      <c r="E21" s="395"/>
      <c r="F21" s="393"/>
      <c r="G21" s="491"/>
      <c r="H21" s="394">
        <f>SUM($F$8:F21)/A21</f>
        <v>0</v>
      </c>
      <c r="I21" s="395">
        <f>SUM($G$8:G21)/A21</f>
        <v>0</v>
      </c>
      <c r="J21" s="396">
        <f t="shared" si="0"/>
        <v>825</v>
      </c>
      <c r="K21" s="397">
        <f>K20+E21-G21</f>
        <v>825</v>
      </c>
      <c r="L21" s="338" t="e">
        <f t="shared" si="1"/>
        <v>#DIV/0!</v>
      </c>
      <c r="M21" s="300" t="e">
        <f t="shared" si="1"/>
        <v>#DIV/0!</v>
      </c>
      <c r="N21" s="366"/>
      <c r="O21" s="647">
        <f t="shared" si="2"/>
        <v>0.2749083638787071</v>
      </c>
    </row>
    <row r="22" spans="1:15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490"/>
      <c r="E22" s="395"/>
      <c r="F22" s="393"/>
      <c r="G22" s="491"/>
      <c r="H22" s="394">
        <f>SUM($F$8:F22)/A22</f>
        <v>0</v>
      </c>
      <c r="I22" s="395">
        <f>SUM($G$8:G22)/A22</f>
        <v>0</v>
      </c>
      <c r="J22" s="396">
        <f t="shared" si="0"/>
        <v>825</v>
      </c>
      <c r="K22" s="397">
        <f>K21+E22-G22</f>
        <v>825</v>
      </c>
      <c r="L22" s="338" t="e">
        <f t="shared" si="1"/>
        <v>#DIV/0!</v>
      </c>
      <c r="M22" s="300" t="e">
        <f t="shared" si="1"/>
        <v>#DIV/0!</v>
      </c>
      <c r="N22" s="366"/>
      <c r="O22" s="647">
        <f t="shared" si="2"/>
        <v>0.2749083638787071</v>
      </c>
    </row>
    <row r="23" spans="1:15" s="367" customFormat="1" ht="12" customHeight="1">
      <c r="A23" s="500">
        <v>15</v>
      </c>
      <c r="B23" s="365">
        <f>'FRIT HGE91-FHG'!B23</f>
        <v>46249</v>
      </c>
      <c r="C23" s="365" t="s">
        <v>285</v>
      </c>
      <c r="D23" s="490"/>
      <c r="E23" s="395"/>
      <c r="F23" s="393"/>
      <c r="G23" s="491"/>
      <c r="H23" s="492">
        <f>SUM($F$8:F23)/A23</f>
        <v>0</v>
      </c>
      <c r="I23" s="395">
        <f>SUM($G$8:G23)/A23</f>
        <v>0</v>
      </c>
      <c r="J23" s="492">
        <f t="shared" si="0"/>
        <v>825</v>
      </c>
      <c r="K23" s="397">
        <f t="shared" si="0"/>
        <v>825</v>
      </c>
      <c r="L23" s="368" t="e">
        <f t="shared" si="1"/>
        <v>#DIV/0!</v>
      </c>
      <c r="M23" s="300" t="e">
        <f t="shared" si="1"/>
        <v>#DIV/0!</v>
      </c>
      <c r="N23" s="366"/>
      <c r="O23" s="647">
        <f t="shared" si="2"/>
        <v>0.2749083638787071</v>
      </c>
    </row>
    <row r="24" spans="1:15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490"/>
      <c r="E24" s="395"/>
      <c r="F24" s="393"/>
      <c r="G24" s="491"/>
      <c r="H24" s="394">
        <f>SUM($F$8:F24)/A24</f>
        <v>0</v>
      </c>
      <c r="I24" s="395">
        <f>SUM($G$8:G24)/A24</f>
        <v>0</v>
      </c>
      <c r="J24" s="396">
        <f t="shared" si="0"/>
        <v>825</v>
      </c>
      <c r="K24" s="397">
        <f>K23+E24-G24</f>
        <v>825</v>
      </c>
      <c r="L24" s="338" t="e">
        <f t="shared" si="1"/>
        <v>#DIV/0!</v>
      </c>
      <c r="M24" s="300" t="e">
        <f t="shared" si="1"/>
        <v>#DIV/0!</v>
      </c>
      <c r="N24" s="366"/>
      <c r="O24" s="647">
        <f t="shared" si="2"/>
        <v>0.2749083638787071</v>
      </c>
    </row>
    <row r="25" spans="1:15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490"/>
      <c r="E25" s="395"/>
      <c r="F25" s="393"/>
      <c r="G25" s="491"/>
      <c r="H25" s="394">
        <f>SUM($F$8:F25)/A25</f>
        <v>0</v>
      </c>
      <c r="I25" s="395">
        <f>SUM($G$8:G25)/A25</f>
        <v>0</v>
      </c>
      <c r="J25" s="396">
        <f t="shared" ref="J25:K39" si="3">J24+D25-F25</f>
        <v>825</v>
      </c>
      <c r="K25" s="397">
        <f>K24+E25-G25</f>
        <v>825</v>
      </c>
      <c r="L25" s="338" t="e">
        <f t="shared" si="1"/>
        <v>#DIV/0!</v>
      </c>
      <c r="M25" s="300" t="e">
        <f t="shared" si="1"/>
        <v>#DIV/0!</v>
      </c>
      <c r="N25" s="366"/>
      <c r="O25" s="647">
        <f t="shared" si="2"/>
        <v>0.2749083638787071</v>
      </c>
    </row>
    <row r="26" spans="1:15" s="367" customFormat="1" ht="12" customHeight="1">
      <c r="A26" s="364">
        <v>18</v>
      </c>
      <c r="B26" s="365">
        <f>'FRIT HGE91-FHG'!B26</f>
        <v>46252</v>
      </c>
      <c r="C26" s="365" t="s">
        <v>285</v>
      </c>
      <c r="D26" s="490"/>
      <c r="E26" s="395"/>
      <c r="F26" s="393"/>
      <c r="G26" s="491"/>
      <c r="H26" s="394">
        <f>SUM($F$8:F26)/A26</f>
        <v>0</v>
      </c>
      <c r="I26" s="395">
        <f>SUM($G$8:G26)/A26</f>
        <v>0</v>
      </c>
      <c r="J26" s="396">
        <f t="shared" si="3"/>
        <v>825</v>
      </c>
      <c r="K26" s="397">
        <f>K25+E26-G26</f>
        <v>825</v>
      </c>
      <c r="L26" s="338" t="e">
        <f t="shared" si="1"/>
        <v>#DIV/0!</v>
      </c>
      <c r="M26" s="300" t="e">
        <f t="shared" si="1"/>
        <v>#DIV/0!</v>
      </c>
      <c r="N26" s="366"/>
      <c r="O26" s="647">
        <f t="shared" si="2"/>
        <v>0.2749083638787071</v>
      </c>
    </row>
    <row r="27" spans="1:15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490"/>
      <c r="E27" s="395"/>
      <c r="F27" s="393"/>
      <c r="G27" s="491"/>
      <c r="H27" s="394">
        <f>SUM($F$8:F27)/A27</f>
        <v>0</v>
      </c>
      <c r="I27" s="395">
        <f>SUM($G$8:G27)/A27</f>
        <v>0</v>
      </c>
      <c r="J27" s="396">
        <f t="shared" si="3"/>
        <v>825</v>
      </c>
      <c r="K27" s="397">
        <f>K26+E27-G27</f>
        <v>825</v>
      </c>
      <c r="L27" s="338" t="e">
        <f t="shared" si="1"/>
        <v>#DIV/0!</v>
      </c>
      <c r="M27" s="300" t="e">
        <f t="shared" si="1"/>
        <v>#DIV/0!</v>
      </c>
      <c r="N27" s="366"/>
      <c r="O27" s="647">
        <f t="shared" si="2"/>
        <v>0.2749083638787071</v>
      </c>
    </row>
    <row r="28" spans="1:15" s="367" customFormat="1" ht="12" customHeight="1">
      <c r="A28" s="500">
        <v>20</v>
      </c>
      <c r="B28" s="365">
        <f>'FRIT HGE91-FHG'!B28</f>
        <v>46254</v>
      </c>
      <c r="C28" s="365" t="s">
        <v>285</v>
      </c>
      <c r="D28" s="490"/>
      <c r="E28" s="395"/>
      <c r="F28" s="393"/>
      <c r="G28" s="491"/>
      <c r="H28" s="492">
        <f>SUM($F$8:F28)/A28</f>
        <v>0</v>
      </c>
      <c r="I28" s="395">
        <f>SUM($G$8:G28)/A28</f>
        <v>0</v>
      </c>
      <c r="J28" s="492">
        <f t="shared" si="3"/>
        <v>825</v>
      </c>
      <c r="K28" s="397">
        <f t="shared" si="3"/>
        <v>825</v>
      </c>
      <c r="L28" s="368" t="e">
        <f t="shared" si="1"/>
        <v>#DIV/0!</v>
      </c>
      <c r="M28" s="300" t="e">
        <f t="shared" si="1"/>
        <v>#DIV/0!</v>
      </c>
      <c r="N28" s="366"/>
      <c r="O28" s="647">
        <f t="shared" si="2"/>
        <v>0.2749083638787071</v>
      </c>
    </row>
    <row r="29" spans="1:15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490"/>
      <c r="E29" s="395"/>
      <c r="F29" s="393"/>
      <c r="G29" s="491"/>
      <c r="H29" s="394">
        <f>SUM($F$8:F29)/A29</f>
        <v>0</v>
      </c>
      <c r="I29" s="395">
        <f>SUM($G$8:G29)/A29</f>
        <v>0</v>
      </c>
      <c r="J29" s="396">
        <f t="shared" si="3"/>
        <v>825</v>
      </c>
      <c r="K29" s="397">
        <f t="shared" si="3"/>
        <v>825</v>
      </c>
      <c r="L29" s="338" t="e">
        <f t="shared" si="1"/>
        <v>#DIV/0!</v>
      </c>
      <c r="M29" s="300" t="e">
        <f t="shared" si="1"/>
        <v>#DIV/0!</v>
      </c>
      <c r="N29" s="366"/>
      <c r="O29" s="647">
        <f t="shared" si="2"/>
        <v>0.2749083638787071</v>
      </c>
    </row>
    <row r="30" spans="1:15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490"/>
      <c r="E30" s="395"/>
      <c r="F30" s="393"/>
      <c r="G30" s="491"/>
      <c r="H30" s="394">
        <f>SUM($F$8:F30)/A30</f>
        <v>0</v>
      </c>
      <c r="I30" s="395">
        <f>SUM($G$8:G30)/A30</f>
        <v>0</v>
      </c>
      <c r="J30" s="396">
        <f t="shared" si="3"/>
        <v>825</v>
      </c>
      <c r="K30" s="397">
        <f t="shared" si="3"/>
        <v>825</v>
      </c>
      <c r="L30" s="338" t="e">
        <f t="shared" si="1"/>
        <v>#DIV/0!</v>
      </c>
      <c r="M30" s="300" t="e">
        <f t="shared" si="1"/>
        <v>#DIV/0!</v>
      </c>
      <c r="N30" s="366"/>
      <c r="O30" s="647">
        <f t="shared" si="2"/>
        <v>0.2749083638787071</v>
      </c>
    </row>
    <row r="31" spans="1:15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490"/>
      <c r="E31" s="395"/>
      <c r="F31" s="393"/>
      <c r="G31" s="491"/>
      <c r="H31" s="394">
        <f>SUM($F$8:F31)/A31</f>
        <v>0</v>
      </c>
      <c r="I31" s="395">
        <f>SUM($G$8:G31)/A31</f>
        <v>0</v>
      </c>
      <c r="J31" s="396">
        <f t="shared" si="3"/>
        <v>825</v>
      </c>
      <c r="K31" s="397">
        <f t="shared" si="3"/>
        <v>825</v>
      </c>
      <c r="L31" s="338" t="e">
        <f t="shared" si="1"/>
        <v>#DIV/0!</v>
      </c>
      <c r="M31" s="300" t="e">
        <f t="shared" si="1"/>
        <v>#DIV/0!</v>
      </c>
      <c r="N31" s="366"/>
      <c r="O31" s="647">
        <f t="shared" si="2"/>
        <v>0.2749083638787071</v>
      </c>
    </row>
    <row r="32" spans="1:15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490"/>
      <c r="E32" s="395"/>
      <c r="F32" s="393"/>
      <c r="G32" s="491"/>
      <c r="H32" s="394">
        <f>SUM($F$8:F32)/A32</f>
        <v>0</v>
      </c>
      <c r="I32" s="395">
        <f>SUM($G$8:G32)/A32</f>
        <v>0</v>
      </c>
      <c r="J32" s="396">
        <f t="shared" si="3"/>
        <v>825</v>
      </c>
      <c r="K32" s="397">
        <f t="shared" si="3"/>
        <v>825</v>
      </c>
      <c r="L32" s="338" t="e">
        <f t="shared" si="1"/>
        <v>#DIV/0!</v>
      </c>
      <c r="M32" s="300" t="e">
        <f t="shared" si="1"/>
        <v>#DIV/0!</v>
      </c>
      <c r="N32" s="366"/>
      <c r="O32" s="647">
        <f t="shared" si="2"/>
        <v>0.2749083638787071</v>
      </c>
    </row>
    <row r="33" spans="1:15" s="367" customFormat="1" ht="12" customHeight="1">
      <c r="A33" s="448">
        <v>25</v>
      </c>
      <c r="B33" s="365">
        <f>'FRIT HGE91-FHG'!B33</f>
        <v>46259</v>
      </c>
      <c r="C33" s="365" t="s">
        <v>285</v>
      </c>
      <c r="D33" s="490"/>
      <c r="E33" s="395"/>
      <c r="F33" s="393"/>
      <c r="G33" s="491"/>
      <c r="H33" s="493">
        <f>SUM($F$8:F33)/A33</f>
        <v>0</v>
      </c>
      <c r="I33" s="395">
        <f>SUM($G$8:G33)/A33</f>
        <v>0</v>
      </c>
      <c r="J33" s="493">
        <f t="shared" si="3"/>
        <v>825</v>
      </c>
      <c r="K33" s="397">
        <f t="shared" si="3"/>
        <v>825</v>
      </c>
      <c r="L33" s="369" t="e">
        <f t="shared" si="1"/>
        <v>#DIV/0!</v>
      </c>
      <c r="M33" s="300" t="e">
        <f t="shared" si="1"/>
        <v>#DIV/0!</v>
      </c>
      <c r="N33" s="366"/>
      <c r="O33" s="647">
        <f t="shared" si="2"/>
        <v>0.2749083638787071</v>
      </c>
    </row>
    <row r="34" spans="1:15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490"/>
      <c r="E34" s="395"/>
      <c r="F34" s="393"/>
      <c r="G34" s="491"/>
      <c r="H34" s="394">
        <f>SUM($F$8:F34)/A34</f>
        <v>0</v>
      </c>
      <c r="I34" s="395">
        <f>SUM($G$8:G34)/A34</f>
        <v>0</v>
      </c>
      <c r="J34" s="396">
        <f t="shared" si="3"/>
        <v>825</v>
      </c>
      <c r="K34" s="397">
        <f t="shared" si="3"/>
        <v>825</v>
      </c>
      <c r="L34" s="338" t="e">
        <f t="shared" si="1"/>
        <v>#DIV/0!</v>
      </c>
      <c r="M34" s="300" t="e">
        <f t="shared" si="1"/>
        <v>#DIV/0!</v>
      </c>
      <c r="N34" s="366"/>
      <c r="O34" s="647">
        <f t="shared" si="2"/>
        <v>0.2749083638787071</v>
      </c>
    </row>
    <row r="35" spans="1:15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494"/>
      <c r="E35" s="395"/>
      <c r="F35" s="393"/>
      <c r="G35" s="491"/>
      <c r="H35" s="394">
        <f>SUM($F$8:F35)/A35</f>
        <v>0</v>
      </c>
      <c r="I35" s="395">
        <f>SUM($G$8:G35)/A35</f>
        <v>0</v>
      </c>
      <c r="J35" s="396">
        <f t="shared" si="3"/>
        <v>825</v>
      </c>
      <c r="K35" s="397">
        <f t="shared" si="3"/>
        <v>825</v>
      </c>
      <c r="L35" s="338" t="e">
        <f t="shared" si="1"/>
        <v>#DIV/0!</v>
      </c>
      <c r="M35" s="300" t="e">
        <f t="shared" si="1"/>
        <v>#DIV/0!</v>
      </c>
      <c r="N35" s="366"/>
      <c r="O35" s="647">
        <f t="shared" si="2"/>
        <v>0.2749083638787071</v>
      </c>
    </row>
    <row r="36" spans="1:15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494"/>
      <c r="E36" s="395"/>
      <c r="F36" s="393"/>
      <c r="G36" s="491"/>
      <c r="H36" s="394">
        <f>SUM($F$8:F36)/A36</f>
        <v>0</v>
      </c>
      <c r="I36" s="395">
        <f>SUM($G$8:G36)/A36</f>
        <v>0</v>
      </c>
      <c r="J36" s="396">
        <f t="shared" si="3"/>
        <v>825</v>
      </c>
      <c r="K36" s="397">
        <f t="shared" si="3"/>
        <v>825</v>
      </c>
      <c r="L36" s="338" t="e">
        <f t="shared" si="1"/>
        <v>#DIV/0!</v>
      </c>
      <c r="M36" s="300" t="e">
        <f t="shared" si="1"/>
        <v>#DIV/0!</v>
      </c>
      <c r="N36" s="366"/>
      <c r="O36" s="647">
        <f t="shared" si="2"/>
        <v>0.2749083638787071</v>
      </c>
    </row>
    <row r="37" spans="1:15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494"/>
      <c r="E37" s="395"/>
      <c r="F37" s="393"/>
      <c r="G37" s="491"/>
      <c r="H37" s="394">
        <f>SUM($F$8:F37)/A37</f>
        <v>0</v>
      </c>
      <c r="I37" s="395">
        <f>SUM($G$8:G37)/A37</f>
        <v>0</v>
      </c>
      <c r="J37" s="396">
        <f t="shared" si="3"/>
        <v>825</v>
      </c>
      <c r="K37" s="397">
        <f t="shared" si="3"/>
        <v>825</v>
      </c>
      <c r="L37" s="338" t="e">
        <f t="shared" si="1"/>
        <v>#DIV/0!</v>
      </c>
      <c r="M37" s="300" t="e">
        <f t="shared" si="1"/>
        <v>#DIV/0!</v>
      </c>
      <c r="N37" s="366"/>
      <c r="O37" s="647">
        <f t="shared" si="2"/>
        <v>0.2749083638787071</v>
      </c>
    </row>
    <row r="38" spans="1:15" s="367" customFormat="1" ht="12" customHeight="1">
      <c r="A38" s="500">
        <v>30</v>
      </c>
      <c r="B38" s="365">
        <f>'FRIT HGE91-FHG'!B38</f>
        <v>46264</v>
      </c>
      <c r="C38" s="365" t="s">
        <v>285</v>
      </c>
      <c r="D38" s="490"/>
      <c r="E38" s="395"/>
      <c r="F38" s="393"/>
      <c r="G38" s="491"/>
      <c r="H38" s="492">
        <f>SUM($F$8:F38)/A38</f>
        <v>0</v>
      </c>
      <c r="I38" s="395">
        <f>SUM($G$8:G38)/A38</f>
        <v>0</v>
      </c>
      <c r="J38" s="492">
        <f t="shared" si="3"/>
        <v>825</v>
      </c>
      <c r="K38" s="397">
        <f t="shared" si="3"/>
        <v>825</v>
      </c>
      <c r="L38" s="368" t="e">
        <f t="shared" si="1"/>
        <v>#DIV/0!</v>
      </c>
      <c r="M38" s="300" t="e">
        <f t="shared" si="1"/>
        <v>#DIV/0!</v>
      </c>
      <c r="N38" s="366"/>
      <c r="O38" s="647">
        <f t="shared" si="2"/>
        <v>0.2749083638787071</v>
      </c>
    </row>
    <row r="39" spans="1:15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490"/>
      <c r="E39" s="395"/>
      <c r="F39" s="393"/>
      <c r="G39" s="491"/>
      <c r="H39" s="394">
        <f>SUM($F$8:F39)/A39</f>
        <v>0</v>
      </c>
      <c r="I39" s="395">
        <f>SUM($G$8:G39)/A39</f>
        <v>0</v>
      </c>
      <c r="J39" s="396">
        <f t="shared" si="3"/>
        <v>825</v>
      </c>
      <c r="K39" s="397">
        <f t="shared" si="3"/>
        <v>825</v>
      </c>
      <c r="L39" s="338" t="e">
        <f t="shared" si="1"/>
        <v>#DIV/0!</v>
      </c>
      <c r="M39" s="300" t="e">
        <f t="shared" si="1"/>
        <v>#DIV/0!</v>
      </c>
      <c r="N39" s="366"/>
      <c r="O39" s="647">
        <f t="shared" si="2"/>
        <v>0.2749083638787071</v>
      </c>
    </row>
    <row r="40" spans="1:15" s="374" customFormat="1" ht="12" customHeight="1">
      <c r="A40" s="763" t="s">
        <v>29</v>
      </c>
      <c r="B40" s="764"/>
      <c r="C40" s="765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825</v>
      </c>
      <c r="K40" s="461">
        <f>K39</f>
        <v>825</v>
      </c>
      <c r="L40" s="302"/>
      <c r="M40" s="302"/>
      <c r="N40" s="507"/>
    </row>
    <row r="41" spans="1:15" s="374" customFormat="1" ht="12" customHeight="1">
      <c r="A41" s="763" t="s">
        <v>15</v>
      </c>
      <c r="B41" s="764"/>
      <c r="C41" s="765"/>
      <c r="D41" s="388">
        <f>D8+D40</f>
        <v>825</v>
      </c>
      <c r="E41" s="388">
        <f>E8+E40</f>
        <v>825</v>
      </c>
      <c r="F41" s="389">
        <f>F40</f>
        <v>0</v>
      </c>
      <c r="G41" s="496">
        <f>G40</f>
        <v>0</v>
      </c>
      <c r="H41" s="389"/>
      <c r="I41" s="496"/>
      <c r="J41" s="389">
        <f>D41-F41</f>
        <v>825</v>
      </c>
      <c r="K41" s="389">
        <f>E41-G41</f>
        <v>825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7" spans="1:15">
      <c r="D47" s="143"/>
      <c r="E47" s="143"/>
      <c r="F47" s="143"/>
      <c r="G47" s="143"/>
      <c r="H47" s="143"/>
      <c r="I47" s="143"/>
      <c r="K47" s="143"/>
    </row>
    <row r="48" spans="1:15">
      <c r="D48" s="143"/>
      <c r="E48" s="143"/>
      <c r="F48" s="143"/>
      <c r="G48" s="143"/>
      <c r="H48" s="143"/>
      <c r="I48" s="143"/>
      <c r="K48" s="143"/>
    </row>
    <row r="49" spans="4:11">
      <c r="D49" s="143"/>
      <c r="E49" s="143"/>
      <c r="F49" s="143"/>
      <c r="G49" s="143"/>
      <c r="H49" s="143"/>
      <c r="I49" s="143"/>
      <c r="J49" s="143"/>
      <c r="K49" s="143"/>
    </row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38">
    <cfRule type="cellIs" dxfId="5210" priority="127" operator="lessThan">
      <formula>15</formula>
    </cfRule>
    <cfRule type="cellIs" dxfId="5209" priority="128" operator="greaterThan">
      <formula>20</formula>
    </cfRule>
    <cfRule type="cellIs" dxfId="5208" priority="129" operator="between">
      <formula>15</formula>
      <formula>20</formula>
    </cfRule>
    <cfRule type="cellIs" dxfId="5207" priority="130" operator="between">
      <formula>15</formula>
      <formula>20</formula>
    </cfRule>
    <cfRule type="cellIs" dxfId="5206" priority="131" operator="lessThan">
      <formula>15</formula>
    </cfRule>
    <cfRule type="cellIs" dxfId="5205" priority="132" operator="greaterThan">
      <formula>20</formula>
    </cfRule>
    <cfRule type="cellIs" dxfId="5204" priority="133" operator="between">
      <formula>15</formula>
      <formula>21</formula>
    </cfRule>
    <cfRule type="cellIs" dxfId="5203" priority="134" operator="lessThan">
      <formula>15</formula>
    </cfRule>
    <cfRule type="cellIs" dxfId="5202" priority="135" operator="greaterThan">
      <formula>21</formula>
    </cfRule>
  </conditionalFormatting>
  <conditionalFormatting sqref="M33">
    <cfRule type="cellIs" dxfId="5201" priority="136" operator="lessThan">
      <formula>15</formula>
    </cfRule>
    <cfRule type="cellIs" dxfId="5200" priority="137" operator="greaterThan">
      <formula>20</formula>
    </cfRule>
    <cfRule type="cellIs" dxfId="5199" priority="138" operator="between">
      <formula>15</formula>
      <formula>20</formula>
    </cfRule>
    <cfRule type="cellIs" dxfId="5198" priority="139" operator="between">
      <formula>15</formula>
      <formula>20</formula>
    </cfRule>
    <cfRule type="cellIs" dxfId="5197" priority="140" operator="lessThan">
      <formula>15</formula>
    </cfRule>
    <cfRule type="cellIs" dxfId="5196" priority="141" operator="greaterThan">
      <formula>20</formula>
    </cfRule>
    <cfRule type="cellIs" dxfId="5195" priority="142" operator="between">
      <formula>15</formula>
      <formula>21</formula>
    </cfRule>
    <cfRule type="cellIs" dxfId="5194" priority="143" operator="lessThan">
      <formula>15</formula>
    </cfRule>
    <cfRule type="cellIs" dxfId="5193" priority="144" operator="greaterThan">
      <formula>21</formula>
    </cfRule>
  </conditionalFormatting>
  <conditionalFormatting sqref="M28">
    <cfRule type="cellIs" dxfId="5192" priority="172" operator="lessThan">
      <formula>15</formula>
    </cfRule>
    <cfRule type="cellIs" dxfId="5191" priority="173" operator="greaterThan">
      <formula>20</formula>
    </cfRule>
    <cfRule type="cellIs" dxfId="5190" priority="174" operator="between">
      <formula>15</formula>
      <formula>20</formula>
    </cfRule>
    <cfRule type="cellIs" dxfId="5189" priority="175" operator="between">
      <formula>15</formula>
      <formula>20</formula>
    </cfRule>
    <cfRule type="cellIs" dxfId="5188" priority="176" operator="lessThan">
      <formula>15</formula>
    </cfRule>
    <cfRule type="cellIs" dxfId="5187" priority="177" operator="greaterThan">
      <formula>20</formula>
    </cfRule>
    <cfRule type="cellIs" dxfId="5186" priority="178" operator="between">
      <formula>15</formula>
      <formula>21</formula>
    </cfRule>
    <cfRule type="cellIs" dxfId="5185" priority="179" operator="lessThan">
      <formula>15</formula>
    </cfRule>
    <cfRule type="cellIs" dxfId="5184" priority="180" operator="greaterThan">
      <formula>21</formula>
    </cfRule>
  </conditionalFormatting>
  <conditionalFormatting sqref="M23">
    <cfRule type="cellIs" dxfId="5183" priority="163" operator="lessThan">
      <formula>15</formula>
    </cfRule>
    <cfRule type="cellIs" dxfId="5182" priority="164" operator="greaterThan">
      <formula>20</formula>
    </cfRule>
    <cfRule type="cellIs" dxfId="5181" priority="165" operator="between">
      <formula>15</formula>
      <formula>20</formula>
    </cfRule>
    <cfRule type="cellIs" dxfId="5180" priority="166" operator="between">
      <formula>15</formula>
      <formula>20</formula>
    </cfRule>
    <cfRule type="cellIs" dxfId="5179" priority="167" operator="lessThan">
      <formula>15</formula>
    </cfRule>
    <cfRule type="cellIs" dxfId="5178" priority="168" operator="greaterThan">
      <formula>20</formula>
    </cfRule>
    <cfRule type="cellIs" dxfId="5177" priority="169" operator="between">
      <formula>15</formula>
      <formula>21</formula>
    </cfRule>
    <cfRule type="cellIs" dxfId="5176" priority="170" operator="lessThan">
      <formula>15</formula>
    </cfRule>
    <cfRule type="cellIs" dxfId="5175" priority="171" operator="greaterThan">
      <formula>21</formula>
    </cfRule>
  </conditionalFormatting>
  <conditionalFormatting sqref="M18">
    <cfRule type="cellIs" dxfId="5174" priority="154" operator="lessThan">
      <formula>15</formula>
    </cfRule>
    <cfRule type="cellIs" dxfId="5173" priority="155" operator="greaterThan">
      <formula>20</formula>
    </cfRule>
    <cfRule type="cellIs" dxfId="5172" priority="156" operator="between">
      <formula>15</formula>
      <formula>20</formula>
    </cfRule>
    <cfRule type="cellIs" dxfId="5171" priority="157" operator="between">
      <formula>15</formula>
      <formula>20</formula>
    </cfRule>
    <cfRule type="cellIs" dxfId="5170" priority="158" operator="lessThan">
      <formula>15</formula>
    </cfRule>
    <cfRule type="cellIs" dxfId="5169" priority="159" operator="greaterThan">
      <formula>20</formula>
    </cfRule>
    <cfRule type="cellIs" dxfId="5168" priority="160" operator="between">
      <formula>15</formula>
      <formula>21</formula>
    </cfRule>
    <cfRule type="cellIs" dxfId="5167" priority="161" operator="lessThan">
      <formula>15</formula>
    </cfRule>
    <cfRule type="cellIs" dxfId="5166" priority="162" operator="greaterThan">
      <formula>21</formula>
    </cfRule>
  </conditionalFormatting>
  <conditionalFormatting sqref="M35:M37">
    <cfRule type="cellIs" dxfId="5165" priority="181" operator="lessThan">
      <formula>15</formula>
    </cfRule>
    <cfRule type="cellIs" dxfId="5164" priority="182" operator="greaterThan">
      <formula>20</formula>
    </cfRule>
    <cfRule type="cellIs" dxfId="5163" priority="183" operator="between">
      <formula>15</formula>
      <formula>20</formula>
    </cfRule>
    <cfRule type="cellIs" dxfId="5162" priority="184" operator="between">
      <formula>15</formula>
      <formula>20</formula>
    </cfRule>
    <cfRule type="cellIs" dxfId="5161" priority="185" operator="lessThan">
      <formula>15</formula>
    </cfRule>
    <cfRule type="cellIs" dxfId="5160" priority="186" operator="greaterThan">
      <formula>20</formula>
    </cfRule>
    <cfRule type="cellIs" dxfId="5159" priority="187" operator="between">
      <formula>15</formula>
      <formula>21</formula>
    </cfRule>
    <cfRule type="cellIs" dxfId="5158" priority="188" operator="lessThan">
      <formula>15</formula>
    </cfRule>
    <cfRule type="cellIs" dxfId="5157" priority="189" operator="greaterThan">
      <formula>21</formula>
    </cfRule>
  </conditionalFormatting>
  <conditionalFormatting sqref="M13">
    <cfRule type="cellIs" dxfId="5156" priority="145" operator="lessThan">
      <formula>15</formula>
    </cfRule>
    <cfRule type="cellIs" dxfId="5155" priority="146" operator="greaterThan">
      <formula>20</formula>
    </cfRule>
    <cfRule type="cellIs" dxfId="5154" priority="147" operator="between">
      <formula>15</formula>
      <formula>20</formula>
    </cfRule>
    <cfRule type="cellIs" dxfId="5153" priority="148" operator="between">
      <formula>15</formula>
      <formula>20</formula>
    </cfRule>
    <cfRule type="cellIs" dxfId="5152" priority="149" operator="lessThan">
      <formula>15</formula>
    </cfRule>
    <cfRule type="cellIs" dxfId="5151" priority="150" operator="greaterThan">
      <formula>20</formula>
    </cfRule>
    <cfRule type="cellIs" dxfId="5150" priority="151" operator="between">
      <formula>15</formula>
      <formula>21</formula>
    </cfRule>
    <cfRule type="cellIs" dxfId="5149" priority="152" operator="lessThan">
      <formula>15</formula>
    </cfRule>
    <cfRule type="cellIs" dxfId="5148" priority="153" operator="greaterThan">
      <formula>21</formula>
    </cfRule>
  </conditionalFormatting>
  <conditionalFormatting sqref="M20">
    <cfRule type="cellIs" dxfId="5147" priority="226" operator="lessThan">
      <formula>15</formula>
    </cfRule>
    <cfRule type="cellIs" dxfId="5146" priority="227" operator="greaterThan">
      <formula>20</formula>
    </cfRule>
    <cfRule type="cellIs" dxfId="5145" priority="228" operator="between">
      <formula>15</formula>
      <formula>20</formula>
    </cfRule>
    <cfRule type="cellIs" dxfId="5144" priority="229" operator="between">
      <formula>15</formula>
      <formula>20</formula>
    </cfRule>
    <cfRule type="cellIs" dxfId="5143" priority="230" operator="lessThan">
      <formula>15</formula>
    </cfRule>
    <cfRule type="cellIs" dxfId="5142" priority="231" operator="greaterThan">
      <formula>20</formula>
    </cfRule>
    <cfRule type="cellIs" dxfId="5141" priority="232" operator="between">
      <formula>15</formula>
      <formula>21</formula>
    </cfRule>
    <cfRule type="cellIs" dxfId="5140" priority="233" operator="lessThan">
      <formula>15</formula>
    </cfRule>
    <cfRule type="cellIs" dxfId="5139" priority="234" operator="greaterThan">
      <formula>21</formula>
    </cfRule>
  </conditionalFormatting>
  <conditionalFormatting sqref="M27">
    <cfRule type="cellIs" dxfId="5138" priority="217" operator="lessThan">
      <formula>15</formula>
    </cfRule>
    <cfRule type="cellIs" dxfId="5137" priority="218" operator="greaterThan">
      <formula>20</formula>
    </cfRule>
    <cfRule type="cellIs" dxfId="5136" priority="219" operator="between">
      <formula>15</formula>
      <formula>20</formula>
    </cfRule>
    <cfRule type="cellIs" dxfId="5135" priority="220" operator="between">
      <formula>15</formula>
      <formula>20</formula>
    </cfRule>
    <cfRule type="cellIs" dxfId="5134" priority="221" operator="lessThan">
      <formula>15</formula>
    </cfRule>
    <cfRule type="cellIs" dxfId="5133" priority="222" operator="greaterThan">
      <formula>20</formula>
    </cfRule>
    <cfRule type="cellIs" dxfId="5132" priority="223" operator="between">
      <formula>15</formula>
      <formula>21</formula>
    </cfRule>
    <cfRule type="cellIs" dxfId="5131" priority="224" operator="lessThan">
      <formula>15</formula>
    </cfRule>
    <cfRule type="cellIs" dxfId="5130" priority="225" operator="greaterThan">
      <formula>21</formula>
    </cfRule>
  </conditionalFormatting>
  <conditionalFormatting sqref="M34">
    <cfRule type="cellIs" dxfId="5129" priority="208" operator="lessThan">
      <formula>15</formula>
    </cfRule>
    <cfRule type="cellIs" dxfId="5128" priority="209" operator="greaterThan">
      <formula>20</formula>
    </cfRule>
    <cfRule type="cellIs" dxfId="5127" priority="210" operator="between">
      <formula>15</formula>
      <formula>20</formula>
    </cfRule>
    <cfRule type="cellIs" dxfId="5126" priority="211" operator="between">
      <formula>15</formula>
      <formula>20</formula>
    </cfRule>
    <cfRule type="cellIs" dxfId="5125" priority="212" operator="lessThan">
      <formula>15</formula>
    </cfRule>
    <cfRule type="cellIs" dxfId="5124" priority="213" operator="greaterThan">
      <formula>20</formula>
    </cfRule>
    <cfRule type="cellIs" dxfId="5123" priority="214" operator="between">
      <formula>15</formula>
      <formula>21</formula>
    </cfRule>
    <cfRule type="cellIs" dxfId="5122" priority="215" operator="lessThan">
      <formula>15</formula>
    </cfRule>
    <cfRule type="cellIs" dxfId="5121" priority="216" operator="greaterThan">
      <formula>21</formula>
    </cfRule>
  </conditionalFormatting>
  <conditionalFormatting sqref="M14:M17 M39 M21:M22 M24:M26 M19">
    <cfRule type="cellIs" dxfId="5120" priority="235" operator="lessThan">
      <formula>15</formula>
    </cfRule>
    <cfRule type="cellIs" dxfId="5119" priority="236" operator="greaterThan">
      <formula>20</formula>
    </cfRule>
    <cfRule type="cellIs" dxfId="5118" priority="237" operator="between">
      <formula>15</formula>
      <formula>20</formula>
    </cfRule>
    <cfRule type="cellIs" dxfId="5117" priority="238" operator="between">
      <formula>15</formula>
      <formula>20</formula>
    </cfRule>
    <cfRule type="cellIs" dxfId="5116" priority="239" operator="lessThan">
      <formula>15</formula>
    </cfRule>
    <cfRule type="cellIs" dxfId="5115" priority="240" operator="greaterThan">
      <formula>20</formula>
    </cfRule>
    <cfRule type="cellIs" dxfId="5114" priority="241" operator="between">
      <formula>15</formula>
      <formula>21</formula>
    </cfRule>
    <cfRule type="cellIs" dxfId="5113" priority="242" operator="lessThan">
      <formula>15</formula>
    </cfRule>
    <cfRule type="cellIs" dxfId="5112" priority="243" operator="greaterThan">
      <formula>21</formula>
    </cfRule>
  </conditionalFormatting>
  <conditionalFormatting sqref="M9:M12">
    <cfRule type="cellIs" dxfId="5111" priority="199" operator="lessThan">
      <formula>15</formula>
    </cfRule>
    <cfRule type="cellIs" dxfId="5110" priority="200" operator="greaterThan">
      <formula>20</formula>
    </cfRule>
    <cfRule type="cellIs" dxfId="5109" priority="201" operator="between">
      <formula>15</formula>
      <formula>20</formula>
    </cfRule>
    <cfRule type="cellIs" dxfId="5108" priority="202" operator="between">
      <formula>15</formula>
      <formula>20</formula>
    </cfRule>
    <cfRule type="cellIs" dxfId="5107" priority="203" operator="lessThan">
      <formula>15</formula>
    </cfRule>
    <cfRule type="cellIs" dxfId="5106" priority="204" operator="greaterThan">
      <formula>20</formula>
    </cfRule>
    <cfRule type="cellIs" dxfId="5105" priority="205" operator="between">
      <formula>15</formula>
      <formula>21</formula>
    </cfRule>
    <cfRule type="cellIs" dxfId="5104" priority="206" operator="lessThan">
      <formula>15</formula>
    </cfRule>
    <cfRule type="cellIs" dxfId="5103" priority="207" operator="greaterThan">
      <formula>21</formula>
    </cfRule>
  </conditionalFormatting>
  <conditionalFormatting sqref="M29:M32">
    <cfRule type="cellIs" dxfId="5102" priority="190" operator="lessThan">
      <formula>15</formula>
    </cfRule>
    <cfRule type="cellIs" dxfId="5101" priority="191" operator="greaterThan">
      <formula>20</formula>
    </cfRule>
    <cfRule type="cellIs" dxfId="5100" priority="192" operator="between">
      <formula>15</formula>
      <formula>20</formula>
    </cfRule>
    <cfRule type="cellIs" dxfId="5099" priority="193" operator="between">
      <formula>15</formula>
      <formula>20</formula>
    </cfRule>
    <cfRule type="cellIs" dxfId="5098" priority="194" operator="lessThan">
      <formula>15</formula>
    </cfRule>
    <cfRule type="cellIs" dxfId="5097" priority="195" operator="greaterThan">
      <formula>20</formula>
    </cfRule>
    <cfRule type="cellIs" dxfId="5096" priority="196" operator="between">
      <formula>15</formula>
      <formula>21</formula>
    </cfRule>
    <cfRule type="cellIs" dxfId="5095" priority="197" operator="lessThan">
      <formula>15</formula>
    </cfRule>
    <cfRule type="cellIs" dxfId="5094" priority="198" operator="greaterThan">
      <formula>21</formula>
    </cfRule>
  </conditionalFormatting>
  <conditionalFormatting sqref="M9:M39">
    <cfRule type="cellIs" dxfId="5093" priority="118" operator="lessThan">
      <formula>15</formula>
    </cfRule>
    <cfRule type="cellIs" dxfId="5092" priority="119" operator="greaterThan">
      <formula>20</formula>
    </cfRule>
    <cfRule type="cellIs" dxfId="5091" priority="120" operator="between">
      <formula>15</formula>
      <formula>20</formula>
    </cfRule>
    <cfRule type="cellIs" dxfId="5090" priority="121" operator="between">
      <formula>15</formula>
      <formula>20</formula>
    </cfRule>
    <cfRule type="cellIs" dxfId="5089" priority="122" operator="lessThan">
      <formula>15</formula>
    </cfRule>
    <cfRule type="cellIs" dxfId="5088" priority="123" operator="greaterThan">
      <formula>20</formula>
    </cfRule>
    <cfRule type="cellIs" dxfId="5087" priority="124" operator="between">
      <formula>15</formula>
      <formula>21</formula>
    </cfRule>
    <cfRule type="cellIs" dxfId="5086" priority="125" operator="lessThan">
      <formula>15</formula>
    </cfRule>
    <cfRule type="cellIs" dxfId="5085" priority="126" operator="greaterThan">
      <formula>21</formula>
    </cfRule>
  </conditionalFormatting>
  <conditionalFormatting sqref="M38">
    <cfRule type="cellIs" dxfId="5084" priority="109" operator="lessThan">
      <formula>15</formula>
    </cfRule>
    <cfRule type="cellIs" dxfId="5083" priority="110" operator="greaterThan">
      <formula>20</formula>
    </cfRule>
    <cfRule type="cellIs" dxfId="5082" priority="111" operator="between">
      <formula>15</formula>
      <formula>20</formula>
    </cfRule>
    <cfRule type="cellIs" dxfId="5081" priority="112" operator="between">
      <formula>15</formula>
      <formula>20</formula>
    </cfRule>
    <cfRule type="cellIs" dxfId="5080" priority="113" operator="lessThan">
      <formula>15</formula>
    </cfRule>
    <cfRule type="cellIs" dxfId="5079" priority="114" operator="greaterThan">
      <formula>20</formula>
    </cfRule>
    <cfRule type="cellIs" dxfId="5078" priority="115" operator="between">
      <formula>15</formula>
      <formula>21</formula>
    </cfRule>
    <cfRule type="cellIs" dxfId="5077" priority="116" operator="lessThan">
      <formula>15</formula>
    </cfRule>
    <cfRule type="cellIs" dxfId="5076" priority="117" operator="greaterThan">
      <formula>21</formula>
    </cfRule>
  </conditionalFormatting>
  <conditionalFormatting sqref="M33">
    <cfRule type="cellIs" dxfId="5075" priority="100" operator="lessThan">
      <formula>15</formula>
    </cfRule>
    <cfRule type="cellIs" dxfId="5074" priority="101" operator="greaterThan">
      <formula>20</formula>
    </cfRule>
    <cfRule type="cellIs" dxfId="5073" priority="102" operator="between">
      <formula>15</formula>
      <formula>20</formula>
    </cfRule>
    <cfRule type="cellIs" dxfId="5072" priority="103" operator="between">
      <formula>15</formula>
      <formula>20</formula>
    </cfRule>
    <cfRule type="cellIs" dxfId="5071" priority="104" operator="lessThan">
      <formula>15</formula>
    </cfRule>
    <cfRule type="cellIs" dxfId="5070" priority="105" operator="greaterThan">
      <formula>20</formula>
    </cfRule>
    <cfRule type="cellIs" dxfId="5069" priority="106" operator="between">
      <formula>15</formula>
      <formula>21</formula>
    </cfRule>
    <cfRule type="cellIs" dxfId="5068" priority="107" operator="lessThan">
      <formula>15</formula>
    </cfRule>
    <cfRule type="cellIs" dxfId="5067" priority="108" operator="greaterThan">
      <formula>21</formula>
    </cfRule>
  </conditionalFormatting>
  <conditionalFormatting sqref="M28">
    <cfRule type="cellIs" dxfId="5066" priority="91" operator="lessThan">
      <formula>15</formula>
    </cfRule>
    <cfRule type="cellIs" dxfId="5065" priority="92" operator="greaterThan">
      <formula>20</formula>
    </cfRule>
    <cfRule type="cellIs" dxfId="5064" priority="93" operator="between">
      <formula>15</formula>
      <formula>20</formula>
    </cfRule>
    <cfRule type="cellIs" dxfId="5063" priority="94" operator="between">
      <formula>15</formula>
      <formula>20</formula>
    </cfRule>
    <cfRule type="cellIs" dxfId="5062" priority="95" operator="lessThan">
      <formula>15</formula>
    </cfRule>
    <cfRule type="cellIs" dxfId="5061" priority="96" operator="greaterThan">
      <formula>20</formula>
    </cfRule>
    <cfRule type="cellIs" dxfId="5060" priority="97" operator="between">
      <formula>15</formula>
      <formula>21</formula>
    </cfRule>
    <cfRule type="cellIs" dxfId="5059" priority="98" operator="lessThan">
      <formula>15</formula>
    </cfRule>
    <cfRule type="cellIs" dxfId="5058" priority="99" operator="greaterThan">
      <formula>21</formula>
    </cfRule>
  </conditionalFormatting>
  <conditionalFormatting sqref="M23">
    <cfRule type="cellIs" dxfId="5057" priority="82" operator="lessThan">
      <formula>15</formula>
    </cfRule>
    <cfRule type="cellIs" dxfId="5056" priority="83" operator="greaterThan">
      <formula>20</formula>
    </cfRule>
    <cfRule type="cellIs" dxfId="5055" priority="84" operator="between">
      <formula>15</formula>
      <formula>20</formula>
    </cfRule>
    <cfRule type="cellIs" dxfId="5054" priority="85" operator="between">
      <formula>15</formula>
      <formula>20</formula>
    </cfRule>
    <cfRule type="cellIs" dxfId="5053" priority="86" operator="lessThan">
      <formula>15</formula>
    </cfRule>
    <cfRule type="cellIs" dxfId="5052" priority="87" operator="greaterThan">
      <formula>20</formula>
    </cfRule>
    <cfRule type="cellIs" dxfId="5051" priority="88" operator="between">
      <formula>15</formula>
      <formula>21</formula>
    </cfRule>
    <cfRule type="cellIs" dxfId="5050" priority="89" operator="lessThan">
      <formula>15</formula>
    </cfRule>
    <cfRule type="cellIs" dxfId="5049" priority="90" operator="greaterThan">
      <formula>21</formula>
    </cfRule>
  </conditionalFormatting>
  <conditionalFormatting sqref="M18">
    <cfRule type="cellIs" dxfId="5048" priority="73" operator="lessThan">
      <formula>15</formula>
    </cfRule>
    <cfRule type="cellIs" dxfId="5047" priority="74" operator="greaterThan">
      <formula>20</formula>
    </cfRule>
    <cfRule type="cellIs" dxfId="5046" priority="75" operator="between">
      <formula>15</formula>
      <formula>20</formula>
    </cfRule>
    <cfRule type="cellIs" dxfId="5045" priority="76" operator="between">
      <formula>15</formula>
      <formula>20</formula>
    </cfRule>
    <cfRule type="cellIs" dxfId="5044" priority="77" operator="lessThan">
      <formula>15</formula>
    </cfRule>
    <cfRule type="cellIs" dxfId="5043" priority="78" operator="greaterThan">
      <formula>20</formula>
    </cfRule>
    <cfRule type="cellIs" dxfId="5042" priority="79" operator="between">
      <formula>15</formula>
      <formula>21</formula>
    </cfRule>
    <cfRule type="cellIs" dxfId="5041" priority="80" operator="lessThan">
      <formula>15</formula>
    </cfRule>
    <cfRule type="cellIs" dxfId="5040" priority="81" operator="greaterThan">
      <formula>21</formula>
    </cfRule>
  </conditionalFormatting>
  <conditionalFormatting sqref="M35:M37">
    <cfRule type="cellIs" dxfId="5039" priority="64" operator="lessThan">
      <formula>15</formula>
    </cfRule>
    <cfRule type="cellIs" dxfId="5038" priority="65" operator="greaterThan">
      <formula>20</formula>
    </cfRule>
    <cfRule type="cellIs" dxfId="5037" priority="66" operator="between">
      <formula>15</formula>
      <formula>20</formula>
    </cfRule>
    <cfRule type="cellIs" dxfId="5036" priority="67" operator="between">
      <formula>15</formula>
      <formula>20</formula>
    </cfRule>
    <cfRule type="cellIs" dxfId="5035" priority="68" operator="lessThan">
      <formula>15</formula>
    </cfRule>
    <cfRule type="cellIs" dxfId="5034" priority="69" operator="greaterThan">
      <formula>20</formula>
    </cfRule>
    <cfRule type="cellIs" dxfId="5033" priority="70" operator="between">
      <formula>15</formula>
      <formula>21</formula>
    </cfRule>
    <cfRule type="cellIs" dxfId="5032" priority="71" operator="lessThan">
      <formula>15</formula>
    </cfRule>
    <cfRule type="cellIs" dxfId="5031" priority="72" operator="greaterThan">
      <formula>21</formula>
    </cfRule>
  </conditionalFormatting>
  <conditionalFormatting sqref="M13">
    <cfRule type="cellIs" dxfId="5030" priority="55" operator="lessThan">
      <formula>15</formula>
    </cfRule>
    <cfRule type="cellIs" dxfId="5029" priority="56" operator="greaterThan">
      <formula>20</formula>
    </cfRule>
    <cfRule type="cellIs" dxfId="5028" priority="57" operator="between">
      <formula>15</formula>
      <formula>20</formula>
    </cfRule>
    <cfRule type="cellIs" dxfId="5027" priority="58" operator="between">
      <formula>15</formula>
      <formula>20</formula>
    </cfRule>
    <cfRule type="cellIs" dxfId="5026" priority="59" operator="lessThan">
      <formula>15</formula>
    </cfRule>
    <cfRule type="cellIs" dxfId="5025" priority="60" operator="greaterThan">
      <formula>20</formula>
    </cfRule>
    <cfRule type="cellIs" dxfId="5024" priority="61" operator="between">
      <formula>15</formula>
      <formula>21</formula>
    </cfRule>
    <cfRule type="cellIs" dxfId="5023" priority="62" operator="lessThan">
      <formula>15</formula>
    </cfRule>
    <cfRule type="cellIs" dxfId="5022" priority="63" operator="greaterThan">
      <formula>21</formula>
    </cfRule>
  </conditionalFormatting>
  <conditionalFormatting sqref="M20">
    <cfRule type="cellIs" dxfId="5021" priority="46" operator="lessThan">
      <formula>15</formula>
    </cfRule>
    <cfRule type="cellIs" dxfId="5020" priority="47" operator="greaterThan">
      <formula>20</formula>
    </cfRule>
    <cfRule type="cellIs" dxfId="5019" priority="48" operator="between">
      <formula>15</formula>
      <formula>20</formula>
    </cfRule>
    <cfRule type="cellIs" dxfId="5018" priority="49" operator="between">
      <formula>15</formula>
      <formula>20</formula>
    </cfRule>
    <cfRule type="cellIs" dxfId="5017" priority="50" operator="lessThan">
      <formula>15</formula>
    </cfRule>
    <cfRule type="cellIs" dxfId="5016" priority="51" operator="greaterThan">
      <formula>20</formula>
    </cfRule>
    <cfRule type="cellIs" dxfId="5015" priority="52" operator="between">
      <formula>15</formula>
      <formula>21</formula>
    </cfRule>
    <cfRule type="cellIs" dxfId="5014" priority="53" operator="lessThan">
      <formula>15</formula>
    </cfRule>
    <cfRule type="cellIs" dxfId="5013" priority="54" operator="greaterThan">
      <formula>21</formula>
    </cfRule>
  </conditionalFormatting>
  <conditionalFormatting sqref="M27">
    <cfRule type="cellIs" dxfId="5012" priority="37" operator="lessThan">
      <formula>15</formula>
    </cfRule>
    <cfRule type="cellIs" dxfId="5011" priority="38" operator="greaterThan">
      <formula>20</formula>
    </cfRule>
    <cfRule type="cellIs" dxfId="5010" priority="39" operator="between">
      <formula>15</formula>
      <formula>20</formula>
    </cfRule>
    <cfRule type="cellIs" dxfId="5009" priority="40" operator="between">
      <formula>15</formula>
      <formula>20</formula>
    </cfRule>
    <cfRule type="cellIs" dxfId="5008" priority="41" operator="lessThan">
      <formula>15</formula>
    </cfRule>
    <cfRule type="cellIs" dxfId="5007" priority="42" operator="greaterThan">
      <formula>20</formula>
    </cfRule>
    <cfRule type="cellIs" dxfId="5006" priority="43" operator="between">
      <formula>15</formula>
      <formula>21</formula>
    </cfRule>
    <cfRule type="cellIs" dxfId="5005" priority="44" operator="lessThan">
      <formula>15</formula>
    </cfRule>
    <cfRule type="cellIs" dxfId="5004" priority="45" operator="greaterThan">
      <formula>21</formula>
    </cfRule>
  </conditionalFormatting>
  <conditionalFormatting sqref="M34">
    <cfRule type="cellIs" dxfId="5003" priority="28" operator="lessThan">
      <formula>15</formula>
    </cfRule>
    <cfRule type="cellIs" dxfId="5002" priority="29" operator="greaterThan">
      <formula>20</formula>
    </cfRule>
    <cfRule type="cellIs" dxfId="5001" priority="30" operator="between">
      <formula>15</formula>
      <formula>20</formula>
    </cfRule>
    <cfRule type="cellIs" dxfId="5000" priority="31" operator="between">
      <formula>15</formula>
      <formula>20</formula>
    </cfRule>
    <cfRule type="cellIs" dxfId="4999" priority="32" operator="lessThan">
      <formula>15</formula>
    </cfRule>
    <cfRule type="cellIs" dxfId="4998" priority="33" operator="greaterThan">
      <formula>20</formula>
    </cfRule>
    <cfRule type="cellIs" dxfId="4997" priority="34" operator="between">
      <formula>15</formula>
      <formula>21</formula>
    </cfRule>
    <cfRule type="cellIs" dxfId="4996" priority="35" operator="lessThan">
      <formula>15</formula>
    </cfRule>
    <cfRule type="cellIs" dxfId="4995" priority="36" operator="greaterThan">
      <formula>21</formula>
    </cfRule>
  </conditionalFormatting>
  <conditionalFormatting sqref="M14:M17 M39 M21:M22 M24:M26 M19">
    <cfRule type="cellIs" dxfId="4994" priority="19" operator="lessThan">
      <formula>15</formula>
    </cfRule>
    <cfRule type="cellIs" dxfId="4993" priority="20" operator="greaterThan">
      <formula>20</formula>
    </cfRule>
    <cfRule type="cellIs" dxfId="4992" priority="21" operator="between">
      <formula>15</formula>
      <formula>20</formula>
    </cfRule>
    <cfRule type="cellIs" dxfId="4991" priority="22" operator="between">
      <formula>15</formula>
      <formula>20</formula>
    </cfRule>
    <cfRule type="cellIs" dxfId="4990" priority="23" operator="lessThan">
      <formula>15</formula>
    </cfRule>
    <cfRule type="cellIs" dxfId="4989" priority="24" operator="greaterThan">
      <formula>20</formula>
    </cfRule>
    <cfRule type="cellIs" dxfId="4988" priority="25" operator="between">
      <formula>15</formula>
      <formula>21</formula>
    </cfRule>
    <cfRule type="cellIs" dxfId="4987" priority="26" operator="lessThan">
      <formula>15</formula>
    </cfRule>
    <cfRule type="cellIs" dxfId="4986" priority="27" operator="greaterThan">
      <formula>21</formula>
    </cfRule>
  </conditionalFormatting>
  <conditionalFormatting sqref="M9:M12">
    <cfRule type="cellIs" dxfId="4985" priority="10" operator="lessThan">
      <formula>15</formula>
    </cfRule>
    <cfRule type="cellIs" dxfId="4984" priority="11" operator="greaterThan">
      <formula>20</formula>
    </cfRule>
    <cfRule type="cellIs" dxfId="4983" priority="12" operator="between">
      <formula>15</formula>
      <formula>20</formula>
    </cfRule>
    <cfRule type="cellIs" dxfId="4982" priority="13" operator="between">
      <formula>15</formula>
      <formula>20</formula>
    </cfRule>
    <cfRule type="cellIs" dxfId="4981" priority="14" operator="lessThan">
      <formula>15</formula>
    </cfRule>
    <cfRule type="cellIs" dxfId="4980" priority="15" operator="greaterThan">
      <formula>20</formula>
    </cfRule>
    <cfRule type="cellIs" dxfId="4979" priority="16" operator="between">
      <formula>15</formula>
      <formula>21</formula>
    </cfRule>
    <cfRule type="cellIs" dxfId="4978" priority="17" operator="lessThan">
      <formula>15</formula>
    </cfRule>
    <cfRule type="cellIs" dxfId="4977" priority="18" operator="greaterThan">
      <formula>21</formula>
    </cfRule>
  </conditionalFormatting>
  <conditionalFormatting sqref="M29:M32">
    <cfRule type="cellIs" dxfId="4976" priority="1" operator="lessThan">
      <formula>15</formula>
    </cfRule>
    <cfRule type="cellIs" dxfId="4975" priority="2" operator="greaterThan">
      <formula>20</formula>
    </cfRule>
    <cfRule type="cellIs" dxfId="4974" priority="3" operator="between">
      <formula>15</formula>
      <formula>20</formula>
    </cfRule>
    <cfRule type="cellIs" dxfId="4973" priority="4" operator="between">
      <formula>15</formula>
      <formula>20</formula>
    </cfRule>
    <cfRule type="cellIs" dxfId="4972" priority="5" operator="lessThan">
      <formula>15</formula>
    </cfRule>
    <cfRule type="cellIs" dxfId="4971" priority="6" operator="greaterThan">
      <formula>20</formula>
    </cfRule>
    <cfRule type="cellIs" dxfId="4970" priority="7" operator="between">
      <formula>15</formula>
      <formula>21</formula>
    </cfRule>
    <cfRule type="cellIs" dxfId="4969" priority="8" operator="lessThan">
      <formula>15</formula>
    </cfRule>
    <cfRule type="cellIs" dxfId="4968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49"/>
  <sheetViews>
    <sheetView zoomScale="80" zoomScaleNormal="80" workbookViewId="0">
      <pane ySplit="8" topLeftCell="A21" activePane="bottomLeft" state="frozen"/>
      <selection pane="bottomLeft" activeCell="M5" sqref="M5"/>
    </sheetView>
  </sheetViews>
  <sheetFormatPr defaultColWidth="9.28515625" defaultRowHeight="15"/>
  <cols>
    <col min="1" max="1" width="5.5703125" style="143" customWidth="1"/>
    <col min="2" max="2" width="9" style="143" customWidth="1"/>
    <col min="3" max="3" width="16.7109375" style="143" customWidth="1"/>
    <col min="4" max="11" width="10" style="142" customWidth="1"/>
    <col min="12" max="13" width="11.7109375" style="143" customWidth="1"/>
    <col min="14" max="14" width="6.285156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758" customFormat="1" ht="18.75" customHeight="1">
      <c r="A4" s="1600" t="s">
        <v>33</v>
      </c>
      <c r="B4" s="1600"/>
      <c r="C4" s="316" t="str">
        <f>J4</f>
        <v>CAO LANH F3005</v>
      </c>
      <c r="D4" s="383"/>
      <c r="E4" s="383" t="s">
        <v>228</v>
      </c>
      <c r="F4" s="383" t="s">
        <v>229</v>
      </c>
      <c r="G4" s="383"/>
      <c r="I4" s="383" t="s">
        <v>120</v>
      </c>
      <c r="J4" s="316" t="s">
        <v>296</v>
      </c>
      <c r="K4" s="319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907.25</v>
      </c>
      <c r="E8" s="388">
        <f>K8</f>
        <v>950</v>
      </c>
      <c r="F8" s="389"/>
      <c r="G8" s="388"/>
      <c r="H8" s="387"/>
      <c r="I8" s="388"/>
      <c r="J8" s="390">
        <f>K8-K8*N8</f>
        <v>907.25</v>
      </c>
      <c r="K8" s="389">
        <v>950</v>
      </c>
      <c r="L8" s="303"/>
      <c r="M8" s="304"/>
      <c r="N8" s="366">
        <v>4.4999999999999998E-2</v>
      </c>
      <c r="O8" s="143">
        <v>3001</v>
      </c>
    </row>
    <row r="9" spans="1:25" s="367" customFormat="1" ht="12" customHeight="1">
      <c r="A9" s="364">
        <v>1</v>
      </c>
      <c r="B9" s="365">
        <f>'FRIT HGE91-FHG'!B10</f>
        <v>46236</v>
      </c>
      <c r="C9" s="365" t="s">
        <v>285</v>
      </c>
      <c r="D9" s="490"/>
      <c r="E9" s="395"/>
      <c r="F9" s="393"/>
      <c r="G9" s="491"/>
      <c r="H9" s="394">
        <f>SUM($F$8:F9)/A9</f>
        <v>0</v>
      </c>
      <c r="I9" s="395">
        <f>SUM($G$8:G9)/A9</f>
        <v>0</v>
      </c>
      <c r="J9" s="396">
        <f t="shared" ref="J9:K11" si="0">J8+D9-F9</f>
        <v>907.25</v>
      </c>
      <c r="K9" s="397">
        <f t="shared" si="0"/>
        <v>950</v>
      </c>
      <c r="L9" s="338" t="e">
        <f>J9/H9</f>
        <v>#DIV/0!</v>
      </c>
      <c r="M9" s="300" t="e">
        <f>K9/I9</f>
        <v>#DIV/0!</v>
      </c>
      <c r="N9" s="366"/>
      <c r="O9" s="647">
        <f>J9/$O$8</f>
        <v>0.30231589470176606</v>
      </c>
    </row>
    <row r="10" spans="1:25" s="367" customFormat="1" ht="12" customHeight="1">
      <c r="A10" s="364">
        <v>2</v>
      </c>
      <c r="B10" s="365">
        <f>'FRIT HGE91-FHG'!B11</f>
        <v>46237</v>
      </c>
      <c r="C10" s="365" t="s">
        <v>285</v>
      </c>
      <c r="D10" s="490"/>
      <c r="E10" s="395"/>
      <c r="F10" s="393"/>
      <c r="G10" s="491"/>
      <c r="H10" s="394">
        <f>SUM($F$8:F10)/A10</f>
        <v>0</v>
      </c>
      <c r="I10" s="395">
        <f>SUM($G$8:G10)/A10</f>
        <v>0</v>
      </c>
      <c r="J10" s="396">
        <f t="shared" si="0"/>
        <v>907.25</v>
      </c>
      <c r="K10" s="397">
        <f t="shared" si="0"/>
        <v>950</v>
      </c>
      <c r="L10" s="338" t="e">
        <f t="shared" ref="L10:L39" si="1">J10/H10</f>
        <v>#DIV/0!</v>
      </c>
      <c r="M10" s="300" t="e">
        <f t="shared" ref="M10:M39" si="2">K10/I10</f>
        <v>#DIV/0!</v>
      </c>
      <c r="N10" s="366"/>
      <c r="O10" s="647">
        <f t="shared" ref="O10:O39" si="3">J10/$O$8</f>
        <v>0.30231589470176606</v>
      </c>
    </row>
    <row r="11" spans="1:25" s="367" customFormat="1" ht="12" customHeight="1">
      <c r="A11" s="364">
        <v>3</v>
      </c>
      <c r="B11" s="365">
        <f>'FRIT HGE91-FHG'!B12</f>
        <v>46238</v>
      </c>
      <c r="C11" s="365" t="s">
        <v>285</v>
      </c>
      <c r="D11" s="490"/>
      <c r="E11" s="395"/>
      <c r="F11" s="393"/>
      <c r="G11" s="491"/>
      <c r="H11" s="394">
        <f>SUM($F$8:F11)/A11</f>
        <v>0</v>
      </c>
      <c r="I11" s="395">
        <f>SUM($G$8:G11)/A11</f>
        <v>0</v>
      </c>
      <c r="J11" s="396">
        <f t="shared" si="0"/>
        <v>907.25</v>
      </c>
      <c r="K11" s="397">
        <f t="shared" si="0"/>
        <v>950</v>
      </c>
      <c r="L11" s="338" t="e">
        <f t="shared" si="1"/>
        <v>#DIV/0!</v>
      </c>
      <c r="M11" s="300" t="e">
        <f t="shared" si="2"/>
        <v>#DIV/0!</v>
      </c>
      <c r="N11" s="366"/>
      <c r="O11" s="647">
        <f t="shared" si="3"/>
        <v>0.30231589470176606</v>
      </c>
    </row>
    <row r="12" spans="1:25" s="367" customFormat="1" ht="12" customHeight="1">
      <c r="A12" s="364">
        <v>4</v>
      </c>
      <c r="B12" s="365">
        <f>'FRIT HGE91-FHG'!B13</f>
        <v>46239</v>
      </c>
      <c r="C12" s="365" t="s">
        <v>285</v>
      </c>
      <c r="D12" s="490"/>
      <c r="E12" s="395"/>
      <c r="F12" s="393"/>
      <c r="G12" s="491"/>
      <c r="H12" s="394">
        <f>SUM($F$8:F12)/A12</f>
        <v>0</v>
      </c>
      <c r="I12" s="395">
        <f>SUM($G$8:G12)/A12</f>
        <v>0</v>
      </c>
      <c r="J12" s="396">
        <f t="shared" ref="J12:K27" si="4">J11+D12-F12</f>
        <v>907.25</v>
      </c>
      <c r="K12" s="397">
        <f t="shared" si="4"/>
        <v>950</v>
      </c>
      <c r="L12" s="338" t="e">
        <f t="shared" si="1"/>
        <v>#DIV/0!</v>
      </c>
      <c r="M12" s="300" t="e">
        <f t="shared" si="2"/>
        <v>#DIV/0!</v>
      </c>
      <c r="N12" s="366"/>
      <c r="O12" s="647">
        <f t="shared" si="3"/>
        <v>0.30231589470176606</v>
      </c>
    </row>
    <row r="13" spans="1:25" s="367" customFormat="1" ht="12" customHeight="1">
      <c r="A13" s="500">
        <v>5</v>
      </c>
      <c r="B13" s="365">
        <f>'FRIT HGE91-FHG'!B14</f>
        <v>46240</v>
      </c>
      <c r="C13" s="365" t="s">
        <v>285</v>
      </c>
      <c r="D13" s="490"/>
      <c r="E13" s="395"/>
      <c r="F13" s="393"/>
      <c r="G13" s="491"/>
      <c r="H13" s="492">
        <f>SUM($F$8:F13)/A13</f>
        <v>0</v>
      </c>
      <c r="I13" s="395">
        <f>SUM($G$8:G13)/A13</f>
        <v>0</v>
      </c>
      <c r="J13" s="492">
        <f t="shared" si="4"/>
        <v>907.25</v>
      </c>
      <c r="K13" s="397">
        <f t="shared" si="4"/>
        <v>950</v>
      </c>
      <c r="L13" s="368" t="e">
        <f t="shared" si="1"/>
        <v>#DIV/0!</v>
      </c>
      <c r="M13" s="300" t="e">
        <f t="shared" si="2"/>
        <v>#DIV/0!</v>
      </c>
      <c r="N13" s="366"/>
      <c r="O13" s="647">
        <f t="shared" si="3"/>
        <v>0.30231589470176606</v>
      </c>
    </row>
    <row r="14" spans="1:25" s="367" customFormat="1" ht="12" customHeight="1">
      <c r="A14" s="364">
        <v>6</v>
      </c>
      <c r="B14" s="365">
        <f>'FRIT HGE91-FHG'!B15</f>
        <v>46241</v>
      </c>
      <c r="C14" s="365" t="s">
        <v>285</v>
      </c>
      <c r="D14" s="490"/>
      <c r="E14" s="395"/>
      <c r="F14" s="393"/>
      <c r="G14" s="491"/>
      <c r="H14" s="394">
        <f>SUM($F$8:F14)/A14</f>
        <v>0</v>
      </c>
      <c r="I14" s="395">
        <f>SUM($G$8:G14)/A14</f>
        <v>0</v>
      </c>
      <c r="J14" s="396">
        <f t="shared" si="4"/>
        <v>907.25</v>
      </c>
      <c r="K14" s="397">
        <f t="shared" si="4"/>
        <v>950</v>
      </c>
      <c r="L14" s="338" t="e">
        <f t="shared" si="1"/>
        <v>#DIV/0!</v>
      </c>
      <c r="M14" s="300" t="e">
        <f t="shared" si="2"/>
        <v>#DIV/0!</v>
      </c>
      <c r="N14" s="366"/>
      <c r="O14" s="647">
        <f t="shared" si="3"/>
        <v>0.30231589470176606</v>
      </c>
    </row>
    <row r="15" spans="1:25" s="367" customFormat="1" ht="12" customHeight="1">
      <c r="A15" s="364">
        <v>7</v>
      </c>
      <c r="B15" s="365">
        <f>'FRIT HGE91-FHG'!B16</f>
        <v>46242</v>
      </c>
      <c r="C15" s="365" t="s">
        <v>285</v>
      </c>
      <c r="D15" s="490"/>
      <c r="E15" s="395"/>
      <c r="F15" s="393"/>
      <c r="G15" s="491"/>
      <c r="H15" s="394">
        <f>SUM($F$8:F15)/A15</f>
        <v>0</v>
      </c>
      <c r="I15" s="395">
        <f>SUM($G$8:G15)/A15</f>
        <v>0</v>
      </c>
      <c r="J15" s="396">
        <f t="shared" si="4"/>
        <v>907.25</v>
      </c>
      <c r="K15" s="397">
        <f t="shared" si="4"/>
        <v>950</v>
      </c>
      <c r="L15" s="338" t="e">
        <f t="shared" si="1"/>
        <v>#DIV/0!</v>
      </c>
      <c r="M15" s="300" t="e">
        <f t="shared" si="2"/>
        <v>#DIV/0!</v>
      </c>
      <c r="N15" s="366"/>
      <c r="O15" s="647">
        <f t="shared" si="3"/>
        <v>0.30231589470176606</v>
      </c>
    </row>
    <row r="16" spans="1:25" s="367" customFormat="1" ht="12" customHeight="1">
      <c r="A16" s="364">
        <v>8</v>
      </c>
      <c r="B16" s="365">
        <f>'FRIT HGE91-FHG'!B17</f>
        <v>46243</v>
      </c>
      <c r="C16" s="365" t="s">
        <v>285</v>
      </c>
      <c r="D16" s="490"/>
      <c r="E16" s="395"/>
      <c r="F16" s="393"/>
      <c r="G16" s="491"/>
      <c r="H16" s="394">
        <f>SUM($F$8:F16)/A16</f>
        <v>0</v>
      </c>
      <c r="I16" s="395">
        <f>SUM($G$8:G16)/A16</f>
        <v>0</v>
      </c>
      <c r="J16" s="396">
        <f t="shared" si="4"/>
        <v>907.25</v>
      </c>
      <c r="K16" s="397">
        <f t="shared" si="4"/>
        <v>950</v>
      </c>
      <c r="L16" s="338" t="e">
        <f t="shared" si="1"/>
        <v>#DIV/0!</v>
      </c>
      <c r="M16" s="300" t="e">
        <f t="shared" si="2"/>
        <v>#DIV/0!</v>
      </c>
      <c r="N16" s="366"/>
      <c r="O16" s="647">
        <f t="shared" si="3"/>
        <v>0.30231589470176606</v>
      </c>
    </row>
    <row r="17" spans="1:15" s="367" customFormat="1" ht="12" customHeight="1">
      <c r="A17" s="364">
        <v>9</v>
      </c>
      <c r="B17" s="365">
        <f>'FRIT HGE91-FHG'!B18</f>
        <v>46244</v>
      </c>
      <c r="C17" s="365" t="s">
        <v>285</v>
      </c>
      <c r="D17" s="490"/>
      <c r="E17" s="395"/>
      <c r="F17" s="393"/>
      <c r="G17" s="491"/>
      <c r="H17" s="394">
        <f>SUM($F$8:F17)/A17</f>
        <v>0</v>
      </c>
      <c r="I17" s="395">
        <f>SUM($G$8:G17)/A17</f>
        <v>0</v>
      </c>
      <c r="J17" s="396">
        <f t="shared" si="4"/>
        <v>907.25</v>
      </c>
      <c r="K17" s="397">
        <f t="shared" si="4"/>
        <v>950</v>
      </c>
      <c r="L17" s="338" t="e">
        <f t="shared" si="1"/>
        <v>#DIV/0!</v>
      </c>
      <c r="M17" s="300" t="e">
        <f t="shared" si="2"/>
        <v>#DIV/0!</v>
      </c>
      <c r="N17" s="366"/>
      <c r="O17" s="647">
        <f t="shared" si="3"/>
        <v>0.30231589470176606</v>
      </c>
    </row>
    <row r="18" spans="1:15" s="367" customFormat="1" ht="12" customHeight="1">
      <c r="A18" s="500">
        <v>10</v>
      </c>
      <c r="B18" s="365">
        <f>'FRIT HGE91-FHG'!B19</f>
        <v>46245</v>
      </c>
      <c r="C18" s="365" t="s">
        <v>285</v>
      </c>
      <c r="D18" s="490"/>
      <c r="E18" s="395"/>
      <c r="F18" s="393"/>
      <c r="G18" s="491"/>
      <c r="H18" s="492">
        <f>SUM($F$8:F18)/A18</f>
        <v>0</v>
      </c>
      <c r="I18" s="395">
        <f>SUM($G$8:G18)/A18</f>
        <v>0</v>
      </c>
      <c r="J18" s="492">
        <f t="shared" si="4"/>
        <v>907.25</v>
      </c>
      <c r="K18" s="397">
        <f t="shared" si="4"/>
        <v>950</v>
      </c>
      <c r="L18" s="368" t="e">
        <f t="shared" si="1"/>
        <v>#DIV/0!</v>
      </c>
      <c r="M18" s="300" t="e">
        <f t="shared" si="2"/>
        <v>#DIV/0!</v>
      </c>
      <c r="N18" s="366"/>
      <c r="O18" s="647">
        <f t="shared" si="3"/>
        <v>0.30231589470176606</v>
      </c>
    </row>
    <row r="19" spans="1:15" s="367" customFormat="1" ht="12" customHeight="1">
      <c r="A19" s="364">
        <v>11</v>
      </c>
      <c r="B19" s="365">
        <f>'FRIT HGE91-FHG'!B20</f>
        <v>46246</v>
      </c>
      <c r="C19" s="365" t="s">
        <v>285</v>
      </c>
      <c r="D19" s="490"/>
      <c r="E19" s="395"/>
      <c r="F19" s="393"/>
      <c r="G19" s="491"/>
      <c r="H19" s="394">
        <f>SUM($F$8:F19)/A19</f>
        <v>0</v>
      </c>
      <c r="I19" s="395">
        <f>SUM($G$8:G19)/A19</f>
        <v>0</v>
      </c>
      <c r="J19" s="396">
        <f t="shared" si="4"/>
        <v>907.25</v>
      </c>
      <c r="K19" s="397">
        <f t="shared" si="4"/>
        <v>950</v>
      </c>
      <c r="L19" s="338" t="e">
        <f t="shared" si="1"/>
        <v>#DIV/0!</v>
      </c>
      <c r="M19" s="300" t="e">
        <f t="shared" si="2"/>
        <v>#DIV/0!</v>
      </c>
      <c r="N19" s="366"/>
      <c r="O19" s="647">
        <f t="shared" si="3"/>
        <v>0.30231589470176606</v>
      </c>
    </row>
    <row r="20" spans="1:15" s="367" customFormat="1" ht="12" customHeight="1">
      <c r="A20" s="364">
        <v>12</v>
      </c>
      <c r="B20" s="365">
        <f>'FRIT HGE91-FHG'!B21</f>
        <v>46247</v>
      </c>
      <c r="C20" s="365" t="s">
        <v>285</v>
      </c>
      <c r="D20" s="490"/>
      <c r="E20" s="395"/>
      <c r="F20" s="393"/>
      <c r="G20" s="491"/>
      <c r="H20" s="394">
        <f>SUM($F$8:F20)/A20</f>
        <v>0</v>
      </c>
      <c r="I20" s="395">
        <f>SUM($G$8:G20)/A20</f>
        <v>0</v>
      </c>
      <c r="J20" s="396">
        <f t="shared" si="4"/>
        <v>907.25</v>
      </c>
      <c r="K20" s="397">
        <f t="shared" si="4"/>
        <v>950</v>
      </c>
      <c r="L20" s="338" t="e">
        <f t="shared" si="1"/>
        <v>#DIV/0!</v>
      </c>
      <c r="M20" s="300" t="e">
        <f t="shared" si="2"/>
        <v>#DIV/0!</v>
      </c>
      <c r="N20" s="366"/>
      <c r="O20" s="647">
        <f t="shared" si="3"/>
        <v>0.30231589470176606</v>
      </c>
    </row>
    <row r="21" spans="1:15" s="367" customFormat="1" ht="12" customHeight="1">
      <c r="A21" s="364">
        <v>13</v>
      </c>
      <c r="B21" s="365">
        <f>'FRIT HGE91-FHG'!B22</f>
        <v>46248</v>
      </c>
      <c r="C21" s="365" t="s">
        <v>285</v>
      </c>
      <c r="D21" s="490"/>
      <c r="E21" s="395"/>
      <c r="F21" s="393"/>
      <c r="G21" s="491"/>
      <c r="H21" s="394">
        <f>SUM($F$8:F21)/A21</f>
        <v>0</v>
      </c>
      <c r="I21" s="395">
        <f>SUM($G$8:G21)/A21</f>
        <v>0</v>
      </c>
      <c r="J21" s="396">
        <f t="shared" si="4"/>
        <v>907.25</v>
      </c>
      <c r="K21" s="397">
        <f>K20+E21-G21</f>
        <v>950</v>
      </c>
      <c r="L21" s="338" t="e">
        <f t="shared" si="1"/>
        <v>#DIV/0!</v>
      </c>
      <c r="M21" s="300" t="e">
        <f t="shared" si="2"/>
        <v>#DIV/0!</v>
      </c>
      <c r="N21" s="366"/>
      <c r="O21" s="647">
        <f t="shared" si="3"/>
        <v>0.30231589470176606</v>
      </c>
    </row>
    <row r="22" spans="1:15" s="367" customFormat="1" ht="12" customHeight="1">
      <c r="A22" s="364">
        <v>14</v>
      </c>
      <c r="B22" s="365">
        <f>'FRIT HGE91-FHG'!B23</f>
        <v>46249</v>
      </c>
      <c r="C22" s="365" t="s">
        <v>285</v>
      </c>
      <c r="D22" s="490"/>
      <c r="E22" s="395"/>
      <c r="F22" s="393"/>
      <c r="G22" s="491"/>
      <c r="H22" s="394">
        <f>SUM($F$8:F22)/A22</f>
        <v>0</v>
      </c>
      <c r="I22" s="395">
        <f>SUM($G$8:G22)/A22</f>
        <v>0</v>
      </c>
      <c r="J22" s="396">
        <f t="shared" si="4"/>
        <v>907.25</v>
      </c>
      <c r="K22" s="397">
        <f>K21+E22-G22</f>
        <v>950</v>
      </c>
      <c r="L22" s="338" t="e">
        <f t="shared" si="1"/>
        <v>#DIV/0!</v>
      </c>
      <c r="M22" s="300" t="e">
        <f t="shared" si="2"/>
        <v>#DIV/0!</v>
      </c>
      <c r="N22" s="366"/>
      <c r="O22" s="647">
        <f t="shared" si="3"/>
        <v>0.30231589470176606</v>
      </c>
    </row>
    <row r="23" spans="1:15" s="367" customFormat="1" ht="12" customHeight="1">
      <c r="A23" s="500">
        <v>15</v>
      </c>
      <c r="B23" s="365">
        <f>'FRIT HGE91-FHG'!B24</f>
        <v>46250</v>
      </c>
      <c r="C23" s="365" t="s">
        <v>285</v>
      </c>
      <c r="D23" s="490"/>
      <c r="E23" s="395"/>
      <c r="F23" s="393"/>
      <c r="G23" s="491"/>
      <c r="H23" s="492">
        <f>SUM($F$8:F23)/A23</f>
        <v>0</v>
      </c>
      <c r="I23" s="395">
        <f>SUM($G$8:G23)/A23</f>
        <v>0</v>
      </c>
      <c r="J23" s="492">
        <f t="shared" si="4"/>
        <v>907.25</v>
      </c>
      <c r="K23" s="397">
        <f t="shared" si="4"/>
        <v>950</v>
      </c>
      <c r="L23" s="368" t="e">
        <f t="shared" si="1"/>
        <v>#DIV/0!</v>
      </c>
      <c r="M23" s="300" t="e">
        <f t="shared" si="2"/>
        <v>#DIV/0!</v>
      </c>
      <c r="N23" s="366"/>
      <c r="O23" s="647">
        <f t="shared" si="3"/>
        <v>0.30231589470176606</v>
      </c>
    </row>
    <row r="24" spans="1:15" s="367" customFormat="1" ht="12" customHeight="1">
      <c r="A24" s="364">
        <v>16</v>
      </c>
      <c r="B24" s="365">
        <f>'FRIT HGE91-FHG'!B25</f>
        <v>46251</v>
      </c>
      <c r="C24" s="365" t="s">
        <v>285</v>
      </c>
      <c r="D24" s="490"/>
      <c r="E24" s="395"/>
      <c r="F24" s="393"/>
      <c r="G24" s="491"/>
      <c r="H24" s="394">
        <f>SUM($F$8:F24)/A24</f>
        <v>0</v>
      </c>
      <c r="I24" s="395">
        <f>SUM($G$8:G24)/A24</f>
        <v>0</v>
      </c>
      <c r="J24" s="396">
        <f t="shared" si="4"/>
        <v>907.25</v>
      </c>
      <c r="K24" s="397">
        <f>K23+E24-G24</f>
        <v>950</v>
      </c>
      <c r="L24" s="338" t="e">
        <f t="shared" si="1"/>
        <v>#DIV/0!</v>
      </c>
      <c r="M24" s="300" t="e">
        <f t="shared" si="2"/>
        <v>#DIV/0!</v>
      </c>
      <c r="N24" s="366"/>
      <c r="O24" s="647">
        <f t="shared" si="3"/>
        <v>0.30231589470176606</v>
      </c>
    </row>
    <row r="25" spans="1:15" s="367" customFormat="1" ht="12" customHeight="1">
      <c r="A25" s="364">
        <v>17</v>
      </c>
      <c r="B25" s="365">
        <f>'FRIT HGE91-FHG'!B26</f>
        <v>46252</v>
      </c>
      <c r="C25" s="365" t="s">
        <v>285</v>
      </c>
      <c r="D25" s="490"/>
      <c r="E25" s="395"/>
      <c r="F25" s="393"/>
      <c r="G25" s="491"/>
      <c r="H25" s="394">
        <f>SUM($F$8:F25)/A25</f>
        <v>0</v>
      </c>
      <c r="I25" s="395">
        <f>SUM($G$8:G25)/A25</f>
        <v>0</v>
      </c>
      <c r="J25" s="396">
        <f t="shared" si="4"/>
        <v>907.25</v>
      </c>
      <c r="K25" s="397">
        <f>K24+E25-G25</f>
        <v>950</v>
      </c>
      <c r="L25" s="338" t="e">
        <f t="shared" si="1"/>
        <v>#DIV/0!</v>
      </c>
      <c r="M25" s="300" t="e">
        <f t="shared" si="2"/>
        <v>#DIV/0!</v>
      </c>
      <c r="N25" s="366"/>
      <c r="O25" s="647">
        <f t="shared" si="3"/>
        <v>0.30231589470176606</v>
      </c>
    </row>
    <row r="26" spans="1:15" s="367" customFormat="1" ht="12" customHeight="1">
      <c r="A26" s="364">
        <v>18</v>
      </c>
      <c r="B26" s="365">
        <f>'FRIT HGE91-FHG'!B27</f>
        <v>46253</v>
      </c>
      <c r="C26" s="365" t="s">
        <v>285</v>
      </c>
      <c r="D26" s="490"/>
      <c r="E26" s="395"/>
      <c r="F26" s="393"/>
      <c r="G26" s="491"/>
      <c r="H26" s="394">
        <f>SUM($F$8:F26)/A26</f>
        <v>0</v>
      </c>
      <c r="I26" s="395">
        <f>SUM($G$8:G26)/A26</f>
        <v>0</v>
      </c>
      <c r="J26" s="396">
        <f t="shared" si="4"/>
        <v>907.25</v>
      </c>
      <c r="K26" s="397">
        <f>K25+E26-G26</f>
        <v>950</v>
      </c>
      <c r="L26" s="338" t="e">
        <f t="shared" si="1"/>
        <v>#DIV/0!</v>
      </c>
      <c r="M26" s="300" t="e">
        <f t="shared" si="2"/>
        <v>#DIV/0!</v>
      </c>
      <c r="N26" s="366"/>
      <c r="O26" s="647">
        <f t="shared" si="3"/>
        <v>0.30231589470176606</v>
      </c>
    </row>
    <row r="27" spans="1:15" s="367" customFormat="1" ht="12" customHeight="1">
      <c r="A27" s="364">
        <v>19</v>
      </c>
      <c r="B27" s="365">
        <f>'FRIT HGE91-FHG'!B28</f>
        <v>46254</v>
      </c>
      <c r="C27" s="365" t="s">
        <v>285</v>
      </c>
      <c r="D27" s="490"/>
      <c r="E27" s="395"/>
      <c r="F27" s="393"/>
      <c r="G27" s="491"/>
      <c r="H27" s="394">
        <f>SUM($F$8:F27)/A27</f>
        <v>0</v>
      </c>
      <c r="I27" s="395">
        <f>SUM($G$8:G27)/A27</f>
        <v>0</v>
      </c>
      <c r="J27" s="396">
        <f t="shared" si="4"/>
        <v>907.25</v>
      </c>
      <c r="K27" s="397">
        <f>K26+E27-G27</f>
        <v>950</v>
      </c>
      <c r="L27" s="338" t="e">
        <f t="shared" si="1"/>
        <v>#DIV/0!</v>
      </c>
      <c r="M27" s="300" t="e">
        <f t="shared" si="2"/>
        <v>#DIV/0!</v>
      </c>
      <c r="N27" s="366"/>
      <c r="O27" s="647">
        <f t="shared" si="3"/>
        <v>0.30231589470176606</v>
      </c>
    </row>
    <row r="28" spans="1:15" s="367" customFormat="1" ht="12" customHeight="1">
      <c r="A28" s="500">
        <v>20</v>
      </c>
      <c r="B28" s="365">
        <f>'FRIT HGE91-FHG'!B29</f>
        <v>46255</v>
      </c>
      <c r="C28" s="365" t="s">
        <v>285</v>
      </c>
      <c r="D28" s="490"/>
      <c r="E28" s="395"/>
      <c r="F28" s="393"/>
      <c r="G28" s="491"/>
      <c r="H28" s="492">
        <f>SUM($F$8:F28)/A28</f>
        <v>0</v>
      </c>
      <c r="I28" s="395">
        <f>SUM($G$8:G28)/A28</f>
        <v>0</v>
      </c>
      <c r="J28" s="492">
        <f t="shared" ref="J28:K39" si="5">J27+D28-F28</f>
        <v>907.25</v>
      </c>
      <c r="K28" s="397">
        <f t="shared" si="5"/>
        <v>950</v>
      </c>
      <c r="L28" s="368" t="e">
        <f t="shared" si="1"/>
        <v>#DIV/0!</v>
      </c>
      <c r="M28" s="300" t="e">
        <f t="shared" si="2"/>
        <v>#DIV/0!</v>
      </c>
      <c r="N28" s="366"/>
      <c r="O28" s="647">
        <f t="shared" si="3"/>
        <v>0.30231589470176606</v>
      </c>
    </row>
    <row r="29" spans="1:15" s="367" customFormat="1" ht="12" customHeight="1">
      <c r="A29" s="364">
        <v>21</v>
      </c>
      <c r="B29" s="365">
        <f>'FRIT HGE91-FHG'!B30</f>
        <v>46256</v>
      </c>
      <c r="C29" s="365" t="s">
        <v>285</v>
      </c>
      <c r="D29" s="490"/>
      <c r="E29" s="395"/>
      <c r="F29" s="393"/>
      <c r="G29" s="491"/>
      <c r="H29" s="394">
        <f>SUM($F$8:F29)/A29</f>
        <v>0</v>
      </c>
      <c r="I29" s="395">
        <f>SUM($G$8:G29)/A29</f>
        <v>0</v>
      </c>
      <c r="J29" s="396">
        <f t="shared" si="5"/>
        <v>907.25</v>
      </c>
      <c r="K29" s="397">
        <f t="shared" si="5"/>
        <v>950</v>
      </c>
      <c r="L29" s="338" t="e">
        <f t="shared" si="1"/>
        <v>#DIV/0!</v>
      </c>
      <c r="M29" s="300" t="e">
        <f t="shared" si="2"/>
        <v>#DIV/0!</v>
      </c>
      <c r="N29" s="366"/>
      <c r="O29" s="647">
        <f t="shared" si="3"/>
        <v>0.30231589470176606</v>
      </c>
    </row>
    <row r="30" spans="1:15" s="367" customFormat="1" ht="12" customHeight="1">
      <c r="A30" s="364">
        <v>22</v>
      </c>
      <c r="B30" s="365">
        <f>'FRIT HGE91-FHG'!B31</f>
        <v>46257</v>
      </c>
      <c r="C30" s="365" t="s">
        <v>285</v>
      </c>
      <c r="D30" s="490"/>
      <c r="E30" s="395"/>
      <c r="F30" s="393"/>
      <c r="G30" s="491"/>
      <c r="H30" s="394">
        <f>SUM($F$8:F30)/A30</f>
        <v>0</v>
      </c>
      <c r="I30" s="395">
        <f>SUM($G$8:G30)/A30</f>
        <v>0</v>
      </c>
      <c r="J30" s="396">
        <f t="shared" si="5"/>
        <v>907.25</v>
      </c>
      <c r="K30" s="397">
        <f t="shared" si="5"/>
        <v>950</v>
      </c>
      <c r="L30" s="338" t="e">
        <f t="shared" si="1"/>
        <v>#DIV/0!</v>
      </c>
      <c r="M30" s="300" t="e">
        <f t="shared" si="2"/>
        <v>#DIV/0!</v>
      </c>
      <c r="N30" s="366"/>
      <c r="O30" s="647">
        <f t="shared" si="3"/>
        <v>0.30231589470176606</v>
      </c>
    </row>
    <row r="31" spans="1:15" s="367" customFormat="1" ht="12" customHeight="1">
      <c r="A31" s="364">
        <v>23</v>
      </c>
      <c r="B31" s="365">
        <f>'FRIT HGE91-FHG'!B32</f>
        <v>46258</v>
      </c>
      <c r="C31" s="365" t="s">
        <v>285</v>
      </c>
      <c r="D31" s="490"/>
      <c r="E31" s="395"/>
      <c r="F31" s="393"/>
      <c r="G31" s="491"/>
      <c r="H31" s="394">
        <f>SUM($F$8:F31)/A31</f>
        <v>0</v>
      </c>
      <c r="I31" s="395">
        <f>SUM($G$8:G31)/A31</f>
        <v>0</v>
      </c>
      <c r="J31" s="396">
        <f t="shared" si="5"/>
        <v>907.25</v>
      </c>
      <c r="K31" s="397">
        <f t="shared" si="5"/>
        <v>950</v>
      </c>
      <c r="L31" s="338" t="e">
        <f t="shared" si="1"/>
        <v>#DIV/0!</v>
      </c>
      <c r="M31" s="300" t="e">
        <f t="shared" si="2"/>
        <v>#DIV/0!</v>
      </c>
      <c r="N31" s="366"/>
      <c r="O31" s="647">
        <f t="shared" si="3"/>
        <v>0.30231589470176606</v>
      </c>
    </row>
    <row r="32" spans="1:15" s="367" customFormat="1" ht="12" customHeight="1">
      <c r="A32" s="364">
        <v>24</v>
      </c>
      <c r="B32" s="365">
        <f>'FRIT HGE91-FHG'!B33</f>
        <v>46259</v>
      </c>
      <c r="C32" s="365" t="s">
        <v>285</v>
      </c>
      <c r="D32" s="490"/>
      <c r="E32" s="395"/>
      <c r="F32" s="393"/>
      <c r="G32" s="491"/>
      <c r="H32" s="394">
        <f>SUM($F$8:F32)/A32</f>
        <v>0</v>
      </c>
      <c r="I32" s="395">
        <f>SUM($G$8:G32)/A32</f>
        <v>0</v>
      </c>
      <c r="J32" s="396">
        <f t="shared" si="5"/>
        <v>907.25</v>
      </c>
      <c r="K32" s="397">
        <f t="shared" si="5"/>
        <v>950</v>
      </c>
      <c r="L32" s="338" t="e">
        <f t="shared" si="1"/>
        <v>#DIV/0!</v>
      </c>
      <c r="M32" s="300" t="e">
        <f t="shared" si="2"/>
        <v>#DIV/0!</v>
      </c>
      <c r="N32" s="366"/>
      <c r="O32" s="647">
        <f t="shared" si="3"/>
        <v>0.30231589470176606</v>
      </c>
    </row>
    <row r="33" spans="1:15" s="367" customFormat="1" ht="12" customHeight="1">
      <c r="A33" s="448">
        <v>25</v>
      </c>
      <c r="B33" s="365">
        <f>'FRIT HGE91-FHG'!B34</f>
        <v>46260</v>
      </c>
      <c r="C33" s="365" t="s">
        <v>285</v>
      </c>
      <c r="D33" s="490"/>
      <c r="E33" s="395"/>
      <c r="F33" s="393"/>
      <c r="G33" s="491"/>
      <c r="H33" s="493">
        <f>SUM($F$8:F33)/A33</f>
        <v>0</v>
      </c>
      <c r="I33" s="395">
        <f>SUM($G$8:G33)/A33</f>
        <v>0</v>
      </c>
      <c r="J33" s="493">
        <f t="shared" si="5"/>
        <v>907.25</v>
      </c>
      <c r="K33" s="397">
        <f t="shared" si="5"/>
        <v>950</v>
      </c>
      <c r="L33" s="369" t="e">
        <f t="shared" si="1"/>
        <v>#DIV/0!</v>
      </c>
      <c r="M33" s="300" t="e">
        <f t="shared" si="2"/>
        <v>#DIV/0!</v>
      </c>
      <c r="N33" s="366"/>
      <c r="O33" s="647">
        <f t="shared" si="3"/>
        <v>0.30231589470176606</v>
      </c>
    </row>
    <row r="34" spans="1:15" s="367" customFormat="1" ht="12" customHeight="1">
      <c r="A34" s="364">
        <v>26</v>
      </c>
      <c r="B34" s="365">
        <f>'FRIT HGE91-FHG'!B35</f>
        <v>46261</v>
      </c>
      <c r="C34" s="365" t="s">
        <v>285</v>
      </c>
      <c r="D34" s="490"/>
      <c r="E34" s="395"/>
      <c r="F34" s="393"/>
      <c r="G34" s="491"/>
      <c r="H34" s="394">
        <f>SUM($F$8:F34)/A34</f>
        <v>0</v>
      </c>
      <c r="I34" s="395">
        <f>SUM($G$8:G34)/A34</f>
        <v>0</v>
      </c>
      <c r="J34" s="396">
        <f t="shared" si="5"/>
        <v>907.25</v>
      </c>
      <c r="K34" s="397">
        <f t="shared" si="5"/>
        <v>950</v>
      </c>
      <c r="L34" s="338" t="e">
        <f t="shared" si="1"/>
        <v>#DIV/0!</v>
      </c>
      <c r="M34" s="300" t="e">
        <f t="shared" si="2"/>
        <v>#DIV/0!</v>
      </c>
      <c r="N34" s="366"/>
      <c r="O34" s="647">
        <f t="shared" si="3"/>
        <v>0.30231589470176606</v>
      </c>
    </row>
    <row r="35" spans="1:15" s="367" customFormat="1" ht="12" customHeight="1">
      <c r="A35" s="364">
        <v>27</v>
      </c>
      <c r="B35" s="365">
        <f>'FRIT HGE91-FHG'!B36</f>
        <v>46262</v>
      </c>
      <c r="C35" s="365" t="s">
        <v>285</v>
      </c>
      <c r="D35" s="494"/>
      <c r="E35" s="395"/>
      <c r="F35" s="393"/>
      <c r="G35" s="491"/>
      <c r="H35" s="394">
        <f>SUM($F$8:F35)/A35</f>
        <v>0</v>
      </c>
      <c r="I35" s="395">
        <f>SUM($G$8:G35)/A35</f>
        <v>0</v>
      </c>
      <c r="J35" s="396">
        <f t="shared" si="5"/>
        <v>907.25</v>
      </c>
      <c r="K35" s="397">
        <f t="shared" si="5"/>
        <v>950</v>
      </c>
      <c r="L35" s="338" t="e">
        <f t="shared" si="1"/>
        <v>#DIV/0!</v>
      </c>
      <c r="M35" s="300" t="e">
        <f t="shared" si="2"/>
        <v>#DIV/0!</v>
      </c>
      <c r="N35" s="366"/>
      <c r="O35" s="647">
        <f t="shared" si="3"/>
        <v>0.30231589470176606</v>
      </c>
    </row>
    <row r="36" spans="1:15" s="367" customFormat="1" ht="12" customHeight="1">
      <c r="A36" s="364">
        <v>28</v>
      </c>
      <c r="B36" s="365">
        <f>'FRIT HGE91-FHG'!B37</f>
        <v>46263</v>
      </c>
      <c r="C36" s="365" t="s">
        <v>285</v>
      </c>
      <c r="D36" s="494"/>
      <c r="E36" s="395"/>
      <c r="F36" s="393"/>
      <c r="G36" s="491"/>
      <c r="H36" s="394">
        <f>SUM($F$8:F36)/A36</f>
        <v>0</v>
      </c>
      <c r="I36" s="395">
        <f>SUM($G$8:G36)/A36</f>
        <v>0</v>
      </c>
      <c r="J36" s="396">
        <f t="shared" si="5"/>
        <v>907.25</v>
      </c>
      <c r="K36" s="397">
        <f t="shared" si="5"/>
        <v>950</v>
      </c>
      <c r="L36" s="338" t="e">
        <f t="shared" si="1"/>
        <v>#DIV/0!</v>
      </c>
      <c r="M36" s="300" t="e">
        <f t="shared" si="2"/>
        <v>#DIV/0!</v>
      </c>
      <c r="N36" s="366"/>
      <c r="O36" s="647">
        <f t="shared" si="3"/>
        <v>0.30231589470176606</v>
      </c>
    </row>
    <row r="37" spans="1:15" s="367" customFormat="1" ht="12" customHeight="1">
      <c r="A37" s="364">
        <v>29</v>
      </c>
      <c r="B37" s="365">
        <f>'FRIT HGE91-FHG'!B38</f>
        <v>46264</v>
      </c>
      <c r="C37" s="365" t="s">
        <v>285</v>
      </c>
      <c r="D37" s="494"/>
      <c r="E37" s="395"/>
      <c r="F37" s="393"/>
      <c r="G37" s="491"/>
      <c r="H37" s="394">
        <f>SUM($F$8:F37)/A37</f>
        <v>0</v>
      </c>
      <c r="I37" s="395">
        <f>SUM($G$8:G37)/A37</f>
        <v>0</v>
      </c>
      <c r="J37" s="396">
        <f t="shared" si="5"/>
        <v>907.25</v>
      </c>
      <c r="K37" s="397">
        <f t="shared" si="5"/>
        <v>950</v>
      </c>
      <c r="L37" s="338" t="e">
        <f t="shared" si="1"/>
        <v>#DIV/0!</v>
      </c>
      <c r="M37" s="300" t="e">
        <f t="shared" si="2"/>
        <v>#DIV/0!</v>
      </c>
      <c r="N37" s="366"/>
      <c r="O37" s="647">
        <f t="shared" si="3"/>
        <v>0.30231589470176606</v>
      </c>
    </row>
    <row r="38" spans="1:15" s="367" customFormat="1" ht="12" customHeight="1">
      <c r="A38" s="500">
        <v>30</v>
      </c>
      <c r="B38" s="365">
        <f>'FRIT HGE91-FHG'!B39</f>
        <v>46265</v>
      </c>
      <c r="C38" s="365" t="s">
        <v>285</v>
      </c>
      <c r="D38" s="490"/>
      <c r="E38" s="395"/>
      <c r="F38" s="393"/>
      <c r="G38" s="491"/>
      <c r="H38" s="492">
        <f>SUM($F$8:F38)/A38</f>
        <v>0</v>
      </c>
      <c r="I38" s="395">
        <f>SUM($G$8:G38)/A38</f>
        <v>0</v>
      </c>
      <c r="J38" s="492">
        <f t="shared" si="5"/>
        <v>907.25</v>
      </c>
      <c r="K38" s="397">
        <f t="shared" si="5"/>
        <v>950</v>
      </c>
      <c r="L38" s="368" t="e">
        <f t="shared" si="1"/>
        <v>#DIV/0!</v>
      </c>
      <c r="M38" s="300" t="e">
        <f t="shared" si="2"/>
        <v>#DIV/0!</v>
      </c>
      <c r="N38" s="366"/>
      <c r="O38" s="647">
        <f t="shared" si="3"/>
        <v>0.30231589470176606</v>
      </c>
    </row>
    <row r="39" spans="1:15" s="367" customFormat="1" ht="12" customHeight="1">
      <c r="A39" s="364">
        <v>31</v>
      </c>
      <c r="B39" s="365">
        <f>'FRIT HGE91-FHG'!B40</f>
        <v>0</v>
      </c>
      <c r="C39" s="365" t="s">
        <v>285</v>
      </c>
      <c r="D39" s="490"/>
      <c r="E39" s="395"/>
      <c r="F39" s="393"/>
      <c r="G39" s="491"/>
      <c r="H39" s="394">
        <f>SUM($F$8:F39)/A39</f>
        <v>0</v>
      </c>
      <c r="I39" s="395">
        <f>SUM($G$8:G39)/A39</f>
        <v>0</v>
      </c>
      <c r="J39" s="396">
        <f t="shared" si="5"/>
        <v>907.25</v>
      </c>
      <c r="K39" s="397">
        <f t="shared" si="5"/>
        <v>950</v>
      </c>
      <c r="L39" s="338" t="e">
        <f t="shared" si="1"/>
        <v>#DIV/0!</v>
      </c>
      <c r="M39" s="300" t="e">
        <f t="shared" si="2"/>
        <v>#DIV/0!</v>
      </c>
      <c r="N39" s="366"/>
      <c r="O39" s="647">
        <f t="shared" si="3"/>
        <v>0.30231589470176606</v>
      </c>
    </row>
    <row r="40" spans="1:15" s="374" customFormat="1" ht="12" customHeight="1">
      <c r="A40" s="763" t="s">
        <v>29</v>
      </c>
      <c r="B40" s="764"/>
      <c r="C40" s="765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907.25</v>
      </c>
      <c r="K40" s="461">
        <f>K39</f>
        <v>950</v>
      </c>
      <c r="L40" s="302"/>
      <c r="M40" s="302"/>
      <c r="N40" s="507"/>
    </row>
    <row r="41" spans="1:15" s="374" customFormat="1" ht="12" customHeight="1">
      <c r="A41" s="763" t="s">
        <v>15</v>
      </c>
      <c r="B41" s="764"/>
      <c r="C41" s="765"/>
      <c r="D41" s="388">
        <f>D8+D40</f>
        <v>907.25</v>
      </c>
      <c r="E41" s="388">
        <f>E8+E40</f>
        <v>950</v>
      </c>
      <c r="F41" s="389">
        <f>F40</f>
        <v>0</v>
      </c>
      <c r="G41" s="496">
        <f>G40</f>
        <v>0</v>
      </c>
      <c r="H41" s="389"/>
      <c r="I41" s="496"/>
      <c r="J41" s="389">
        <f>D41-F41</f>
        <v>907.25</v>
      </c>
      <c r="K41" s="389">
        <f>E41-G41</f>
        <v>950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7" spans="1:15">
      <c r="D47" s="143"/>
      <c r="E47" s="143"/>
      <c r="F47" s="143"/>
      <c r="G47" s="143"/>
      <c r="H47" s="143"/>
      <c r="I47" s="143"/>
      <c r="K47" s="143"/>
    </row>
    <row r="48" spans="1:15">
      <c r="D48" s="143"/>
      <c r="E48" s="143"/>
      <c r="F48" s="143"/>
      <c r="G48" s="143"/>
      <c r="H48" s="143"/>
      <c r="I48" s="143"/>
      <c r="K48" s="143"/>
    </row>
    <row r="49" spans="4:11">
      <c r="D49" s="143"/>
      <c r="E49" s="143"/>
      <c r="F49" s="143"/>
      <c r="G49" s="143"/>
      <c r="H49" s="143"/>
      <c r="I49" s="143"/>
      <c r="J49" s="143"/>
      <c r="K49" s="143"/>
    </row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38">
    <cfRule type="cellIs" dxfId="4967" priority="244" operator="lessThan">
      <formula>15</formula>
    </cfRule>
    <cfRule type="cellIs" dxfId="4966" priority="245" operator="greaterThan">
      <formula>20</formula>
    </cfRule>
    <cfRule type="cellIs" dxfId="4965" priority="246" operator="between">
      <formula>15</formula>
      <formula>20</formula>
    </cfRule>
    <cfRule type="cellIs" dxfId="4964" priority="247" operator="between">
      <formula>15</formula>
      <formula>20</formula>
    </cfRule>
    <cfRule type="cellIs" dxfId="4963" priority="248" operator="lessThan">
      <formula>15</formula>
    </cfRule>
    <cfRule type="cellIs" dxfId="4962" priority="249" operator="greaterThan">
      <formula>20</formula>
    </cfRule>
    <cfRule type="cellIs" dxfId="4961" priority="250" operator="between">
      <formula>15</formula>
      <formula>21</formula>
    </cfRule>
    <cfRule type="cellIs" dxfId="4960" priority="251" operator="lessThan">
      <formula>15</formula>
    </cfRule>
    <cfRule type="cellIs" dxfId="4959" priority="252" operator="greaterThan">
      <formula>21</formula>
    </cfRule>
  </conditionalFormatting>
  <conditionalFormatting sqref="M33">
    <cfRule type="cellIs" dxfId="4958" priority="253" operator="lessThan">
      <formula>15</formula>
    </cfRule>
    <cfRule type="cellIs" dxfId="4957" priority="254" operator="greaterThan">
      <formula>20</formula>
    </cfRule>
    <cfRule type="cellIs" dxfId="4956" priority="255" operator="between">
      <formula>15</formula>
      <formula>20</formula>
    </cfRule>
    <cfRule type="cellIs" dxfId="4955" priority="256" operator="between">
      <formula>15</formula>
      <formula>20</formula>
    </cfRule>
    <cfRule type="cellIs" dxfId="4954" priority="257" operator="lessThan">
      <formula>15</formula>
    </cfRule>
    <cfRule type="cellIs" dxfId="4953" priority="258" operator="greaterThan">
      <formula>20</formula>
    </cfRule>
    <cfRule type="cellIs" dxfId="4952" priority="259" operator="between">
      <formula>15</formula>
      <formula>21</formula>
    </cfRule>
    <cfRule type="cellIs" dxfId="4951" priority="260" operator="lessThan">
      <formula>15</formula>
    </cfRule>
    <cfRule type="cellIs" dxfId="4950" priority="261" operator="greaterThan">
      <formula>21</formula>
    </cfRule>
  </conditionalFormatting>
  <conditionalFormatting sqref="M28">
    <cfRule type="cellIs" dxfId="4949" priority="289" operator="lessThan">
      <formula>15</formula>
    </cfRule>
    <cfRule type="cellIs" dxfId="4948" priority="290" operator="greaterThan">
      <formula>20</formula>
    </cfRule>
    <cfRule type="cellIs" dxfId="4947" priority="291" operator="between">
      <formula>15</formula>
      <formula>20</formula>
    </cfRule>
    <cfRule type="cellIs" dxfId="4946" priority="292" operator="between">
      <formula>15</formula>
      <formula>20</formula>
    </cfRule>
    <cfRule type="cellIs" dxfId="4945" priority="293" operator="lessThan">
      <formula>15</formula>
    </cfRule>
    <cfRule type="cellIs" dxfId="4944" priority="294" operator="greaterThan">
      <formula>20</formula>
    </cfRule>
    <cfRule type="cellIs" dxfId="4943" priority="295" operator="between">
      <formula>15</formula>
      <formula>21</formula>
    </cfRule>
    <cfRule type="cellIs" dxfId="4942" priority="296" operator="lessThan">
      <formula>15</formula>
    </cfRule>
    <cfRule type="cellIs" dxfId="4941" priority="297" operator="greaterThan">
      <formula>21</formula>
    </cfRule>
  </conditionalFormatting>
  <conditionalFormatting sqref="M23">
    <cfRule type="cellIs" dxfId="4940" priority="280" operator="lessThan">
      <formula>15</formula>
    </cfRule>
    <cfRule type="cellIs" dxfId="4939" priority="281" operator="greaterThan">
      <formula>20</formula>
    </cfRule>
    <cfRule type="cellIs" dxfId="4938" priority="282" operator="between">
      <formula>15</formula>
      <formula>20</formula>
    </cfRule>
    <cfRule type="cellIs" dxfId="4937" priority="283" operator="between">
      <formula>15</formula>
      <formula>20</formula>
    </cfRule>
    <cfRule type="cellIs" dxfId="4936" priority="284" operator="lessThan">
      <formula>15</formula>
    </cfRule>
    <cfRule type="cellIs" dxfId="4935" priority="285" operator="greaterThan">
      <formula>20</formula>
    </cfRule>
    <cfRule type="cellIs" dxfId="4934" priority="286" operator="between">
      <formula>15</formula>
      <formula>21</formula>
    </cfRule>
    <cfRule type="cellIs" dxfId="4933" priority="287" operator="lessThan">
      <formula>15</formula>
    </cfRule>
    <cfRule type="cellIs" dxfId="4932" priority="288" operator="greaterThan">
      <formula>21</formula>
    </cfRule>
  </conditionalFormatting>
  <conditionalFormatting sqref="M18">
    <cfRule type="cellIs" dxfId="4931" priority="271" operator="lessThan">
      <formula>15</formula>
    </cfRule>
    <cfRule type="cellIs" dxfId="4930" priority="272" operator="greaterThan">
      <formula>20</formula>
    </cfRule>
    <cfRule type="cellIs" dxfId="4929" priority="273" operator="between">
      <formula>15</formula>
      <formula>20</formula>
    </cfRule>
    <cfRule type="cellIs" dxfId="4928" priority="274" operator="between">
      <formula>15</formula>
      <formula>20</formula>
    </cfRule>
    <cfRule type="cellIs" dxfId="4927" priority="275" operator="lessThan">
      <formula>15</formula>
    </cfRule>
    <cfRule type="cellIs" dxfId="4926" priority="276" operator="greaterThan">
      <formula>20</formula>
    </cfRule>
    <cfRule type="cellIs" dxfId="4925" priority="277" operator="between">
      <formula>15</formula>
      <formula>21</formula>
    </cfRule>
    <cfRule type="cellIs" dxfId="4924" priority="278" operator="lessThan">
      <formula>15</formula>
    </cfRule>
    <cfRule type="cellIs" dxfId="4923" priority="279" operator="greaterThan">
      <formula>21</formula>
    </cfRule>
  </conditionalFormatting>
  <conditionalFormatting sqref="M35:M37">
    <cfRule type="cellIs" dxfId="4922" priority="298" operator="lessThan">
      <formula>15</formula>
    </cfRule>
    <cfRule type="cellIs" dxfId="4921" priority="299" operator="greaterThan">
      <formula>20</formula>
    </cfRule>
    <cfRule type="cellIs" dxfId="4920" priority="300" operator="between">
      <formula>15</formula>
      <formula>20</formula>
    </cfRule>
    <cfRule type="cellIs" dxfId="4919" priority="301" operator="between">
      <formula>15</formula>
      <formula>20</formula>
    </cfRule>
    <cfRule type="cellIs" dxfId="4918" priority="302" operator="lessThan">
      <formula>15</formula>
    </cfRule>
    <cfRule type="cellIs" dxfId="4917" priority="303" operator="greaterThan">
      <formula>20</formula>
    </cfRule>
    <cfRule type="cellIs" dxfId="4916" priority="304" operator="between">
      <formula>15</formula>
      <formula>21</formula>
    </cfRule>
    <cfRule type="cellIs" dxfId="4915" priority="305" operator="lessThan">
      <formula>15</formula>
    </cfRule>
    <cfRule type="cellIs" dxfId="4914" priority="306" operator="greaterThan">
      <formula>21</formula>
    </cfRule>
  </conditionalFormatting>
  <conditionalFormatting sqref="M13">
    <cfRule type="cellIs" dxfId="4913" priority="262" operator="lessThan">
      <formula>15</formula>
    </cfRule>
    <cfRule type="cellIs" dxfId="4912" priority="263" operator="greaterThan">
      <formula>20</formula>
    </cfRule>
    <cfRule type="cellIs" dxfId="4911" priority="264" operator="between">
      <formula>15</formula>
      <formula>20</formula>
    </cfRule>
    <cfRule type="cellIs" dxfId="4910" priority="265" operator="between">
      <formula>15</formula>
      <formula>20</formula>
    </cfRule>
    <cfRule type="cellIs" dxfId="4909" priority="266" operator="lessThan">
      <formula>15</formula>
    </cfRule>
    <cfRule type="cellIs" dxfId="4908" priority="267" operator="greaterThan">
      <formula>20</formula>
    </cfRule>
    <cfRule type="cellIs" dxfId="4907" priority="268" operator="between">
      <formula>15</formula>
      <formula>21</formula>
    </cfRule>
    <cfRule type="cellIs" dxfId="4906" priority="269" operator="lessThan">
      <formula>15</formula>
    </cfRule>
    <cfRule type="cellIs" dxfId="4905" priority="270" operator="greaterThan">
      <formula>21</formula>
    </cfRule>
  </conditionalFormatting>
  <conditionalFormatting sqref="M20">
    <cfRule type="cellIs" dxfId="4904" priority="343" operator="lessThan">
      <formula>15</formula>
    </cfRule>
    <cfRule type="cellIs" dxfId="4903" priority="344" operator="greaterThan">
      <formula>20</formula>
    </cfRule>
    <cfRule type="cellIs" dxfId="4902" priority="345" operator="between">
      <formula>15</formula>
      <formula>20</formula>
    </cfRule>
    <cfRule type="cellIs" dxfId="4901" priority="346" operator="between">
      <formula>15</formula>
      <formula>20</formula>
    </cfRule>
    <cfRule type="cellIs" dxfId="4900" priority="347" operator="lessThan">
      <formula>15</formula>
    </cfRule>
    <cfRule type="cellIs" dxfId="4899" priority="348" operator="greaterThan">
      <formula>20</formula>
    </cfRule>
    <cfRule type="cellIs" dxfId="4898" priority="349" operator="between">
      <formula>15</formula>
      <formula>21</formula>
    </cfRule>
    <cfRule type="cellIs" dxfId="4897" priority="350" operator="lessThan">
      <formula>15</formula>
    </cfRule>
    <cfRule type="cellIs" dxfId="4896" priority="351" operator="greaterThan">
      <formula>21</formula>
    </cfRule>
  </conditionalFormatting>
  <conditionalFormatting sqref="M27">
    <cfRule type="cellIs" dxfId="4895" priority="334" operator="lessThan">
      <formula>15</formula>
    </cfRule>
    <cfRule type="cellIs" dxfId="4894" priority="335" operator="greaterThan">
      <formula>20</formula>
    </cfRule>
    <cfRule type="cellIs" dxfId="4893" priority="336" operator="between">
      <formula>15</formula>
      <formula>20</formula>
    </cfRule>
    <cfRule type="cellIs" dxfId="4892" priority="337" operator="between">
      <formula>15</formula>
      <formula>20</formula>
    </cfRule>
    <cfRule type="cellIs" dxfId="4891" priority="338" operator="lessThan">
      <formula>15</formula>
    </cfRule>
    <cfRule type="cellIs" dxfId="4890" priority="339" operator="greaterThan">
      <formula>20</formula>
    </cfRule>
    <cfRule type="cellIs" dxfId="4889" priority="340" operator="between">
      <formula>15</formula>
      <formula>21</formula>
    </cfRule>
    <cfRule type="cellIs" dxfId="4888" priority="341" operator="lessThan">
      <formula>15</formula>
    </cfRule>
    <cfRule type="cellIs" dxfId="4887" priority="342" operator="greaterThan">
      <formula>21</formula>
    </cfRule>
  </conditionalFormatting>
  <conditionalFormatting sqref="M34">
    <cfRule type="cellIs" dxfId="4886" priority="325" operator="lessThan">
      <formula>15</formula>
    </cfRule>
    <cfRule type="cellIs" dxfId="4885" priority="326" operator="greaterThan">
      <formula>20</formula>
    </cfRule>
    <cfRule type="cellIs" dxfId="4884" priority="327" operator="between">
      <formula>15</formula>
      <formula>20</formula>
    </cfRule>
    <cfRule type="cellIs" dxfId="4883" priority="328" operator="between">
      <formula>15</formula>
      <formula>20</formula>
    </cfRule>
    <cfRule type="cellIs" dxfId="4882" priority="329" operator="lessThan">
      <formula>15</formula>
    </cfRule>
    <cfRule type="cellIs" dxfId="4881" priority="330" operator="greaterThan">
      <formula>20</formula>
    </cfRule>
    <cfRule type="cellIs" dxfId="4880" priority="331" operator="between">
      <formula>15</formula>
      <formula>21</formula>
    </cfRule>
    <cfRule type="cellIs" dxfId="4879" priority="332" operator="lessThan">
      <formula>15</formula>
    </cfRule>
    <cfRule type="cellIs" dxfId="4878" priority="333" operator="greaterThan">
      <formula>21</formula>
    </cfRule>
  </conditionalFormatting>
  <conditionalFormatting sqref="M14:M17 M39 M21:M22 M24:M26 M19">
    <cfRule type="cellIs" dxfId="4877" priority="352" operator="lessThan">
      <formula>15</formula>
    </cfRule>
    <cfRule type="cellIs" dxfId="4876" priority="353" operator="greaterThan">
      <formula>20</formula>
    </cfRule>
    <cfRule type="cellIs" dxfId="4875" priority="354" operator="between">
      <formula>15</formula>
      <formula>20</formula>
    </cfRule>
    <cfRule type="cellIs" dxfId="4874" priority="355" operator="between">
      <formula>15</formula>
      <formula>20</formula>
    </cfRule>
    <cfRule type="cellIs" dxfId="4873" priority="356" operator="lessThan">
      <formula>15</formula>
    </cfRule>
    <cfRule type="cellIs" dxfId="4872" priority="357" operator="greaterThan">
      <formula>20</formula>
    </cfRule>
    <cfRule type="cellIs" dxfId="4871" priority="358" operator="between">
      <formula>15</formula>
      <formula>21</formula>
    </cfRule>
    <cfRule type="cellIs" dxfId="4870" priority="359" operator="lessThan">
      <formula>15</formula>
    </cfRule>
    <cfRule type="cellIs" dxfId="4869" priority="360" operator="greaterThan">
      <formula>21</formula>
    </cfRule>
  </conditionalFormatting>
  <conditionalFormatting sqref="M9:M12">
    <cfRule type="cellIs" dxfId="4868" priority="316" operator="lessThan">
      <formula>15</formula>
    </cfRule>
    <cfRule type="cellIs" dxfId="4867" priority="317" operator="greaterThan">
      <formula>20</formula>
    </cfRule>
    <cfRule type="cellIs" dxfId="4866" priority="318" operator="between">
      <formula>15</formula>
      <formula>20</formula>
    </cfRule>
    <cfRule type="cellIs" dxfId="4865" priority="319" operator="between">
      <formula>15</formula>
      <formula>20</formula>
    </cfRule>
    <cfRule type="cellIs" dxfId="4864" priority="320" operator="lessThan">
      <formula>15</formula>
    </cfRule>
    <cfRule type="cellIs" dxfId="4863" priority="321" operator="greaterThan">
      <formula>20</formula>
    </cfRule>
    <cfRule type="cellIs" dxfId="4862" priority="322" operator="between">
      <formula>15</formula>
      <formula>21</formula>
    </cfRule>
    <cfRule type="cellIs" dxfId="4861" priority="323" operator="lessThan">
      <formula>15</formula>
    </cfRule>
    <cfRule type="cellIs" dxfId="4860" priority="324" operator="greaterThan">
      <formula>21</formula>
    </cfRule>
  </conditionalFormatting>
  <conditionalFormatting sqref="M29:M32">
    <cfRule type="cellIs" dxfId="4859" priority="307" operator="lessThan">
      <formula>15</formula>
    </cfRule>
    <cfRule type="cellIs" dxfId="4858" priority="308" operator="greaterThan">
      <formula>20</formula>
    </cfRule>
    <cfRule type="cellIs" dxfId="4857" priority="309" operator="between">
      <formula>15</formula>
      <formula>20</formula>
    </cfRule>
    <cfRule type="cellIs" dxfId="4856" priority="310" operator="between">
      <formula>15</formula>
      <formula>20</formula>
    </cfRule>
    <cfRule type="cellIs" dxfId="4855" priority="311" operator="lessThan">
      <formula>15</formula>
    </cfRule>
    <cfRule type="cellIs" dxfId="4854" priority="312" operator="greaterThan">
      <formula>20</formula>
    </cfRule>
    <cfRule type="cellIs" dxfId="4853" priority="313" operator="between">
      <formula>15</formula>
      <formula>21</formula>
    </cfRule>
    <cfRule type="cellIs" dxfId="4852" priority="314" operator="lessThan">
      <formula>15</formula>
    </cfRule>
    <cfRule type="cellIs" dxfId="4851" priority="315" operator="greaterThan">
      <formula>21</formula>
    </cfRule>
  </conditionalFormatting>
  <conditionalFormatting sqref="M38">
    <cfRule type="cellIs" dxfId="4850" priority="235" operator="lessThan">
      <formula>15</formula>
    </cfRule>
    <cfRule type="cellIs" dxfId="4849" priority="236" operator="greaterThan">
      <formula>20</formula>
    </cfRule>
    <cfRule type="cellIs" dxfId="4848" priority="237" operator="between">
      <formula>15</formula>
      <formula>20</formula>
    </cfRule>
    <cfRule type="cellIs" dxfId="4847" priority="238" operator="between">
      <formula>15</formula>
      <formula>20</formula>
    </cfRule>
    <cfRule type="cellIs" dxfId="4846" priority="239" operator="lessThan">
      <formula>15</formula>
    </cfRule>
    <cfRule type="cellIs" dxfId="4845" priority="240" operator="greaterThan">
      <formula>20</formula>
    </cfRule>
    <cfRule type="cellIs" dxfId="4844" priority="241" operator="between">
      <formula>15</formula>
      <formula>21</formula>
    </cfRule>
    <cfRule type="cellIs" dxfId="4843" priority="242" operator="lessThan">
      <formula>15</formula>
    </cfRule>
    <cfRule type="cellIs" dxfId="4842" priority="243" operator="greaterThan">
      <formula>21</formula>
    </cfRule>
  </conditionalFormatting>
  <conditionalFormatting sqref="M33">
    <cfRule type="cellIs" dxfId="4841" priority="226" operator="lessThan">
      <formula>15</formula>
    </cfRule>
    <cfRule type="cellIs" dxfId="4840" priority="227" operator="greaterThan">
      <formula>20</formula>
    </cfRule>
    <cfRule type="cellIs" dxfId="4839" priority="228" operator="between">
      <formula>15</formula>
      <formula>20</formula>
    </cfRule>
    <cfRule type="cellIs" dxfId="4838" priority="229" operator="between">
      <formula>15</formula>
      <formula>20</formula>
    </cfRule>
    <cfRule type="cellIs" dxfId="4837" priority="230" operator="lessThan">
      <formula>15</formula>
    </cfRule>
    <cfRule type="cellIs" dxfId="4836" priority="231" operator="greaterThan">
      <formula>20</formula>
    </cfRule>
    <cfRule type="cellIs" dxfId="4835" priority="232" operator="between">
      <formula>15</formula>
      <formula>21</formula>
    </cfRule>
    <cfRule type="cellIs" dxfId="4834" priority="233" operator="lessThan">
      <formula>15</formula>
    </cfRule>
    <cfRule type="cellIs" dxfId="4833" priority="234" operator="greaterThan">
      <formula>21</formula>
    </cfRule>
  </conditionalFormatting>
  <conditionalFormatting sqref="M28">
    <cfRule type="cellIs" dxfId="4832" priority="217" operator="lessThan">
      <formula>15</formula>
    </cfRule>
    <cfRule type="cellIs" dxfId="4831" priority="218" operator="greaterThan">
      <formula>20</formula>
    </cfRule>
    <cfRule type="cellIs" dxfId="4830" priority="219" operator="between">
      <formula>15</formula>
      <formula>20</formula>
    </cfRule>
    <cfRule type="cellIs" dxfId="4829" priority="220" operator="between">
      <formula>15</formula>
      <formula>20</formula>
    </cfRule>
    <cfRule type="cellIs" dxfId="4828" priority="221" operator="lessThan">
      <formula>15</formula>
    </cfRule>
    <cfRule type="cellIs" dxfId="4827" priority="222" operator="greaterThan">
      <formula>20</formula>
    </cfRule>
    <cfRule type="cellIs" dxfId="4826" priority="223" operator="between">
      <formula>15</formula>
      <formula>21</formula>
    </cfRule>
    <cfRule type="cellIs" dxfId="4825" priority="224" operator="lessThan">
      <formula>15</formula>
    </cfRule>
    <cfRule type="cellIs" dxfId="4824" priority="225" operator="greaterThan">
      <formula>21</formula>
    </cfRule>
  </conditionalFormatting>
  <conditionalFormatting sqref="M23">
    <cfRule type="cellIs" dxfId="4823" priority="208" operator="lessThan">
      <formula>15</formula>
    </cfRule>
    <cfRule type="cellIs" dxfId="4822" priority="209" operator="greaterThan">
      <formula>20</formula>
    </cfRule>
    <cfRule type="cellIs" dxfId="4821" priority="210" operator="between">
      <formula>15</formula>
      <formula>20</formula>
    </cfRule>
    <cfRule type="cellIs" dxfId="4820" priority="211" operator="between">
      <formula>15</formula>
      <formula>20</formula>
    </cfRule>
    <cfRule type="cellIs" dxfId="4819" priority="212" operator="lessThan">
      <formula>15</formula>
    </cfRule>
    <cfRule type="cellIs" dxfId="4818" priority="213" operator="greaterThan">
      <formula>20</formula>
    </cfRule>
    <cfRule type="cellIs" dxfId="4817" priority="214" operator="between">
      <formula>15</formula>
      <formula>21</formula>
    </cfRule>
    <cfRule type="cellIs" dxfId="4816" priority="215" operator="lessThan">
      <formula>15</formula>
    </cfRule>
    <cfRule type="cellIs" dxfId="4815" priority="216" operator="greaterThan">
      <formula>21</formula>
    </cfRule>
  </conditionalFormatting>
  <conditionalFormatting sqref="M18">
    <cfRule type="cellIs" dxfId="4814" priority="199" operator="lessThan">
      <formula>15</formula>
    </cfRule>
    <cfRule type="cellIs" dxfId="4813" priority="200" operator="greaterThan">
      <formula>20</formula>
    </cfRule>
    <cfRule type="cellIs" dxfId="4812" priority="201" operator="between">
      <formula>15</formula>
      <formula>20</formula>
    </cfRule>
    <cfRule type="cellIs" dxfId="4811" priority="202" operator="between">
      <formula>15</formula>
      <formula>20</formula>
    </cfRule>
    <cfRule type="cellIs" dxfId="4810" priority="203" operator="lessThan">
      <formula>15</formula>
    </cfRule>
    <cfRule type="cellIs" dxfId="4809" priority="204" operator="greaterThan">
      <formula>20</formula>
    </cfRule>
    <cfRule type="cellIs" dxfId="4808" priority="205" operator="between">
      <formula>15</formula>
      <formula>21</formula>
    </cfRule>
    <cfRule type="cellIs" dxfId="4807" priority="206" operator="lessThan">
      <formula>15</formula>
    </cfRule>
    <cfRule type="cellIs" dxfId="4806" priority="207" operator="greaterThan">
      <formula>21</formula>
    </cfRule>
  </conditionalFormatting>
  <conditionalFormatting sqref="M35:M37">
    <cfRule type="cellIs" dxfId="4805" priority="190" operator="lessThan">
      <formula>15</formula>
    </cfRule>
    <cfRule type="cellIs" dxfId="4804" priority="191" operator="greaterThan">
      <formula>20</formula>
    </cfRule>
    <cfRule type="cellIs" dxfId="4803" priority="192" operator="between">
      <formula>15</formula>
      <formula>20</formula>
    </cfRule>
    <cfRule type="cellIs" dxfId="4802" priority="193" operator="between">
      <formula>15</formula>
      <formula>20</formula>
    </cfRule>
    <cfRule type="cellIs" dxfId="4801" priority="194" operator="lessThan">
      <formula>15</formula>
    </cfRule>
    <cfRule type="cellIs" dxfId="4800" priority="195" operator="greaterThan">
      <formula>20</formula>
    </cfRule>
    <cfRule type="cellIs" dxfId="4799" priority="196" operator="between">
      <formula>15</formula>
      <formula>21</formula>
    </cfRule>
    <cfRule type="cellIs" dxfId="4798" priority="197" operator="lessThan">
      <formula>15</formula>
    </cfRule>
    <cfRule type="cellIs" dxfId="4797" priority="198" operator="greaterThan">
      <formula>21</formula>
    </cfRule>
  </conditionalFormatting>
  <conditionalFormatting sqref="M13">
    <cfRule type="cellIs" dxfId="4796" priority="181" operator="lessThan">
      <formula>15</formula>
    </cfRule>
    <cfRule type="cellIs" dxfId="4795" priority="182" operator="greaterThan">
      <formula>20</formula>
    </cfRule>
    <cfRule type="cellIs" dxfId="4794" priority="183" operator="between">
      <formula>15</formula>
      <formula>20</formula>
    </cfRule>
    <cfRule type="cellIs" dxfId="4793" priority="184" operator="between">
      <formula>15</formula>
      <formula>20</formula>
    </cfRule>
    <cfRule type="cellIs" dxfId="4792" priority="185" operator="lessThan">
      <formula>15</formula>
    </cfRule>
    <cfRule type="cellIs" dxfId="4791" priority="186" operator="greaterThan">
      <formula>20</formula>
    </cfRule>
    <cfRule type="cellIs" dxfId="4790" priority="187" operator="between">
      <formula>15</formula>
      <formula>21</formula>
    </cfRule>
    <cfRule type="cellIs" dxfId="4789" priority="188" operator="lessThan">
      <formula>15</formula>
    </cfRule>
    <cfRule type="cellIs" dxfId="4788" priority="189" operator="greaterThan">
      <formula>21</formula>
    </cfRule>
  </conditionalFormatting>
  <conditionalFormatting sqref="M20">
    <cfRule type="cellIs" dxfId="4787" priority="172" operator="lessThan">
      <formula>15</formula>
    </cfRule>
    <cfRule type="cellIs" dxfId="4786" priority="173" operator="greaterThan">
      <formula>20</formula>
    </cfRule>
    <cfRule type="cellIs" dxfId="4785" priority="174" operator="between">
      <formula>15</formula>
      <formula>20</formula>
    </cfRule>
    <cfRule type="cellIs" dxfId="4784" priority="175" operator="between">
      <formula>15</formula>
      <formula>20</formula>
    </cfRule>
    <cfRule type="cellIs" dxfId="4783" priority="176" operator="lessThan">
      <formula>15</formula>
    </cfRule>
    <cfRule type="cellIs" dxfId="4782" priority="177" operator="greaterThan">
      <formula>20</formula>
    </cfRule>
    <cfRule type="cellIs" dxfId="4781" priority="178" operator="between">
      <formula>15</formula>
      <formula>21</formula>
    </cfRule>
    <cfRule type="cellIs" dxfId="4780" priority="179" operator="lessThan">
      <formula>15</formula>
    </cfRule>
    <cfRule type="cellIs" dxfId="4779" priority="180" operator="greaterThan">
      <formula>21</formula>
    </cfRule>
  </conditionalFormatting>
  <conditionalFormatting sqref="M27">
    <cfRule type="cellIs" dxfId="4778" priority="163" operator="lessThan">
      <formula>15</formula>
    </cfRule>
    <cfRule type="cellIs" dxfId="4777" priority="164" operator="greaterThan">
      <formula>20</formula>
    </cfRule>
    <cfRule type="cellIs" dxfId="4776" priority="165" operator="between">
      <formula>15</formula>
      <formula>20</formula>
    </cfRule>
    <cfRule type="cellIs" dxfId="4775" priority="166" operator="between">
      <formula>15</formula>
      <formula>20</formula>
    </cfRule>
    <cfRule type="cellIs" dxfId="4774" priority="167" operator="lessThan">
      <formula>15</formula>
    </cfRule>
    <cfRule type="cellIs" dxfId="4773" priority="168" operator="greaterThan">
      <formula>20</formula>
    </cfRule>
    <cfRule type="cellIs" dxfId="4772" priority="169" operator="between">
      <formula>15</formula>
      <formula>21</formula>
    </cfRule>
    <cfRule type="cellIs" dxfId="4771" priority="170" operator="lessThan">
      <formula>15</formula>
    </cfRule>
    <cfRule type="cellIs" dxfId="4770" priority="171" operator="greaterThan">
      <formula>21</formula>
    </cfRule>
  </conditionalFormatting>
  <conditionalFormatting sqref="M34">
    <cfRule type="cellIs" dxfId="4769" priority="154" operator="lessThan">
      <formula>15</formula>
    </cfRule>
    <cfRule type="cellIs" dxfId="4768" priority="155" operator="greaterThan">
      <formula>20</formula>
    </cfRule>
    <cfRule type="cellIs" dxfId="4767" priority="156" operator="between">
      <formula>15</formula>
      <formula>20</formula>
    </cfRule>
    <cfRule type="cellIs" dxfId="4766" priority="157" operator="between">
      <formula>15</formula>
      <formula>20</formula>
    </cfRule>
    <cfRule type="cellIs" dxfId="4765" priority="158" operator="lessThan">
      <formula>15</formula>
    </cfRule>
    <cfRule type="cellIs" dxfId="4764" priority="159" operator="greaterThan">
      <formula>20</formula>
    </cfRule>
    <cfRule type="cellIs" dxfId="4763" priority="160" operator="between">
      <formula>15</formula>
      <formula>21</formula>
    </cfRule>
    <cfRule type="cellIs" dxfId="4762" priority="161" operator="lessThan">
      <formula>15</formula>
    </cfRule>
    <cfRule type="cellIs" dxfId="4761" priority="162" operator="greaterThan">
      <formula>21</formula>
    </cfRule>
  </conditionalFormatting>
  <conditionalFormatting sqref="M14:M17 M39 M21:M22 M24:M26 M19">
    <cfRule type="cellIs" dxfId="4760" priority="145" operator="lessThan">
      <formula>15</formula>
    </cfRule>
    <cfRule type="cellIs" dxfId="4759" priority="146" operator="greaterThan">
      <formula>20</formula>
    </cfRule>
    <cfRule type="cellIs" dxfId="4758" priority="147" operator="between">
      <formula>15</formula>
      <formula>20</formula>
    </cfRule>
    <cfRule type="cellIs" dxfId="4757" priority="148" operator="between">
      <formula>15</formula>
      <formula>20</formula>
    </cfRule>
    <cfRule type="cellIs" dxfId="4756" priority="149" operator="lessThan">
      <formula>15</formula>
    </cfRule>
    <cfRule type="cellIs" dxfId="4755" priority="150" operator="greaterThan">
      <formula>20</formula>
    </cfRule>
    <cfRule type="cellIs" dxfId="4754" priority="151" operator="between">
      <formula>15</formula>
      <formula>21</formula>
    </cfRule>
    <cfRule type="cellIs" dxfId="4753" priority="152" operator="lessThan">
      <formula>15</formula>
    </cfRule>
    <cfRule type="cellIs" dxfId="4752" priority="153" operator="greaterThan">
      <formula>21</formula>
    </cfRule>
  </conditionalFormatting>
  <conditionalFormatting sqref="M9:M12">
    <cfRule type="cellIs" dxfId="4751" priority="136" operator="lessThan">
      <formula>15</formula>
    </cfRule>
    <cfRule type="cellIs" dxfId="4750" priority="137" operator="greaterThan">
      <formula>20</formula>
    </cfRule>
    <cfRule type="cellIs" dxfId="4749" priority="138" operator="between">
      <formula>15</formula>
      <formula>20</formula>
    </cfRule>
    <cfRule type="cellIs" dxfId="4748" priority="139" operator="between">
      <formula>15</formula>
      <formula>20</formula>
    </cfRule>
    <cfRule type="cellIs" dxfId="4747" priority="140" operator="lessThan">
      <formula>15</formula>
    </cfRule>
    <cfRule type="cellIs" dxfId="4746" priority="141" operator="greaterThan">
      <formula>20</formula>
    </cfRule>
    <cfRule type="cellIs" dxfId="4745" priority="142" operator="between">
      <formula>15</formula>
      <formula>21</formula>
    </cfRule>
    <cfRule type="cellIs" dxfId="4744" priority="143" operator="lessThan">
      <formula>15</formula>
    </cfRule>
    <cfRule type="cellIs" dxfId="4743" priority="144" operator="greaterThan">
      <formula>21</formula>
    </cfRule>
  </conditionalFormatting>
  <conditionalFormatting sqref="M29:M32">
    <cfRule type="cellIs" dxfId="4742" priority="127" operator="lessThan">
      <formula>15</formula>
    </cfRule>
    <cfRule type="cellIs" dxfId="4741" priority="128" operator="greaterThan">
      <formula>20</formula>
    </cfRule>
    <cfRule type="cellIs" dxfId="4740" priority="129" operator="between">
      <formula>15</formula>
      <formula>20</formula>
    </cfRule>
    <cfRule type="cellIs" dxfId="4739" priority="130" operator="between">
      <formula>15</formula>
      <formula>20</formula>
    </cfRule>
    <cfRule type="cellIs" dxfId="4738" priority="131" operator="lessThan">
      <formula>15</formula>
    </cfRule>
    <cfRule type="cellIs" dxfId="4737" priority="132" operator="greaterThan">
      <formula>20</formula>
    </cfRule>
    <cfRule type="cellIs" dxfId="4736" priority="133" operator="between">
      <formula>15</formula>
      <formula>21</formula>
    </cfRule>
    <cfRule type="cellIs" dxfId="4735" priority="134" operator="lessThan">
      <formula>15</formula>
    </cfRule>
    <cfRule type="cellIs" dxfId="4734" priority="135" operator="greaterThan">
      <formula>21</formula>
    </cfRule>
  </conditionalFormatting>
  <conditionalFormatting sqref="M9:M39">
    <cfRule type="cellIs" dxfId="4733" priority="118" operator="lessThan">
      <formula>15</formula>
    </cfRule>
    <cfRule type="cellIs" dxfId="4732" priority="119" operator="greaterThan">
      <formula>20</formula>
    </cfRule>
    <cfRule type="cellIs" dxfId="4731" priority="120" operator="between">
      <formula>15</formula>
      <formula>20</formula>
    </cfRule>
    <cfRule type="cellIs" dxfId="4730" priority="121" operator="between">
      <formula>15</formula>
      <formula>20</formula>
    </cfRule>
    <cfRule type="cellIs" dxfId="4729" priority="122" operator="lessThan">
      <formula>15</formula>
    </cfRule>
    <cfRule type="cellIs" dxfId="4728" priority="123" operator="greaterThan">
      <formula>20</formula>
    </cfRule>
    <cfRule type="cellIs" dxfId="4727" priority="124" operator="between">
      <formula>15</formula>
      <formula>21</formula>
    </cfRule>
    <cfRule type="cellIs" dxfId="4726" priority="125" operator="lessThan">
      <formula>15</formula>
    </cfRule>
    <cfRule type="cellIs" dxfId="4725" priority="126" operator="greaterThan">
      <formula>21</formula>
    </cfRule>
  </conditionalFormatting>
  <conditionalFormatting sqref="M38">
    <cfRule type="cellIs" dxfId="4724" priority="109" operator="lessThan">
      <formula>15</formula>
    </cfRule>
    <cfRule type="cellIs" dxfId="4723" priority="110" operator="greaterThan">
      <formula>20</formula>
    </cfRule>
    <cfRule type="cellIs" dxfId="4722" priority="111" operator="between">
      <formula>15</formula>
      <formula>20</formula>
    </cfRule>
    <cfRule type="cellIs" dxfId="4721" priority="112" operator="between">
      <formula>15</formula>
      <formula>20</formula>
    </cfRule>
    <cfRule type="cellIs" dxfId="4720" priority="113" operator="lessThan">
      <formula>15</formula>
    </cfRule>
    <cfRule type="cellIs" dxfId="4719" priority="114" operator="greaterThan">
      <formula>20</formula>
    </cfRule>
    <cfRule type="cellIs" dxfId="4718" priority="115" operator="between">
      <formula>15</formula>
      <formula>21</formula>
    </cfRule>
    <cfRule type="cellIs" dxfId="4717" priority="116" operator="lessThan">
      <formula>15</formula>
    </cfRule>
    <cfRule type="cellIs" dxfId="4716" priority="117" operator="greaterThan">
      <formula>21</formula>
    </cfRule>
  </conditionalFormatting>
  <conditionalFormatting sqref="M33">
    <cfRule type="cellIs" dxfId="4715" priority="100" operator="lessThan">
      <formula>15</formula>
    </cfRule>
    <cfRule type="cellIs" dxfId="4714" priority="101" operator="greaterThan">
      <formula>20</formula>
    </cfRule>
    <cfRule type="cellIs" dxfId="4713" priority="102" operator="between">
      <formula>15</formula>
      <formula>20</formula>
    </cfRule>
    <cfRule type="cellIs" dxfId="4712" priority="103" operator="between">
      <formula>15</formula>
      <formula>20</formula>
    </cfRule>
    <cfRule type="cellIs" dxfId="4711" priority="104" operator="lessThan">
      <formula>15</formula>
    </cfRule>
    <cfRule type="cellIs" dxfId="4710" priority="105" operator="greaterThan">
      <formula>20</formula>
    </cfRule>
    <cfRule type="cellIs" dxfId="4709" priority="106" operator="between">
      <formula>15</formula>
      <formula>21</formula>
    </cfRule>
    <cfRule type="cellIs" dxfId="4708" priority="107" operator="lessThan">
      <formula>15</formula>
    </cfRule>
    <cfRule type="cellIs" dxfId="4707" priority="108" operator="greaterThan">
      <formula>21</formula>
    </cfRule>
  </conditionalFormatting>
  <conditionalFormatting sqref="M28">
    <cfRule type="cellIs" dxfId="4706" priority="91" operator="lessThan">
      <formula>15</formula>
    </cfRule>
    <cfRule type="cellIs" dxfId="4705" priority="92" operator="greaterThan">
      <formula>20</formula>
    </cfRule>
    <cfRule type="cellIs" dxfId="4704" priority="93" operator="between">
      <formula>15</formula>
      <formula>20</formula>
    </cfRule>
    <cfRule type="cellIs" dxfId="4703" priority="94" operator="between">
      <formula>15</formula>
      <formula>20</formula>
    </cfRule>
    <cfRule type="cellIs" dxfId="4702" priority="95" operator="lessThan">
      <formula>15</formula>
    </cfRule>
    <cfRule type="cellIs" dxfId="4701" priority="96" operator="greaterThan">
      <formula>20</formula>
    </cfRule>
    <cfRule type="cellIs" dxfId="4700" priority="97" operator="between">
      <formula>15</formula>
      <formula>21</formula>
    </cfRule>
    <cfRule type="cellIs" dxfId="4699" priority="98" operator="lessThan">
      <formula>15</formula>
    </cfRule>
    <cfRule type="cellIs" dxfId="4698" priority="99" operator="greaterThan">
      <formula>21</formula>
    </cfRule>
  </conditionalFormatting>
  <conditionalFormatting sqref="M23">
    <cfRule type="cellIs" dxfId="4697" priority="82" operator="lessThan">
      <formula>15</formula>
    </cfRule>
    <cfRule type="cellIs" dxfId="4696" priority="83" operator="greaterThan">
      <formula>20</formula>
    </cfRule>
    <cfRule type="cellIs" dxfId="4695" priority="84" operator="between">
      <formula>15</formula>
      <formula>20</formula>
    </cfRule>
    <cfRule type="cellIs" dxfId="4694" priority="85" operator="between">
      <formula>15</formula>
      <formula>20</formula>
    </cfRule>
    <cfRule type="cellIs" dxfId="4693" priority="86" operator="lessThan">
      <formula>15</formula>
    </cfRule>
    <cfRule type="cellIs" dxfId="4692" priority="87" operator="greaterThan">
      <formula>20</formula>
    </cfRule>
    <cfRule type="cellIs" dxfId="4691" priority="88" operator="between">
      <formula>15</formula>
      <formula>21</formula>
    </cfRule>
    <cfRule type="cellIs" dxfId="4690" priority="89" operator="lessThan">
      <formula>15</formula>
    </cfRule>
    <cfRule type="cellIs" dxfId="4689" priority="90" operator="greaterThan">
      <formula>21</formula>
    </cfRule>
  </conditionalFormatting>
  <conditionalFormatting sqref="M18">
    <cfRule type="cellIs" dxfId="4688" priority="73" operator="lessThan">
      <formula>15</formula>
    </cfRule>
    <cfRule type="cellIs" dxfId="4687" priority="74" operator="greaterThan">
      <formula>20</formula>
    </cfRule>
    <cfRule type="cellIs" dxfId="4686" priority="75" operator="between">
      <formula>15</formula>
      <formula>20</formula>
    </cfRule>
    <cfRule type="cellIs" dxfId="4685" priority="76" operator="between">
      <formula>15</formula>
      <formula>20</formula>
    </cfRule>
    <cfRule type="cellIs" dxfId="4684" priority="77" operator="lessThan">
      <formula>15</formula>
    </cfRule>
    <cfRule type="cellIs" dxfId="4683" priority="78" operator="greaterThan">
      <formula>20</formula>
    </cfRule>
    <cfRule type="cellIs" dxfId="4682" priority="79" operator="between">
      <formula>15</formula>
      <formula>21</formula>
    </cfRule>
    <cfRule type="cellIs" dxfId="4681" priority="80" operator="lessThan">
      <formula>15</formula>
    </cfRule>
    <cfRule type="cellIs" dxfId="4680" priority="81" operator="greaterThan">
      <formula>21</formula>
    </cfRule>
  </conditionalFormatting>
  <conditionalFormatting sqref="M35:M37">
    <cfRule type="cellIs" dxfId="4679" priority="64" operator="lessThan">
      <formula>15</formula>
    </cfRule>
    <cfRule type="cellIs" dxfId="4678" priority="65" operator="greaterThan">
      <formula>20</formula>
    </cfRule>
    <cfRule type="cellIs" dxfId="4677" priority="66" operator="between">
      <formula>15</formula>
      <formula>20</formula>
    </cfRule>
    <cfRule type="cellIs" dxfId="4676" priority="67" operator="between">
      <formula>15</formula>
      <formula>20</formula>
    </cfRule>
    <cfRule type="cellIs" dxfId="4675" priority="68" operator="lessThan">
      <formula>15</formula>
    </cfRule>
    <cfRule type="cellIs" dxfId="4674" priority="69" operator="greaterThan">
      <formula>20</formula>
    </cfRule>
    <cfRule type="cellIs" dxfId="4673" priority="70" operator="between">
      <formula>15</formula>
      <formula>21</formula>
    </cfRule>
    <cfRule type="cellIs" dxfId="4672" priority="71" operator="lessThan">
      <formula>15</formula>
    </cfRule>
    <cfRule type="cellIs" dxfId="4671" priority="72" operator="greaterThan">
      <formula>21</formula>
    </cfRule>
  </conditionalFormatting>
  <conditionalFormatting sqref="M13">
    <cfRule type="cellIs" dxfId="4670" priority="55" operator="lessThan">
      <formula>15</formula>
    </cfRule>
    <cfRule type="cellIs" dxfId="4669" priority="56" operator="greaterThan">
      <formula>20</formula>
    </cfRule>
    <cfRule type="cellIs" dxfId="4668" priority="57" operator="between">
      <formula>15</formula>
      <formula>20</formula>
    </cfRule>
    <cfRule type="cellIs" dxfId="4667" priority="58" operator="between">
      <formula>15</formula>
      <formula>20</formula>
    </cfRule>
    <cfRule type="cellIs" dxfId="4666" priority="59" operator="lessThan">
      <formula>15</formula>
    </cfRule>
    <cfRule type="cellIs" dxfId="4665" priority="60" operator="greaterThan">
      <formula>20</formula>
    </cfRule>
    <cfRule type="cellIs" dxfId="4664" priority="61" operator="between">
      <formula>15</formula>
      <formula>21</formula>
    </cfRule>
    <cfRule type="cellIs" dxfId="4663" priority="62" operator="lessThan">
      <formula>15</formula>
    </cfRule>
    <cfRule type="cellIs" dxfId="4662" priority="63" operator="greaterThan">
      <formula>21</formula>
    </cfRule>
  </conditionalFormatting>
  <conditionalFormatting sqref="M20">
    <cfRule type="cellIs" dxfId="4661" priority="46" operator="lessThan">
      <formula>15</formula>
    </cfRule>
    <cfRule type="cellIs" dxfId="4660" priority="47" operator="greaterThan">
      <formula>20</formula>
    </cfRule>
    <cfRule type="cellIs" dxfId="4659" priority="48" operator="between">
      <formula>15</formula>
      <formula>20</formula>
    </cfRule>
    <cfRule type="cellIs" dxfId="4658" priority="49" operator="between">
      <formula>15</formula>
      <formula>20</formula>
    </cfRule>
    <cfRule type="cellIs" dxfId="4657" priority="50" operator="lessThan">
      <formula>15</formula>
    </cfRule>
    <cfRule type="cellIs" dxfId="4656" priority="51" operator="greaterThan">
      <formula>20</formula>
    </cfRule>
    <cfRule type="cellIs" dxfId="4655" priority="52" operator="between">
      <formula>15</formula>
      <formula>21</formula>
    </cfRule>
    <cfRule type="cellIs" dxfId="4654" priority="53" operator="lessThan">
      <formula>15</formula>
    </cfRule>
    <cfRule type="cellIs" dxfId="4653" priority="54" operator="greaterThan">
      <formula>21</formula>
    </cfRule>
  </conditionalFormatting>
  <conditionalFormatting sqref="M27">
    <cfRule type="cellIs" dxfId="4652" priority="37" operator="lessThan">
      <formula>15</formula>
    </cfRule>
    <cfRule type="cellIs" dxfId="4651" priority="38" operator="greaterThan">
      <formula>20</formula>
    </cfRule>
    <cfRule type="cellIs" dxfId="4650" priority="39" operator="between">
      <formula>15</formula>
      <formula>20</formula>
    </cfRule>
    <cfRule type="cellIs" dxfId="4649" priority="40" operator="between">
      <formula>15</formula>
      <formula>20</formula>
    </cfRule>
    <cfRule type="cellIs" dxfId="4648" priority="41" operator="lessThan">
      <formula>15</formula>
    </cfRule>
    <cfRule type="cellIs" dxfId="4647" priority="42" operator="greaterThan">
      <formula>20</formula>
    </cfRule>
    <cfRule type="cellIs" dxfId="4646" priority="43" operator="between">
      <formula>15</formula>
      <formula>21</formula>
    </cfRule>
    <cfRule type="cellIs" dxfId="4645" priority="44" operator="lessThan">
      <formula>15</formula>
    </cfRule>
    <cfRule type="cellIs" dxfId="4644" priority="45" operator="greaterThan">
      <formula>21</formula>
    </cfRule>
  </conditionalFormatting>
  <conditionalFormatting sqref="M34">
    <cfRule type="cellIs" dxfId="4643" priority="28" operator="lessThan">
      <formula>15</formula>
    </cfRule>
    <cfRule type="cellIs" dxfId="4642" priority="29" operator="greaterThan">
      <formula>20</formula>
    </cfRule>
    <cfRule type="cellIs" dxfId="4641" priority="30" operator="between">
      <formula>15</formula>
      <formula>20</formula>
    </cfRule>
    <cfRule type="cellIs" dxfId="4640" priority="31" operator="between">
      <formula>15</formula>
      <formula>20</formula>
    </cfRule>
    <cfRule type="cellIs" dxfId="4639" priority="32" operator="lessThan">
      <formula>15</formula>
    </cfRule>
    <cfRule type="cellIs" dxfId="4638" priority="33" operator="greaterThan">
      <formula>20</formula>
    </cfRule>
    <cfRule type="cellIs" dxfId="4637" priority="34" operator="between">
      <formula>15</formula>
      <formula>21</formula>
    </cfRule>
    <cfRule type="cellIs" dxfId="4636" priority="35" operator="lessThan">
      <formula>15</formula>
    </cfRule>
    <cfRule type="cellIs" dxfId="4635" priority="36" operator="greaterThan">
      <formula>21</formula>
    </cfRule>
  </conditionalFormatting>
  <conditionalFormatting sqref="M14:M17 M39 M21:M22 M24:M26 M19">
    <cfRule type="cellIs" dxfId="4634" priority="19" operator="lessThan">
      <formula>15</formula>
    </cfRule>
    <cfRule type="cellIs" dxfId="4633" priority="20" operator="greaterThan">
      <formula>20</formula>
    </cfRule>
    <cfRule type="cellIs" dxfId="4632" priority="21" operator="between">
      <formula>15</formula>
      <formula>20</formula>
    </cfRule>
    <cfRule type="cellIs" dxfId="4631" priority="22" operator="between">
      <formula>15</formula>
      <formula>20</formula>
    </cfRule>
    <cfRule type="cellIs" dxfId="4630" priority="23" operator="lessThan">
      <formula>15</formula>
    </cfRule>
    <cfRule type="cellIs" dxfId="4629" priority="24" operator="greaterThan">
      <formula>20</formula>
    </cfRule>
    <cfRule type="cellIs" dxfId="4628" priority="25" operator="between">
      <formula>15</formula>
      <formula>21</formula>
    </cfRule>
    <cfRule type="cellIs" dxfId="4627" priority="26" operator="lessThan">
      <formula>15</formula>
    </cfRule>
    <cfRule type="cellIs" dxfId="4626" priority="27" operator="greaterThan">
      <formula>21</formula>
    </cfRule>
  </conditionalFormatting>
  <conditionalFormatting sqref="M9:M12">
    <cfRule type="cellIs" dxfId="4625" priority="10" operator="lessThan">
      <formula>15</formula>
    </cfRule>
    <cfRule type="cellIs" dxfId="4624" priority="11" operator="greaterThan">
      <formula>20</formula>
    </cfRule>
    <cfRule type="cellIs" dxfId="4623" priority="12" operator="between">
      <formula>15</formula>
      <formula>20</formula>
    </cfRule>
    <cfRule type="cellIs" dxfId="4622" priority="13" operator="between">
      <formula>15</formula>
      <formula>20</formula>
    </cfRule>
    <cfRule type="cellIs" dxfId="4621" priority="14" operator="lessThan">
      <formula>15</formula>
    </cfRule>
    <cfRule type="cellIs" dxfId="4620" priority="15" operator="greaterThan">
      <formula>20</formula>
    </cfRule>
    <cfRule type="cellIs" dxfId="4619" priority="16" operator="between">
      <formula>15</formula>
      <formula>21</formula>
    </cfRule>
    <cfRule type="cellIs" dxfId="4618" priority="17" operator="lessThan">
      <formula>15</formula>
    </cfRule>
    <cfRule type="cellIs" dxfId="4617" priority="18" operator="greaterThan">
      <formula>21</formula>
    </cfRule>
  </conditionalFormatting>
  <conditionalFormatting sqref="M29:M32">
    <cfRule type="cellIs" dxfId="4616" priority="1" operator="lessThan">
      <formula>15</formula>
    </cfRule>
    <cfRule type="cellIs" dxfId="4615" priority="2" operator="greaterThan">
      <formula>20</formula>
    </cfRule>
    <cfRule type="cellIs" dxfId="4614" priority="3" operator="between">
      <formula>15</formula>
      <formula>20</formula>
    </cfRule>
    <cfRule type="cellIs" dxfId="4613" priority="4" operator="between">
      <formula>15</formula>
      <formula>20</formula>
    </cfRule>
    <cfRule type="cellIs" dxfId="4612" priority="5" operator="lessThan">
      <formula>15</formula>
    </cfRule>
    <cfRule type="cellIs" dxfId="4611" priority="6" operator="greaterThan">
      <formula>20</formula>
    </cfRule>
    <cfRule type="cellIs" dxfId="4610" priority="7" operator="between">
      <formula>15</formula>
      <formula>21</formula>
    </cfRule>
    <cfRule type="cellIs" dxfId="4609" priority="8" operator="lessThan">
      <formula>15</formula>
    </cfRule>
    <cfRule type="cellIs" dxfId="4608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.31496062992125984"/>
  <pageSetup paperSize="8" orientation="landscape" horizontalDpi="4294967292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49"/>
  <sheetViews>
    <sheetView zoomScale="80" zoomScaleNormal="80" workbookViewId="0">
      <pane ySplit="8" topLeftCell="A21" activePane="bottomLeft" state="frozen"/>
      <selection pane="bottomLeft"/>
    </sheetView>
  </sheetViews>
  <sheetFormatPr defaultColWidth="9.28515625" defaultRowHeight="15"/>
  <cols>
    <col min="1" max="1" width="5.5703125" style="143" customWidth="1"/>
    <col min="2" max="2" width="9" style="143" customWidth="1"/>
    <col min="3" max="3" width="16.7109375" style="143" customWidth="1"/>
    <col min="4" max="11" width="10" style="142" customWidth="1"/>
    <col min="12" max="13" width="11.7109375" style="143" customWidth="1"/>
    <col min="14" max="14" width="6.285156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758" customFormat="1" ht="18.75" customHeight="1">
      <c r="A4" s="1600" t="s">
        <v>33</v>
      </c>
      <c r="B4" s="1600"/>
      <c r="C4" s="316" t="str">
        <f>J4</f>
        <v>CAO LANH YS09</v>
      </c>
      <c r="D4" s="383"/>
      <c r="E4" s="383" t="s">
        <v>228</v>
      </c>
      <c r="F4" s="383" t="s">
        <v>229</v>
      </c>
      <c r="G4" s="383"/>
      <c r="I4" s="383" t="s">
        <v>120</v>
      </c>
      <c r="J4" s="316" t="s">
        <v>297</v>
      </c>
      <c r="K4" s="319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E8-(E8*N8)</f>
        <v>500</v>
      </c>
      <c r="E8" s="388">
        <f>K8</f>
        <v>500</v>
      </c>
      <c r="F8" s="389"/>
      <c r="G8" s="388"/>
      <c r="H8" s="387"/>
      <c r="I8" s="388"/>
      <c r="J8" s="390">
        <f>K8-K8*N8</f>
        <v>500</v>
      </c>
      <c r="K8" s="389">
        <v>500</v>
      </c>
      <c r="L8" s="303"/>
      <c r="M8" s="304"/>
      <c r="N8" s="366">
        <v>0</v>
      </c>
      <c r="O8" s="143">
        <v>3001</v>
      </c>
    </row>
    <row r="9" spans="1:25" s="367" customFormat="1" ht="12" customHeight="1">
      <c r="A9" s="364">
        <v>1</v>
      </c>
      <c r="B9" s="365">
        <f>'FRIT HGE91-FHG'!B10</f>
        <v>46236</v>
      </c>
      <c r="C9" s="365" t="s">
        <v>285</v>
      </c>
      <c r="D9" s="490"/>
      <c r="E9" s="395"/>
      <c r="F9" s="393"/>
      <c r="G9" s="491"/>
      <c r="H9" s="394">
        <f>SUM($F$8:F9)/A9</f>
        <v>0</v>
      </c>
      <c r="I9" s="395">
        <f>SUM($G$8:G9)/A9</f>
        <v>0</v>
      </c>
      <c r="J9" s="396">
        <f>J8+D9-F9</f>
        <v>500</v>
      </c>
      <c r="K9" s="397">
        <f t="shared" ref="J9:K11" si="0">K8+E9-G9</f>
        <v>500</v>
      </c>
      <c r="L9" s="338" t="e">
        <f>J9/H9</f>
        <v>#DIV/0!</v>
      </c>
      <c r="M9" s="300" t="e">
        <f>K9/I9</f>
        <v>#DIV/0!</v>
      </c>
      <c r="N9" s="366"/>
      <c r="O9" s="647">
        <f>J9/$O$8</f>
        <v>0.16661112962345884</v>
      </c>
    </row>
    <row r="10" spans="1:25" s="367" customFormat="1" ht="12" customHeight="1">
      <c r="A10" s="364">
        <v>2</v>
      </c>
      <c r="B10" s="365">
        <f>'FRIT HGE91-FHG'!B11</f>
        <v>46237</v>
      </c>
      <c r="C10" s="365" t="s">
        <v>285</v>
      </c>
      <c r="D10" s="490"/>
      <c r="E10" s="395"/>
      <c r="F10" s="393"/>
      <c r="G10" s="491"/>
      <c r="H10" s="394">
        <f>SUM($F$8:F10)/A10</f>
        <v>0</v>
      </c>
      <c r="I10" s="395">
        <f>SUM($G$8:G10)/A10</f>
        <v>0</v>
      </c>
      <c r="J10" s="396">
        <f t="shared" si="0"/>
        <v>500</v>
      </c>
      <c r="K10" s="397">
        <f t="shared" si="0"/>
        <v>500</v>
      </c>
      <c r="L10" s="338" t="e">
        <f t="shared" ref="L10:L39" si="1">J10/H10</f>
        <v>#DIV/0!</v>
      </c>
      <c r="M10" s="300" t="e">
        <f t="shared" ref="M10:M39" si="2">K10/I10</f>
        <v>#DIV/0!</v>
      </c>
      <c r="N10" s="366"/>
      <c r="O10" s="647">
        <f t="shared" ref="O10:O39" si="3">J10/$O$8</f>
        <v>0.16661112962345884</v>
      </c>
    </row>
    <row r="11" spans="1:25" s="367" customFormat="1" ht="12" customHeight="1">
      <c r="A11" s="364">
        <v>3</v>
      </c>
      <c r="B11" s="365">
        <f>'FRIT HGE91-FHG'!B12</f>
        <v>46238</v>
      </c>
      <c r="C11" s="365" t="s">
        <v>285</v>
      </c>
      <c r="D11" s="490"/>
      <c r="E11" s="395"/>
      <c r="F11" s="393"/>
      <c r="G11" s="491"/>
      <c r="H11" s="394">
        <f>SUM($F$8:F11)/A11</f>
        <v>0</v>
      </c>
      <c r="I11" s="395">
        <f>SUM($G$8:G11)/A11</f>
        <v>0</v>
      </c>
      <c r="J11" s="396">
        <f t="shared" si="0"/>
        <v>500</v>
      </c>
      <c r="K11" s="397">
        <f t="shared" si="0"/>
        <v>500</v>
      </c>
      <c r="L11" s="338" t="e">
        <f t="shared" si="1"/>
        <v>#DIV/0!</v>
      </c>
      <c r="M11" s="300" t="e">
        <f t="shared" si="2"/>
        <v>#DIV/0!</v>
      </c>
      <c r="N11" s="366"/>
      <c r="O11" s="647">
        <f t="shared" si="3"/>
        <v>0.16661112962345884</v>
      </c>
    </row>
    <row r="12" spans="1:25" s="367" customFormat="1" ht="12" customHeight="1">
      <c r="A12" s="364">
        <v>4</v>
      </c>
      <c r="B12" s="365">
        <f>'FRIT HGE91-FHG'!B13</f>
        <v>46239</v>
      </c>
      <c r="C12" s="365" t="s">
        <v>285</v>
      </c>
      <c r="D12" s="490"/>
      <c r="E12" s="395"/>
      <c r="F12" s="393"/>
      <c r="G12" s="491"/>
      <c r="H12" s="394">
        <f>SUM($F$8:F12)/A12</f>
        <v>0</v>
      </c>
      <c r="I12" s="395">
        <f>SUM($G$8:G12)/A12</f>
        <v>0</v>
      </c>
      <c r="J12" s="396">
        <f t="shared" ref="J12:K27" si="4">J11+D12-F12</f>
        <v>500</v>
      </c>
      <c r="K12" s="397">
        <f t="shared" si="4"/>
        <v>500</v>
      </c>
      <c r="L12" s="338" t="e">
        <f t="shared" si="1"/>
        <v>#DIV/0!</v>
      </c>
      <c r="M12" s="300" t="e">
        <f t="shared" si="2"/>
        <v>#DIV/0!</v>
      </c>
      <c r="N12" s="366"/>
      <c r="O12" s="647">
        <f t="shared" si="3"/>
        <v>0.16661112962345884</v>
      </c>
    </row>
    <row r="13" spans="1:25" s="367" customFormat="1" ht="12" customHeight="1">
      <c r="A13" s="500">
        <v>5</v>
      </c>
      <c r="B13" s="365">
        <f>'FRIT HGE91-FHG'!B14</f>
        <v>46240</v>
      </c>
      <c r="C13" s="365" t="s">
        <v>285</v>
      </c>
      <c r="D13" s="490"/>
      <c r="E13" s="395"/>
      <c r="F13" s="393"/>
      <c r="G13" s="491"/>
      <c r="H13" s="492">
        <f>SUM($F$8:F13)/A13</f>
        <v>0</v>
      </c>
      <c r="I13" s="395">
        <f>SUM($G$8:G13)/A13</f>
        <v>0</v>
      </c>
      <c r="J13" s="492">
        <f t="shared" si="4"/>
        <v>500</v>
      </c>
      <c r="K13" s="397">
        <f t="shared" si="4"/>
        <v>500</v>
      </c>
      <c r="L13" s="368" t="e">
        <f t="shared" si="1"/>
        <v>#DIV/0!</v>
      </c>
      <c r="M13" s="300" t="e">
        <f t="shared" si="2"/>
        <v>#DIV/0!</v>
      </c>
      <c r="N13" s="366"/>
      <c r="O13" s="647">
        <f t="shared" si="3"/>
        <v>0.16661112962345884</v>
      </c>
    </row>
    <row r="14" spans="1:25" s="367" customFormat="1" ht="12" customHeight="1">
      <c r="A14" s="364">
        <v>6</v>
      </c>
      <c r="B14" s="365">
        <f>'FRIT HGE91-FHG'!B15</f>
        <v>46241</v>
      </c>
      <c r="C14" s="365" t="s">
        <v>285</v>
      </c>
      <c r="D14" s="490"/>
      <c r="E14" s="395"/>
      <c r="F14" s="393"/>
      <c r="G14" s="491"/>
      <c r="H14" s="394">
        <f>SUM($F$8:F14)/A14</f>
        <v>0</v>
      </c>
      <c r="I14" s="395">
        <f>SUM($G$8:G14)/A14</f>
        <v>0</v>
      </c>
      <c r="J14" s="396">
        <f t="shared" si="4"/>
        <v>500</v>
      </c>
      <c r="K14" s="397">
        <f t="shared" si="4"/>
        <v>500</v>
      </c>
      <c r="L14" s="338" t="e">
        <f t="shared" si="1"/>
        <v>#DIV/0!</v>
      </c>
      <c r="M14" s="300" t="e">
        <f t="shared" si="2"/>
        <v>#DIV/0!</v>
      </c>
      <c r="N14" s="366"/>
      <c r="O14" s="647">
        <f t="shared" si="3"/>
        <v>0.16661112962345884</v>
      </c>
    </row>
    <row r="15" spans="1:25" s="367" customFormat="1" ht="12" customHeight="1">
      <c r="A15" s="364">
        <v>7</v>
      </c>
      <c r="B15" s="365">
        <f>'FRIT HGE91-FHG'!B16</f>
        <v>46242</v>
      </c>
      <c r="C15" s="365" t="s">
        <v>285</v>
      </c>
      <c r="D15" s="490"/>
      <c r="E15" s="395"/>
      <c r="F15" s="393"/>
      <c r="G15" s="491"/>
      <c r="H15" s="394">
        <f>SUM($F$8:F15)/A15</f>
        <v>0</v>
      </c>
      <c r="I15" s="395">
        <f>SUM($G$8:G15)/A15</f>
        <v>0</v>
      </c>
      <c r="J15" s="396">
        <f t="shared" si="4"/>
        <v>500</v>
      </c>
      <c r="K15" s="397">
        <f t="shared" si="4"/>
        <v>500</v>
      </c>
      <c r="L15" s="338" t="e">
        <f t="shared" si="1"/>
        <v>#DIV/0!</v>
      </c>
      <c r="M15" s="300" t="e">
        <f t="shared" si="2"/>
        <v>#DIV/0!</v>
      </c>
      <c r="N15" s="366"/>
      <c r="O15" s="647">
        <f t="shared" si="3"/>
        <v>0.16661112962345884</v>
      </c>
    </row>
    <row r="16" spans="1:25" s="367" customFormat="1" ht="12" customHeight="1">
      <c r="A16" s="364">
        <v>8</v>
      </c>
      <c r="B16" s="365">
        <f>'FRIT HGE91-FHG'!B17</f>
        <v>46243</v>
      </c>
      <c r="C16" s="365" t="s">
        <v>285</v>
      </c>
      <c r="D16" s="490"/>
      <c r="E16" s="395"/>
      <c r="F16" s="393"/>
      <c r="G16" s="491"/>
      <c r="H16" s="394">
        <f>SUM($F$8:F16)/A16</f>
        <v>0</v>
      </c>
      <c r="I16" s="395">
        <f>SUM($G$8:G16)/A16</f>
        <v>0</v>
      </c>
      <c r="J16" s="396">
        <f t="shared" si="4"/>
        <v>500</v>
      </c>
      <c r="K16" s="397">
        <f t="shared" si="4"/>
        <v>500</v>
      </c>
      <c r="L16" s="338" t="e">
        <f t="shared" si="1"/>
        <v>#DIV/0!</v>
      </c>
      <c r="M16" s="300" t="e">
        <f t="shared" si="2"/>
        <v>#DIV/0!</v>
      </c>
      <c r="N16" s="366"/>
      <c r="O16" s="647">
        <f t="shared" si="3"/>
        <v>0.16661112962345884</v>
      </c>
    </row>
    <row r="17" spans="1:15" s="367" customFormat="1" ht="12" customHeight="1">
      <c r="A17" s="364">
        <v>9</v>
      </c>
      <c r="B17" s="365">
        <f>'FRIT HGE91-FHG'!B18</f>
        <v>46244</v>
      </c>
      <c r="C17" s="365" t="s">
        <v>285</v>
      </c>
      <c r="D17" s="490"/>
      <c r="E17" s="395"/>
      <c r="F17" s="393"/>
      <c r="G17" s="491"/>
      <c r="H17" s="394">
        <f>SUM($F$8:F17)/A17</f>
        <v>0</v>
      </c>
      <c r="I17" s="395">
        <f>SUM($G$8:G17)/A17</f>
        <v>0</v>
      </c>
      <c r="J17" s="396">
        <f t="shared" si="4"/>
        <v>500</v>
      </c>
      <c r="K17" s="397">
        <f t="shared" si="4"/>
        <v>500</v>
      </c>
      <c r="L17" s="338" t="e">
        <f t="shared" si="1"/>
        <v>#DIV/0!</v>
      </c>
      <c r="M17" s="300" t="e">
        <f t="shared" si="2"/>
        <v>#DIV/0!</v>
      </c>
      <c r="N17" s="366"/>
      <c r="O17" s="647">
        <f t="shared" si="3"/>
        <v>0.16661112962345884</v>
      </c>
    </row>
    <row r="18" spans="1:15" s="367" customFormat="1" ht="12" customHeight="1">
      <c r="A18" s="500">
        <v>10</v>
      </c>
      <c r="B18" s="365">
        <f>'FRIT HGE91-FHG'!B19</f>
        <v>46245</v>
      </c>
      <c r="C18" s="365" t="s">
        <v>285</v>
      </c>
      <c r="D18" s="490"/>
      <c r="E18" s="395"/>
      <c r="F18" s="393"/>
      <c r="G18" s="491"/>
      <c r="H18" s="492">
        <f>SUM($F$8:F18)/A18</f>
        <v>0</v>
      </c>
      <c r="I18" s="395">
        <f>SUM($G$8:G18)/A18</f>
        <v>0</v>
      </c>
      <c r="J18" s="492">
        <f t="shared" si="4"/>
        <v>500</v>
      </c>
      <c r="K18" s="397">
        <f t="shared" si="4"/>
        <v>500</v>
      </c>
      <c r="L18" s="368" t="e">
        <f t="shared" si="1"/>
        <v>#DIV/0!</v>
      </c>
      <c r="M18" s="300" t="e">
        <f t="shared" si="2"/>
        <v>#DIV/0!</v>
      </c>
      <c r="N18" s="366"/>
      <c r="O18" s="647">
        <f t="shared" si="3"/>
        <v>0.16661112962345884</v>
      </c>
    </row>
    <row r="19" spans="1:15" s="367" customFormat="1" ht="12" customHeight="1">
      <c r="A19" s="364">
        <v>11</v>
      </c>
      <c r="B19" s="365">
        <f>'FRIT HGE91-FHG'!B20</f>
        <v>46246</v>
      </c>
      <c r="C19" s="365" t="s">
        <v>285</v>
      </c>
      <c r="D19" s="490"/>
      <c r="E19" s="395"/>
      <c r="F19" s="393"/>
      <c r="G19" s="491"/>
      <c r="H19" s="394">
        <f>SUM($F$8:F19)/A19</f>
        <v>0</v>
      </c>
      <c r="I19" s="395">
        <f>SUM($G$8:G19)/A19</f>
        <v>0</v>
      </c>
      <c r="J19" s="396">
        <f t="shared" si="4"/>
        <v>500</v>
      </c>
      <c r="K19" s="397">
        <f t="shared" si="4"/>
        <v>500</v>
      </c>
      <c r="L19" s="338" t="e">
        <f t="shared" si="1"/>
        <v>#DIV/0!</v>
      </c>
      <c r="M19" s="300" t="e">
        <f t="shared" si="2"/>
        <v>#DIV/0!</v>
      </c>
      <c r="N19" s="366"/>
      <c r="O19" s="647">
        <f t="shared" si="3"/>
        <v>0.16661112962345884</v>
      </c>
    </row>
    <row r="20" spans="1:15" s="367" customFormat="1" ht="12" customHeight="1">
      <c r="A20" s="364">
        <v>12</v>
      </c>
      <c r="B20" s="365">
        <f>'FRIT HGE91-FHG'!B21</f>
        <v>46247</v>
      </c>
      <c r="C20" s="365" t="s">
        <v>285</v>
      </c>
      <c r="D20" s="490"/>
      <c r="E20" s="395"/>
      <c r="F20" s="393"/>
      <c r="G20" s="491"/>
      <c r="H20" s="394">
        <f>SUM($F$8:F20)/A20</f>
        <v>0</v>
      </c>
      <c r="I20" s="395">
        <f>SUM($G$8:G20)/A20</f>
        <v>0</v>
      </c>
      <c r="J20" s="396">
        <f t="shared" si="4"/>
        <v>500</v>
      </c>
      <c r="K20" s="397">
        <f t="shared" si="4"/>
        <v>500</v>
      </c>
      <c r="L20" s="338" t="e">
        <f t="shared" si="1"/>
        <v>#DIV/0!</v>
      </c>
      <c r="M20" s="300" t="e">
        <f t="shared" si="2"/>
        <v>#DIV/0!</v>
      </c>
      <c r="N20" s="366"/>
      <c r="O20" s="647">
        <f t="shared" si="3"/>
        <v>0.16661112962345884</v>
      </c>
    </row>
    <row r="21" spans="1:15" s="367" customFormat="1" ht="12" customHeight="1">
      <c r="A21" s="364">
        <v>13</v>
      </c>
      <c r="B21" s="365">
        <f>'FRIT HGE91-FHG'!B22</f>
        <v>46248</v>
      </c>
      <c r="C21" s="365" t="s">
        <v>285</v>
      </c>
      <c r="D21" s="490"/>
      <c r="E21" s="395"/>
      <c r="F21" s="393"/>
      <c r="G21" s="491"/>
      <c r="H21" s="394">
        <f>SUM($F$8:F21)/A21</f>
        <v>0</v>
      </c>
      <c r="I21" s="395">
        <f>SUM($G$8:G21)/A21</f>
        <v>0</v>
      </c>
      <c r="J21" s="396">
        <f t="shared" si="4"/>
        <v>500</v>
      </c>
      <c r="K21" s="397">
        <f>K20+E21-G21</f>
        <v>500</v>
      </c>
      <c r="L21" s="338" t="e">
        <f t="shared" si="1"/>
        <v>#DIV/0!</v>
      </c>
      <c r="M21" s="300" t="e">
        <f t="shared" si="2"/>
        <v>#DIV/0!</v>
      </c>
      <c r="N21" s="366"/>
      <c r="O21" s="647">
        <f t="shared" si="3"/>
        <v>0.16661112962345884</v>
      </c>
    </row>
    <row r="22" spans="1:15" s="367" customFormat="1" ht="12" customHeight="1">
      <c r="A22" s="364">
        <v>14</v>
      </c>
      <c r="B22" s="365">
        <f>'FRIT HGE91-FHG'!B23</f>
        <v>46249</v>
      </c>
      <c r="C22" s="365" t="s">
        <v>285</v>
      </c>
      <c r="D22" s="490"/>
      <c r="E22" s="395"/>
      <c r="F22" s="393"/>
      <c r="G22" s="491"/>
      <c r="H22" s="394">
        <f>SUM($F$8:F22)/A22</f>
        <v>0</v>
      </c>
      <c r="I22" s="395">
        <f>SUM($G$8:G22)/A22</f>
        <v>0</v>
      </c>
      <c r="J22" s="396">
        <f t="shared" si="4"/>
        <v>500</v>
      </c>
      <c r="K22" s="397">
        <f>K21+E22-G22</f>
        <v>500</v>
      </c>
      <c r="L22" s="338" t="e">
        <f t="shared" si="1"/>
        <v>#DIV/0!</v>
      </c>
      <c r="M22" s="300" t="e">
        <f t="shared" si="2"/>
        <v>#DIV/0!</v>
      </c>
      <c r="N22" s="366"/>
      <c r="O22" s="647">
        <f t="shared" si="3"/>
        <v>0.16661112962345884</v>
      </c>
    </row>
    <row r="23" spans="1:15" s="367" customFormat="1" ht="12" customHeight="1">
      <c r="A23" s="500">
        <v>15</v>
      </c>
      <c r="B23" s="365">
        <f>'FRIT HGE91-FHG'!B24</f>
        <v>46250</v>
      </c>
      <c r="C23" s="365" t="s">
        <v>285</v>
      </c>
      <c r="D23" s="490"/>
      <c r="E23" s="395"/>
      <c r="F23" s="393"/>
      <c r="G23" s="491"/>
      <c r="H23" s="492">
        <f>SUM($F$8:F23)/A23</f>
        <v>0</v>
      </c>
      <c r="I23" s="395">
        <f>SUM($G$8:G23)/A23</f>
        <v>0</v>
      </c>
      <c r="J23" s="492">
        <f t="shared" si="4"/>
        <v>500</v>
      </c>
      <c r="K23" s="397">
        <f t="shared" si="4"/>
        <v>500</v>
      </c>
      <c r="L23" s="368" t="e">
        <f t="shared" si="1"/>
        <v>#DIV/0!</v>
      </c>
      <c r="M23" s="300" t="e">
        <f t="shared" si="2"/>
        <v>#DIV/0!</v>
      </c>
      <c r="N23" s="366"/>
      <c r="O23" s="647">
        <f t="shared" si="3"/>
        <v>0.16661112962345884</v>
      </c>
    </row>
    <row r="24" spans="1:15" s="367" customFormat="1" ht="12" customHeight="1">
      <c r="A24" s="364">
        <v>16</v>
      </c>
      <c r="B24" s="365">
        <f>'FRIT HGE91-FHG'!B25</f>
        <v>46251</v>
      </c>
      <c r="C24" s="365" t="s">
        <v>285</v>
      </c>
      <c r="D24" s="490"/>
      <c r="E24" s="395"/>
      <c r="F24" s="393"/>
      <c r="G24" s="491"/>
      <c r="H24" s="394">
        <f>SUM($F$8:F24)/A24</f>
        <v>0</v>
      </c>
      <c r="I24" s="395">
        <f>SUM($G$8:G24)/A24</f>
        <v>0</v>
      </c>
      <c r="J24" s="396">
        <f t="shared" si="4"/>
        <v>500</v>
      </c>
      <c r="K24" s="397">
        <f>K23+E24-G24</f>
        <v>500</v>
      </c>
      <c r="L24" s="338" t="e">
        <f t="shared" si="1"/>
        <v>#DIV/0!</v>
      </c>
      <c r="M24" s="300" t="e">
        <f t="shared" si="2"/>
        <v>#DIV/0!</v>
      </c>
      <c r="N24" s="366"/>
      <c r="O24" s="647">
        <f t="shared" si="3"/>
        <v>0.16661112962345884</v>
      </c>
    </row>
    <row r="25" spans="1:15" s="367" customFormat="1" ht="12" customHeight="1">
      <c r="A25" s="364">
        <v>17</v>
      </c>
      <c r="B25" s="365">
        <f>'FRIT HGE91-FHG'!B26</f>
        <v>46252</v>
      </c>
      <c r="C25" s="365" t="s">
        <v>285</v>
      </c>
      <c r="D25" s="490"/>
      <c r="E25" s="395"/>
      <c r="F25" s="393"/>
      <c r="G25" s="491"/>
      <c r="H25" s="394">
        <f>SUM($F$8:F25)/A25</f>
        <v>0</v>
      </c>
      <c r="I25" s="395">
        <f>SUM($G$8:G25)/A25</f>
        <v>0</v>
      </c>
      <c r="J25" s="396">
        <f t="shared" si="4"/>
        <v>500</v>
      </c>
      <c r="K25" s="397">
        <f>K24+E25-G25</f>
        <v>500</v>
      </c>
      <c r="L25" s="338" t="e">
        <f t="shared" si="1"/>
        <v>#DIV/0!</v>
      </c>
      <c r="M25" s="300" t="e">
        <f t="shared" si="2"/>
        <v>#DIV/0!</v>
      </c>
      <c r="N25" s="366"/>
      <c r="O25" s="647">
        <f t="shared" si="3"/>
        <v>0.16661112962345884</v>
      </c>
    </row>
    <row r="26" spans="1:15" s="367" customFormat="1" ht="12" customHeight="1">
      <c r="A26" s="364">
        <v>18</v>
      </c>
      <c r="B26" s="365">
        <f>'FRIT HGE91-FHG'!B27</f>
        <v>46253</v>
      </c>
      <c r="C26" s="365" t="s">
        <v>285</v>
      </c>
      <c r="D26" s="490"/>
      <c r="E26" s="395"/>
      <c r="F26" s="393"/>
      <c r="G26" s="491"/>
      <c r="H26" s="394">
        <f>SUM($F$8:F26)/A26</f>
        <v>0</v>
      </c>
      <c r="I26" s="395">
        <f>SUM($G$8:G26)/A26</f>
        <v>0</v>
      </c>
      <c r="J26" s="396">
        <f t="shared" si="4"/>
        <v>500</v>
      </c>
      <c r="K26" s="397">
        <f>K25+E26-G26</f>
        <v>500</v>
      </c>
      <c r="L26" s="338" t="e">
        <f t="shared" si="1"/>
        <v>#DIV/0!</v>
      </c>
      <c r="M26" s="300" t="e">
        <f t="shared" si="2"/>
        <v>#DIV/0!</v>
      </c>
      <c r="N26" s="366"/>
      <c r="O26" s="647">
        <f t="shared" si="3"/>
        <v>0.16661112962345884</v>
      </c>
    </row>
    <row r="27" spans="1:15" s="367" customFormat="1" ht="12" customHeight="1">
      <c r="A27" s="364">
        <v>19</v>
      </c>
      <c r="B27" s="365">
        <f>'FRIT HGE91-FHG'!B28</f>
        <v>46254</v>
      </c>
      <c r="C27" s="365" t="s">
        <v>285</v>
      </c>
      <c r="D27" s="490"/>
      <c r="E27" s="395"/>
      <c r="F27" s="393"/>
      <c r="G27" s="491"/>
      <c r="H27" s="394">
        <f>SUM($F$8:F27)/A27</f>
        <v>0</v>
      </c>
      <c r="I27" s="395">
        <f>SUM($G$8:G27)/A27</f>
        <v>0</v>
      </c>
      <c r="J27" s="396">
        <f t="shared" si="4"/>
        <v>500</v>
      </c>
      <c r="K27" s="397">
        <f>K26+E27-G27</f>
        <v>500</v>
      </c>
      <c r="L27" s="338" t="e">
        <f t="shared" si="1"/>
        <v>#DIV/0!</v>
      </c>
      <c r="M27" s="300" t="e">
        <f t="shared" si="2"/>
        <v>#DIV/0!</v>
      </c>
      <c r="N27" s="366"/>
      <c r="O27" s="647">
        <f t="shared" si="3"/>
        <v>0.16661112962345884</v>
      </c>
    </row>
    <row r="28" spans="1:15" s="367" customFormat="1" ht="12" customHeight="1">
      <c r="A28" s="500">
        <v>20</v>
      </c>
      <c r="B28" s="365">
        <f>'FRIT HGE91-FHG'!B29</f>
        <v>46255</v>
      </c>
      <c r="C28" s="365" t="s">
        <v>285</v>
      </c>
      <c r="D28" s="490"/>
      <c r="E28" s="395"/>
      <c r="F28" s="393"/>
      <c r="G28" s="491"/>
      <c r="H28" s="492">
        <f>SUM($F$8:F28)/A28</f>
        <v>0</v>
      </c>
      <c r="I28" s="395">
        <f>SUM($G$8:G28)/A28</f>
        <v>0</v>
      </c>
      <c r="J28" s="492">
        <f t="shared" ref="J28:K39" si="5">J27+D28-F28</f>
        <v>500</v>
      </c>
      <c r="K28" s="397">
        <f t="shared" si="5"/>
        <v>500</v>
      </c>
      <c r="L28" s="368" t="e">
        <f t="shared" si="1"/>
        <v>#DIV/0!</v>
      </c>
      <c r="M28" s="300" t="e">
        <f t="shared" si="2"/>
        <v>#DIV/0!</v>
      </c>
      <c r="N28" s="366"/>
      <c r="O28" s="647">
        <f t="shared" si="3"/>
        <v>0.16661112962345884</v>
      </c>
    </row>
    <row r="29" spans="1:15" s="367" customFormat="1" ht="12" customHeight="1">
      <c r="A29" s="364">
        <v>21</v>
      </c>
      <c r="B29" s="365">
        <f>'FRIT HGE91-FHG'!B30</f>
        <v>46256</v>
      </c>
      <c r="C29" s="365" t="s">
        <v>285</v>
      </c>
      <c r="D29" s="490"/>
      <c r="E29" s="395"/>
      <c r="F29" s="393"/>
      <c r="G29" s="491"/>
      <c r="H29" s="394">
        <f>SUM($F$8:F29)/A29</f>
        <v>0</v>
      </c>
      <c r="I29" s="395">
        <f>SUM($G$8:G29)/A29</f>
        <v>0</v>
      </c>
      <c r="J29" s="396">
        <f t="shared" si="5"/>
        <v>500</v>
      </c>
      <c r="K29" s="397">
        <f t="shared" si="5"/>
        <v>500</v>
      </c>
      <c r="L29" s="338" t="e">
        <f t="shared" si="1"/>
        <v>#DIV/0!</v>
      </c>
      <c r="M29" s="300" t="e">
        <f t="shared" si="2"/>
        <v>#DIV/0!</v>
      </c>
      <c r="N29" s="366"/>
      <c r="O29" s="647">
        <f t="shared" si="3"/>
        <v>0.16661112962345884</v>
      </c>
    </row>
    <row r="30" spans="1:15" s="367" customFormat="1" ht="12" customHeight="1">
      <c r="A30" s="364">
        <v>22</v>
      </c>
      <c r="B30" s="365">
        <f>'FRIT HGE91-FHG'!B31</f>
        <v>46257</v>
      </c>
      <c r="C30" s="365" t="s">
        <v>285</v>
      </c>
      <c r="D30" s="490"/>
      <c r="E30" s="395"/>
      <c r="F30" s="393"/>
      <c r="G30" s="491"/>
      <c r="H30" s="394">
        <f>SUM($F$8:F30)/A30</f>
        <v>0</v>
      </c>
      <c r="I30" s="395">
        <f>SUM($G$8:G30)/A30</f>
        <v>0</v>
      </c>
      <c r="J30" s="396">
        <f t="shared" si="5"/>
        <v>500</v>
      </c>
      <c r="K30" s="397">
        <f t="shared" si="5"/>
        <v>500</v>
      </c>
      <c r="L30" s="338" t="e">
        <f t="shared" si="1"/>
        <v>#DIV/0!</v>
      </c>
      <c r="M30" s="300" t="e">
        <f t="shared" si="2"/>
        <v>#DIV/0!</v>
      </c>
      <c r="N30" s="366"/>
      <c r="O30" s="647">
        <f t="shared" si="3"/>
        <v>0.16661112962345884</v>
      </c>
    </row>
    <row r="31" spans="1:15" s="367" customFormat="1" ht="12" customHeight="1">
      <c r="A31" s="364">
        <v>23</v>
      </c>
      <c r="B31" s="365">
        <f>'FRIT HGE91-FHG'!B32</f>
        <v>46258</v>
      </c>
      <c r="C31" s="365" t="s">
        <v>285</v>
      </c>
      <c r="D31" s="490"/>
      <c r="E31" s="395"/>
      <c r="F31" s="393"/>
      <c r="G31" s="491"/>
      <c r="H31" s="394">
        <f>SUM($F$8:F31)/A31</f>
        <v>0</v>
      </c>
      <c r="I31" s="395">
        <f>SUM($G$8:G31)/A31</f>
        <v>0</v>
      </c>
      <c r="J31" s="396">
        <f t="shared" si="5"/>
        <v>500</v>
      </c>
      <c r="K31" s="397">
        <f t="shared" si="5"/>
        <v>500</v>
      </c>
      <c r="L31" s="338" t="e">
        <f t="shared" si="1"/>
        <v>#DIV/0!</v>
      </c>
      <c r="M31" s="300" t="e">
        <f t="shared" si="2"/>
        <v>#DIV/0!</v>
      </c>
      <c r="N31" s="366"/>
      <c r="O31" s="647">
        <f t="shared" si="3"/>
        <v>0.16661112962345884</v>
      </c>
    </row>
    <row r="32" spans="1:15" s="367" customFormat="1" ht="12" customHeight="1">
      <c r="A32" s="364">
        <v>24</v>
      </c>
      <c r="B32" s="365">
        <f>'FRIT HGE91-FHG'!B33</f>
        <v>46259</v>
      </c>
      <c r="C32" s="365" t="s">
        <v>285</v>
      </c>
      <c r="D32" s="490"/>
      <c r="E32" s="395"/>
      <c r="F32" s="393"/>
      <c r="G32" s="491"/>
      <c r="H32" s="394">
        <f>SUM($F$8:F32)/A32</f>
        <v>0</v>
      </c>
      <c r="I32" s="395">
        <f>SUM($G$8:G32)/A32</f>
        <v>0</v>
      </c>
      <c r="J32" s="396">
        <f t="shared" si="5"/>
        <v>500</v>
      </c>
      <c r="K32" s="397">
        <f t="shared" si="5"/>
        <v>500</v>
      </c>
      <c r="L32" s="338" t="e">
        <f t="shared" si="1"/>
        <v>#DIV/0!</v>
      </c>
      <c r="M32" s="300" t="e">
        <f t="shared" si="2"/>
        <v>#DIV/0!</v>
      </c>
      <c r="N32" s="366"/>
      <c r="O32" s="647">
        <f t="shared" si="3"/>
        <v>0.16661112962345884</v>
      </c>
    </row>
    <row r="33" spans="1:15" s="367" customFormat="1" ht="12" customHeight="1">
      <c r="A33" s="448">
        <v>25</v>
      </c>
      <c r="B33" s="365">
        <f>'FRIT HGE91-FHG'!B34</f>
        <v>46260</v>
      </c>
      <c r="C33" s="365" t="s">
        <v>285</v>
      </c>
      <c r="D33" s="490"/>
      <c r="E33" s="395"/>
      <c r="F33" s="393"/>
      <c r="G33" s="491"/>
      <c r="H33" s="493">
        <f>SUM($F$8:F33)/A33</f>
        <v>0</v>
      </c>
      <c r="I33" s="395">
        <f>SUM($G$8:G33)/A33</f>
        <v>0</v>
      </c>
      <c r="J33" s="493">
        <f t="shared" si="5"/>
        <v>500</v>
      </c>
      <c r="K33" s="397">
        <f t="shared" si="5"/>
        <v>500</v>
      </c>
      <c r="L33" s="369" t="e">
        <f t="shared" si="1"/>
        <v>#DIV/0!</v>
      </c>
      <c r="M33" s="300" t="e">
        <f t="shared" si="2"/>
        <v>#DIV/0!</v>
      </c>
      <c r="N33" s="366"/>
      <c r="O33" s="647">
        <f t="shared" si="3"/>
        <v>0.16661112962345884</v>
      </c>
    </row>
    <row r="34" spans="1:15" s="367" customFormat="1" ht="12" customHeight="1">
      <c r="A34" s="364">
        <v>26</v>
      </c>
      <c r="B34" s="365">
        <f>'FRIT HGE91-FHG'!B35</f>
        <v>46261</v>
      </c>
      <c r="C34" s="365" t="s">
        <v>285</v>
      </c>
      <c r="D34" s="490"/>
      <c r="E34" s="395"/>
      <c r="F34" s="393"/>
      <c r="G34" s="491"/>
      <c r="H34" s="394">
        <f>SUM($F$8:F34)/A34</f>
        <v>0</v>
      </c>
      <c r="I34" s="395">
        <f>SUM($G$8:G34)/A34</f>
        <v>0</v>
      </c>
      <c r="J34" s="396">
        <f t="shared" si="5"/>
        <v>500</v>
      </c>
      <c r="K34" s="397">
        <f t="shared" si="5"/>
        <v>500</v>
      </c>
      <c r="L34" s="338" t="e">
        <f t="shared" si="1"/>
        <v>#DIV/0!</v>
      </c>
      <c r="M34" s="300" t="e">
        <f t="shared" si="2"/>
        <v>#DIV/0!</v>
      </c>
      <c r="N34" s="366"/>
      <c r="O34" s="647">
        <f t="shared" si="3"/>
        <v>0.16661112962345884</v>
      </c>
    </row>
    <row r="35" spans="1:15" s="367" customFormat="1" ht="12" customHeight="1">
      <c r="A35" s="364">
        <v>27</v>
      </c>
      <c r="B35" s="365">
        <f>'FRIT HGE91-FHG'!B36</f>
        <v>46262</v>
      </c>
      <c r="C35" s="365" t="s">
        <v>285</v>
      </c>
      <c r="D35" s="494"/>
      <c r="E35" s="395"/>
      <c r="F35" s="393"/>
      <c r="G35" s="491"/>
      <c r="H35" s="394">
        <f>SUM($F$8:F35)/A35</f>
        <v>0</v>
      </c>
      <c r="I35" s="395">
        <f>SUM($G$8:G35)/A35</f>
        <v>0</v>
      </c>
      <c r="J35" s="396">
        <f t="shared" si="5"/>
        <v>500</v>
      </c>
      <c r="K35" s="397">
        <f t="shared" si="5"/>
        <v>500</v>
      </c>
      <c r="L35" s="338" t="e">
        <f t="shared" si="1"/>
        <v>#DIV/0!</v>
      </c>
      <c r="M35" s="300" t="e">
        <f t="shared" si="2"/>
        <v>#DIV/0!</v>
      </c>
      <c r="N35" s="366"/>
      <c r="O35" s="647">
        <f t="shared" si="3"/>
        <v>0.16661112962345884</v>
      </c>
    </row>
    <row r="36" spans="1:15" s="367" customFormat="1" ht="12" customHeight="1">
      <c r="A36" s="364">
        <v>28</v>
      </c>
      <c r="B36" s="365">
        <f>'FRIT HGE91-FHG'!B37</f>
        <v>46263</v>
      </c>
      <c r="C36" s="365" t="s">
        <v>285</v>
      </c>
      <c r="D36" s="494"/>
      <c r="E36" s="395"/>
      <c r="F36" s="393"/>
      <c r="G36" s="491"/>
      <c r="H36" s="394">
        <f>SUM($F$8:F36)/A36</f>
        <v>0</v>
      </c>
      <c r="I36" s="395">
        <f>SUM($G$8:G36)/A36</f>
        <v>0</v>
      </c>
      <c r="J36" s="396">
        <f t="shared" si="5"/>
        <v>500</v>
      </c>
      <c r="K36" s="397">
        <f t="shared" si="5"/>
        <v>500</v>
      </c>
      <c r="L36" s="338" t="e">
        <f t="shared" si="1"/>
        <v>#DIV/0!</v>
      </c>
      <c r="M36" s="300" t="e">
        <f t="shared" si="2"/>
        <v>#DIV/0!</v>
      </c>
      <c r="N36" s="366"/>
      <c r="O36" s="647">
        <f t="shared" si="3"/>
        <v>0.16661112962345884</v>
      </c>
    </row>
    <row r="37" spans="1:15" s="367" customFormat="1" ht="12" customHeight="1">
      <c r="A37" s="364">
        <v>29</v>
      </c>
      <c r="B37" s="365">
        <f>'FRIT HGE91-FHG'!B38</f>
        <v>46264</v>
      </c>
      <c r="C37" s="365" t="s">
        <v>285</v>
      </c>
      <c r="D37" s="494"/>
      <c r="E37" s="395"/>
      <c r="F37" s="393"/>
      <c r="G37" s="491"/>
      <c r="H37" s="394">
        <f>SUM($F$8:F37)/A37</f>
        <v>0</v>
      </c>
      <c r="I37" s="395">
        <f>SUM($G$8:G37)/A37</f>
        <v>0</v>
      </c>
      <c r="J37" s="396">
        <f t="shared" si="5"/>
        <v>500</v>
      </c>
      <c r="K37" s="397">
        <f t="shared" si="5"/>
        <v>500</v>
      </c>
      <c r="L37" s="338" t="e">
        <f t="shared" si="1"/>
        <v>#DIV/0!</v>
      </c>
      <c r="M37" s="300" t="e">
        <f t="shared" si="2"/>
        <v>#DIV/0!</v>
      </c>
      <c r="N37" s="366"/>
      <c r="O37" s="647">
        <f t="shared" si="3"/>
        <v>0.16661112962345884</v>
      </c>
    </row>
    <row r="38" spans="1:15" s="367" customFormat="1" ht="12" customHeight="1">
      <c r="A38" s="500">
        <v>30</v>
      </c>
      <c r="B38" s="365">
        <f>'FRIT HGE91-FHG'!B39</f>
        <v>46265</v>
      </c>
      <c r="C38" s="365" t="s">
        <v>285</v>
      </c>
      <c r="D38" s="490"/>
      <c r="E38" s="395"/>
      <c r="F38" s="393"/>
      <c r="G38" s="491"/>
      <c r="H38" s="492">
        <f>SUM($F$8:F38)/A38</f>
        <v>0</v>
      </c>
      <c r="I38" s="395">
        <f>SUM($G$8:G38)/A38</f>
        <v>0</v>
      </c>
      <c r="J38" s="492">
        <f t="shared" si="5"/>
        <v>500</v>
      </c>
      <c r="K38" s="397">
        <f t="shared" si="5"/>
        <v>500</v>
      </c>
      <c r="L38" s="368" t="e">
        <f t="shared" si="1"/>
        <v>#DIV/0!</v>
      </c>
      <c r="M38" s="300" t="e">
        <f t="shared" si="2"/>
        <v>#DIV/0!</v>
      </c>
      <c r="N38" s="366"/>
      <c r="O38" s="647">
        <f t="shared" si="3"/>
        <v>0.16661112962345884</v>
      </c>
    </row>
    <row r="39" spans="1:15" s="367" customFormat="1" ht="12" customHeight="1">
      <c r="A39" s="364">
        <v>31</v>
      </c>
      <c r="B39" s="365">
        <f>'FRIT HGE91-FHG'!B40</f>
        <v>0</v>
      </c>
      <c r="C39" s="365" t="s">
        <v>285</v>
      </c>
      <c r="D39" s="490"/>
      <c r="E39" s="395"/>
      <c r="F39" s="393"/>
      <c r="G39" s="491"/>
      <c r="H39" s="394">
        <f>SUM($F$8:F39)/A39</f>
        <v>0</v>
      </c>
      <c r="I39" s="395">
        <f>SUM($G$8:G39)/A39</f>
        <v>0</v>
      </c>
      <c r="J39" s="396">
        <f t="shared" si="5"/>
        <v>500</v>
      </c>
      <c r="K39" s="397">
        <f t="shared" si="5"/>
        <v>500</v>
      </c>
      <c r="L39" s="338" t="e">
        <f t="shared" si="1"/>
        <v>#DIV/0!</v>
      </c>
      <c r="M39" s="300" t="e">
        <f t="shared" si="2"/>
        <v>#DIV/0!</v>
      </c>
      <c r="N39" s="366"/>
      <c r="O39" s="647">
        <f t="shared" si="3"/>
        <v>0.16661112962345884</v>
      </c>
    </row>
    <row r="40" spans="1:15" s="374" customFormat="1" ht="12" customHeight="1">
      <c r="A40" s="763" t="s">
        <v>29</v>
      </c>
      <c r="B40" s="764"/>
      <c r="C40" s="765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500</v>
      </c>
      <c r="K40" s="461">
        <f>K39</f>
        <v>500</v>
      </c>
      <c r="L40" s="302"/>
      <c r="M40" s="302"/>
      <c r="N40" s="507"/>
    </row>
    <row r="41" spans="1:15" s="374" customFormat="1" ht="12" customHeight="1">
      <c r="A41" s="763" t="s">
        <v>15</v>
      </c>
      <c r="B41" s="764"/>
      <c r="C41" s="765"/>
      <c r="D41" s="388">
        <f>D8+D40</f>
        <v>500</v>
      </c>
      <c r="E41" s="388">
        <f>E8+E40</f>
        <v>500</v>
      </c>
      <c r="F41" s="389">
        <f>F40</f>
        <v>0</v>
      </c>
      <c r="G41" s="496">
        <f>G40</f>
        <v>0</v>
      </c>
      <c r="H41" s="389"/>
      <c r="I41" s="496"/>
      <c r="J41" s="389">
        <f>D41-F41</f>
        <v>500</v>
      </c>
      <c r="K41" s="389">
        <f>E41-G41</f>
        <v>500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7" spans="1:15">
      <c r="D47" s="143"/>
      <c r="E47" s="143"/>
      <c r="F47" s="143"/>
      <c r="G47" s="143"/>
      <c r="H47" s="143"/>
      <c r="I47" s="143"/>
      <c r="K47" s="143"/>
    </row>
    <row r="48" spans="1:15">
      <c r="D48" s="143"/>
      <c r="E48" s="143"/>
      <c r="F48" s="143"/>
      <c r="G48" s="143"/>
      <c r="H48" s="143"/>
      <c r="I48" s="143"/>
      <c r="K48" s="143"/>
    </row>
    <row r="49" spans="4:11">
      <c r="D49" s="143"/>
      <c r="E49" s="143"/>
      <c r="F49" s="143"/>
      <c r="G49" s="143"/>
      <c r="H49" s="143"/>
      <c r="I49" s="143"/>
      <c r="J49" s="143"/>
      <c r="K49" s="143"/>
    </row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9:M39">
    <cfRule type="cellIs" dxfId="4607" priority="244" operator="lessThan">
      <formula>15</formula>
    </cfRule>
    <cfRule type="cellIs" dxfId="4606" priority="245" operator="greaterThan">
      <formula>20</formula>
    </cfRule>
    <cfRule type="cellIs" dxfId="4605" priority="246" operator="between">
      <formula>15</formula>
      <formula>20</formula>
    </cfRule>
    <cfRule type="cellIs" dxfId="4604" priority="247" operator="between">
      <formula>15</formula>
      <formula>20</formula>
    </cfRule>
    <cfRule type="cellIs" dxfId="4603" priority="248" operator="lessThan">
      <formula>15</formula>
    </cfRule>
    <cfRule type="cellIs" dxfId="4602" priority="249" operator="greaterThan">
      <formula>20</formula>
    </cfRule>
    <cfRule type="cellIs" dxfId="4601" priority="250" operator="between">
      <formula>15</formula>
      <formula>21</formula>
    </cfRule>
    <cfRule type="cellIs" dxfId="4600" priority="251" operator="lessThan">
      <formula>15</formula>
    </cfRule>
    <cfRule type="cellIs" dxfId="4599" priority="252" operator="greaterThan">
      <formula>21</formula>
    </cfRule>
  </conditionalFormatting>
  <conditionalFormatting sqref="M38">
    <cfRule type="cellIs" dxfId="4598" priority="235" operator="lessThan">
      <formula>15</formula>
    </cfRule>
    <cfRule type="cellIs" dxfId="4597" priority="236" operator="greaterThan">
      <formula>20</formula>
    </cfRule>
    <cfRule type="cellIs" dxfId="4596" priority="237" operator="between">
      <formula>15</formula>
      <formula>20</formula>
    </cfRule>
    <cfRule type="cellIs" dxfId="4595" priority="238" operator="between">
      <formula>15</formula>
      <formula>20</formula>
    </cfRule>
    <cfRule type="cellIs" dxfId="4594" priority="239" operator="lessThan">
      <formula>15</formula>
    </cfRule>
    <cfRule type="cellIs" dxfId="4593" priority="240" operator="greaterThan">
      <formula>20</formula>
    </cfRule>
    <cfRule type="cellIs" dxfId="4592" priority="241" operator="between">
      <formula>15</formula>
      <formula>21</formula>
    </cfRule>
    <cfRule type="cellIs" dxfId="4591" priority="242" operator="lessThan">
      <formula>15</formula>
    </cfRule>
    <cfRule type="cellIs" dxfId="4590" priority="243" operator="greaterThan">
      <formula>21</formula>
    </cfRule>
  </conditionalFormatting>
  <conditionalFormatting sqref="M33">
    <cfRule type="cellIs" dxfId="4589" priority="226" operator="lessThan">
      <formula>15</formula>
    </cfRule>
    <cfRule type="cellIs" dxfId="4588" priority="227" operator="greaterThan">
      <formula>20</formula>
    </cfRule>
    <cfRule type="cellIs" dxfId="4587" priority="228" operator="between">
      <formula>15</formula>
      <formula>20</formula>
    </cfRule>
    <cfRule type="cellIs" dxfId="4586" priority="229" operator="between">
      <formula>15</formula>
      <formula>20</formula>
    </cfRule>
    <cfRule type="cellIs" dxfId="4585" priority="230" operator="lessThan">
      <formula>15</formula>
    </cfRule>
    <cfRule type="cellIs" dxfId="4584" priority="231" operator="greaterThan">
      <formula>20</formula>
    </cfRule>
    <cfRule type="cellIs" dxfId="4583" priority="232" operator="between">
      <formula>15</formula>
      <formula>21</formula>
    </cfRule>
    <cfRule type="cellIs" dxfId="4582" priority="233" operator="lessThan">
      <formula>15</formula>
    </cfRule>
    <cfRule type="cellIs" dxfId="4581" priority="234" operator="greaterThan">
      <formula>21</formula>
    </cfRule>
  </conditionalFormatting>
  <conditionalFormatting sqref="M28">
    <cfRule type="cellIs" dxfId="4580" priority="217" operator="lessThan">
      <formula>15</formula>
    </cfRule>
    <cfRule type="cellIs" dxfId="4579" priority="218" operator="greaterThan">
      <formula>20</formula>
    </cfRule>
    <cfRule type="cellIs" dxfId="4578" priority="219" operator="between">
      <formula>15</formula>
      <formula>20</formula>
    </cfRule>
    <cfRule type="cellIs" dxfId="4577" priority="220" operator="between">
      <formula>15</formula>
      <formula>20</formula>
    </cfRule>
    <cfRule type="cellIs" dxfId="4576" priority="221" operator="lessThan">
      <formula>15</formula>
    </cfRule>
    <cfRule type="cellIs" dxfId="4575" priority="222" operator="greaterThan">
      <formula>20</formula>
    </cfRule>
    <cfRule type="cellIs" dxfId="4574" priority="223" operator="between">
      <formula>15</formula>
      <formula>21</formula>
    </cfRule>
    <cfRule type="cellIs" dxfId="4573" priority="224" operator="lessThan">
      <formula>15</formula>
    </cfRule>
    <cfRule type="cellIs" dxfId="4572" priority="225" operator="greaterThan">
      <formula>21</formula>
    </cfRule>
  </conditionalFormatting>
  <conditionalFormatting sqref="M23">
    <cfRule type="cellIs" dxfId="4571" priority="208" operator="lessThan">
      <formula>15</formula>
    </cfRule>
    <cfRule type="cellIs" dxfId="4570" priority="209" operator="greaterThan">
      <formula>20</formula>
    </cfRule>
    <cfRule type="cellIs" dxfId="4569" priority="210" operator="between">
      <formula>15</formula>
      <formula>20</formula>
    </cfRule>
    <cfRule type="cellIs" dxfId="4568" priority="211" operator="between">
      <formula>15</formula>
      <formula>20</formula>
    </cfRule>
    <cfRule type="cellIs" dxfId="4567" priority="212" operator="lessThan">
      <formula>15</formula>
    </cfRule>
    <cfRule type="cellIs" dxfId="4566" priority="213" operator="greaterThan">
      <formula>20</formula>
    </cfRule>
    <cfRule type="cellIs" dxfId="4565" priority="214" operator="between">
      <formula>15</formula>
      <formula>21</formula>
    </cfRule>
    <cfRule type="cellIs" dxfId="4564" priority="215" operator="lessThan">
      <formula>15</formula>
    </cfRule>
    <cfRule type="cellIs" dxfId="4563" priority="216" operator="greaterThan">
      <formula>21</formula>
    </cfRule>
  </conditionalFormatting>
  <conditionalFormatting sqref="M18">
    <cfRule type="cellIs" dxfId="4562" priority="199" operator="lessThan">
      <formula>15</formula>
    </cfRule>
    <cfRule type="cellIs" dxfId="4561" priority="200" operator="greaterThan">
      <formula>20</formula>
    </cfRule>
    <cfRule type="cellIs" dxfId="4560" priority="201" operator="between">
      <formula>15</formula>
      <formula>20</formula>
    </cfRule>
    <cfRule type="cellIs" dxfId="4559" priority="202" operator="between">
      <formula>15</formula>
      <formula>20</formula>
    </cfRule>
    <cfRule type="cellIs" dxfId="4558" priority="203" operator="lessThan">
      <formula>15</formula>
    </cfRule>
    <cfRule type="cellIs" dxfId="4557" priority="204" operator="greaterThan">
      <formula>20</formula>
    </cfRule>
    <cfRule type="cellIs" dxfId="4556" priority="205" operator="between">
      <formula>15</formula>
      <formula>21</formula>
    </cfRule>
    <cfRule type="cellIs" dxfId="4555" priority="206" operator="lessThan">
      <formula>15</formula>
    </cfRule>
    <cfRule type="cellIs" dxfId="4554" priority="207" operator="greaterThan">
      <formula>21</formula>
    </cfRule>
  </conditionalFormatting>
  <conditionalFormatting sqref="M35:M37">
    <cfRule type="cellIs" dxfId="4553" priority="190" operator="lessThan">
      <formula>15</formula>
    </cfRule>
    <cfRule type="cellIs" dxfId="4552" priority="191" operator="greaterThan">
      <formula>20</formula>
    </cfRule>
    <cfRule type="cellIs" dxfId="4551" priority="192" operator="between">
      <formula>15</formula>
      <formula>20</formula>
    </cfRule>
    <cfRule type="cellIs" dxfId="4550" priority="193" operator="between">
      <formula>15</formula>
      <formula>20</formula>
    </cfRule>
    <cfRule type="cellIs" dxfId="4549" priority="194" operator="lessThan">
      <formula>15</formula>
    </cfRule>
    <cfRule type="cellIs" dxfId="4548" priority="195" operator="greaterThan">
      <formula>20</formula>
    </cfRule>
    <cfRule type="cellIs" dxfId="4547" priority="196" operator="between">
      <formula>15</formula>
      <formula>21</formula>
    </cfRule>
    <cfRule type="cellIs" dxfId="4546" priority="197" operator="lessThan">
      <formula>15</formula>
    </cfRule>
    <cfRule type="cellIs" dxfId="4545" priority="198" operator="greaterThan">
      <formula>21</formula>
    </cfRule>
  </conditionalFormatting>
  <conditionalFormatting sqref="M13">
    <cfRule type="cellIs" dxfId="4544" priority="181" operator="lessThan">
      <formula>15</formula>
    </cfRule>
    <cfRule type="cellIs" dxfId="4543" priority="182" operator="greaterThan">
      <formula>20</formula>
    </cfRule>
    <cfRule type="cellIs" dxfId="4542" priority="183" operator="between">
      <formula>15</formula>
      <formula>20</formula>
    </cfRule>
    <cfRule type="cellIs" dxfId="4541" priority="184" operator="between">
      <formula>15</formula>
      <formula>20</formula>
    </cfRule>
    <cfRule type="cellIs" dxfId="4540" priority="185" operator="lessThan">
      <formula>15</formula>
    </cfRule>
    <cfRule type="cellIs" dxfId="4539" priority="186" operator="greaterThan">
      <formula>20</formula>
    </cfRule>
    <cfRule type="cellIs" dxfId="4538" priority="187" operator="between">
      <formula>15</formula>
      <formula>21</formula>
    </cfRule>
    <cfRule type="cellIs" dxfId="4537" priority="188" operator="lessThan">
      <formula>15</formula>
    </cfRule>
    <cfRule type="cellIs" dxfId="4536" priority="189" operator="greaterThan">
      <formula>21</formula>
    </cfRule>
  </conditionalFormatting>
  <conditionalFormatting sqref="M20">
    <cfRule type="cellIs" dxfId="4535" priority="172" operator="lessThan">
      <formula>15</formula>
    </cfRule>
    <cfRule type="cellIs" dxfId="4534" priority="173" operator="greaterThan">
      <formula>20</formula>
    </cfRule>
    <cfRule type="cellIs" dxfId="4533" priority="174" operator="between">
      <formula>15</formula>
      <formula>20</formula>
    </cfRule>
    <cfRule type="cellIs" dxfId="4532" priority="175" operator="between">
      <formula>15</formula>
      <formula>20</formula>
    </cfRule>
    <cfRule type="cellIs" dxfId="4531" priority="176" operator="lessThan">
      <formula>15</formula>
    </cfRule>
    <cfRule type="cellIs" dxfId="4530" priority="177" operator="greaterThan">
      <formula>20</formula>
    </cfRule>
    <cfRule type="cellIs" dxfId="4529" priority="178" operator="between">
      <formula>15</formula>
      <formula>21</formula>
    </cfRule>
    <cfRule type="cellIs" dxfId="4528" priority="179" operator="lessThan">
      <formula>15</formula>
    </cfRule>
    <cfRule type="cellIs" dxfId="4527" priority="180" operator="greaterThan">
      <formula>21</formula>
    </cfRule>
  </conditionalFormatting>
  <conditionalFormatting sqref="M27">
    <cfRule type="cellIs" dxfId="4526" priority="163" operator="lessThan">
      <formula>15</formula>
    </cfRule>
    <cfRule type="cellIs" dxfId="4525" priority="164" operator="greaterThan">
      <formula>20</formula>
    </cfRule>
    <cfRule type="cellIs" dxfId="4524" priority="165" operator="between">
      <formula>15</formula>
      <formula>20</formula>
    </cfRule>
    <cfRule type="cellIs" dxfId="4523" priority="166" operator="between">
      <formula>15</formula>
      <formula>20</formula>
    </cfRule>
    <cfRule type="cellIs" dxfId="4522" priority="167" operator="lessThan">
      <formula>15</formula>
    </cfRule>
    <cfRule type="cellIs" dxfId="4521" priority="168" operator="greaterThan">
      <formula>20</formula>
    </cfRule>
    <cfRule type="cellIs" dxfId="4520" priority="169" operator="between">
      <formula>15</formula>
      <formula>21</formula>
    </cfRule>
    <cfRule type="cellIs" dxfId="4519" priority="170" operator="lessThan">
      <formula>15</formula>
    </cfRule>
    <cfRule type="cellIs" dxfId="4518" priority="171" operator="greaterThan">
      <formula>21</formula>
    </cfRule>
  </conditionalFormatting>
  <conditionalFormatting sqref="M34">
    <cfRule type="cellIs" dxfId="4517" priority="154" operator="lessThan">
      <formula>15</formula>
    </cfRule>
    <cfRule type="cellIs" dxfId="4516" priority="155" operator="greaterThan">
      <formula>20</formula>
    </cfRule>
    <cfRule type="cellIs" dxfId="4515" priority="156" operator="between">
      <formula>15</formula>
      <formula>20</formula>
    </cfRule>
    <cfRule type="cellIs" dxfId="4514" priority="157" operator="between">
      <formula>15</formula>
      <formula>20</formula>
    </cfRule>
    <cfRule type="cellIs" dxfId="4513" priority="158" operator="lessThan">
      <formula>15</formula>
    </cfRule>
    <cfRule type="cellIs" dxfId="4512" priority="159" operator="greaterThan">
      <formula>20</formula>
    </cfRule>
    <cfRule type="cellIs" dxfId="4511" priority="160" operator="between">
      <formula>15</formula>
      <formula>21</formula>
    </cfRule>
    <cfRule type="cellIs" dxfId="4510" priority="161" operator="lessThan">
      <formula>15</formula>
    </cfRule>
    <cfRule type="cellIs" dxfId="4509" priority="162" operator="greaterThan">
      <formula>21</formula>
    </cfRule>
  </conditionalFormatting>
  <conditionalFormatting sqref="M14:M17 M39 M21:M22 M24:M26 M19">
    <cfRule type="cellIs" dxfId="4508" priority="145" operator="lessThan">
      <formula>15</formula>
    </cfRule>
    <cfRule type="cellIs" dxfId="4507" priority="146" operator="greaterThan">
      <formula>20</formula>
    </cfRule>
    <cfRule type="cellIs" dxfId="4506" priority="147" operator="between">
      <formula>15</formula>
      <formula>20</formula>
    </cfRule>
    <cfRule type="cellIs" dxfId="4505" priority="148" operator="between">
      <formula>15</formula>
      <formula>20</formula>
    </cfRule>
    <cfRule type="cellIs" dxfId="4504" priority="149" operator="lessThan">
      <formula>15</formula>
    </cfRule>
    <cfRule type="cellIs" dxfId="4503" priority="150" operator="greaterThan">
      <formula>20</formula>
    </cfRule>
    <cfRule type="cellIs" dxfId="4502" priority="151" operator="between">
      <formula>15</formula>
      <formula>21</formula>
    </cfRule>
    <cfRule type="cellIs" dxfId="4501" priority="152" operator="lessThan">
      <formula>15</formula>
    </cfRule>
    <cfRule type="cellIs" dxfId="4500" priority="153" operator="greaterThan">
      <formula>21</formula>
    </cfRule>
  </conditionalFormatting>
  <conditionalFormatting sqref="M9:M12">
    <cfRule type="cellIs" dxfId="4499" priority="136" operator="lessThan">
      <formula>15</formula>
    </cfRule>
    <cfRule type="cellIs" dxfId="4498" priority="137" operator="greaterThan">
      <formula>20</formula>
    </cfRule>
    <cfRule type="cellIs" dxfId="4497" priority="138" operator="between">
      <formula>15</formula>
      <formula>20</formula>
    </cfRule>
    <cfRule type="cellIs" dxfId="4496" priority="139" operator="between">
      <formula>15</formula>
      <formula>20</formula>
    </cfRule>
    <cfRule type="cellIs" dxfId="4495" priority="140" operator="lessThan">
      <formula>15</formula>
    </cfRule>
    <cfRule type="cellIs" dxfId="4494" priority="141" operator="greaterThan">
      <formula>20</formula>
    </cfRule>
    <cfRule type="cellIs" dxfId="4493" priority="142" operator="between">
      <formula>15</formula>
      <formula>21</formula>
    </cfRule>
    <cfRule type="cellIs" dxfId="4492" priority="143" operator="lessThan">
      <formula>15</formula>
    </cfRule>
    <cfRule type="cellIs" dxfId="4491" priority="144" operator="greaterThan">
      <formula>21</formula>
    </cfRule>
  </conditionalFormatting>
  <conditionalFormatting sqref="M29:M32">
    <cfRule type="cellIs" dxfId="4490" priority="127" operator="lessThan">
      <formula>15</formula>
    </cfRule>
    <cfRule type="cellIs" dxfId="4489" priority="128" operator="greaterThan">
      <formula>20</formula>
    </cfRule>
    <cfRule type="cellIs" dxfId="4488" priority="129" operator="between">
      <formula>15</formula>
      <formula>20</formula>
    </cfRule>
    <cfRule type="cellIs" dxfId="4487" priority="130" operator="between">
      <formula>15</formula>
      <formula>20</formula>
    </cfRule>
    <cfRule type="cellIs" dxfId="4486" priority="131" operator="lessThan">
      <formula>15</formula>
    </cfRule>
    <cfRule type="cellIs" dxfId="4485" priority="132" operator="greaterThan">
      <formula>20</formula>
    </cfRule>
    <cfRule type="cellIs" dxfId="4484" priority="133" operator="between">
      <formula>15</formula>
      <formula>21</formula>
    </cfRule>
    <cfRule type="cellIs" dxfId="4483" priority="134" operator="lessThan">
      <formula>15</formula>
    </cfRule>
    <cfRule type="cellIs" dxfId="4482" priority="135" operator="greaterThan">
      <formula>21</formula>
    </cfRule>
  </conditionalFormatting>
  <conditionalFormatting sqref="M9:M39">
    <cfRule type="cellIs" dxfId="4481" priority="118" operator="lessThan">
      <formula>15</formula>
    </cfRule>
    <cfRule type="cellIs" dxfId="4480" priority="119" operator="greaterThan">
      <formula>20</formula>
    </cfRule>
    <cfRule type="cellIs" dxfId="4479" priority="120" operator="between">
      <formula>15</formula>
      <formula>20</formula>
    </cfRule>
    <cfRule type="cellIs" dxfId="4478" priority="121" operator="between">
      <formula>15</formula>
      <formula>20</formula>
    </cfRule>
    <cfRule type="cellIs" dxfId="4477" priority="122" operator="lessThan">
      <formula>15</formula>
    </cfRule>
    <cfRule type="cellIs" dxfId="4476" priority="123" operator="greaterThan">
      <formula>20</formula>
    </cfRule>
    <cfRule type="cellIs" dxfId="4475" priority="124" operator="between">
      <formula>15</formula>
      <formula>21</formula>
    </cfRule>
    <cfRule type="cellIs" dxfId="4474" priority="125" operator="lessThan">
      <formula>15</formula>
    </cfRule>
    <cfRule type="cellIs" dxfId="4473" priority="126" operator="greaterThan">
      <formula>21</formula>
    </cfRule>
  </conditionalFormatting>
  <conditionalFormatting sqref="M38">
    <cfRule type="cellIs" dxfId="4472" priority="109" operator="lessThan">
      <formula>15</formula>
    </cfRule>
    <cfRule type="cellIs" dxfId="4471" priority="110" operator="greaterThan">
      <formula>20</formula>
    </cfRule>
    <cfRule type="cellIs" dxfId="4470" priority="111" operator="between">
      <formula>15</formula>
      <formula>20</formula>
    </cfRule>
    <cfRule type="cellIs" dxfId="4469" priority="112" operator="between">
      <formula>15</formula>
      <formula>20</formula>
    </cfRule>
    <cfRule type="cellIs" dxfId="4468" priority="113" operator="lessThan">
      <formula>15</formula>
    </cfRule>
    <cfRule type="cellIs" dxfId="4467" priority="114" operator="greaterThan">
      <formula>20</formula>
    </cfRule>
    <cfRule type="cellIs" dxfId="4466" priority="115" operator="between">
      <formula>15</formula>
      <formula>21</formula>
    </cfRule>
    <cfRule type="cellIs" dxfId="4465" priority="116" operator="lessThan">
      <formula>15</formula>
    </cfRule>
    <cfRule type="cellIs" dxfId="4464" priority="117" operator="greaterThan">
      <formula>21</formula>
    </cfRule>
  </conditionalFormatting>
  <conditionalFormatting sqref="M33">
    <cfRule type="cellIs" dxfId="4463" priority="100" operator="lessThan">
      <formula>15</formula>
    </cfRule>
    <cfRule type="cellIs" dxfId="4462" priority="101" operator="greaterThan">
      <formula>20</formula>
    </cfRule>
    <cfRule type="cellIs" dxfId="4461" priority="102" operator="between">
      <formula>15</formula>
      <formula>20</formula>
    </cfRule>
    <cfRule type="cellIs" dxfId="4460" priority="103" operator="between">
      <formula>15</formula>
      <formula>20</formula>
    </cfRule>
    <cfRule type="cellIs" dxfId="4459" priority="104" operator="lessThan">
      <formula>15</formula>
    </cfRule>
    <cfRule type="cellIs" dxfId="4458" priority="105" operator="greaterThan">
      <formula>20</formula>
    </cfRule>
    <cfRule type="cellIs" dxfId="4457" priority="106" operator="between">
      <formula>15</formula>
      <formula>21</formula>
    </cfRule>
    <cfRule type="cellIs" dxfId="4456" priority="107" operator="lessThan">
      <formula>15</formula>
    </cfRule>
    <cfRule type="cellIs" dxfId="4455" priority="108" operator="greaterThan">
      <formula>21</formula>
    </cfRule>
  </conditionalFormatting>
  <conditionalFormatting sqref="M28">
    <cfRule type="cellIs" dxfId="4454" priority="91" operator="lessThan">
      <formula>15</formula>
    </cfRule>
    <cfRule type="cellIs" dxfId="4453" priority="92" operator="greaterThan">
      <formula>20</formula>
    </cfRule>
    <cfRule type="cellIs" dxfId="4452" priority="93" operator="between">
      <formula>15</formula>
      <formula>20</formula>
    </cfRule>
    <cfRule type="cellIs" dxfId="4451" priority="94" operator="between">
      <formula>15</formula>
      <formula>20</formula>
    </cfRule>
    <cfRule type="cellIs" dxfId="4450" priority="95" operator="lessThan">
      <formula>15</formula>
    </cfRule>
    <cfRule type="cellIs" dxfId="4449" priority="96" operator="greaterThan">
      <formula>20</formula>
    </cfRule>
    <cfRule type="cellIs" dxfId="4448" priority="97" operator="between">
      <formula>15</formula>
      <formula>21</formula>
    </cfRule>
    <cfRule type="cellIs" dxfId="4447" priority="98" operator="lessThan">
      <formula>15</formula>
    </cfRule>
    <cfRule type="cellIs" dxfId="4446" priority="99" operator="greaterThan">
      <formula>21</formula>
    </cfRule>
  </conditionalFormatting>
  <conditionalFormatting sqref="M23">
    <cfRule type="cellIs" dxfId="4445" priority="82" operator="lessThan">
      <formula>15</formula>
    </cfRule>
    <cfRule type="cellIs" dxfId="4444" priority="83" operator="greaterThan">
      <formula>20</formula>
    </cfRule>
    <cfRule type="cellIs" dxfId="4443" priority="84" operator="between">
      <formula>15</formula>
      <formula>20</formula>
    </cfRule>
    <cfRule type="cellIs" dxfId="4442" priority="85" operator="between">
      <formula>15</formula>
      <formula>20</formula>
    </cfRule>
    <cfRule type="cellIs" dxfId="4441" priority="86" operator="lessThan">
      <formula>15</formula>
    </cfRule>
    <cfRule type="cellIs" dxfId="4440" priority="87" operator="greaterThan">
      <formula>20</formula>
    </cfRule>
    <cfRule type="cellIs" dxfId="4439" priority="88" operator="between">
      <formula>15</formula>
      <formula>21</formula>
    </cfRule>
    <cfRule type="cellIs" dxfId="4438" priority="89" operator="lessThan">
      <formula>15</formula>
    </cfRule>
    <cfRule type="cellIs" dxfId="4437" priority="90" operator="greaterThan">
      <formula>21</formula>
    </cfRule>
  </conditionalFormatting>
  <conditionalFormatting sqref="M18">
    <cfRule type="cellIs" dxfId="4436" priority="73" operator="lessThan">
      <formula>15</formula>
    </cfRule>
    <cfRule type="cellIs" dxfId="4435" priority="74" operator="greaterThan">
      <formula>20</formula>
    </cfRule>
    <cfRule type="cellIs" dxfId="4434" priority="75" operator="between">
      <formula>15</formula>
      <formula>20</formula>
    </cfRule>
    <cfRule type="cellIs" dxfId="4433" priority="76" operator="between">
      <formula>15</formula>
      <formula>20</formula>
    </cfRule>
    <cfRule type="cellIs" dxfId="4432" priority="77" operator="lessThan">
      <formula>15</formula>
    </cfRule>
    <cfRule type="cellIs" dxfId="4431" priority="78" operator="greaterThan">
      <formula>20</formula>
    </cfRule>
    <cfRule type="cellIs" dxfId="4430" priority="79" operator="between">
      <formula>15</formula>
      <formula>21</formula>
    </cfRule>
    <cfRule type="cellIs" dxfId="4429" priority="80" operator="lessThan">
      <formula>15</formula>
    </cfRule>
    <cfRule type="cellIs" dxfId="4428" priority="81" operator="greaterThan">
      <formula>21</formula>
    </cfRule>
  </conditionalFormatting>
  <conditionalFormatting sqref="M35:M37">
    <cfRule type="cellIs" dxfId="4427" priority="64" operator="lessThan">
      <formula>15</formula>
    </cfRule>
    <cfRule type="cellIs" dxfId="4426" priority="65" operator="greaterThan">
      <formula>20</formula>
    </cfRule>
    <cfRule type="cellIs" dxfId="4425" priority="66" operator="between">
      <formula>15</formula>
      <formula>20</formula>
    </cfRule>
    <cfRule type="cellIs" dxfId="4424" priority="67" operator="between">
      <formula>15</formula>
      <formula>20</formula>
    </cfRule>
    <cfRule type="cellIs" dxfId="4423" priority="68" operator="lessThan">
      <formula>15</formula>
    </cfRule>
    <cfRule type="cellIs" dxfId="4422" priority="69" operator="greaterThan">
      <formula>20</formula>
    </cfRule>
    <cfRule type="cellIs" dxfId="4421" priority="70" operator="between">
      <formula>15</formula>
      <formula>21</formula>
    </cfRule>
    <cfRule type="cellIs" dxfId="4420" priority="71" operator="lessThan">
      <formula>15</formula>
    </cfRule>
    <cfRule type="cellIs" dxfId="4419" priority="72" operator="greaterThan">
      <formula>21</formula>
    </cfRule>
  </conditionalFormatting>
  <conditionalFormatting sqref="M13">
    <cfRule type="cellIs" dxfId="4418" priority="55" operator="lessThan">
      <formula>15</formula>
    </cfRule>
    <cfRule type="cellIs" dxfId="4417" priority="56" operator="greaterThan">
      <formula>20</formula>
    </cfRule>
    <cfRule type="cellIs" dxfId="4416" priority="57" operator="between">
      <formula>15</formula>
      <formula>20</formula>
    </cfRule>
    <cfRule type="cellIs" dxfId="4415" priority="58" operator="between">
      <formula>15</formula>
      <formula>20</formula>
    </cfRule>
    <cfRule type="cellIs" dxfId="4414" priority="59" operator="lessThan">
      <formula>15</formula>
    </cfRule>
    <cfRule type="cellIs" dxfId="4413" priority="60" operator="greaterThan">
      <formula>20</formula>
    </cfRule>
    <cfRule type="cellIs" dxfId="4412" priority="61" operator="between">
      <formula>15</formula>
      <formula>21</formula>
    </cfRule>
    <cfRule type="cellIs" dxfId="4411" priority="62" operator="lessThan">
      <formula>15</formula>
    </cfRule>
    <cfRule type="cellIs" dxfId="4410" priority="63" operator="greaterThan">
      <formula>21</formula>
    </cfRule>
  </conditionalFormatting>
  <conditionalFormatting sqref="M20">
    <cfRule type="cellIs" dxfId="4409" priority="46" operator="lessThan">
      <formula>15</formula>
    </cfRule>
    <cfRule type="cellIs" dxfId="4408" priority="47" operator="greaterThan">
      <formula>20</formula>
    </cfRule>
    <cfRule type="cellIs" dxfId="4407" priority="48" operator="between">
      <formula>15</formula>
      <formula>20</formula>
    </cfRule>
    <cfRule type="cellIs" dxfId="4406" priority="49" operator="between">
      <formula>15</formula>
      <formula>20</formula>
    </cfRule>
    <cfRule type="cellIs" dxfId="4405" priority="50" operator="lessThan">
      <formula>15</formula>
    </cfRule>
    <cfRule type="cellIs" dxfId="4404" priority="51" operator="greaterThan">
      <formula>20</formula>
    </cfRule>
    <cfRule type="cellIs" dxfId="4403" priority="52" operator="between">
      <formula>15</formula>
      <formula>21</formula>
    </cfRule>
    <cfRule type="cellIs" dxfId="4402" priority="53" operator="lessThan">
      <formula>15</formula>
    </cfRule>
    <cfRule type="cellIs" dxfId="4401" priority="54" operator="greaterThan">
      <formula>21</formula>
    </cfRule>
  </conditionalFormatting>
  <conditionalFormatting sqref="M27">
    <cfRule type="cellIs" dxfId="4400" priority="37" operator="lessThan">
      <formula>15</formula>
    </cfRule>
    <cfRule type="cellIs" dxfId="4399" priority="38" operator="greaterThan">
      <formula>20</formula>
    </cfRule>
    <cfRule type="cellIs" dxfId="4398" priority="39" operator="between">
      <formula>15</formula>
      <formula>20</formula>
    </cfRule>
    <cfRule type="cellIs" dxfId="4397" priority="40" operator="between">
      <formula>15</formula>
      <formula>20</formula>
    </cfRule>
    <cfRule type="cellIs" dxfId="4396" priority="41" operator="lessThan">
      <formula>15</formula>
    </cfRule>
    <cfRule type="cellIs" dxfId="4395" priority="42" operator="greaterThan">
      <formula>20</formula>
    </cfRule>
    <cfRule type="cellIs" dxfId="4394" priority="43" operator="between">
      <formula>15</formula>
      <formula>21</formula>
    </cfRule>
    <cfRule type="cellIs" dxfId="4393" priority="44" operator="lessThan">
      <formula>15</formula>
    </cfRule>
    <cfRule type="cellIs" dxfId="4392" priority="45" operator="greaterThan">
      <formula>21</formula>
    </cfRule>
  </conditionalFormatting>
  <conditionalFormatting sqref="M34">
    <cfRule type="cellIs" dxfId="4391" priority="28" operator="lessThan">
      <formula>15</formula>
    </cfRule>
    <cfRule type="cellIs" dxfId="4390" priority="29" operator="greaterThan">
      <formula>20</formula>
    </cfRule>
    <cfRule type="cellIs" dxfId="4389" priority="30" operator="between">
      <formula>15</formula>
      <formula>20</formula>
    </cfRule>
    <cfRule type="cellIs" dxfId="4388" priority="31" operator="between">
      <formula>15</formula>
      <formula>20</formula>
    </cfRule>
    <cfRule type="cellIs" dxfId="4387" priority="32" operator="lessThan">
      <formula>15</formula>
    </cfRule>
    <cfRule type="cellIs" dxfId="4386" priority="33" operator="greaterThan">
      <formula>20</formula>
    </cfRule>
    <cfRule type="cellIs" dxfId="4385" priority="34" operator="between">
      <formula>15</formula>
      <formula>21</formula>
    </cfRule>
    <cfRule type="cellIs" dxfId="4384" priority="35" operator="lessThan">
      <formula>15</formula>
    </cfRule>
    <cfRule type="cellIs" dxfId="4383" priority="36" operator="greaterThan">
      <formula>21</formula>
    </cfRule>
  </conditionalFormatting>
  <conditionalFormatting sqref="M14:M17 M39 M21:M22 M24:M26 M19">
    <cfRule type="cellIs" dxfId="4382" priority="19" operator="lessThan">
      <formula>15</formula>
    </cfRule>
    <cfRule type="cellIs" dxfId="4381" priority="20" operator="greaterThan">
      <formula>20</formula>
    </cfRule>
    <cfRule type="cellIs" dxfId="4380" priority="21" operator="between">
      <formula>15</formula>
      <formula>20</formula>
    </cfRule>
    <cfRule type="cellIs" dxfId="4379" priority="22" operator="between">
      <formula>15</formula>
      <formula>20</formula>
    </cfRule>
    <cfRule type="cellIs" dxfId="4378" priority="23" operator="lessThan">
      <formula>15</formula>
    </cfRule>
    <cfRule type="cellIs" dxfId="4377" priority="24" operator="greaterThan">
      <formula>20</formula>
    </cfRule>
    <cfRule type="cellIs" dxfId="4376" priority="25" operator="between">
      <formula>15</formula>
      <formula>21</formula>
    </cfRule>
    <cfRule type="cellIs" dxfId="4375" priority="26" operator="lessThan">
      <formula>15</formula>
    </cfRule>
    <cfRule type="cellIs" dxfId="4374" priority="27" operator="greaterThan">
      <formula>21</formula>
    </cfRule>
  </conditionalFormatting>
  <conditionalFormatting sqref="M9:M12">
    <cfRule type="cellIs" dxfId="4373" priority="10" operator="lessThan">
      <formula>15</formula>
    </cfRule>
    <cfRule type="cellIs" dxfId="4372" priority="11" operator="greaterThan">
      <formula>20</formula>
    </cfRule>
    <cfRule type="cellIs" dxfId="4371" priority="12" operator="between">
      <formula>15</formula>
      <formula>20</formula>
    </cfRule>
    <cfRule type="cellIs" dxfId="4370" priority="13" operator="between">
      <formula>15</formula>
      <formula>20</formula>
    </cfRule>
    <cfRule type="cellIs" dxfId="4369" priority="14" operator="lessThan">
      <formula>15</formula>
    </cfRule>
    <cfRule type="cellIs" dxfId="4368" priority="15" operator="greaterThan">
      <formula>20</formula>
    </cfRule>
    <cfRule type="cellIs" dxfId="4367" priority="16" operator="between">
      <formula>15</formula>
      <formula>21</formula>
    </cfRule>
    <cfRule type="cellIs" dxfId="4366" priority="17" operator="lessThan">
      <formula>15</formula>
    </cfRule>
    <cfRule type="cellIs" dxfId="4365" priority="18" operator="greaterThan">
      <formula>21</formula>
    </cfRule>
  </conditionalFormatting>
  <conditionalFormatting sqref="M29:M32">
    <cfRule type="cellIs" dxfId="4364" priority="1" operator="lessThan">
      <formula>15</formula>
    </cfRule>
    <cfRule type="cellIs" dxfId="4363" priority="2" operator="greaterThan">
      <formula>20</formula>
    </cfRule>
    <cfRule type="cellIs" dxfId="4362" priority="3" operator="between">
      <formula>15</formula>
      <formula>20</formula>
    </cfRule>
    <cfRule type="cellIs" dxfId="4361" priority="4" operator="between">
      <formula>15</formula>
      <formula>20</formula>
    </cfRule>
    <cfRule type="cellIs" dxfId="4360" priority="5" operator="lessThan">
      <formula>15</formula>
    </cfRule>
    <cfRule type="cellIs" dxfId="4359" priority="6" operator="greaterThan">
      <formula>20</formula>
    </cfRule>
    <cfRule type="cellIs" dxfId="4358" priority="7" operator="between">
      <formula>15</formula>
      <formula>21</formula>
    </cfRule>
    <cfRule type="cellIs" dxfId="4357" priority="8" operator="lessThan">
      <formula>15</formula>
    </cfRule>
    <cfRule type="cellIs" dxfId="4356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49"/>
  <sheetViews>
    <sheetView zoomScale="90" zoomScaleNormal="90" workbookViewId="0">
      <pane ySplit="8" topLeftCell="A24" activePane="bottomLeft" state="frozen"/>
      <selection pane="bottomLeft"/>
    </sheetView>
  </sheetViews>
  <sheetFormatPr defaultColWidth="9.28515625" defaultRowHeight="15"/>
  <cols>
    <col min="1" max="1" width="5.5703125" style="143" customWidth="1"/>
    <col min="2" max="2" width="9" style="143" customWidth="1"/>
    <col min="3" max="3" width="16.7109375" style="143" customWidth="1"/>
    <col min="4" max="11" width="10" style="142" customWidth="1"/>
    <col min="12" max="13" width="11.7109375" style="143" customWidth="1"/>
    <col min="14" max="14" width="6.285156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BỘT TALC</v>
      </c>
      <c r="D4" s="383"/>
      <c r="E4" s="383" t="s">
        <v>228</v>
      </c>
      <c r="F4" s="383" t="s">
        <v>230</v>
      </c>
      <c r="G4" s="383"/>
      <c r="I4" s="383" t="s">
        <v>120</v>
      </c>
      <c r="J4" s="316" t="s">
        <v>36</v>
      </c>
      <c r="K4" s="319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12200</v>
      </c>
      <c r="E8" s="388">
        <f>K8</f>
        <v>12200</v>
      </c>
      <c r="F8" s="389"/>
      <c r="G8" s="388"/>
      <c r="H8" s="387"/>
      <c r="I8" s="388"/>
      <c r="J8" s="390">
        <v>12200</v>
      </c>
      <c r="K8" s="389">
        <v>12200</v>
      </c>
      <c r="L8" s="303"/>
      <c r="M8" s="304"/>
      <c r="N8" s="366">
        <v>0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65" t="s">
        <v>285</v>
      </c>
      <c r="D9" s="490"/>
      <c r="E9" s="395"/>
      <c r="F9" s="393"/>
      <c r="G9" s="491"/>
      <c r="H9" s="394">
        <f>SUM($F$8:F9)/A9</f>
        <v>0</v>
      </c>
      <c r="I9" s="395">
        <f>SUM($G$8:G9)/A9</f>
        <v>0</v>
      </c>
      <c r="J9" s="396">
        <f t="shared" ref="J9:K11" si="0">J8+D9-F9</f>
        <v>12200</v>
      </c>
      <c r="K9" s="397">
        <f t="shared" si="0"/>
        <v>12200</v>
      </c>
      <c r="L9" s="338" t="e">
        <f>J9/H9</f>
        <v>#DIV/0!</v>
      </c>
      <c r="M9" s="300" t="e">
        <f>K9/I9</f>
        <v>#DIV/0!</v>
      </c>
      <c r="N9" s="366"/>
      <c r="O9" s="647">
        <f>J9/$O$8</f>
        <v>4.0653115628123961</v>
      </c>
    </row>
    <row r="10" spans="1:25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490"/>
      <c r="E10" s="395"/>
      <c r="F10" s="393"/>
      <c r="G10" s="491"/>
      <c r="H10" s="394">
        <f>SUM($F$8:F10)/A10</f>
        <v>0</v>
      </c>
      <c r="I10" s="395">
        <f>SUM($G$8:G10)/A10</f>
        <v>0</v>
      </c>
      <c r="J10" s="396">
        <f t="shared" si="0"/>
        <v>12200</v>
      </c>
      <c r="K10" s="397">
        <f t="shared" si="0"/>
        <v>12200</v>
      </c>
      <c r="L10" s="338" t="e">
        <f t="shared" ref="L10:L39" si="1">J10/H10</f>
        <v>#DIV/0!</v>
      </c>
      <c r="M10" s="300" t="e">
        <f t="shared" ref="M10:M39" si="2">K10/I10</f>
        <v>#DIV/0!</v>
      </c>
      <c r="N10" s="366"/>
      <c r="O10" s="647">
        <f t="shared" ref="O10:O39" si="3">J10/$O$8</f>
        <v>4.0653115628123961</v>
      </c>
    </row>
    <row r="11" spans="1:25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490"/>
      <c r="E11" s="395"/>
      <c r="F11" s="393"/>
      <c r="G11" s="491"/>
      <c r="H11" s="394">
        <f>SUM($F$8:F11)/A11</f>
        <v>0</v>
      </c>
      <c r="I11" s="395">
        <f>SUM($G$8:G11)/A11</f>
        <v>0</v>
      </c>
      <c r="J11" s="396">
        <f t="shared" si="0"/>
        <v>12200</v>
      </c>
      <c r="K11" s="397">
        <f t="shared" si="0"/>
        <v>12200</v>
      </c>
      <c r="L11" s="338" t="e">
        <f t="shared" si="1"/>
        <v>#DIV/0!</v>
      </c>
      <c r="M11" s="300" t="e">
        <f t="shared" si="2"/>
        <v>#DIV/0!</v>
      </c>
      <c r="N11" s="366"/>
      <c r="O11" s="647">
        <f t="shared" si="3"/>
        <v>4.0653115628123961</v>
      </c>
    </row>
    <row r="12" spans="1:25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490"/>
      <c r="E12" s="395"/>
      <c r="F12" s="393"/>
      <c r="G12" s="491"/>
      <c r="H12" s="394">
        <f>SUM($F$8:F12)/A12</f>
        <v>0</v>
      </c>
      <c r="I12" s="395">
        <f>SUM($G$8:G12)/A12</f>
        <v>0</v>
      </c>
      <c r="J12" s="396">
        <f t="shared" ref="J12:K27" si="4">J11+D12-F12</f>
        <v>12200</v>
      </c>
      <c r="K12" s="397">
        <f t="shared" si="4"/>
        <v>12200</v>
      </c>
      <c r="L12" s="338" t="e">
        <f t="shared" si="1"/>
        <v>#DIV/0!</v>
      </c>
      <c r="M12" s="300" t="e">
        <f t="shared" si="2"/>
        <v>#DIV/0!</v>
      </c>
      <c r="N12" s="366"/>
      <c r="O12" s="647">
        <f t="shared" si="3"/>
        <v>4.0653115628123961</v>
      </c>
    </row>
    <row r="13" spans="1:25" s="367" customFormat="1" ht="12" customHeight="1">
      <c r="A13" s="500">
        <v>5</v>
      </c>
      <c r="B13" s="365">
        <f>'FRIT HGE91-FHG'!B13</f>
        <v>46239</v>
      </c>
      <c r="C13" s="365" t="s">
        <v>285</v>
      </c>
      <c r="D13" s="490"/>
      <c r="E13" s="395"/>
      <c r="F13" s="393"/>
      <c r="G13" s="491"/>
      <c r="H13" s="492">
        <f>SUM($F$8:F13)/A13</f>
        <v>0</v>
      </c>
      <c r="I13" s="395">
        <f>SUM($G$8:G13)/A13</f>
        <v>0</v>
      </c>
      <c r="J13" s="492">
        <f t="shared" si="4"/>
        <v>12200</v>
      </c>
      <c r="K13" s="397">
        <f t="shared" si="4"/>
        <v>12200</v>
      </c>
      <c r="L13" s="368" t="e">
        <f t="shared" si="1"/>
        <v>#DIV/0!</v>
      </c>
      <c r="M13" s="300" t="e">
        <f t="shared" si="2"/>
        <v>#DIV/0!</v>
      </c>
      <c r="N13" s="366"/>
      <c r="O13" s="647">
        <f t="shared" si="3"/>
        <v>4.0653115628123961</v>
      </c>
    </row>
    <row r="14" spans="1:25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490"/>
      <c r="E14" s="395"/>
      <c r="F14" s="393"/>
      <c r="G14" s="491"/>
      <c r="H14" s="394">
        <f>SUM($F$8:F14)/A14</f>
        <v>0</v>
      </c>
      <c r="I14" s="395">
        <f>SUM($G$8:G14)/A14</f>
        <v>0</v>
      </c>
      <c r="J14" s="396">
        <f t="shared" si="4"/>
        <v>12200</v>
      </c>
      <c r="K14" s="397">
        <f t="shared" si="4"/>
        <v>12200</v>
      </c>
      <c r="L14" s="338" t="e">
        <f t="shared" si="1"/>
        <v>#DIV/0!</v>
      </c>
      <c r="M14" s="300" t="e">
        <f t="shared" si="2"/>
        <v>#DIV/0!</v>
      </c>
      <c r="N14" s="366"/>
      <c r="O14" s="647">
        <f t="shared" si="3"/>
        <v>4.0653115628123961</v>
      </c>
    </row>
    <row r="15" spans="1:25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490"/>
      <c r="E15" s="395"/>
      <c r="F15" s="393"/>
      <c r="G15" s="491"/>
      <c r="H15" s="394">
        <f>SUM($F$8:F15)/A15</f>
        <v>0</v>
      </c>
      <c r="I15" s="395">
        <f>SUM($G$8:G15)/A15</f>
        <v>0</v>
      </c>
      <c r="J15" s="396">
        <f t="shared" si="4"/>
        <v>12200</v>
      </c>
      <c r="K15" s="397">
        <f t="shared" si="4"/>
        <v>12200</v>
      </c>
      <c r="L15" s="338" t="e">
        <f t="shared" si="1"/>
        <v>#DIV/0!</v>
      </c>
      <c r="M15" s="300" t="e">
        <f t="shared" si="2"/>
        <v>#DIV/0!</v>
      </c>
      <c r="N15" s="366"/>
      <c r="O15" s="647">
        <f t="shared" si="3"/>
        <v>4.0653115628123961</v>
      </c>
    </row>
    <row r="16" spans="1:25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490"/>
      <c r="E16" s="395"/>
      <c r="F16" s="393"/>
      <c r="G16" s="491"/>
      <c r="H16" s="394">
        <f>SUM($F$8:F16)/A16</f>
        <v>0</v>
      </c>
      <c r="I16" s="395">
        <f>SUM($G$8:G16)/A16</f>
        <v>0</v>
      </c>
      <c r="J16" s="396">
        <f t="shared" si="4"/>
        <v>12200</v>
      </c>
      <c r="K16" s="397">
        <f t="shared" si="4"/>
        <v>12200</v>
      </c>
      <c r="L16" s="338" t="e">
        <f t="shared" si="1"/>
        <v>#DIV/0!</v>
      </c>
      <c r="M16" s="300" t="e">
        <f t="shared" si="2"/>
        <v>#DIV/0!</v>
      </c>
      <c r="N16" s="366"/>
      <c r="O16" s="647">
        <f t="shared" si="3"/>
        <v>4.0653115628123961</v>
      </c>
    </row>
    <row r="17" spans="1:15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490"/>
      <c r="E17" s="395"/>
      <c r="F17" s="393"/>
      <c r="G17" s="491"/>
      <c r="H17" s="394">
        <f>SUM($F$8:F17)/A17</f>
        <v>0</v>
      </c>
      <c r="I17" s="395">
        <f>SUM($G$8:G17)/A17</f>
        <v>0</v>
      </c>
      <c r="J17" s="396">
        <f t="shared" si="4"/>
        <v>12200</v>
      </c>
      <c r="K17" s="397">
        <f t="shared" si="4"/>
        <v>12200</v>
      </c>
      <c r="L17" s="338" t="e">
        <f t="shared" si="1"/>
        <v>#DIV/0!</v>
      </c>
      <c r="M17" s="300" t="e">
        <f t="shared" si="2"/>
        <v>#DIV/0!</v>
      </c>
      <c r="N17" s="366"/>
      <c r="O17" s="647">
        <f t="shared" si="3"/>
        <v>4.0653115628123961</v>
      </c>
    </row>
    <row r="18" spans="1:15" s="367" customFormat="1" ht="12" customHeight="1">
      <c r="A18" s="500">
        <v>10</v>
      </c>
      <c r="B18" s="365">
        <f>'FRIT HGE91-FHG'!B18</f>
        <v>46244</v>
      </c>
      <c r="C18" s="365" t="s">
        <v>285</v>
      </c>
      <c r="D18" s="490"/>
      <c r="E18" s="395"/>
      <c r="F18" s="393"/>
      <c r="G18" s="491"/>
      <c r="H18" s="492">
        <f>SUM($F$8:F18)/A18</f>
        <v>0</v>
      </c>
      <c r="I18" s="395">
        <f>SUM($G$8:G18)/A18</f>
        <v>0</v>
      </c>
      <c r="J18" s="492">
        <f t="shared" si="4"/>
        <v>12200</v>
      </c>
      <c r="K18" s="397">
        <f t="shared" si="4"/>
        <v>12200</v>
      </c>
      <c r="L18" s="368" t="e">
        <f t="shared" si="1"/>
        <v>#DIV/0!</v>
      </c>
      <c r="M18" s="300" t="e">
        <f t="shared" si="2"/>
        <v>#DIV/0!</v>
      </c>
      <c r="N18" s="366"/>
      <c r="O18" s="647">
        <f t="shared" si="3"/>
        <v>4.0653115628123961</v>
      </c>
    </row>
    <row r="19" spans="1:15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490"/>
      <c r="E19" s="395"/>
      <c r="F19" s="393"/>
      <c r="G19" s="491"/>
      <c r="H19" s="394">
        <f>SUM($F$8:F19)/A19</f>
        <v>0</v>
      </c>
      <c r="I19" s="395">
        <f>SUM($G$8:G19)/A19</f>
        <v>0</v>
      </c>
      <c r="J19" s="396">
        <f t="shared" si="4"/>
        <v>12200</v>
      </c>
      <c r="K19" s="397">
        <f t="shared" si="4"/>
        <v>12200</v>
      </c>
      <c r="L19" s="338" t="e">
        <f t="shared" si="1"/>
        <v>#DIV/0!</v>
      </c>
      <c r="M19" s="300" t="e">
        <f t="shared" si="2"/>
        <v>#DIV/0!</v>
      </c>
      <c r="N19" s="366"/>
      <c r="O19" s="647">
        <f t="shared" si="3"/>
        <v>4.0653115628123961</v>
      </c>
    </row>
    <row r="20" spans="1:15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490"/>
      <c r="E20" s="395"/>
      <c r="F20" s="393"/>
      <c r="G20" s="491"/>
      <c r="H20" s="394">
        <f>SUM($F$8:F20)/A20</f>
        <v>0</v>
      </c>
      <c r="I20" s="395">
        <f>SUM($G$8:G20)/A20</f>
        <v>0</v>
      </c>
      <c r="J20" s="396">
        <f t="shared" si="4"/>
        <v>12200</v>
      </c>
      <c r="K20" s="397">
        <f t="shared" si="4"/>
        <v>12200</v>
      </c>
      <c r="L20" s="338" t="e">
        <f t="shared" si="1"/>
        <v>#DIV/0!</v>
      </c>
      <c r="M20" s="300" t="e">
        <f t="shared" si="2"/>
        <v>#DIV/0!</v>
      </c>
      <c r="N20" s="366"/>
      <c r="O20" s="647">
        <f t="shared" si="3"/>
        <v>4.0653115628123961</v>
      </c>
    </row>
    <row r="21" spans="1:15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490"/>
      <c r="E21" s="395"/>
      <c r="F21" s="393"/>
      <c r="G21" s="491"/>
      <c r="H21" s="394">
        <f>SUM($F$8:F21)/A21</f>
        <v>0</v>
      </c>
      <c r="I21" s="395">
        <f>SUM($G$8:G21)/A21</f>
        <v>0</v>
      </c>
      <c r="J21" s="396">
        <f t="shared" si="4"/>
        <v>12200</v>
      </c>
      <c r="K21" s="397">
        <f>K20+E21-G21</f>
        <v>12200</v>
      </c>
      <c r="L21" s="338" t="e">
        <f t="shared" si="1"/>
        <v>#DIV/0!</v>
      </c>
      <c r="M21" s="300" t="e">
        <f t="shared" si="2"/>
        <v>#DIV/0!</v>
      </c>
      <c r="N21" s="366"/>
      <c r="O21" s="647">
        <f t="shared" si="3"/>
        <v>4.0653115628123961</v>
      </c>
    </row>
    <row r="22" spans="1:15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490"/>
      <c r="E22" s="395"/>
      <c r="F22" s="393"/>
      <c r="G22" s="491"/>
      <c r="H22" s="394">
        <f>SUM($F$8:F22)/A22</f>
        <v>0</v>
      </c>
      <c r="I22" s="395">
        <f>SUM($G$8:G22)/A22</f>
        <v>0</v>
      </c>
      <c r="J22" s="396">
        <f t="shared" si="4"/>
        <v>12200</v>
      </c>
      <c r="K22" s="397">
        <f>K21+E22-G22</f>
        <v>12200</v>
      </c>
      <c r="L22" s="338" t="e">
        <f t="shared" si="1"/>
        <v>#DIV/0!</v>
      </c>
      <c r="M22" s="300" t="e">
        <f t="shared" si="2"/>
        <v>#DIV/0!</v>
      </c>
      <c r="N22" s="366"/>
      <c r="O22" s="647">
        <f t="shared" si="3"/>
        <v>4.0653115628123961</v>
      </c>
    </row>
    <row r="23" spans="1:15" s="367" customFormat="1" ht="12" customHeight="1">
      <c r="A23" s="500">
        <v>15</v>
      </c>
      <c r="B23" s="365">
        <f>'FRIT HGE91-FHG'!B23</f>
        <v>46249</v>
      </c>
      <c r="C23" s="365" t="s">
        <v>285</v>
      </c>
      <c r="D23" s="490"/>
      <c r="E23" s="395"/>
      <c r="F23" s="393"/>
      <c r="G23" s="491"/>
      <c r="H23" s="492">
        <f>SUM($F$8:F23)/A23</f>
        <v>0</v>
      </c>
      <c r="I23" s="395">
        <f>SUM($G$8:G23)/A23</f>
        <v>0</v>
      </c>
      <c r="J23" s="492">
        <f t="shared" si="4"/>
        <v>12200</v>
      </c>
      <c r="K23" s="397">
        <f t="shared" si="4"/>
        <v>12200</v>
      </c>
      <c r="L23" s="368" t="e">
        <f t="shared" si="1"/>
        <v>#DIV/0!</v>
      </c>
      <c r="M23" s="300" t="e">
        <f t="shared" si="2"/>
        <v>#DIV/0!</v>
      </c>
      <c r="N23" s="366"/>
      <c r="O23" s="647">
        <f t="shared" si="3"/>
        <v>4.0653115628123961</v>
      </c>
    </row>
    <row r="24" spans="1:15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490"/>
      <c r="E24" s="395"/>
      <c r="F24" s="393"/>
      <c r="G24" s="491"/>
      <c r="H24" s="394">
        <f>SUM($F$8:F24)/A24</f>
        <v>0</v>
      </c>
      <c r="I24" s="395">
        <f>SUM($G$8:G24)/A24</f>
        <v>0</v>
      </c>
      <c r="J24" s="396">
        <f t="shared" si="4"/>
        <v>12200</v>
      </c>
      <c r="K24" s="397">
        <f>K23+E24-G24</f>
        <v>12200</v>
      </c>
      <c r="L24" s="338" t="e">
        <f t="shared" si="1"/>
        <v>#DIV/0!</v>
      </c>
      <c r="M24" s="300" t="e">
        <f t="shared" si="2"/>
        <v>#DIV/0!</v>
      </c>
      <c r="N24" s="366"/>
      <c r="O24" s="647">
        <f t="shared" si="3"/>
        <v>4.0653115628123961</v>
      </c>
    </row>
    <row r="25" spans="1:15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490"/>
      <c r="E25" s="395"/>
      <c r="F25" s="393"/>
      <c r="G25" s="491"/>
      <c r="H25" s="394">
        <f>SUM($F$8:F25)/A25</f>
        <v>0</v>
      </c>
      <c r="I25" s="395">
        <f>SUM($G$8:G25)/A25</f>
        <v>0</v>
      </c>
      <c r="J25" s="396">
        <f t="shared" si="4"/>
        <v>12200</v>
      </c>
      <c r="K25" s="397">
        <f>K24+E25-G25</f>
        <v>12200</v>
      </c>
      <c r="L25" s="338" t="e">
        <f t="shared" si="1"/>
        <v>#DIV/0!</v>
      </c>
      <c r="M25" s="300" t="e">
        <f t="shared" si="2"/>
        <v>#DIV/0!</v>
      </c>
      <c r="N25" s="366"/>
      <c r="O25" s="647">
        <f t="shared" si="3"/>
        <v>4.0653115628123961</v>
      </c>
    </row>
    <row r="26" spans="1:15" s="367" customFormat="1" ht="12" customHeight="1">
      <c r="A26" s="364">
        <v>18</v>
      </c>
      <c r="B26" s="365">
        <f>'FRIT HGE91-FHG'!B26</f>
        <v>46252</v>
      </c>
      <c r="C26" s="365" t="s">
        <v>285</v>
      </c>
      <c r="D26" s="490"/>
      <c r="E26" s="395"/>
      <c r="F26" s="393"/>
      <c r="G26" s="491"/>
      <c r="H26" s="394">
        <f>SUM($F$8:F26)/A26</f>
        <v>0</v>
      </c>
      <c r="I26" s="395">
        <f>SUM($G$8:G26)/A26</f>
        <v>0</v>
      </c>
      <c r="J26" s="396">
        <f t="shared" si="4"/>
        <v>12200</v>
      </c>
      <c r="K26" s="397">
        <f>K25+E26-G26</f>
        <v>12200</v>
      </c>
      <c r="L26" s="338" t="e">
        <f t="shared" si="1"/>
        <v>#DIV/0!</v>
      </c>
      <c r="M26" s="300" t="e">
        <f t="shared" si="2"/>
        <v>#DIV/0!</v>
      </c>
      <c r="N26" s="366"/>
      <c r="O26" s="647">
        <f t="shared" si="3"/>
        <v>4.0653115628123961</v>
      </c>
    </row>
    <row r="27" spans="1:15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490"/>
      <c r="E27" s="395"/>
      <c r="F27" s="393"/>
      <c r="G27" s="491"/>
      <c r="H27" s="394">
        <f>SUM($F$8:F27)/A27</f>
        <v>0</v>
      </c>
      <c r="I27" s="395">
        <f>SUM($G$8:G27)/A27</f>
        <v>0</v>
      </c>
      <c r="J27" s="396">
        <f t="shared" si="4"/>
        <v>12200</v>
      </c>
      <c r="K27" s="397">
        <f>K26+E27-G27</f>
        <v>12200</v>
      </c>
      <c r="L27" s="338" t="e">
        <f t="shared" si="1"/>
        <v>#DIV/0!</v>
      </c>
      <c r="M27" s="300" t="e">
        <f t="shared" si="2"/>
        <v>#DIV/0!</v>
      </c>
      <c r="N27" s="366"/>
      <c r="O27" s="647">
        <f t="shared" si="3"/>
        <v>4.0653115628123961</v>
      </c>
    </row>
    <row r="28" spans="1:15" s="367" customFormat="1" ht="12" customHeight="1">
      <c r="A28" s="500">
        <v>20</v>
      </c>
      <c r="B28" s="365">
        <f>'FRIT HGE91-FHG'!B28</f>
        <v>46254</v>
      </c>
      <c r="C28" s="365" t="s">
        <v>285</v>
      </c>
      <c r="D28" s="490"/>
      <c r="E28" s="395"/>
      <c r="F28" s="393"/>
      <c r="G28" s="491"/>
      <c r="H28" s="492">
        <f>SUM($F$8:F28)/A28</f>
        <v>0</v>
      </c>
      <c r="I28" s="395">
        <f>SUM($G$8:G28)/A28</f>
        <v>0</v>
      </c>
      <c r="J28" s="492">
        <f t="shared" ref="J28:K39" si="5">J27+D28-F28</f>
        <v>12200</v>
      </c>
      <c r="K28" s="397">
        <f t="shared" si="5"/>
        <v>12200</v>
      </c>
      <c r="L28" s="368" t="e">
        <f t="shared" si="1"/>
        <v>#DIV/0!</v>
      </c>
      <c r="M28" s="300" t="e">
        <f t="shared" si="2"/>
        <v>#DIV/0!</v>
      </c>
      <c r="N28" s="366"/>
      <c r="O28" s="647">
        <f t="shared" si="3"/>
        <v>4.0653115628123961</v>
      </c>
    </row>
    <row r="29" spans="1:15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490"/>
      <c r="E29" s="395"/>
      <c r="F29" s="393"/>
      <c r="G29" s="491"/>
      <c r="H29" s="394">
        <f>SUM($F$8:F29)/A29</f>
        <v>0</v>
      </c>
      <c r="I29" s="395">
        <f>SUM($G$8:G29)/A29</f>
        <v>0</v>
      </c>
      <c r="J29" s="396">
        <f t="shared" si="5"/>
        <v>12200</v>
      </c>
      <c r="K29" s="397">
        <f t="shared" si="5"/>
        <v>12200</v>
      </c>
      <c r="L29" s="338" t="e">
        <f t="shared" si="1"/>
        <v>#DIV/0!</v>
      </c>
      <c r="M29" s="300" t="e">
        <f t="shared" si="2"/>
        <v>#DIV/0!</v>
      </c>
      <c r="N29" s="366"/>
      <c r="O29" s="647">
        <f t="shared" si="3"/>
        <v>4.0653115628123961</v>
      </c>
    </row>
    <row r="30" spans="1:15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490"/>
      <c r="E30" s="395"/>
      <c r="F30" s="393"/>
      <c r="G30" s="491"/>
      <c r="H30" s="394">
        <f>SUM($F$8:F30)/A30</f>
        <v>0</v>
      </c>
      <c r="I30" s="395">
        <f>SUM($G$8:G30)/A30</f>
        <v>0</v>
      </c>
      <c r="J30" s="396">
        <f t="shared" si="5"/>
        <v>12200</v>
      </c>
      <c r="K30" s="397">
        <f t="shared" si="5"/>
        <v>12200</v>
      </c>
      <c r="L30" s="338" t="e">
        <f t="shared" si="1"/>
        <v>#DIV/0!</v>
      </c>
      <c r="M30" s="300" t="e">
        <f t="shared" si="2"/>
        <v>#DIV/0!</v>
      </c>
      <c r="N30" s="366"/>
      <c r="O30" s="647">
        <f t="shared" si="3"/>
        <v>4.0653115628123961</v>
      </c>
    </row>
    <row r="31" spans="1:15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490"/>
      <c r="E31" s="395"/>
      <c r="F31" s="393"/>
      <c r="G31" s="491"/>
      <c r="H31" s="394">
        <f>SUM($F$8:F31)/A31</f>
        <v>0</v>
      </c>
      <c r="I31" s="395">
        <f>SUM($G$8:G31)/A31</f>
        <v>0</v>
      </c>
      <c r="J31" s="396">
        <f t="shared" si="5"/>
        <v>12200</v>
      </c>
      <c r="K31" s="397">
        <f t="shared" si="5"/>
        <v>12200</v>
      </c>
      <c r="L31" s="338" t="e">
        <f t="shared" si="1"/>
        <v>#DIV/0!</v>
      </c>
      <c r="M31" s="300" t="e">
        <f t="shared" si="2"/>
        <v>#DIV/0!</v>
      </c>
      <c r="N31" s="366"/>
      <c r="O31" s="647">
        <f t="shared" si="3"/>
        <v>4.0653115628123961</v>
      </c>
    </row>
    <row r="32" spans="1:15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490"/>
      <c r="E32" s="395"/>
      <c r="F32" s="393"/>
      <c r="G32" s="491"/>
      <c r="H32" s="394">
        <f>SUM($F$8:F32)/A32</f>
        <v>0</v>
      </c>
      <c r="I32" s="395">
        <f>SUM($G$8:G32)/A32</f>
        <v>0</v>
      </c>
      <c r="J32" s="396">
        <f t="shared" si="5"/>
        <v>12200</v>
      </c>
      <c r="K32" s="397">
        <f t="shared" si="5"/>
        <v>12200</v>
      </c>
      <c r="L32" s="338" t="e">
        <f t="shared" si="1"/>
        <v>#DIV/0!</v>
      </c>
      <c r="M32" s="300" t="e">
        <f t="shared" si="2"/>
        <v>#DIV/0!</v>
      </c>
      <c r="N32" s="366"/>
      <c r="O32" s="647">
        <f t="shared" si="3"/>
        <v>4.0653115628123961</v>
      </c>
    </row>
    <row r="33" spans="1:15" s="367" customFormat="1" ht="12" customHeight="1">
      <c r="A33" s="448">
        <v>25</v>
      </c>
      <c r="B33" s="365">
        <f>'FRIT HGE91-FHG'!B33</f>
        <v>46259</v>
      </c>
      <c r="C33" s="365" t="s">
        <v>285</v>
      </c>
      <c r="D33" s="490"/>
      <c r="E33" s="395"/>
      <c r="F33" s="393"/>
      <c r="G33" s="491"/>
      <c r="H33" s="493">
        <f>SUM($F$8:F33)/A33</f>
        <v>0</v>
      </c>
      <c r="I33" s="395">
        <f>SUM($G$8:G33)/A33</f>
        <v>0</v>
      </c>
      <c r="J33" s="493">
        <f t="shared" si="5"/>
        <v>12200</v>
      </c>
      <c r="K33" s="397">
        <f t="shared" si="5"/>
        <v>12200</v>
      </c>
      <c r="L33" s="369" t="e">
        <f t="shared" si="1"/>
        <v>#DIV/0!</v>
      </c>
      <c r="M33" s="300" t="e">
        <f t="shared" si="2"/>
        <v>#DIV/0!</v>
      </c>
      <c r="N33" s="366"/>
      <c r="O33" s="647">
        <f t="shared" si="3"/>
        <v>4.0653115628123961</v>
      </c>
    </row>
    <row r="34" spans="1:15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490"/>
      <c r="E34" s="395"/>
      <c r="F34" s="393"/>
      <c r="G34" s="491"/>
      <c r="H34" s="394">
        <f>SUM($F$8:F34)/A34</f>
        <v>0</v>
      </c>
      <c r="I34" s="395">
        <f>SUM($G$8:G34)/A34</f>
        <v>0</v>
      </c>
      <c r="J34" s="396">
        <f t="shared" si="5"/>
        <v>12200</v>
      </c>
      <c r="K34" s="397">
        <f t="shared" si="5"/>
        <v>12200</v>
      </c>
      <c r="L34" s="338" t="e">
        <f t="shared" si="1"/>
        <v>#DIV/0!</v>
      </c>
      <c r="M34" s="300" t="e">
        <f t="shared" si="2"/>
        <v>#DIV/0!</v>
      </c>
      <c r="N34" s="366"/>
      <c r="O34" s="647">
        <f t="shared" si="3"/>
        <v>4.0653115628123961</v>
      </c>
    </row>
    <row r="35" spans="1:15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494"/>
      <c r="E35" s="395"/>
      <c r="F35" s="393"/>
      <c r="G35" s="491"/>
      <c r="H35" s="394">
        <f>SUM($F$8:F35)/A35</f>
        <v>0</v>
      </c>
      <c r="I35" s="395">
        <f>SUM($G$8:G35)/A35</f>
        <v>0</v>
      </c>
      <c r="J35" s="396">
        <f t="shared" si="5"/>
        <v>12200</v>
      </c>
      <c r="K35" s="397">
        <f t="shared" si="5"/>
        <v>12200</v>
      </c>
      <c r="L35" s="338" t="e">
        <f t="shared" si="1"/>
        <v>#DIV/0!</v>
      </c>
      <c r="M35" s="300" t="e">
        <f t="shared" si="2"/>
        <v>#DIV/0!</v>
      </c>
      <c r="N35" s="366"/>
      <c r="O35" s="647">
        <f t="shared" si="3"/>
        <v>4.0653115628123961</v>
      </c>
    </row>
    <row r="36" spans="1:15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494"/>
      <c r="E36" s="395"/>
      <c r="F36" s="393"/>
      <c r="G36" s="491"/>
      <c r="H36" s="394">
        <f>SUM($F$8:F36)/A36</f>
        <v>0</v>
      </c>
      <c r="I36" s="395">
        <f>SUM($G$8:G36)/A36</f>
        <v>0</v>
      </c>
      <c r="J36" s="396">
        <f t="shared" si="5"/>
        <v>12200</v>
      </c>
      <c r="K36" s="397">
        <f t="shared" si="5"/>
        <v>12200</v>
      </c>
      <c r="L36" s="338" t="e">
        <f t="shared" si="1"/>
        <v>#DIV/0!</v>
      </c>
      <c r="M36" s="300" t="e">
        <f t="shared" si="2"/>
        <v>#DIV/0!</v>
      </c>
      <c r="N36" s="366"/>
      <c r="O36" s="647">
        <f t="shared" si="3"/>
        <v>4.0653115628123961</v>
      </c>
    </row>
    <row r="37" spans="1:15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494"/>
      <c r="E37" s="395"/>
      <c r="F37" s="393"/>
      <c r="G37" s="491"/>
      <c r="H37" s="394">
        <f>SUM($F$8:F37)/A37</f>
        <v>0</v>
      </c>
      <c r="I37" s="395">
        <f>SUM($G$8:G37)/A37</f>
        <v>0</v>
      </c>
      <c r="J37" s="396">
        <f t="shared" si="5"/>
        <v>12200</v>
      </c>
      <c r="K37" s="397">
        <f t="shared" si="5"/>
        <v>12200</v>
      </c>
      <c r="L37" s="338" t="e">
        <f t="shared" si="1"/>
        <v>#DIV/0!</v>
      </c>
      <c r="M37" s="300" t="e">
        <f t="shared" si="2"/>
        <v>#DIV/0!</v>
      </c>
      <c r="N37" s="366"/>
      <c r="O37" s="647">
        <f t="shared" si="3"/>
        <v>4.0653115628123961</v>
      </c>
    </row>
    <row r="38" spans="1:15" s="367" customFormat="1" ht="12" customHeight="1">
      <c r="A38" s="500">
        <v>30</v>
      </c>
      <c r="B38" s="365">
        <f>'FRIT HGE91-FHG'!B38</f>
        <v>46264</v>
      </c>
      <c r="C38" s="365" t="s">
        <v>285</v>
      </c>
      <c r="D38" s="490"/>
      <c r="E38" s="395"/>
      <c r="F38" s="393"/>
      <c r="G38" s="491"/>
      <c r="H38" s="492">
        <f>SUM($F$8:F38)/A38</f>
        <v>0</v>
      </c>
      <c r="I38" s="395">
        <f>SUM($G$8:G38)/A38</f>
        <v>0</v>
      </c>
      <c r="J38" s="492">
        <f t="shared" si="5"/>
        <v>12200</v>
      </c>
      <c r="K38" s="397">
        <f t="shared" si="5"/>
        <v>12200</v>
      </c>
      <c r="L38" s="368" t="e">
        <f t="shared" si="1"/>
        <v>#DIV/0!</v>
      </c>
      <c r="M38" s="300" t="e">
        <f t="shared" si="2"/>
        <v>#DIV/0!</v>
      </c>
      <c r="N38" s="366"/>
      <c r="O38" s="647">
        <f t="shared" si="3"/>
        <v>4.0653115628123961</v>
      </c>
    </row>
    <row r="39" spans="1:15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490"/>
      <c r="E39" s="395"/>
      <c r="F39" s="393"/>
      <c r="G39" s="491"/>
      <c r="H39" s="394">
        <f>SUM($F$8:F39)/A39</f>
        <v>0</v>
      </c>
      <c r="I39" s="395">
        <f>SUM($G$8:G39)/A39</f>
        <v>0</v>
      </c>
      <c r="J39" s="396">
        <f t="shared" si="5"/>
        <v>12200</v>
      </c>
      <c r="K39" s="397">
        <f t="shared" si="5"/>
        <v>12200</v>
      </c>
      <c r="L39" s="338" t="e">
        <f t="shared" si="1"/>
        <v>#DIV/0!</v>
      </c>
      <c r="M39" s="300" t="e">
        <f t="shared" si="2"/>
        <v>#DIV/0!</v>
      </c>
      <c r="N39" s="366"/>
      <c r="O39" s="647">
        <f t="shared" si="3"/>
        <v>4.0653115628123961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12200</v>
      </c>
      <c r="K40" s="461">
        <f>K39</f>
        <v>12200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12200</v>
      </c>
      <c r="E41" s="388">
        <f>E8+E40</f>
        <v>12200</v>
      </c>
      <c r="F41" s="389">
        <f>F40</f>
        <v>0</v>
      </c>
      <c r="G41" s="496">
        <f>G40</f>
        <v>0</v>
      </c>
      <c r="H41" s="389"/>
      <c r="I41" s="496"/>
      <c r="J41" s="389">
        <f>D41-F41</f>
        <v>12200</v>
      </c>
      <c r="K41" s="389">
        <f>E41-G41</f>
        <v>12200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7" spans="1:15">
      <c r="D47" s="143"/>
      <c r="E47" s="143"/>
      <c r="F47" s="143"/>
      <c r="G47" s="143"/>
      <c r="H47" s="143"/>
      <c r="I47" s="143"/>
      <c r="K47" s="143"/>
    </row>
    <row r="48" spans="1:15">
      <c r="D48" s="143"/>
      <c r="E48" s="143"/>
      <c r="F48" s="143"/>
      <c r="G48" s="143"/>
      <c r="H48" s="143"/>
      <c r="I48" s="143"/>
      <c r="K48" s="143"/>
    </row>
    <row r="49" spans="4:11">
      <c r="D49" s="143"/>
      <c r="E49" s="143"/>
      <c r="F49" s="143"/>
      <c r="G49" s="143"/>
      <c r="H49" s="143"/>
      <c r="I49" s="143"/>
      <c r="J49" s="143"/>
      <c r="K49" s="143"/>
    </row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9:M39">
    <cfRule type="cellIs" dxfId="4355" priority="118" operator="lessThan">
      <formula>15</formula>
    </cfRule>
    <cfRule type="cellIs" dxfId="4354" priority="119" operator="greaterThan">
      <formula>20</formula>
    </cfRule>
    <cfRule type="cellIs" dxfId="4353" priority="120" operator="between">
      <formula>15</formula>
      <formula>20</formula>
    </cfRule>
    <cfRule type="cellIs" dxfId="4352" priority="121" operator="between">
      <formula>15</formula>
      <formula>20</formula>
    </cfRule>
    <cfRule type="cellIs" dxfId="4351" priority="122" operator="lessThan">
      <formula>15</formula>
    </cfRule>
    <cfRule type="cellIs" dxfId="4350" priority="123" operator="greaterThan">
      <formula>20</formula>
    </cfRule>
    <cfRule type="cellIs" dxfId="4349" priority="124" operator="between">
      <formula>15</formula>
      <formula>21</formula>
    </cfRule>
    <cfRule type="cellIs" dxfId="4348" priority="125" operator="lessThan">
      <formula>15</formula>
    </cfRule>
    <cfRule type="cellIs" dxfId="4347" priority="126" operator="greaterThan">
      <formula>21</formula>
    </cfRule>
  </conditionalFormatting>
  <conditionalFormatting sqref="M38">
    <cfRule type="cellIs" dxfId="4346" priority="109" operator="lessThan">
      <formula>15</formula>
    </cfRule>
    <cfRule type="cellIs" dxfId="4345" priority="110" operator="greaterThan">
      <formula>20</formula>
    </cfRule>
    <cfRule type="cellIs" dxfId="4344" priority="111" operator="between">
      <formula>15</formula>
      <formula>20</formula>
    </cfRule>
    <cfRule type="cellIs" dxfId="4343" priority="112" operator="between">
      <formula>15</formula>
      <formula>20</formula>
    </cfRule>
    <cfRule type="cellIs" dxfId="4342" priority="113" operator="lessThan">
      <formula>15</formula>
    </cfRule>
    <cfRule type="cellIs" dxfId="4341" priority="114" operator="greaterThan">
      <formula>20</formula>
    </cfRule>
    <cfRule type="cellIs" dxfId="4340" priority="115" operator="between">
      <formula>15</formula>
      <formula>21</formula>
    </cfRule>
    <cfRule type="cellIs" dxfId="4339" priority="116" operator="lessThan">
      <formula>15</formula>
    </cfRule>
    <cfRule type="cellIs" dxfId="4338" priority="117" operator="greaterThan">
      <formula>21</formula>
    </cfRule>
  </conditionalFormatting>
  <conditionalFormatting sqref="M33">
    <cfRule type="cellIs" dxfId="4337" priority="100" operator="lessThan">
      <formula>15</formula>
    </cfRule>
    <cfRule type="cellIs" dxfId="4336" priority="101" operator="greaterThan">
      <formula>20</formula>
    </cfRule>
    <cfRule type="cellIs" dxfId="4335" priority="102" operator="between">
      <formula>15</formula>
      <formula>20</formula>
    </cfRule>
    <cfRule type="cellIs" dxfId="4334" priority="103" operator="between">
      <formula>15</formula>
      <formula>20</formula>
    </cfRule>
    <cfRule type="cellIs" dxfId="4333" priority="104" operator="lessThan">
      <formula>15</formula>
    </cfRule>
    <cfRule type="cellIs" dxfId="4332" priority="105" operator="greaterThan">
      <formula>20</formula>
    </cfRule>
    <cfRule type="cellIs" dxfId="4331" priority="106" operator="between">
      <formula>15</formula>
      <formula>21</formula>
    </cfRule>
    <cfRule type="cellIs" dxfId="4330" priority="107" operator="lessThan">
      <formula>15</formula>
    </cfRule>
    <cfRule type="cellIs" dxfId="4329" priority="108" operator="greaterThan">
      <formula>21</formula>
    </cfRule>
  </conditionalFormatting>
  <conditionalFormatting sqref="M28">
    <cfRule type="cellIs" dxfId="4328" priority="91" operator="lessThan">
      <formula>15</formula>
    </cfRule>
    <cfRule type="cellIs" dxfId="4327" priority="92" operator="greaterThan">
      <formula>20</formula>
    </cfRule>
    <cfRule type="cellIs" dxfId="4326" priority="93" operator="between">
      <formula>15</formula>
      <formula>20</formula>
    </cfRule>
    <cfRule type="cellIs" dxfId="4325" priority="94" operator="between">
      <formula>15</formula>
      <formula>20</formula>
    </cfRule>
    <cfRule type="cellIs" dxfId="4324" priority="95" operator="lessThan">
      <formula>15</formula>
    </cfRule>
    <cfRule type="cellIs" dxfId="4323" priority="96" operator="greaterThan">
      <formula>20</formula>
    </cfRule>
    <cfRule type="cellIs" dxfId="4322" priority="97" operator="between">
      <formula>15</formula>
      <formula>21</formula>
    </cfRule>
    <cfRule type="cellIs" dxfId="4321" priority="98" operator="lessThan">
      <formula>15</formula>
    </cfRule>
    <cfRule type="cellIs" dxfId="4320" priority="99" operator="greaterThan">
      <formula>21</formula>
    </cfRule>
  </conditionalFormatting>
  <conditionalFormatting sqref="M23">
    <cfRule type="cellIs" dxfId="4319" priority="82" operator="lessThan">
      <formula>15</formula>
    </cfRule>
    <cfRule type="cellIs" dxfId="4318" priority="83" operator="greaterThan">
      <formula>20</formula>
    </cfRule>
    <cfRule type="cellIs" dxfId="4317" priority="84" operator="between">
      <formula>15</formula>
      <formula>20</formula>
    </cfRule>
    <cfRule type="cellIs" dxfId="4316" priority="85" operator="between">
      <formula>15</formula>
      <formula>20</formula>
    </cfRule>
    <cfRule type="cellIs" dxfId="4315" priority="86" operator="lessThan">
      <formula>15</formula>
    </cfRule>
    <cfRule type="cellIs" dxfId="4314" priority="87" operator="greaterThan">
      <formula>20</formula>
    </cfRule>
    <cfRule type="cellIs" dxfId="4313" priority="88" operator="between">
      <formula>15</formula>
      <formula>21</formula>
    </cfRule>
    <cfRule type="cellIs" dxfId="4312" priority="89" operator="lessThan">
      <formula>15</formula>
    </cfRule>
    <cfRule type="cellIs" dxfId="4311" priority="90" operator="greaterThan">
      <formula>21</formula>
    </cfRule>
  </conditionalFormatting>
  <conditionalFormatting sqref="M18">
    <cfRule type="cellIs" dxfId="4310" priority="73" operator="lessThan">
      <formula>15</formula>
    </cfRule>
    <cfRule type="cellIs" dxfId="4309" priority="74" operator="greaterThan">
      <formula>20</formula>
    </cfRule>
    <cfRule type="cellIs" dxfId="4308" priority="75" operator="between">
      <formula>15</formula>
      <formula>20</formula>
    </cfRule>
    <cfRule type="cellIs" dxfId="4307" priority="76" operator="between">
      <formula>15</formula>
      <formula>20</formula>
    </cfRule>
    <cfRule type="cellIs" dxfId="4306" priority="77" operator="lessThan">
      <formula>15</formula>
    </cfRule>
    <cfRule type="cellIs" dxfId="4305" priority="78" operator="greaterThan">
      <formula>20</formula>
    </cfRule>
    <cfRule type="cellIs" dxfId="4304" priority="79" operator="between">
      <formula>15</formula>
      <formula>21</formula>
    </cfRule>
    <cfRule type="cellIs" dxfId="4303" priority="80" operator="lessThan">
      <formula>15</formula>
    </cfRule>
    <cfRule type="cellIs" dxfId="4302" priority="81" operator="greaterThan">
      <formula>21</formula>
    </cfRule>
  </conditionalFormatting>
  <conditionalFormatting sqref="M35:M37">
    <cfRule type="cellIs" dxfId="4301" priority="64" operator="lessThan">
      <formula>15</formula>
    </cfRule>
    <cfRule type="cellIs" dxfId="4300" priority="65" operator="greaterThan">
      <formula>20</formula>
    </cfRule>
    <cfRule type="cellIs" dxfId="4299" priority="66" operator="between">
      <formula>15</formula>
      <formula>20</formula>
    </cfRule>
    <cfRule type="cellIs" dxfId="4298" priority="67" operator="between">
      <formula>15</formula>
      <formula>20</formula>
    </cfRule>
    <cfRule type="cellIs" dxfId="4297" priority="68" operator="lessThan">
      <formula>15</formula>
    </cfRule>
    <cfRule type="cellIs" dxfId="4296" priority="69" operator="greaterThan">
      <formula>20</formula>
    </cfRule>
    <cfRule type="cellIs" dxfId="4295" priority="70" operator="between">
      <formula>15</formula>
      <formula>21</formula>
    </cfRule>
    <cfRule type="cellIs" dxfId="4294" priority="71" operator="lessThan">
      <formula>15</formula>
    </cfRule>
    <cfRule type="cellIs" dxfId="4293" priority="72" operator="greaterThan">
      <formula>21</formula>
    </cfRule>
  </conditionalFormatting>
  <conditionalFormatting sqref="M13">
    <cfRule type="cellIs" dxfId="4292" priority="55" operator="lessThan">
      <formula>15</formula>
    </cfRule>
    <cfRule type="cellIs" dxfId="4291" priority="56" operator="greaterThan">
      <formula>20</formula>
    </cfRule>
    <cfRule type="cellIs" dxfId="4290" priority="57" operator="between">
      <formula>15</formula>
      <formula>20</formula>
    </cfRule>
    <cfRule type="cellIs" dxfId="4289" priority="58" operator="between">
      <formula>15</formula>
      <formula>20</formula>
    </cfRule>
    <cfRule type="cellIs" dxfId="4288" priority="59" operator="lessThan">
      <formula>15</formula>
    </cfRule>
    <cfRule type="cellIs" dxfId="4287" priority="60" operator="greaterThan">
      <formula>20</formula>
    </cfRule>
    <cfRule type="cellIs" dxfId="4286" priority="61" operator="between">
      <formula>15</formula>
      <formula>21</formula>
    </cfRule>
    <cfRule type="cellIs" dxfId="4285" priority="62" operator="lessThan">
      <formula>15</formula>
    </cfRule>
    <cfRule type="cellIs" dxfId="4284" priority="63" operator="greaterThan">
      <formula>21</formula>
    </cfRule>
  </conditionalFormatting>
  <conditionalFormatting sqref="M20">
    <cfRule type="cellIs" dxfId="4283" priority="46" operator="lessThan">
      <formula>15</formula>
    </cfRule>
    <cfRule type="cellIs" dxfId="4282" priority="47" operator="greaterThan">
      <formula>20</formula>
    </cfRule>
    <cfRule type="cellIs" dxfId="4281" priority="48" operator="between">
      <formula>15</formula>
      <formula>20</formula>
    </cfRule>
    <cfRule type="cellIs" dxfId="4280" priority="49" operator="between">
      <formula>15</formula>
      <formula>20</formula>
    </cfRule>
    <cfRule type="cellIs" dxfId="4279" priority="50" operator="lessThan">
      <formula>15</formula>
    </cfRule>
    <cfRule type="cellIs" dxfId="4278" priority="51" operator="greaterThan">
      <formula>20</formula>
    </cfRule>
    <cfRule type="cellIs" dxfId="4277" priority="52" operator="between">
      <formula>15</formula>
      <formula>21</formula>
    </cfRule>
    <cfRule type="cellIs" dxfId="4276" priority="53" operator="lessThan">
      <formula>15</formula>
    </cfRule>
    <cfRule type="cellIs" dxfId="4275" priority="54" operator="greaterThan">
      <formula>21</formula>
    </cfRule>
  </conditionalFormatting>
  <conditionalFormatting sqref="M27">
    <cfRule type="cellIs" dxfId="4274" priority="37" operator="lessThan">
      <formula>15</formula>
    </cfRule>
    <cfRule type="cellIs" dxfId="4273" priority="38" operator="greaterThan">
      <formula>20</formula>
    </cfRule>
    <cfRule type="cellIs" dxfId="4272" priority="39" operator="between">
      <formula>15</formula>
      <formula>20</formula>
    </cfRule>
    <cfRule type="cellIs" dxfId="4271" priority="40" operator="between">
      <formula>15</formula>
      <formula>20</formula>
    </cfRule>
    <cfRule type="cellIs" dxfId="4270" priority="41" operator="lessThan">
      <formula>15</formula>
    </cfRule>
    <cfRule type="cellIs" dxfId="4269" priority="42" operator="greaterThan">
      <formula>20</formula>
    </cfRule>
    <cfRule type="cellIs" dxfId="4268" priority="43" operator="between">
      <formula>15</formula>
      <formula>21</formula>
    </cfRule>
    <cfRule type="cellIs" dxfId="4267" priority="44" operator="lessThan">
      <formula>15</formula>
    </cfRule>
    <cfRule type="cellIs" dxfId="4266" priority="45" operator="greaterThan">
      <formula>21</formula>
    </cfRule>
  </conditionalFormatting>
  <conditionalFormatting sqref="M34">
    <cfRule type="cellIs" dxfId="4265" priority="28" operator="lessThan">
      <formula>15</formula>
    </cfRule>
    <cfRule type="cellIs" dxfId="4264" priority="29" operator="greaterThan">
      <formula>20</formula>
    </cfRule>
    <cfRule type="cellIs" dxfId="4263" priority="30" operator="between">
      <formula>15</formula>
      <formula>20</formula>
    </cfRule>
    <cfRule type="cellIs" dxfId="4262" priority="31" operator="between">
      <formula>15</formula>
      <formula>20</formula>
    </cfRule>
    <cfRule type="cellIs" dxfId="4261" priority="32" operator="lessThan">
      <formula>15</formula>
    </cfRule>
    <cfRule type="cellIs" dxfId="4260" priority="33" operator="greaterThan">
      <formula>20</formula>
    </cfRule>
    <cfRule type="cellIs" dxfId="4259" priority="34" operator="between">
      <formula>15</formula>
      <formula>21</formula>
    </cfRule>
    <cfRule type="cellIs" dxfId="4258" priority="35" operator="lessThan">
      <formula>15</formula>
    </cfRule>
    <cfRule type="cellIs" dxfId="4257" priority="36" operator="greaterThan">
      <formula>21</formula>
    </cfRule>
  </conditionalFormatting>
  <conditionalFormatting sqref="M14:M17 M39 M21:M22 M24:M26 M19">
    <cfRule type="cellIs" dxfId="4256" priority="19" operator="lessThan">
      <formula>15</formula>
    </cfRule>
    <cfRule type="cellIs" dxfId="4255" priority="20" operator="greaterThan">
      <formula>20</formula>
    </cfRule>
    <cfRule type="cellIs" dxfId="4254" priority="21" operator="between">
      <formula>15</formula>
      <formula>20</formula>
    </cfRule>
    <cfRule type="cellIs" dxfId="4253" priority="22" operator="between">
      <formula>15</formula>
      <formula>20</formula>
    </cfRule>
    <cfRule type="cellIs" dxfId="4252" priority="23" operator="lessThan">
      <formula>15</formula>
    </cfRule>
    <cfRule type="cellIs" dxfId="4251" priority="24" operator="greaterThan">
      <formula>20</formula>
    </cfRule>
    <cfRule type="cellIs" dxfId="4250" priority="25" operator="between">
      <formula>15</formula>
      <formula>21</formula>
    </cfRule>
    <cfRule type="cellIs" dxfId="4249" priority="26" operator="lessThan">
      <formula>15</formula>
    </cfRule>
    <cfRule type="cellIs" dxfId="4248" priority="27" operator="greaterThan">
      <formula>21</formula>
    </cfRule>
  </conditionalFormatting>
  <conditionalFormatting sqref="M9:M12">
    <cfRule type="cellIs" dxfId="4247" priority="10" operator="lessThan">
      <formula>15</formula>
    </cfRule>
    <cfRule type="cellIs" dxfId="4246" priority="11" operator="greaterThan">
      <formula>20</formula>
    </cfRule>
    <cfRule type="cellIs" dxfId="4245" priority="12" operator="between">
      <formula>15</formula>
      <formula>20</formula>
    </cfRule>
    <cfRule type="cellIs" dxfId="4244" priority="13" operator="between">
      <formula>15</formula>
      <formula>20</formula>
    </cfRule>
    <cfRule type="cellIs" dxfId="4243" priority="14" operator="lessThan">
      <formula>15</formula>
    </cfRule>
    <cfRule type="cellIs" dxfId="4242" priority="15" operator="greaterThan">
      <formula>20</formula>
    </cfRule>
    <cfRule type="cellIs" dxfId="4241" priority="16" operator="between">
      <formula>15</formula>
      <formula>21</formula>
    </cfRule>
    <cfRule type="cellIs" dxfId="4240" priority="17" operator="lessThan">
      <formula>15</formula>
    </cfRule>
    <cfRule type="cellIs" dxfId="4239" priority="18" operator="greaterThan">
      <formula>21</formula>
    </cfRule>
  </conditionalFormatting>
  <conditionalFormatting sqref="M29:M32">
    <cfRule type="cellIs" dxfId="4238" priority="1" operator="lessThan">
      <formula>15</formula>
    </cfRule>
    <cfRule type="cellIs" dxfId="4237" priority="2" operator="greaterThan">
      <formula>20</formula>
    </cfRule>
    <cfRule type="cellIs" dxfId="4236" priority="3" operator="between">
      <formula>15</formula>
      <formula>20</formula>
    </cfRule>
    <cfRule type="cellIs" dxfId="4235" priority="4" operator="between">
      <formula>15</formula>
      <formula>20</formula>
    </cfRule>
    <cfRule type="cellIs" dxfId="4234" priority="5" operator="lessThan">
      <formula>15</formula>
    </cfRule>
    <cfRule type="cellIs" dxfId="4233" priority="6" operator="greaterThan">
      <formula>20</formula>
    </cfRule>
    <cfRule type="cellIs" dxfId="4232" priority="7" operator="between">
      <formula>15</formula>
      <formula>21</formula>
    </cfRule>
    <cfRule type="cellIs" dxfId="4231" priority="8" operator="lessThan">
      <formula>15</formula>
    </cfRule>
    <cfRule type="cellIs" dxfId="4230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49"/>
  <sheetViews>
    <sheetView zoomScale="80" zoomScaleNormal="80" workbookViewId="0">
      <pane ySplit="8" topLeftCell="A21" activePane="bottomLeft" state="frozen"/>
      <selection pane="bottomLeft"/>
    </sheetView>
  </sheetViews>
  <sheetFormatPr defaultColWidth="9.28515625" defaultRowHeight="15"/>
  <cols>
    <col min="1" max="1" width="5.5703125" style="143" customWidth="1"/>
    <col min="2" max="2" width="8.28515625" style="143" customWidth="1"/>
    <col min="3" max="3" width="16.85546875" style="143" customWidth="1"/>
    <col min="4" max="9" width="9.140625" style="142" customWidth="1"/>
    <col min="10" max="10" width="12.7109375" style="142" customWidth="1"/>
    <col min="11" max="11" width="12" style="142" customWidth="1"/>
    <col min="12" max="13" width="11.42578125" style="143" customWidth="1"/>
    <col min="14" max="14" width="5.710937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BỘT HIFIL-1</v>
      </c>
      <c r="D4" s="383"/>
      <c r="E4" s="383" t="s">
        <v>228</v>
      </c>
      <c r="F4" s="383" t="s">
        <v>230</v>
      </c>
      <c r="G4" s="383"/>
      <c r="I4" s="383" t="s">
        <v>120</v>
      </c>
      <c r="J4" s="316" t="s">
        <v>298</v>
      </c>
      <c r="K4" s="319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7106.5990000000002</v>
      </c>
      <c r="E8" s="388">
        <f>K8</f>
        <v>7106.5990000000002</v>
      </c>
      <c r="F8" s="389"/>
      <c r="G8" s="388"/>
      <c r="H8" s="387"/>
      <c r="I8" s="388"/>
      <c r="J8" s="596">
        <f>K8</f>
        <v>7106.5990000000002</v>
      </c>
      <c r="K8" s="595">
        <v>7106.5990000000002</v>
      </c>
      <c r="L8" s="303"/>
      <c r="M8" s="304"/>
      <c r="N8" s="366">
        <v>0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65" t="s">
        <v>285</v>
      </c>
      <c r="D9" s="497"/>
      <c r="E9" s="388"/>
      <c r="F9" s="446"/>
      <c r="G9" s="496"/>
      <c r="H9" s="498">
        <f>SUM($F$8:F9)/A9</f>
        <v>0</v>
      </c>
      <c r="I9" s="499">
        <f>SUM($G$8:G9)/A9</f>
        <v>0</v>
      </c>
      <c r="J9" s="443">
        <f t="shared" ref="J9:K11" si="0">J8+D9-F9</f>
        <v>7106.5990000000002</v>
      </c>
      <c r="K9" s="459">
        <f t="shared" si="0"/>
        <v>7106.5990000000002</v>
      </c>
      <c r="L9" s="338" t="e">
        <f>J9/H9</f>
        <v>#DIV/0!</v>
      </c>
      <c r="M9" s="300" t="e">
        <f>K9/I9</f>
        <v>#DIV/0!</v>
      </c>
      <c r="N9" s="366"/>
      <c r="O9" s="647">
        <f>J9/$O$8</f>
        <v>2.3680769743418861</v>
      </c>
    </row>
    <row r="10" spans="1:25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497"/>
      <c r="E10" s="388"/>
      <c r="F10" s="446"/>
      <c r="G10" s="496"/>
      <c r="H10" s="498">
        <f>SUM($F$8:F10)/A10</f>
        <v>0</v>
      </c>
      <c r="I10" s="499">
        <f>SUM($G$8:G10)/A10</f>
        <v>0</v>
      </c>
      <c r="J10" s="443">
        <f t="shared" si="0"/>
        <v>7106.5990000000002</v>
      </c>
      <c r="K10" s="459">
        <f t="shared" si="0"/>
        <v>7106.5990000000002</v>
      </c>
      <c r="L10" s="338" t="e">
        <f t="shared" ref="L10:L39" si="1">J10/H10</f>
        <v>#DIV/0!</v>
      </c>
      <c r="M10" s="300" t="e">
        <f t="shared" ref="M10:M39" si="2">K10/I10</f>
        <v>#DIV/0!</v>
      </c>
      <c r="N10" s="366"/>
      <c r="O10" s="647">
        <f t="shared" ref="O10:O39" si="3">J10/$O$8</f>
        <v>2.3680769743418861</v>
      </c>
    </row>
    <row r="11" spans="1:25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497"/>
      <c r="E11" s="388"/>
      <c r="F11" s="446"/>
      <c r="G11" s="496"/>
      <c r="H11" s="498">
        <f>SUM($F$8:F11)/A11</f>
        <v>0</v>
      </c>
      <c r="I11" s="499">
        <f>SUM($G$8:G11)/A11</f>
        <v>0</v>
      </c>
      <c r="J11" s="443">
        <f t="shared" si="0"/>
        <v>7106.5990000000002</v>
      </c>
      <c r="K11" s="459">
        <f t="shared" si="0"/>
        <v>7106.5990000000002</v>
      </c>
      <c r="L11" s="338" t="e">
        <f t="shared" si="1"/>
        <v>#DIV/0!</v>
      </c>
      <c r="M11" s="300" t="e">
        <f t="shared" si="2"/>
        <v>#DIV/0!</v>
      </c>
      <c r="N11" s="366"/>
      <c r="O11" s="647">
        <f t="shared" si="3"/>
        <v>2.3680769743418861</v>
      </c>
    </row>
    <row r="12" spans="1:25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497"/>
      <c r="E12" s="388"/>
      <c r="F12" s="446"/>
      <c r="G12" s="496"/>
      <c r="H12" s="498">
        <f>SUM($F$8:F12)/A12</f>
        <v>0</v>
      </c>
      <c r="I12" s="499">
        <f>SUM($G$8:G12)/A12</f>
        <v>0</v>
      </c>
      <c r="J12" s="443">
        <f t="shared" ref="J12:K27" si="4">J11+D12-F12</f>
        <v>7106.5990000000002</v>
      </c>
      <c r="K12" s="459">
        <f t="shared" si="4"/>
        <v>7106.5990000000002</v>
      </c>
      <c r="L12" s="338" t="e">
        <f t="shared" si="1"/>
        <v>#DIV/0!</v>
      </c>
      <c r="M12" s="300" t="e">
        <f t="shared" si="2"/>
        <v>#DIV/0!</v>
      </c>
      <c r="N12" s="366"/>
      <c r="O12" s="647">
        <f t="shared" si="3"/>
        <v>2.3680769743418861</v>
      </c>
    </row>
    <row r="13" spans="1:25" s="367" customFormat="1" ht="12" customHeight="1">
      <c r="A13" s="500">
        <v>5</v>
      </c>
      <c r="B13" s="365">
        <f>'FRIT HGE91-FHG'!B13</f>
        <v>46239</v>
      </c>
      <c r="C13" s="365" t="s">
        <v>285</v>
      </c>
      <c r="D13" s="497"/>
      <c r="E13" s="388"/>
      <c r="F13" s="446"/>
      <c r="G13" s="496"/>
      <c r="H13" s="500">
        <f>SUM($F$8:F13)/A13</f>
        <v>0</v>
      </c>
      <c r="I13" s="499">
        <f>SUM($G$8:G13)/A13</f>
        <v>0</v>
      </c>
      <c r="J13" s="500">
        <f t="shared" si="4"/>
        <v>7106.5990000000002</v>
      </c>
      <c r="K13" s="459">
        <f t="shared" si="4"/>
        <v>7106.5990000000002</v>
      </c>
      <c r="L13" s="368" t="e">
        <f t="shared" si="1"/>
        <v>#DIV/0!</v>
      </c>
      <c r="M13" s="300" t="e">
        <f t="shared" si="2"/>
        <v>#DIV/0!</v>
      </c>
      <c r="N13" s="366"/>
      <c r="O13" s="647">
        <f t="shared" si="3"/>
        <v>2.3680769743418861</v>
      </c>
    </row>
    <row r="14" spans="1:25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497"/>
      <c r="E14" s="388"/>
      <c r="F14" s="446"/>
      <c r="G14" s="496"/>
      <c r="H14" s="498">
        <f>SUM($F$8:F14)/A14</f>
        <v>0</v>
      </c>
      <c r="I14" s="499">
        <f>SUM($G$8:G14)/A14</f>
        <v>0</v>
      </c>
      <c r="J14" s="443">
        <f t="shared" si="4"/>
        <v>7106.5990000000002</v>
      </c>
      <c r="K14" s="459">
        <f t="shared" si="4"/>
        <v>7106.5990000000002</v>
      </c>
      <c r="L14" s="338" t="e">
        <f t="shared" si="1"/>
        <v>#DIV/0!</v>
      </c>
      <c r="M14" s="300" t="e">
        <f t="shared" si="2"/>
        <v>#DIV/0!</v>
      </c>
      <c r="N14" s="366"/>
      <c r="O14" s="647">
        <f t="shared" si="3"/>
        <v>2.3680769743418861</v>
      </c>
    </row>
    <row r="15" spans="1:25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497"/>
      <c r="E15" s="388"/>
      <c r="F15" s="446"/>
      <c r="G15" s="496"/>
      <c r="H15" s="498">
        <f>SUM($F$8:F15)/A15</f>
        <v>0</v>
      </c>
      <c r="I15" s="499">
        <f>SUM($G$8:G15)/A15</f>
        <v>0</v>
      </c>
      <c r="J15" s="443">
        <f t="shared" si="4"/>
        <v>7106.5990000000002</v>
      </c>
      <c r="K15" s="459">
        <f t="shared" si="4"/>
        <v>7106.5990000000002</v>
      </c>
      <c r="L15" s="338" t="e">
        <f t="shared" si="1"/>
        <v>#DIV/0!</v>
      </c>
      <c r="M15" s="300" t="e">
        <f t="shared" si="2"/>
        <v>#DIV/0!</v>
      </c>
      <c r="N15" s="366"/>
      <c r="O15" s="647">
        <f t="shared" si="3"/>
        <v>2.3680769743418861</v>
      </c>
    </row>
    <row r="16" spans="1:25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497"/>
      <c r="E16" s="388"/>
      <c r="F16" s="446"/>
      <c r="G16" s="496"/>
      <c r="H16" s="498">
        <f>SUM($F$8:F16)/A16</f>
        <v>0</v>
      </c>
      <c r="I16" s="499">
        <f>SUM($G$8:G16)/A16</f>
        <v>0</v>
      </c>
      <c r="J16" s="443">
        <f t="shared" si="4"/>
        <v>7106.5990000000002</v>
      </c>
      <c r="K16" s="459">
        <f t="shared" si="4"/>
        <v>7106.5990000000002</v>
      </c>
      <c r="L16" s="338" t="e">
        <f t="shared" si="1"/>
        <v>#DIV/0!</v>
      </c>
      <c r="M16" s="300" t="e">
        <f t="shared" si="2"/>
        <v>#DIV/0!</v>
      </c>
      <c r="N16" s="366"/>
      <c r="O16" s="647">
        <f t="shared" si="3"/>
        <v>2.3680769743418861</v>
      </c>
    </row>
    <row r="17" spans="1:15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497"/>
      <c r="E17" s="388"/>
      <c r="F17" s="446"/>
      <c r="G17" s="496"/>
      <c r="H17" s="498">
        <f>SUM($F$8:F17)/A17</f>
        <v>0</v>
      </c>
      <c r="I17" s="499">
        <f>SUM($G$8:G17)/A17</f>
        <v>0</v>
      </c>
      <c r="J17" s="443">
        <f t="shared" si="4"/>
        <v>7106.5990000000002</v>
      </c>
      <c r="K17" s="459">
        <f t="shared" si="4"/>
        <v>7106.5990000000002</v>
      </c>
      <c r="L17" s="338" t="e">
        <f t="shared" si="1"/>
        <v>#DIV/0!</v>
      </c>
      <c r="M17" s="300" t="e">
        <f t="shared" si="2"/>
        <v>#DIV/0!</v>
      </c>
      <c r="N17" s="366"/>
      <c r="O17" s="647">
        <f t="shared" si="3"/>
        <v>2.3680769743418861</v>
      </c>
    </row>
    <row r="18" spans="1:15" s="367" customFormat="1" ht="12" customHeight="1">
      <c r="A18" s="500">
        <v>10</v>
      </c>
      <c r="B18" s="365">
        <f>'FRIT HGE91-FHG'!B18</f>
        <v>46244</v>
      </c>
      <c r="C18" s="365" t="s">
        <v>285</v>
      </c>
      <c r="D18" s="497"/>
      <c r="E18" s="388"/>
      <c r="F18" s="446"/>
      <c r="G18" s="496"/>
      <c r="H18" s="500">
        <f>SUM($F$8:F18)/A18</f>
        <v>0</v>
      </c>
      <c r="I18" s="499">
        <f>SUM($G$8:G18)/A18</f>
        <v>0</v>
      </c>
      <c r="J18" s="500">
        <f t="shared" si="4"/>
        <v>7106.5990000000002</v>
      </c>
      <c r="K18" s="459">
        <f t="shared" si="4"/>
        <v>7106.5990000000002</v>
      </c>
      <c r="L18" s="368" t="e">
        <f t="shared" si="1"/>
        <v>#DIV/0!</v>
      </c>
      <c r="M18" s="300" t="e">
        <f t="shared" si="2"/>
        <v>#DIV/0!</v>
      </c>
      <c r="N18" s="366"/>
      <c r="O18" s="647">
        <f t="shared" si="3"/>
        <v>2.3680769743418861</v>
      </c>
    </row>
    <row r="19" spans="1:15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497"/>
      <c r="E19" s="388"/>
      <c r="F19" s="446"/>
      <c r="G19" s="496"/>
      <c r="H19" s="498">
        <f>SUM($F$8:F19)/A19</f>
        <v>0</v>
      </c>
      <c r="I19" s="499">
        <f>SUM($G$8:G19)/A19</f>
        <v>0</v>
      </c>
      <c r="J19" s="443">
        <f t="shared" si="4"/>
        <v>7106.5990000000002</v>
      </c>
      <c r="K19" s="459">
        <f t="shared" si="4"/>
        <v>7106.5990000000002</v>
      </c>
      <c r="L19" s="338" t="e">
        <f t="shared" si="1"/>
        <v>#DIV/0!</v>
      </c>
      <c r="M19" s="300" t="e">
        <f t="shared" si="2"/>
        <v>#DIV/0!</v>
      </c>
      <c r="N19" s="366"/>
      <c r="O19" s="647">
        <f t="shared" si="3"/>
        <v>2.3680769743418861</v>
      </c>
    </row>
    <row r="20" spans="1:15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497"/>
      <c r="E20" s="388"/>
      <c r="F20" s="446"/>
      <c r="G20" s="496"/>
      <c r="H20" s="498">
        <f>SUM($F$8:F20)/A20</f>
        <v>0</v>
      </c>
      <c r="I20" s="499">
        <f>SUM($G$8:G20)/A20</f>
        <v>0</v>
      </c>
      <c r="J20" s="443">
        <f t="shared" si="4"/>
        <v>7106.5990000000002</v>
      </c>
      <c r="K20" s="459">
        <f t="shared" si="4"/>
        <v>7106.5990000000002</v>
      </c>
      <c r="L20" s="338" t="e">
        <f t="shared" si="1"/>
        <v>#DIV/0!</v>
      </c>
      <c r="M20" s="300" t="e">
        <f t="shared" si="2"/>
        <v>#DIV/0!</v>
      </c>
      <c r="N20" s="366"/>
      <c r="O20" s="647">
        <f t="shared" si="3"/>
        <v>2.3680769743418861</v>
      </c>
    </row>
    <row r="21" spans="1:15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497"/>
      <c r="E21" s="388"/>
      <c r="F21" s="446"/>
      <c r="G21" s="496"/>
      <c r="H21" s="498">
        <f>SUM($F$8:F21)/A21</f>
        <v>0</v>
      </c>
      <c r="I21" s="499">
        <f>SUM($G$8:G21)/A21</f>
        <v>0</v>
      </c>
      <c r="J21" s="443">
        <f t="shared" si="4"/>
        <v>7106.5990000000002</v>
      </c>
      <c r="K21" s="459">
        <f>K20+E21-G21</f>
        <v>7106.5990000000002</v>
      </c>
      <c r="L21" s="338" t="e">
        <f t="shared" si="1"/>
        <v>#DIV/0!</v>
      </c>
      <c r="M21" s="300" t="e">
        <f t="shared" si="2"/>
        <v>#DIV/0!</v>
      </c>
      <c r="N21" s="366"/>
      <c r="O21" s="647">
        <f t="shared" si="3"/>
        <v>2.3680769743418861</v>
      </c>
    </row>
    <row r="22" spans="1:15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497"/>
      <c r="E22" s="388"/>
      <c r="F22" s="446"/>
      <c r="G22" s="496"/>
      <c r="H22" s="498">
        <f>SUM($F$8:F22)/A22</f>
        <v>0</v>
      </c>
      <c r="I22" s="499">
        <f>SUM($G$8:G22)/A22</f>
        <v>0</v>
      </c>
      <c r="J22" s="443">
        <f t="shared" si="4"/>
        <v>7106.5990000000002</v>
      </c>
      <c r="K22" s="459">
        <f>K21+E22-G22</f>
        <v>7106.5990000000002</v>
      </c>
      <c r="L22" s="338" t="e">
        <f t="shared" si="1"/>
        <v>#DIV/0!</v>
      </c>
      <c r="M22" s="300" t="e">
        <f t="shared" si="2"/>
        <v>#DIV/0!</v>
      </c>
      <c r="N22" s="366"/>
      <c r="O22" s="647">
        <f t="shared" si="3"/>
        <v>2.3680769743418861</v>
      </c>
    </row>
    <row r="23" spans="1:15" s="367" customFormat="1" ht="12" customHeight="1">
      <c r="A23" s="500">
        <v>15</v>
      </c>
      <c r="B23" s="365">
        <f>'FRIT HGE91-FHG'!B23</f>
        <v>46249</v>
      </c>
      <c r="C23" s="365" t="s">
        <v>285</v>
      </c>
      <c r="D23" s="497"/>
      <c r="E23" s="388"/>
      <c r="F23" s="446"/>
      <c r="G23" s="496"/>
      <c r="H23" s="500">
        <f>SUM($F$8:F23)/A23</f>
        <v>0</v>
      </c>
      <c r="I23" s="499">
        <f>SUM($G$8:G23)/A23</f>
        <v>0</v>
      </c>
      <c r="J23" s="500">
        <f t="shared" si="4"/>
        <v>7106.5990000000002</v>
      </c>
      <c r="K23" s="459">
        <f t="shared" si="4"/>
        <v>7106.5990000000002</v>
      </c>
      <c r="L23" s="368" t="e">
        <f t="shared" si="1"/>
        <v>#DIV/0!</v>
      </c>
      <c r="M23" s="300" t="e">
        <f t="shared" si="2"/>
        <v>#DIV/0!</v>
      </c>
      <c r="N23" s="366"/>
      <c r="O23" s="647">
        <f t="shared" si="3"/>
        <v>2.3680769743418861</v>
      </c>
    </row>
    <row r="24" spans="1:15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497"/>
      <c r="E24" s="388"/>
      <c r="F24" s="446"/>
      <c r="G24" s="496"/>
      <c r="H24" s="498">
        <f>SUM($F$8:F24)/A24</f>
        <v>0</v>
      </c>
      <c r="I24" s="499">
        <f>SUM($G$8:G24)/A24</f>
        <v>0</v>
      </c>
      <c r="J24" s="443">
        <f t="shared" si="4"/>
        <v>7106.5990000000002</v>
      </c>
      <c r="K24" s="459">
        <f>K23+E24-G24</f>
        <v>7106.5990000000002</v>
      </c>
      <c r="L24" s="338" t="e">
        <f t="shared" si="1"/>
        <v>#DIV/0!</v>
      </c>
      <c r="M24" s="300" t="e">
        <f t="shared" si="2"/>
        <v>#DIV/0!</v>
      </c>
      <c r="N24" s="366"/>
      <c r="O24" s="647">
        <f t="shared" si="3"/>
        <v>2.3680769743418861</v>
      </c>
    </row>
    <row r="25" spans="1:15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497"/>
      <c r="E25" s="388"/>
      <c r="F25" s="446"/>
      <c r="G25" s="496"/>
      <c r="H25" s="498">
        <f>SUM($F$8:F25)/A25</f>
        <v>0</v>
      </c>
      <c r="I25" s="499">
        <f>SUM($G$8:G25)/A25</f>
        <v>0</v>
      </c>
      <c r="J25" s="443">
        <f t="shared" si="4"/>
        <v>7106.5990000000002</v>
      </c>
      <c r="K25" s="459">
        <f>K24+E25-G25</f>
        <v>7106.5990000000002</v>
      </c>
      <c r="L25" s="338" t="e">
        <f t="shared" si="1"/>
        <v>#DIV/0!</v>
      </c>
      <c r="M25" s="300" t="e">
        <f t="shared" si="2"/>
        <v>#DIV/0!</v>
      </c>
      <c r="N25" s="366"/>
      <c r="O25" s="647">
        <f t="shared" si="3"/>
        <v>2.3680769743418861</v>
      </c>
    </row>
    <row r="26" spans="1:15" s="367" customFormat="1" ht="12" customHeight="1">
      <c r="A26" s="364">
        <v>18</v>
      </c>
      <c r="B26" s="365">
        <f>'FRIT HGE91-FHG'!B26</f>
        <v>46252</v>
      </c>
      <c r="C26" s="365" t="s">
        <v>285</v>
      </c>
      <c r="D26" s="497"/>
      <c r="E26" s="388"/>
      <c r="F26" s="446"/>
      <c r="G26" s="496"/>
      <c r="H26" s="498">
        <f>SUM($F$8:F26)/A26</f>
        <v>0</v>
      </c>
      <c r="I26" s="499">
        <f>SUM($G$8:G26)/A26</f>
        <v>0</v>
      </c>
      <c r="J26" s="443">
        <f t="shared" si="4"/>
        <v>7106.5990000000002</v>
      </c>
      <c r="K26" s="459">
        <f>K25+E26-G26</f>
        <v>7106.5990000000002</v>
      </c>
      <c r="L26" s="338" t="e">
        <f t="shared" si="1"/>
        <v>#DIV/0!</v>
      </c>
      <c r="M26" s="300" t="e">
        <f t="shared" si="2"/>
        <v>#DIV/0!</v>
      </c>
      <c r="N26" s="366"/>
      <c r="O26" s="647">
        <f t="shared" si="3"/>
        <v>2.3680769743418861</v>
      </c>
    </row>
    <row r="27" spans="1:15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497"/>
      <c r="E27" s="388"/>
      <c r="F27" s="446"/>
      <c r="G27" s="496"/>
      <c r="H27" s="498">
        <f>SUM($F$8:F27)/A27</f>
        <v>0</v>
      </c>
      <c r="I27" s="499">
        <f>SUM($G$8:G27)/A27</f>
        <v>0</v>
      </c>
      <c r="J27" s="443">
        <f t="shared" si="4"/>
        <v>7106.5990000000002</v>
      </c>
      <c r="K27" s="459">
        <f>K26+E27-G27</f>
        <v>7106.5990000000002</v>
      </c>
      <c r="L27" s="338" t="e">
        <f t="shared" si="1"/>
        <v>#DIV/0!</v>
      </c>
      <c r="M27" s="300" t="e">
        <f t="shared" si="2"/>
        <v>#DIV/0!</v>
      </c>
      <c r="N27" s="366"/>
      <c r="O27" s="647">
        <f t="shared" si="3"/>
        <v>2.3680769743418861</v>
      </c>
    </row>
    <row r="28" spans="1:15" s="367" customFormat="1" ht="12" customHeight="1">
      <c r="A28" s="500">
        <v>20</v>
      </c>
      <c r="B28" s="365">
        <f>'FRIT HGE91-FHG'!B28</f>
        <v>46254</v>
      </c>
      <c r="C28" s="365" t="s">
        <v>285</v>
      </c>
      <c r="D28" s="497"/>
      <c r="E28" s="388"/>
      <c r="F28" s="446"/>
      <c r="G28" s="496"/>
      <c r="H28" s="500">
        <f>SUM($F$8:F28)/A28</f>
        <v>0</v>
      </c>
      <c r="I28" s="499">
        <f>SUM($G$8:G28)/A28</f>
        <v>0</v>
      </c>
      <c r="J28" s="500">
        <f t="shared" ref="J28:K39" si="5">J27+D28-F28</f>
        <v>7106.5990000000002</v>
      </c>
      <c r="K28" s="459">
        <f t="shared" si="5"/>
        <v>7106.5990000000002</v>
      </c>
      <c r="L28" s="368" t="e">
        <f t="shared" si="1"/>
        <v>#DIV/0!</v>
      </c>
      <c r="M28" s="300" t="e">
        <f t="shared" si="2"/>
        <v>#DIV/0!</v>
      </c>
      <c r="N28" s="366"/>
      <c r="O28" s="647">
        <f t="shared" si="3"/>
        <v>2.3680769743418861</v>
      </c>
    </row>
    <row r="29" spans="1:15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497"/>
      <c r="E29" s="388"/>
      <c r="F29" s="446"/>
      <c r="G29" s="496"/>
      <c r="H29" s="498">
        <f>SUM($F$8:F29)/A29</f>
        <v>0</v>
      </c>
      <c r="I29" s="499">
        <f>SUM($G$8:G29)/A29</f>
        <v>0</v>
      </c>
      <c r="J29" s="443">
        <f t="shared" si="5"/>
        <v>7106.5990000000002</v>
      </c>
      <c r="K29" s="459">
        <f t="shared" si="5"/>
        <v>7106.5990000000002</v>
      </c>
      <c r="L29" s="338" t="e">
        <f t="shared" si="1"/>
        <v>#DIV/0!</v>
      </c>
      <c r="M29" s="300" t="e">
        <f t="shared" si="2"/>
        <v>#DIV/0!</v>
      </c>
      <c r="N29" s="366"/>
      <c r="O29" s="647">
        <f t="shared" si="3"/>
        <v>2.3680769743418861</v>
      </c>
    </row>
    <row r="30" spans="1:15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497"/>
      <c r="E30" s="388"/>
      <c r="F30" s="446"/>
      <c r="G30" s="496"/>
      <c r="H30" s="498">
        <f>SUM($F$8:F30)/A30</f>
        <v>0</v>
      </c>
      <c r="I30" s="499">
        <f>SUM($G$8:G30)/A30</f>
        <v>0</v>
      </c>
      <c r="J30" s="443">
        <f t="shared" si="5"/>
        <v>7106.5990000000002</v>
      </c>
      <c r="K30" s="459">
        <f t="shared" si="5"/>
        <v>7106.5990000000002</v>
      </c>
      <c r="L30" s="338" t="e">
        <f t="shared" si="1"/>
        <v>#DIV/0!</v>
      </c>
      <c r="M30" s="300" t="e">
        <f t="shared" si="2"/>
        <v>#DIV/0!</v>
      </c>
      <c r="N30" s="366"/>
      <c r="O30" s="647">
        <f t="shared" si="3"/>
        <v>2.3680769743418861</v>
      </c>
    </row>
    <row r="31" spans="1:15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497"/>
      <c r="E31" s="388"/>
      <c r="F31" s="446"/>
      <c r="G31" s="496"/>
      <c r="H31" s="498">
        <f>SUM($F$8:F31)/A31</f>
        <v>0</v>
      </c>
      <c r="I31" s="499">
        <f>SUM($G$8:G31)/A31</f>
        <v>0</v>
      </c>
      <c r="J31" s="443">
        <f t="shared" si="5"/>
        <v>7106.5990000000002</v>
      </c>
      <c r="K31" s="459">
        <f t="shared" si="5"/>
        <v>7106.5990000000002</v>
      </c>
      <c r="L31" s="338" t="e">
        <f t="shared" si="1"/>
        <v>#DIV/0!</v>
      </c>
      <c r="M31" s="300" t="e">
        <f t="shared" si="2"/>
        <v>#DIV/0!</v>
      </c>
      <c r="N31" s="366"/>
      <c r="O31" s="647">
        <f t="shared" si="3"/>
        <v>2.3680769743418861</v>
      </c>
    </row>
    <row r="32" spans="1:15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497"/>
      <c r="E32" s="388"/>
      <c r="F32" s="446"/>
      <c r="G32" s="496"/>
      <c r="H32" s="498">
        <f>SUM($F$8:F32)/A32</f>
        <v>0</v>
      </c>
      <c r="I32" s="499">
        <f>SUM($G$8:G32)/A32</f>
        <v>0</v>
      </c>
      <c r="J32" s="443">
        <f t="shared" si="5"/>
        <v>7106.5990000000002</v>
      </c>
      <c r="K32" s="459">
        <f t="shared" si="5"/>
        <v>7106.5990000000002</v>
      </c>
      <c r="L32" s="338" t="e">
        <f t="shared" si="1"/>
        <v>#DIV/0!</v>
      </c>
      <c r="M32" s="300" t="e">
        <f t="shared" si="2"/>
        <v>#DIV/0!</v>
      </c>
      <c r="N32" s="366"/>
      <c r="O32" s="647">
        <f t="shared" si="3"/>
        <v>2.3680769743418861</v>
      </c>
    </row>
    <row r="33" spans="1:15" s="367" customFormat="1" ht="12" customHeight="1">
      <c r="A33" s="448">
        <v>25</v>
      </c>
      <c r="B33" s="365">
        <f>'FRIT HGE91-FHG'!B33</f>
        <v>46259</v>
      </c>
      <c r="C33" s="365" t="s">
        <v>285</v>
      </c>
      <c r="D33" s="497"/>
      <c r="E33" s="388"/>
      <c r="F33" s="446"/>
      <c r="G33" s="496"/>
      <c r="H33" s="448">
        <f>SUM($F$8:F33)/A33</f>
        <v>0</v>
      </c>
      <c r="I33" s="499">
        <f>SUM($G$8:G33)/A33</f>
        <v>0</v>
      </c>
      <c r="J33" s="448">
        <f t="shared" si="5"/>
        <v>7106.5990000000002</v>
      </c>
      <c r="K33" s="459">
        <f t="shared" si="5"/>
        <v>7106.5990000000002</v>
      </c>
      <c r="L33" s="369" t="e">
        <f t="shared" si="1"/>
        <v>#DIV/0!</v>
      </c>
      <c r="M33" s="300" t="e">
        <f t="shared" si="2"/>
        <v>#DIV/0!</v>
      </c>
      <c r="N33" s="366"/>
      <c r="O33" s="647">
        <f t="shared" si="3"/>
        <v>2.3680769743418861</v>
      </c>
    </row>
    <row r="34" spans="1:15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497"/>
      <c r="E34" s="388"/>
      <c r="F34" s="446"/>
      <c r="G34" s="496"/>
      <c r="H34" s="498">
        <f>SUM($F$8:F34)/A34</f>
        <v>0</v>
      </c>
      <c r="I34" s="499">
        <f>SUM($G$8:G34)/A34</f>
        <v>0</v>
      </c>
      <c r="J34" s="443">
        <f t="shared" si="5"/>
        <v>7106.5990000000002</v>
      </c>
      <c r="K34" s="459">
        <f t="shared" si="5"/>
        <v>7106.5990000000002</v>
      </c>
      <c r="L34" s="338" t="e">
        <f t="shared" si="1"/>
        <v>#DIV/0!</v>
      </c>
      <c r="M34" s="300" t="e">
        <f t="shared" si="2"/>
        <v>#DIV/0!</v>
      </c>
      <c r="N34" s="366"/>
      <c r="O34" s="647">
        <f t="shared" si="3"/>
        <v>2.3680769743418861</v>
      </c>
    </row>
    <row r="35" spans="1:15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1"/>
      <c r="E35" s="388"/>
      <c r="F35" s="446"/>
      <c r="G35" s="496"/>
      <c r="H35" s="498">
        <f>SUM($F$8:F35)/A35</f>
        <v>0</v>
      </c>
      <c r="I35" s="499">
        <f>SUM($G$8:G35)/A35</f>
        <v>0</v>
      </c>
      <c r="J35" s="443">
        <f t="shared" si="5"/>
        <v>7106.5990000000002</v>
      </c>
      <c r="K35" s="459">
        <f t="shared" si="5"/>
        <v>7106.5990000000002</v>
      </c>
      <c r="L35" s="338" t="e">
        <f t="shared" si="1"/>
        <v>#DIV/0!</v>
      </c>
      <c r="M35" s="300" t="e">
        <f t="shared" si="2"/>
        <v>#DIV/0!</v>
      </c>
      <c r="N35" s="366"/>
      <c r="O35" s="647">
        <f t="shared" si="3"/>
        <v>2.3680769743418861</v>
      </c>
    </row>
    <row r="36" spans="1:15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1"/>
      <c r="E36" s="388"/>
      <c r="F36" s="446"/>
      <c r="G36" s="496"/>
      <c r="H36" s="498">
        <f>SUM($F$8:F36)/A36</f>
        <v>0</v>
      </c>
      <c r="I36" s="499">
        <f>SUM($G$8:G36)/A36</f>
        <v>0</v>
      </c>
      <c r="J36" s="443">
        <f t="shared" si="5"/>
        <v>7106.5990000000002</v>
      </c>
      <c r="K36" s="459">
        <f t="shared" si="5"/>
        <v>7106.5990000000002</v>
      </c>
      <c r="L36" s="338" t="e">
        <f t="shared" si="1"/>
        <v>#DIV/0!</v>
      </c>
      <c r="M36" s="300" t="e">
        <f t="shared" si="2"/>
        <v>#DIV/0!</v>
      </c>
      <c r="N36" s="366"/>
      <c r="O36" s="647">
        <f t="shared" si="3"/>
        <v>2.3680769743418861</v>
      </c>
    </row>
    <row r="37" spans="1:15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1"/>
      <c r="E37" s="388"/>
      <c r="F37" s="446"/>
      <c r="G37" s="496"/>
      <c r="H37" s="498">
        <f>SUM($F$8:F37)/A37</f>
        <v>0</v>
      </c>
      <c r="I37" s="499">
        <f>SUM($G$8:G37)/A37</f>
        <v>0</v>
      </c>
      <c r="J37" s="443">
        <f t="shared" si="5"/>
        <v>7106.5990000000002</v>
      </c>
      <c r="K37" s="459">
        <f t="shared" si="5"/>
        <v>7106.5990000000002</v>
      </c>
      <c r="L37" s="338" t="e">
        <f t="shared" si="1"/>
        <v>#DIV/0!</v>
      </c>
      <c r="M37" s="300" t="e">
        <f t="shared" si="2"/>
        <v>#DIV/0!</v>
      </c>
      <c r="N37" s="366"/>
      <c r="O37" s="647">
        <f t="shared" si="3"/>
        <v>2.3680769743418861</v>
      </c>
    </row>
    <row r="38" spans="1:15" s="367" customFormat="1" ht="12" customHeight="1">
      <c r="A38" s="500">
        <v>30</v>
      </c>
      <c r="B38" s="365">
        <f>'FRIT HGE91-FHG'!B38</f>
        <v>46264</v>
      </c>
      <c r="C38" s="365" t="s">
        <v>285</v>
      </c>
      <c r="D38" s="497"/>
      <c r="E38" s="388"/>
      <c r="F38" s="446"/>
      <c r="G38" s="496"/>
      <c r="H38" s="500">
        <f>SUM($F$8:F38)/A38</f>
        <v>0</v>
      </c>
      <c r="I38" s="499">
        <f>SUM($G$8:G38)/A38</f>
        <v>0</v>
      </c>
      <c r="J38" s="500">
        <f t="shared" si="5"/>
        <v>7106.5990000000002</v>
      </c>
      <c r="K38" s="459">
        <f t="shared" si="5"/>
        <v>7106.5990000000002</v>
      </c>
      <c r="L38" s="368" t="e">
        <f t="shared" si="1"/>
        <v>#DIV/0!</v>
      </c>
      <c r="M38" s="300" t="e">
        <f t="shared" si="2"/>
        <v>#DIV/0!</v>
      </c>
      <c r="N38" s="366"/>
      <c r="O38" s="647">
        <f t="shared" si="3"/>
        <v>2.3680769743418861</v>
      </c>
    </row>
    <row r="39" spans="1:15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497"/>
      <c r="E39" s="388"/>
      <c r="F39" s="446"/>
      <c r="G39" s="496"/>
      <c r="H39" s="498">
        <f>SUM($F$8:F39)/A39</f>
        <v>0</v>
      </c>
      <c r="I39" s="499">
        <f>SUM($G$8:G39)/A39</f>
        <v>0</v>
      </c>
      <c r="J39" s="443">
        <f t="shared" si="5"/>
        <v>7106.5990000000002</v>
      </c>
      <c r="K39" s="459">
        <f t="shared" si="5"/>
        <v>7106.5990000000002</v>
      </c>
      <c r="L39" s="338" t="e">
        <f t="shared" si="1"/>
        <v>#DIV/0!</v>
      </c>
      <c r="M39" s="300" t="e">
        <f t="shared" si="2"/>
        <v>#DIV/0!</v>
      </c>
      <c r="N39" s="366"/>
      <c r="O39" s="647">
        <f t="shared" si="3"/>
        <v>2.3680769743418861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7106.5990000000002</v>
      </c>
      <c r="K40" s="461">
        <f>K39</f>
        <v>7106.5990000000002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7106.5990000000002</v>
      </c>
      <c r="E41" s="388">
        <f>E8+E40</f>
        <v>7106.5990000000002</v>
      </c>
      <c r="F41" s="389">
        <f>F40</f>
        <v>0</v>
      </c>
      <c r="G41" s="496">
        <f>G40</f>
        <v>0</v>
      </c>
      <c r="H41" s="389"/>
      <c r="I41" s="496"/>
      <c r="J41" s="389">
        <f>D41-F41</f>
        <v>7106.5990000000002</v>
      </c>
      <c r="K41" s="389">
        <f>E41-G41</f>
        <v>7106.5990000000002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7" spans="1:15">
      <c r="D47" s="143"/>
      <c r="E47" s="143"/>
      <c r="F47" s="143"/>
      <c r="G47" s="143"/>
      <c r="H47" s="143"/>
      <c r="I47" s="143"/>
      <c r="K47" s="143"/>
    </row>
    <row r="48" spans="1:15">
      <c r="D48" s="143"/>
      <c r="E48" s="143"/>
      <c r="F48" s="143"/>
      <c r="G48" s="143"/>
      <c r="H48" s="143"/>
      <c r="I48" s="143"/>
      <c r="K48" s="143"/>
    </row>
    <row r="49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9:M39">
    <cfRule type="cellIs" dxfId="4229" priority="118" operator="lessThan">
      <formula>15</formula>
    </cfRule>
    <cfRule type="cellIs" dxfId="4228" priority="119" operator="greaterThan">
      <formula>20</formula>
    </cfRule>
    <cfRule type="cellIs" dxfId="4227" priority="120" operator="between">
      <formula>15</formula>
      <formula>20</formula>
    </cfRule>
    <cfRule type="cellIs" dxfId="4226" priority="121" operator="between">
      <formula>15</formula>
      <formula>20</formula>
    </cfRule>
    <cfRule type="cellIs" dxfId="4225" priority="122" operator="lessThan">
      <formula>15</formula>
    </cfRule>
    <cfRule type="cellIs" dxfId="4224" priority="123" operator="greaterThan">
      <formula>20</formula>
    </cfRule>
    <cfRule type="cellIs" dxfId="4223" priority="124" operator="between">
      <formula>15</formula>
      <formula>21</formula>
    </cfRule>
    <cfRule type="cellIs" dxfId="4222" priority="125" operator="lessThan">
      <formula>15</formula>
    </cfRule>
    <cfRule type="cellIs" dxfId="4221" priority="126" operator="greaterThan">
      <formula>21</formula>
    </cfRule>
  </conditionalFormatting>
  <conditionalFormatting sqref="M38">
    <cfRule type="cellIs" dxfId="4220" priority="109" operator="lessThan">
      <formula>15</formula>
    </cfRule>
    <cfRule type="cellIs" dxfId="4219" priority="110" operator="greaterThan">
      <formula>20</formula>
    </cfRule>
    <cfRule type="cellIs" dxfId="4218" priority="111" operator="between">
      <formula>15</formula>
      <formula>20</formula>
    </cfRule>
    <cfRule type="cellIs" dxfId="4217" priority="112" operator="between">
      <formula>15</formula>
      <formula>20</formula>
    </cfRule>
    <cfRule type="cellIs" dxfId="4216" priority="113" operator="lessThan">
      <formula>15</formula>
    </cfRule>
    <cfRule type="cellIs" dxfId="4215" priority="114" operator="greaterThan">
      <formula>20</formula>
    </cfRule>
    <cfRule type="cellIs" dxfId="4214" priority="115" operator="between">
      <formula>15</formula>
      <formula>21</formula>
    </cfRule>
    <cfRule type="cellIs" dxfId="4213" priority="116" operator="lessThan">
      <formula>15</formula>
    </cfRule>
    <cfRule type="cellIs" dxfId="4212" priority="117" operator="greaterThan">
      <formula>21</formula>
    </cfRule>
  </conditionalFormatting>
  <conditionalFormatting sqref="M33">
    <cfRule type="cellIs" dxfId="4211" priority="100" operator="lessThan">
      <formula>15</formula>
    </cfRule>
    <cfRule type="cellIs" dxfId="4210" priority="101" operator="greaterThan">
      <formula>20</formula>
    </cfRule>
    <cfRule type="cellIs" dxfId="4209" priority="102" operator="between">
      <formula>15</formula>
      <formula>20</formula>
    </cfRule>
    <cfRule type="cellIs" dxfId="4208" priority="103" operator="between">
      <formula>15</formula>
      <formula>20</formula>
    </cfRule>
    <cfRule type="cellIs" dxfId="4207" priority="104" operator="lessThan">
      <formula>15</formula>
    </cfRule>
    <cfRule type="cellIs" dxfId="4206" priority="105" operator="greaterThan">
      <formula>20</formula>
    </cfRule>
    <cfRule type="cellIs" dxfId="4205" priority="106" operator="between">
      <formula>15</formula>
      <formula>21</formula>
    </cfRule>
    <cfRule type="cellIs" dxfId="4204" priority="107" operator="lessThan">
      <formula>15</formula>
    </cfRule>
    <cfRule type="cellIs" dxfId="4203" priority="108" operator="greaterThan">
      <formula>21</formula>
    </cfRule>
  </conditionalFormatting>
  <conditionalFormatting sqref="M28">
    <cfRule type="cellIs" dxfId="4202" priority="91" operator="lessThan">
      <formula>15</formula>
    </cfRule>
    <cfRule type="cellIs" dxfId="4201" priority="92" operator="greaterThan">
      <formula>20</formula>
    </cfRule>
    <cfRule type="cellIs" dxfId="4200" priority="93" operator="between">
      <formula>15</formula>
      <formula>20</formula>
    </cfRule>
    <cfRule type="cellIs" dxfId="4199" priority="94" operator="between">
      <formula>15</formula>
      <formula>20</formula>
    </cfRule>
    <cfRule type="cellIs" dxfId="4198" priority="95" operator="lessThan">
      <formula>15</formula>
    </cfRule>
    <cfRule type="cellIs" dxfId="4197" priority="96" operator="greaterThan">
      <formula>20</formula>
    </cfRule>
    <cfRule type="cellIs" dxfId="4196" priority="97" operator="between">
      <formula>15</formula>
      <formula>21</formula>
    </cfRule>
    <cfRule type="cellIs" dxfId="4195" priority="98" operator="lessThan">
      <formula>15</formula>
    </cfRule>
    <cfRule type="cellIs" dxfId="4194" priority="99" operator="greaterThan">
      <formula>21</formula>
    </cfRule>
  </conditionalFormatting>
  <conditionalFormatting sqref="M23">
    <cfRule type="cellIs" dxfId="4193" priority="82" operator="lessThan">
      <formula>15</formula>
    </cfRule>
    <cfRule type="cellIs" dxfId="4192" priority="83" operator="greaterThan">
      <formula>20</formula>
    </cfRule>
    <cfRule type="cellIs" dxfId="4191" priority="84" operator="between">
      <formula>15</formula>
      <formula>20</formula>
    </cfRule>
    <cfRule type="cellIs" dxfId="4190" priority="85" operator="between">
      <formula>15</formula>
      <formula>20</formula>
    </cfRule>
    <cfRule type="cellIs" dxfId="4189" priority="86" operator="lessThan">
      <formula>15</formula>
    </cfRule>
    <cfRule type="cellIs" dxfId="4188" priority="87" operator="greaterThan">
      <formula>20</formula>
    </cfRule>
    <cfRule type="cellIs" dxfId="4187" priority="88" operator="between">
      <formula>15</formula>
      <formula>21</formula>
    </cfRule>
    <cfRule type="cellIs" dxfId="4186" priority="89" operator="lessThan">
      <formula>15</formula>
    </cfRule>
    <cfRule type="cellIs" dxfId="4185" priority="90" operator="greaterThan">
      <formula>21</formula>
    </cfRule>
  </conditionalFormatting>
  <conditionalFormatting sqref="M18">
    <cfRule type="cellIs" dxfId="4184" priority="73" operator="lessThan">
      <formula>15</formula>
    </cfRule>
    <cfRule type="cellIs" dxfId="4183" priority="74" operator="greaterThan">
      <formula>20</formula>
    </cfRule>
    <cfRule type="cellIs" dxfId="4182" priority="75" operator="between">
      <formula>15</formula>
      <formula>20</formula>
    </cfRule>
    <cfRule type="cellIs" dxfId="4181" priority="76" operator="between">
      <formula>15</formula>
      <formula>20</formula>
    </cfRule>
    <cfRule type="cellIs" dxfId="4180" priority="77" operator="lessThan">
      <formula>15</formula>
    </cfRule>
    <cfRule type="cellIs" dxfId="4179" priority="78" operator="greaterThan">
      <formula>20</formula>
    </cfRule>
    <cfRule type="cellIs" dxfId="4178" priority="79" operator="between">
      <formula>15</formula>
      <formula>21</formula>
    </cfRule>
    <cfRule type="cellIs" dxfId="4177" priority="80" operator="lessThan">
      <formula>15</formula>
    </cfRule>
    <cfRule type="cellIs" dxfId="4176" priority="81" operator="greaterThan">
      <formula>21</formula>
    </cfRule>
  </conditionalFormatting>
  <conditionalFormatting sqref="M35:M37">
    <cfRule type="cellIs" dxfId="4175" priority="64" operator="lessThan">
      <formula>15</formula>
    </cfRule>
    <cfRule type="cellIs" dxfId="4174" priority="65" operator="greaterThan">
      <formula>20</formula>
    </cfRule>
    <cfRule type="cellIs" dxfId="4173" priority="66" operator="between">
      <formula>15</formula>
      <formula>20</formula>
    </cfRule>
    <cfRule type="cellIs" dxfId="4172" priority="67" operator="between">
      <formula>15</formula>
      <formula>20</formula>
    </cfRule>
    <cfRule type="cellIs" dxfId="4171" priority="68" operator="lessThan">
      <formula>15</formula>
    </cfRule>
    <cfRule type="cellIs" dxfId="4170" priority="69" operator="greaterThan">
      <formula>20</formula>
    </cfRule>
    <cfRule type="cellIs" dxfId="4169" priority="70" operator="between">
      <formula>15</formula>
      <formula>21</formula>
    </cfRule>
    <cfRule type="cellIs" dxfId="4168" priority="71" operator="lessThan">
      <formula>15</formula>
    </cfRule>
    <cfRule type="cellIs" dxfId="4167" priority="72" operator="greaterThan">
      <formula>21</formula>
    </cfRule>
  </conditionalFormatting>
  <conditionalFormatting sqref="M13">
    <cfRule type="cellIs" dxfId="4166" priority="55" operator="lessThan">
      <formula>15</formula>
    </cfRule>
    <cfRule type="cellIs" dxfId="4165" priority="56" operator="greaterThan">
      <formula>20</formula>
    </cfRule>
    <cfRule type="cellIs" dxfId="4164" priority="57" operator="between">
      <formula>15</formula>
      <formula>20</formula>
    </cfRule>
    <cfRule type="cellIs" dxfId="4163" priority="58" operator="between">
      <formula>15</formula>
      <formula>20</formula>
    </cfRule>
    <cfRule type="cellIs" dxfId="4162" priority="59" operator="lessThan">
      <formula>15</formula>
    </cfRule>
    <cfRule type="cellIs" dxfId="4161" priority="60" operator="greaterThan">
      <formula>20</formula>
    </cfRule>
    <cfRule type="cellIs" dxfId="4160" priority="61" operator="between">
      <formula>15</formula>
      <formula>21</formula>
    </cfRule>
    <cfRule type="cellIs" dxfId="4159" priority="62" operator="lessThan">
      <formula>15</formula>
    </cfRule>
    <cfRule type="cellIs" dxfId="4158" priority="63" operator="greaterThan">
      <formula>21</formula>
    </cfRule>
  </conditionalFormatting>
  <conditionalFormatting sqref="M20">
    <cfRule type="cellIs" dxfId="4157" priority="46" operator="lessThan">
      <formula>15</formula>
    </cfRule>
    <cfRule type="cellIs" dxfId="4156" priority="47" operator="greaterThan">
      <formula>20</formula>
    </cfRule>
    <cfRule type="cellIs" dxfId="4155" priority="48" operator="between">
      <formula>15</formula>
      <formula>20</formula>
    </cfRule>
    <cfRule type="cellIs" dxfId="4154" priority="49" operator="between">
      <formula>15</formula>
      <formula>20</formula>
    </cfRule>
    <cfRule type="cellIs" dxfId="4153" priority="50" operator="lessThan">
      <formula>15</formula>
    </cfRule>
    <cfRule type="cellIs" dxfId="4152" priority="51" operator="greaterThan">
      <formula>20</formula>
    </cfRule>
    <cfRule type="cellIs" dxfId="4151" priority="52" operator="between">
      <formula>15</formula>
      <formula>21</formula>
    </cfRule>
    <cfRule type="cellIs" dxfId="4150" priority="53" operator="lessThan">
      <formula>15</formula>
    </cfRule>
    <cfRule type="cellIs" dxfId="4149" priority="54" operator="greaterThan">
      <formula>21</formula>
    </cfRule>
  </conditionalFormatting>
  <conditionalFormatting sqref="M27">
    <cfRule type="cellIs" dxfId="4148" priority="37" operator="lessThan">
      <formula>15</formula>
    </cfRule>
    <cfRule type="cellIs" dxfId="4147" priority="38" operator="greaterThan">
      <formula>20</formula>
    </cfRule>
    <cfRule type="cellIs" dxfId="4146" priority="39" operator="between">
      <formula>15</formula>
      <formula>20</formula>
    </cfRule>
    <cfRule type="cellIs" dxfId="4145" priority="40" operator="between">
      <formula>15</formula>
      <formula>20</formula>
    </cfRule>
    <cfRule type="cellIs" dxfId="4144" priority="41" operator="lessThan">
      <formula>15</formula>
    </cfRule>
    <cfRule type="cellIs" dxfId="4143" priority="42" operator="greaterThan">
      <formula>20</formula>
    </cfRule>
    <cfRule type="cellIs" dxfId="4142" priority="43" operator="between">
      <formula>15</formula>
      <formula>21</formula>
    </cfRule>
    <cfRule type="cellIs" dxfId="4141" priority="44" operator="lessThan">
      <formula>15</formula>
    </cfRule>
    <cfRule type="cellIs" dxfId="4140" priority="45" operator="greaterThan">
      <formula>21</formula>
    </cfRule>
  </conditionalFormatting>
  <conditionalFormatting sqref="M34">
    <cfRule type="cellIs" dxfId="4139" priority="28" operator="lessThan">
      <formula>15</formula>
    </cfRule>
    <cfRule type="cellIs" dxfId="4138" priority="29" operator="greaterThan">
      <formula>20</formula>
    </cfRule>
    <cfRule type="cellIs" dxfId="4137" priority="30" operator="between">
      <formula>15</formula>
      <formula>20</formula>
    </cfRule>
    <cfRule type="cellIs" dxfId="4136" priority="31" operator="between">
      <formula>15</formula>
      <formula>20</formula>
    </cfRule>
    <cfRule type="cellIs" dxfId="4135" priority="32" operator="lessThan">
      <formula>15</formula>
    </cfRule>
    <cfRule type="cellIs" dxfId="4134" priority="33" operator="greaterThan">
      <formula>20</formula>
    </cfRule>
    <cfRule type="cellIs" dxfId="4133" priority="34" operator="between">
      <formula>15</formula>
      <formula>21</formula>
    </cfRule>
    <cfRule type="cellIs" dxfId="4132" priority="35" operator="lessThan">
      <formula>15</formula>
    </cfRule>
    <cfRule type="cellIs" dxfId="4131" priority="36" operator="greaterThan">
      <formula>21</formula>
    </cfRule>
  </conditionalFormatting>
  <conditionalFormatting sqref="M14:M17 M39 M21:M22 M24:M26 M19">
    <cfRule type="cellIs" dxfId="4130" priority="19" operator="lessThan">
      <formula>15</formula>
    </cfRule>
    <cfRule type="cellIs" dxfId="4129" priority="20" operator="greaterThan">
      <formula>20</formula>
    </cfRule>
    <cfRule type="cellIs" dxfId="4128" priority="21" operator="between">
      <formula>15</formula>
      <formula>20</formula>
    </cfRule>
    <cfRule type="cellIs" dxfId="4127" priority="22" operator="between">
      <formula>15</formula>
      <formula>20</formula>
    </cfRule>
    <cfRule type="cellIs" dxfId="4126" priority="23" operator="lessThan">
      <formula>15</formula>
    </cfRule>
    <cfRule type="cellIs" dxfId="4125" priority="24" operator="greaterThan">
      <formula>20</formula>
    </cfRule>
    <cfRule type="cellIs" dxfId="4124" priority="25" operator="between">
      <formula>15</formula>
      <formula>21</formula>
    </cfRule>
    <cfRule type="cellIs" dxfId="4123" priority="26" operator="lessThan">
      <formula>15</formula>
    </cfRule>
    <cfRule type="cellIs" dxfId="4122" priority="27" operator="greaterThan">
      <formula>21</formula>
    </cfRule>
  </conditionalFormatting>
  <conditionalFormatting sqref="M9:M12">
    <cfRule type="cellIs" dxfId="4121" priority="10" operator="lessThan">
      <formula>15</formula>
    </cfRule>
    <cfRule type="cellIs" dxfId="4120" priority="11" operator="greaterThan">
      <formula>20</formula>
    </cfRule>
    <cfRule type="cellIs" dxfId="4119" priority="12" operator="between">
      <formula>15</formula>
      <formula>20</formula>
    </cfRule>
    <cfRule type="cellIs" dxfId="4118" priority="13" operator="between">
      <formula>15</formula>
      <formula>20</formula>
    </cfRule>
    <cfRule type="cellIs" dxfId="4117" priority="14" operator="lessThan">
      <formula>15</formula>
    </cfRule>
    <cfRule type="cellIs" dxfId="4116" priority="15" operator="greaterThan">
      <formula>20</formula>
    </cfRule>
    <cfRule type="cellIs" dxfId="4115" priority="16" operator="between">
      <formula>15</formula>
      <formula>21</formula>
    </cfRule>
    <cfRule type="cellIs" dxfId="4114" priority="17" operator="lessThan">
      <formula>15</formula>
    </cfRule>
    <cfRule type="cellIs" dxfId="4113" priority="18" operator="greaterThan">
      <formula>21</formula>
    </cfRule>
  </conditionalFormatting>
  <conditionalFormatting sqref="M29:M32">
    <cfRule type="cellIs" dxfId="4112" priority="1" operator="lessThan">
      <formula>15</formula>
    </cfRule>
    <cfRule type="cellIs" dxfId="4111" priority="2" operator="greaterThan">
      <formula>20</formula>
    </cfRule>
    <cfRule type="cellIs" dxfId="4110" priority="3" operator="between">
      <formula>15</formula>
      <formula>20</formula>
    </cfRule>
    <cfRule type="cellIs" dxfId="4109" priority="4" operator="between">
      <formula>15</formula>
      <formula>20</formula>
    </cfRule>
    <cfRule type="cellIs" dxfId="4108" priority="5" operator="lessThan">
      <formula>15</formula>
    </cfRule>
    <cfRule type="cellIs" dxfId="4107" priority="6" operator="greaterThan">
      <formula>20</formula>
    </cfRule>
    <cfRule type="cellIs" dxfId="4106" priority="7" operator="between">
      <formula>15</formula>
      <formula>21</formula>
    </cfRule>
    <cfRule type="cellIs" dxfId="4105" priority="8" operator="lessThan">
      <formula>15</formula>
    </cfRule>
    <cfRule type="cellIs" dxfId="4104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50"/>
  <sheetViews>
    <sheetView zoomScale="80" zoomScaleNormal="80" workbookViewId="0">
      <pane ySplit="8" topLeftCell="A24" activePane="bottomLeft" state="frozen"/>
      <selection pane="bottomLeft" activeCell="M5" sqref="M5"/>
    </sheetView>
  </sheetViews>
  <sheetFormatPr defaultColWidth="9.28515625" defaultRowHeight="15"/>
  <cols>
    <col min="1" max="1" width="5.28515625" style="143" customWidth="1"/>
    <col min="2" max="2" width="8.140625" style="143" customWidth="1"/>
    <col min="3" max="3" width="17.5703125" style="143" customWidth="1"/>
    <col min="4" max="11" width="9.5703125" style="142" customWidth="1"/>
    <col min="12" max="13" width="13.28515625" style="143" customWidth="1"/>
    <col min="14" max="14" width="6.1406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FRIT FP940</v>
      </c>
      <c r="D4" s="383"/>
      <c r="E4" s="383" t="s">
        <v>228</v>
      </c>
      <c r="F4" s="383" t="s">
        <v>230</v>
      </c>
      <c r="G4" s="383"/>
      <c r="I4" s="383" t="s">
        <v>120</v>
      </c>
      <c r="J4" s="316" t="s">
        <v>299</v>
      </c>
      <c r="K4" s="319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267</v>
      </c>
      <c r="E8" s="388">
        <f>K8</f>
        <v>267</v>
      </c>
      <c r="F8" s="389"/>
      <c r="G8" s="388"/>
      <c r="H8" s="387"/>
      <c r="I8" s="388"/>
      <c r="J8" s="390">
        <f>K8-K8*N8</f>
        <v>267</v>
      </c>
      <c r="K8" s="389">
        <v>267</v>
      </c>
      <c r="L8" s="303"/>
      <c r="M8" s="304"/>
      <c r="N8" s="366">
        <v>0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65" t="s">
        <v>285</v>
      </c>
      <c r="D9" s="497"/>
      <c r="E9" s="388"/>
      <c r="F9" s="446">
        <f>G9</f>
        <v>0</v>
      </c>
      <c r="G9" s="496"/>
      <c r="H9" s="498">
        <f>SUM($F$9:F9)/A9</f>
        <v>0</v>
      </c>
      <c r="I9" s="499">
        <f>SUM($G$9:G9)/A9</f>
        <v>0</v>
      </c>
      <c r="J9" s="443">
        <f t="shared" ref="J9:J39" si="0">J8+D9-F9</f>
        <v>267</v>
      </c>
      <c r="K9" s="459"/>
      <c r="L9" s="338" t="e">
        <f>J9/H9</f>
        <v>#DIV/0!</v>
      </c>
      <c r="M9" s="300" t="e">
        <f>K9/I9</f>
        <v>#DIV/0!</v>
      </c>
      <c r="N9" s="366"/>
      <c r="O9" s="647">
        <f>J9/$O$8</f>
        <v>8.8970343218927023E-2</v>
      </c>
    </row>
    <row r="10" spans="1:25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497"/>
      <c r="E10" s="388"/>
      <c r="F10" s="446">
        <f t="shared" ref="F10:F39" si="1">G10</f>
        <v>0</v>
      </c>
      <c r="G10" s="496"/>
      <c r="H10" s="498">
        <f>SUM($F$9:F10)/A10</f>
        <v>0</v>
      </c>
      <c r="I10" s="499">
        <f>SUM($G$9:G10)/A10</f>
        <v>0</v>
      </c>
      <c r="J10" s="443">
        <f t="shared" si="0"/>
        <v>267</v>
      </c>
      <c r="K10" s="459"/>
      <c r="L10" s="338" t="e">
        <f t="shared" ref="L10:M39" si="2">J10/H10</f>
        <v>#DIV/0!</v>
      </c>
      <c r="M10" s="300" t="e">
        <f t="shared" si="2"/>
        <v>#DIV/0!</v>
      </c>
      <c r="N10" s="366"/>
      <c r="O10" s="647">
        <f t="shared" ref="O10:O39" si="3">J10/$O$8</f>
        <v>8.8970343218927023E-2</v>
      </c>
    </row>
    <row r="11" spans="1:25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497"/>
      <c r="E11" s="388"/>
      <c r="F11" s="446">
        <f t="shared" si="1"/>
        <v>0</v>
      </c>
      <c r="G11" s="496"/>
      <c r="H11" s="498">
        <f>SUM($F$9:F11)/A11</f>
        <v>0</v>
      </c>
      <c r="I11" s="499">
        <f>SUM($G$9:G11)/A11</f>
        <v>0</v>
      </c>
      <c r="J11" s="443">
        <f t="shared" si="0"/>
        <v>267</v>
      </c>
      <c r="K11" s="459"/>
      <c r="L11" s="338" t="e">
        <f t="shared" si="2"/>
        <v>#DIV/0!</v>
      </c>
      <c r="M11" s="300" t="e">
        <f t="shared" si="2"/>
        <v>#DIV/0!</v>
      </c>
      <c r="N11" s="366"/>
      <c r="O11" s="647">
        <f t="shared" si="3"/>
        <v>8.8970343218927023E-2</v>
      </c>
    </row>
    <row r="12" spans="1:25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497"/>
      <c r="E12" s="388"/>
      <c r="F12" s="446">
        <f t="shared" si="1"/>
        <v>0</v>
      </c>
      <c r="G12" s="496"/>
      <c r="H12" s="498">
        <f>SUM($F$9:F12)/A12</f>
        <v>0</v>
      </c>
      <c r="I12" s="499">
        <f>SUM($G$9:G12)/A12</f>
        <v>0</v>
      </c>
      <c r="J12" s="443">
        <f t="shared" si="0"/>
        <v>267</v>
      </c>
      <c r="K12" s="459"/>
      <c r="L12" s="338" t="e">
        <f t="shared" si="2"/>
        <v>#DIV/0!</v>
      </c>
      <c r="M12" s="300" t="e">
        <f t="shared" si="2"/>
        <v>#DIV/0!</v>
      </c>
      <c r="N12" s="366"/>
      <c r="O12" s="647">
        <f t="shared" si="3"/>
        <v>8.8970343218927023E-2</v>
      </c>
    </row>
    <row r="13" spans="1:25" s="367" customFormat="1" ht="12" customHeight="1">
      <c r="A13" s="500">
        <v>5</v>
      </c>
      <c r="B13" s="365">
        <f>'FRIT HGE91-FHG'!B13</f>
        <v>46239</v>
      </c>
      <c r="C13" s="365" t="s">
        <v>285</v>
      </c>
      <c r="D13" s="497"/>
      <c r="E13" s="388"/>
      <c r="F13" s="446">
        <f t="shared" si="1"/>
        <v>0</v>
      </c>
      <c r="G13" s="496"/>
      <c r="H13" s="500">
        <f>SUM($F$9:F13)/A13</f>
        <v>0</v>
      </c>
      <c r="I13" s="499">
        <f>SUM($G$9:G13)/A13</f>
        <v>0</v>
      </c>
      <c r="J13" s="500">
        <f t="shared" si="0"/>
        <v>267</v>
      </c>
      <c r="K13" s="459"/>
      <c r="L13" s="368" t="e">
        <f t="shared" si="2"/>
        <v>#DIV/0!</v>
      </c>
      <c r="M13" s="300" t="e">
        <f t="shared" si="2"/>
        <v>#DIV/0!</v>
      </c>
      <c r="N13" s="366"/>
      <c r="O13" s="647">
        <f t="shared" si="3"/>
        <v>8.8970343218927023E-2</v>
      </c>
    </row>
    <row r="14" spans="1:25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497"/>
      <c r="E14" s="388"/>
      <c r="F14" s="446">
        <f t="shared" si="1"/>
        <v>0</v>
      </c>
      <c r="G14" s="496"/>
      <c r="H14" s="498">
        <f>SUM($F$9:F14)/A14</f>
        <v>0</v>
      </c>
      <c r="I14" s="499">
        <f>SUM($G$9:G14)/A14</f>
        <v>0</v>
      </c>
      <c r="J14" s="443">
        <f t="shared" si="0"/>
        <v>267</v>
      </c>
      <c r="K14" s="459"/>
      <c r="L14" s="338" t="e">
        <f t="shared" si="2"/>
        <v>#DIV/0!</v>
      </c>
      <c r="M14" s="300" t="e">
        <f t="shared" si="2"/>
        <v>#DIV/0!</v>
      </c>
      <c r="N14" s="366"/>
      <c r="O14" s="647">
        <f t="shared" si="3"/>
        <v>8.8970343218927023E-2</v>
      </c>
    </row>
    <row r="15" spans="1:25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497"/>
      <c r="E15" s="388"/>
      <c r="F15" s="446">
        <f t="shared" si="1"/>
        <v>0</v>
      </c>
      <c r="G15" s="496"/>
      <c r="H15" s="498">
        <f>SUM($F$9:F15)/A15</f>
        <v>0</v>
      </c>
      <c r="I15" s="499">
        <f>SUM($G$9:G15)/A15</f>
        <v>0</v>
      </c>
      <c r="J15" s="443">
        <f t="shared" si="0"/>
        <v>267</v>
      </c>
      <c r="K15" s="459"/>
      <c r="L15" s="338" t="e">
        <f t="shared" si="2"/>
        <v>#DIV/0!</v>
      </c>
      <c r="M15" s="300" t="e">
        <f t="shared" si="2"/>
        <v>#DIV/0!</v>
      </c>
      <c r="N15" s="366"/>
      <c r="O15" s="647">
        <f t="shared" si="3"/>
        <v>8.8970343218927023E-2</v>
      </c>
    </row>
    <row r="16" spans="1:25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497"/>
      <c r="E16" s="388"/>
      <c r="F16" s="446">
        <f t="shared" si="1"/>
        <v>0</v>
      </c>
      <c r="G16" s="496"/>
      <c r="H16" s="498">
        <f>SUM($F$9:F16)/A16</f>
        <v>0</v>
      </c>
      <c r="I16" s="499">
        <f>SUM($G$9:G16)/A16</f>
        <v>0</v>
      </c>
      <c r="J16" s="443">
        <f t="shared" si="0"/>
        <v>267</v>
      </c>
      <c r="K16" s="459"/>
      <c r="L16" s="338" t="e">
        <f t="shared" si="2"/>
        <v>#DIV/0!</v>
      </c>
      <c r="M16" s="300" t="e">
        <f t="shared" si="2"/>
        <v>#DIV/0!</v>
      </c>
      <c r="N16" s="366"/>
      <c r="O16" s="647">
        <f t="shared" si="3"/>
        <v>8.8970343218927023E-2</v>
      </c>
    </row>
    <row r="17" spans="1:15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497"/>
      <c r="E17" s="388"/>
      <c r="F17" s="446">
        <f t="shared" si="1"/>
        <v>0</v>
      </c>
      <c r="G17" s="496"/>
      <c r="H17" s="498">
        <f>SUM($F$9:F17)/A17</f>
        <v>0</v>
      </c>
      <c r="I17" s="499">
        <f>SUM($G$9:G17)/A17</f>
        <v>0</v>
      </c>
      <c r="J17" s="443">
        <f t="shared" si="0"/>
        <v>267</v>
      </c>
      <c r="K17" s="459"/>
      <c r="L17" s="338" t="e">
        <f t="shared" si="2"/>
        <v>#DIV/0!</v>
      </c>
      <c r="M17" s="300" t="e">
        <f t="shared" si="2"/>
        <v>#DIV/0!</v>
      </c>
      <c r="N17" s="366"/>
      <c r="O17" s="647">
        <f t="shared" si="3"/>
        <v>8.8970343218927023E-2</v>
      </c>
    </row>
    <row r="18" spans="1:15" s="367" customFormat="1" ht="12" customHeight="1">
      <c r="A18" s="500">
        <v>10</v>
      </c>
      <c r="B18" s="365">
        <f>'FRIT HGE91-FHG'!B18</f>
        <v>46244</v>
      </c>
      <c r="C18" s="365" t="s">
        <v>285</v>
      </c>
      <c r="D18" s="497"/>
      <c r="E18" s="388"/>
      <c r="F18" s="446">
        <f t="shared" si="1"/>
        <v>0</v>
      </c>
      <c r="G18" s="496"/>
      <c r="H18" s="500">
        <f>SUM($F$9:F18)/A18</f>
        <v>0</v>
      </c>
      <c r="I18" s="499">
        <f>SUM($G$9:G18)/A18</f>
        <v>0</v>
      </c>
      <c r="J18" s="500">
        <f t="shared" si="0"/>
        <v>267</v>
      </c>
      <c r="K18" s="459"/>
      <c r="L18" s="368" t="e">
        <f t="shared" si="2"/>
        <v>#DIV/0!</v>
      </c>
      <c r="M18" s="300" t="e">
        <f t="shared" si="2"/>
        <v>#DIV/0!</v>
      </c>
      <c r="N18" s="366"/>
      <c r="O18" s="647">
        <f t="shared" si="3"/>
        <v>8.8970343218927023E-2</v>
      </c>
    </row>
    <row r="19" spans="1:15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497"/>
      <c r="E19" s="388"/>
      <c r="F19" s="446">
        <f t="shared" si="1"/>
        <v>0</v>
      </c>
      <c r="G19" s="496"/>
      <c r="H19" s="498">
        <f>SUM($F$9:F19)/A19</f>
        <v>0</v>
      </c>
      <c r="I19" s="499">
        <f>SUM($G$9:G19)/A19</f>
        <v>0</v>
      </c>
      <c r="J19" s="443">
        <f t="shared" si="0"/>
        <v>267</v>
      </c>
      <c r="K19" s="459"/>
      <c r="L19" s="338" t="e">
        <f t="shared" si="2"/>
        <v>#DIV/0!</v>
      </c>
      <c r="M19" s="300" t="e">
        <f t="shared" si="2"/>
        <v>#DIV/0!</v>
      </c>
      <c r="N19" s="366"/>
      <c r="O19" s="647">
        <f t="shared" si="3"/>
        <v>8.8970343218927023E-2</v>
      </c>
    </row>
    <row r="20" spans="1:15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497"/>
      <c r="E20" s="388"/>
      <c r="F20" s="446">
        <f t="shared" si="1"/>
        <v>0</v>
      </c>
      <c r="G20" s="496"/>
      <c r="H20" s="498">
        <f>SUM($F$9:F20)/A20</f>
        <v>0</v>
      </c>
      <c r="I20" s="499">
        <f>SUM($G$9:G20)/A20</f>
        <v>0</v>
      </c>
      <c r="J20" s="443">
        <f t="shared" si="0"/>
        <v>267</v>
      </c>
      <c r="K20" s="459"/>
      <c r="L20" s="338" t="e">
        <f t="shared" si="2"/>
        <v>#DIV/0!</v>
      </c>
      <c r="M20" s="300" t="e">
        <f t="shared" si="2"/>
        <v>#DIV/0!</v>
      </c>
      <c r="N20" s="366"/>
      <c r="O20" s="647">
        <f t="shared" si="3"/>
        <v>8.8970343218927023E-2</v>
      </c>
    </row>
    <row r="21" spans="1:15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497"/>
      <c r="E21" s="388"/>
      <c r="F21" s="446">
        <f t="shared" si="1"/>
        <v>0</v>
      </c>
      <c r="G21" s="496"/>
      <c r="H21" s="498">
        <f>SUM($F$9:F21)/A21</f>
        <v>0</v>
      </c>
      <c r="I21" s="499">
        <f>SUM($G$9:G21)/A21</f>
        <v>0</v>
      </c>
      <c r="J21" s="443">
        <f t="shared" si="0"/>
        <v>267</v>
      </c>
      <c r="K21" s="459"/>
      <c r="L21" s="338" t="e">
        <f t="shared" si="2"/>
        <v>#DIV/0!</v>
      </c>
      <c r="M21" s="300" t="e">
        <f t="shared" si="2"/>
        <v>#DIV/0!</v>
      </c>
      <c r="N21" s="366"/>
      <c r="O21" s="647">
        <f t="shared" si="3"/>
        <v>8.8970343218927023E-2</v>
      </c>
    </row>
    <row r="22" spans="1:15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497"/>
      <c r="E22" s="388"/>
      <c r="F22" s="446">
        <f t="shared" si="1"/>
        <v>0</v>
      </c>
      <c r="G22" s="496"/>
      <c r="H22" s="498">
        <f>SUM($F$9:F22)/A22</f>
        <v>0</v>
      </c>
      <c r="I22" s="499">
        <f>SUM($G$9:G22)/A22</f>
        <v>0</v>
      </c>
      <c r="J22" s="443">
        <f t="shared" si="0"/>
        <v>267</v>
      </c>
      <c r="K22" s="459"/>
      <c r="L22" s="338" t="e">
        <f t="shared" si="2"/>
        <v>#DIV/0!</v>
      </c>
      <c r="M22" s="300" t="e">
        <f t="shared" si="2"/>
        <v>#DIV/0!</v>
      </c>
      <c r="N22" s="366"/>
      <c r="O22" s="647">
        <f t="shared" si="3"/>
        <v>8.8970343218927023E-2</v>
      </c>
    </row>
    <row r="23" spans="1:15" s="367" customFormat="1" ht="12" customHeight="1">
      <c r="A23" s="500">
        <v>15</v>
      </c>
      <c r="B23" s="365">
        <f>'FRIT HGE91-FHG'!B23</f>
        <v>46249</v>
      </c>
      <c r="C23" s="365" t="s">
        <v>285</v>
      </c>
      <c r="D23" s="497"/>
      <c r="E23" s="388"/>
      <c r="F23" s="446">
        <f t="shared" si="1"/>
        <v>0</v>
      </c>
      <c r="G23" s="496"/>
      <c r="H23" s="500">
        <f>SUM($F$9:F23)/A23</f>
        <v>0</v>
      </c>
      <c r="I23" s="499">
        <f>SUM($G$9:G23)/A23</f>
        <v>0</v>
      </c>
      <c r="J23" s="500">
        <f t="shared" si="0"/>
        <v>267</v>
      </c>
      <c r="K23" s="459"/>
      <c r="L23" s="368" t="e">
        <f t="shared" si="2"/>
        <v>#DIV/0!</v>
      </c>
      <c r="M23" s="300" t="e">
        <f t="shared" si="2"/>
        <v>#DIV/0!</v>
      </c>
      <c r="N23" s="366"/>
      <c r="O23" s="647">
        <f t="shared" si="3"/>
        <v>8.8970343218927023E-2</v>
      </c>
    </row>
    <row r="24" spans="1:15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497"/>
      <c r="E24" s="388"/>
      <c r="F24" s="446">
        <f t="shared" si="1"/>
        <v>0</v>
      </c>
      <c r="G24" s="496"/>
      <c r="H24" s="498">
        <f>SUM($F$9:F24)/A24</f>
        <v>0</v>
      </c>
      <c r="I24" s="499">
        <f>SUM($G$9:G24)/A24</f>
        <v>0</v>
      </c>
      <c r="J24" s="443">
        <f t="shared" si="0"/>
        <v>267</v>
      </c>
      <c r="K24" s="459"/>
      <c r="L24" s="338" t="e">
        <f t="shared" si="2"/>
        <v>#DIV/0!</v>
      </c>
      <c r="M24" s="300" t="e">
        <f t="shared" si="2"/>
        <v>#DIV/0!</v>
      </c>
      <c r="N24" s="366"/>
      <c r="O24" s="647">
        <f t="shared" si="3"/>
        <v>8.8970343218927023E-2</v>
      </c>
    </row>
    <row r="25" spans="1:15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497"/>
      <c r="E25" s="388"/>
      <c r="F25" s="446">
        <f t="shared" si="1"/>
        <v>0</v>
      </c>
      <c r="G25" s="496"/>
      <c r="H25" s="498">
        <f>SUM($F$9:F25)/A25</f>
        <v>0</v>
      </c>
      <c r="I25" s="499">
        <f>SUM($G$9:G25)/A25</f>
        <v>0</v>
      </c>
      <c r="J25" s="443">
        <f t="shared" si="0"/>
        <v>267</v>
      </c>
      <c r="K25" s="459"/>
      <c r="L25" s="338" t="e">
        <f t="shared" si="2"/>
        <v>#DIV/0!</v>
      </c>
      <c r="M25" s="300" t="e">
        <f t="shared" si="2"/>
        <v>#DIV/0!</v>
      </c>
      <c r="N25" s="366"/>
      <c r="O25" s="647">
        <f t="shared" si="3"/>
        <v>8.8970343218927023E-2</v>
      </c>
    </row>
    <row r="26" spans="1:15" s="367" customFormat="1" ht="12" customHeight="1">
      <c r="A26" s="364">
        <v>18</v>
      </c>
      <c r="B26" s="365">
        <f>'FRIT HGE91-FHG'!B26</f>
        <v>46252</v>
      </c>
      <c r="C26" s="365" t="s">
        <v>285</v>
      </c>
      <c r="D26" s="497"/>
      <c r="E26" s="388"/>
      <c r="F26" s="446">
        <f t="shared" si="1"/>
        <v>0</v>
      </c>
      <c r="G26" s="496"/>
      <c r="H26" s="498">
        <f>SUM($F$9:F26)/A26</f>
        <v>0</v>
      </c>
      <c r="I26" s="499">
        <f>SUM($G$9:G26)/A26</f>
        <v>0</v>
      </c>
      <c r="J26" s="443">
        <f t="shared" si="0"/>
        <v>267</v>
      </c>
      <c r="K26" s="459"/>
      <c r="L26" s="338" t="e">
        <f t="shared" si="2"/>
        <v>#DIV/0!</v>
      </c>
      <c r="M26" s="300" t="e">
        <f t="shared" si="2"/>
        <v>#DIV/0!</v>
      </c>
      <c r="N26" s="366"/>
      <c r="O26" s="647">
        <f t="shared" si="3"/>
        <v>8.8970343218927023E-2</v>
      </c>
    </row>
    <row r="27" spans="1:15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497"/>
      <c r="E27" s="388"/>
      <c r="F27" s="446">
        <f t="shared" si="1"/>
        <v>0</v>
      </c>
      <c r="G27" s="496"/>
      <c r="H27" s="498">
        <f>SUM($F$9:F27)/A27</f>
        <v>0</v>
      </c>
      <c r="I27" s="499">
        <f>SUM($G$9:G27)/A27</f>
        <v>0</v>
      </c>
      <c r="J27" s="443">
        <f t="shared" si="0"/>
        <v>267</v>
      </c>
      <c r="K27" s="459"/>
      <c r="L27" s="338" t="e">
        <f t="shared" si="2"/>
        <v>#DIV/0!</v>
      </c>
      <c r="M27" s="300" t="e">
        <f t="shared" si="2"/>
        <v>#DIV/0!</v>
      </c>
      <c r="N27" s="366"/>
      <c r="O27" s="647">
        <f t="shared" si="3"/>
        <v>8.8970343218927023E-2</v>
      </c>
    </row>
    <row r="28" spans="1:15" s="367" customFormat="1" ht="12" customHeight="1">
      <c r="A28" s="500">
        <v>20</v>
      </c>
      <c r="B28" s="365">
        <f>'FRIT HGE91-FHG'!B28</f>
        <v>46254</v>
      </c>
      <c r="C28" s="365" t="s">
        <v>285</v>
      </c>
      <c r="D28" s="497"/>
      <c r="E28" s="388"/>
      <c r="F28" s="446">
        <f t="shared" si="1"/>
        <v>0</v>
      </c>
      <c r="G28" s="496"/>
      <c r="H28" s="500">
        <f>SUM($F$9:F28)/A28</f>
        <v>0</v>
      </c>
      <c r="I28" s="499">
        <f>SUM($G$9:G28)/A28</f>
        <v>0</v>
      </c>
      <c r="J28" s="500">
        <f t="shared" si="0"/>
        <v>267</v>
      </c>
      <c r="K28" s="459"/>
      <c r="L28" s="368" t="e">
        <f t="shared" si="2"/>
        <v>#DIV/0!</v>
      </c>
      <c r="M28" s="300" t="e">
        <f t="shared" si="2"/>
        <v>#DIV/0!</v>
      </c>
      <c r="N28" s="366"/>
      <c r="O28" s="647">
        <f t="shared" si="3"/>
        <v>8.8970343218927023E-2</v>
      </c>
    </row>
    <row r="29" spans="1:15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497"/>
      <c r="E29" s="388"/>
      <c r="F29" s="446">
        <f t="shared" si="1"/>
        <v>0</v>
      </c>
      <c r="G29" s="496"/>
      <c r="H29" s="498">
        <f>SUM($F$9:F29)/A29</f>
        <v>0</v>
      </c>
      <c r="I29" s="499">
        <f>SUM($G$9:G29)/A29</f>
        <v>0</v>
      </c>
      <c r="J29" s="443">
        <f t="shared" si="0"/>
        <v>267</v>
      </c>
      <c r="K29" s="459"/>
      <c r="L29" s="338" t="e">
        <f t="shared" si="2"/>
        <v>#DIV/0!</v>
      </c>
      <c r="M29" s="300" t="e">
        <f t="shared" si="2"/>
        <v>#DIV/0!</v>
      </c>
      <c r="N29" s="366"/>
      <c r="O29" s="647">
        <f t="shared" si="3"/>
        <v>8.8970343218927023E-2</v>
      </c>
    </row>
    <row r="30" spans="1:15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497"/>
      <c r="E30" s="388"/>
      <c r="F30" s="446">
        <f t="shared" si="1"/>
        <v>0</v>
      </c>
      <c r="G30" s="496"/>
      <c r="H30" s="498">
        <f>SUM($F$9:F30)/A30</f>
        <v>0</v>
      </c>
      <c r="I30" s="499">
        <f>SUM($G$9:G30)/A30</f>
        <v>0</v>
      </c>
      <c r="J30" s="443">
        <f t="shared" si="0"/>
        <v>267</v>
      </c>
      <c r="K30" s="459"/>
      <c r="L30" s="338" t="e">
        <f t="shared" si="2"/>
        <v>#DIV/0!</v>
      </c>
      <c r="M30" s="300" t="e">
        <f t="shared" si="2"/>
        <v>#DIV/0!</v>
      </c>
      <c r="N30" s="366"/>
      <c r="O30" s="647">
        <f t="shared" si="3"/>
        <v>8.8970343218927023E-2</v>
      </c>
    </row>
    <row r="31" spans="1:15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497"/>
      <c r="E31" s="388"/>
      <c r="F31" s="446">
        <f t="shared" si="1"/>
        <v>0</v>
      </c>
      <c r="G31" s="496"/>
      <c r="H31" s="498">
        <f>SUM($F$9:F31)/A31</f>
        <v>0</v>
      </c>
      <c r="I31" s="499">
        <f>SUM($G$9:G31)/A31</f>
        <v>0</v>
      </c>
      <c r="J31" s="443">
        <f t="shared" si="0"/>
        <v>267</v>
      </c>
      <c r="K31" s="459"/>
      <c r="L31" s="338" t="e">
        <f t="shared" si="2"/>
        <v>#DIV/0!</v>
      </c>
      <c r="M31" s="300" t="e">
        <f t="shared" si="2"/>
        <v>#DIV/0!</v>
      </c>
      <c r="N31" s="366"/>
      <c r="O31" s="647">
        <f t="shared" si="3"/>
        <v>8.8970343218927023E-2</v>
      </c>
    </row>
    <row r="32" spans="1:15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497"/>
      <c r="E32" s="388"/>
      <c r="F32" s="446">
        <f t="shared" si="1"/>
        <v>0</v>
      </c>
      <c r="G32" s="496"/>
      <c r="H32" s="498">
        <f>SUM($F$9:F32)/A32</f>
        <v>0</v>
      </c>
      <c r="I32" s="499">
        <f>SUM($G$9:G32)/A32</f>
        <v>0</v>
      </c>
      <c r="J32" s="443">
        <f t="shared" si="0"/>
        <v>267</v>
      </c>
      <c r="K32" s="459"/>
      <c r="L32" s="338" t="e">
        <f t="shared" si="2"/>
        <v>#DIV/0!</v>
      </c>
      <c r="M32" s="300" t="e">
        <f t="shared" si="2"/>
        <v>#DIV/0!</v>
      </c>
      <c r="N32" s="366"/>
      <c r="O32" s="647">
        <f t="shared" si="3"/>
        <v>8.8970343218927023E-2</v>
      </c>
    </row>
    <row r="33" spans="1:15" s="367" customFormat="1" ht="12" customHeight="1">
      <c r="A33" s="448">
        <v>25</v>
      </c>
      <c r="B33" s="365">
        <f>'FRIT HGE91-FHG'!B33</f>
        <v>46259</v>
      </c>
      <c r="C33" s="365" t="s">
        <v>285</v>
      </c>
      <c r="D33" s="497"/>
      <c r="E33" s="388"/>
      <c r="F33" s="446">
        <f t="shared" si="1"/>
        <v>0</v>
      </c>
      <c r="G33" s="496"/>
      <c r="H33" s="448">
        <f>SUM($F$9:F33)/A33</f>
        <v>0</v>
      </c>
      <c r="I33" s="499">
        <f>SUM($G$9:G33)/A33</f>
        <v>0</v>
      </c>
      <c r="J33" s="448">
        <f t="shared" si="0"/>
        <v>267</v>
      </c>
      <c r="K33" s="459"/>
      <c r="L33" s="369" t="e">
        <f t="shared" si="2"/>
        <v>#DIV/0!</v>
      </c>
      <c r="M33" s="300" t="e">
        <f t="shared" si="2"/>
        <v>#DIV/0!</v>
      </c>
      <c r="N33" s="366"/>
      <c r="O33" s="647">
        <f t="shared" si="3"/>
        <v>8.8970343218927023E-2</v>
      </c>
    </row>
    <row r="34" spans="1:15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497"/>
      <c r="E34" s="388"/>
      <c r="F34" s="446">
        <f t="shared" si="1"/>
        <v>0</v>
      </c>
      <c r="G34" s="496"/>
      <c r="H34" s="498">
        <f>SUM($F$9:F34)/A34</f>
        <v>0</v>
      </c>
      <c r="I34" s="499">
        <f>SUM($G$9:G34)/A34</f>
        <v>0</v>
      </c>
      <c r="J34" s="443">
        <f t="shared" si="0"/>
        <v>267</v>
      </c>
      <c r="K34" s="459"/>
      <c r="L34" s="338" t="e">
        <f t="shared" si="2"/>
        <v>#DIV/0!</v>
      </c>
      <c r="M34" s="300" t="e">
        <f t="shared" si="2"/>
        <v>#DIV/0!</v>
      </c>
      <c r="N34" s="366"/>
      <c r="O34" s="647">
        <f t="shared" si="3"/>
        <v>8.8970343218927023E-2</v>
      </c>
    </row>
    <row r="35" spans="1:15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1"/>
      <c r="E35" s="388"/>
      <c r="F35" s="446">
        <f t="shared" si="1"/>
        <v>0</v>
      </c>
      <c r="G35" s="496"/>
      <c r="H35" s="498">
        <f>SUM($F$9:F35)/A35</f>
        <v>0</v>
      </c>
      <c r="I35" s="499">
        <f>SUM($G$9:G35)/A35</f>
        <v>0</v>
      </c>
      <c r="J35" s="443">
        <f t="shared" si="0"/>
        <v>267</v>
      </c>
      <c r="K35" s="459"/>
      <c r="L35" s="338" t="e">
        <f t="shared" si="2"/>
        <v>#DIV/0!</v>
      </c>
      <c r="M35" s="300" t="e">
        <f t="shared" si="2"/>
        <v>#DIV/0!</v>
      </c>
      <c r="N35" s="366"/>
      <c r="O35" s="647">
        <f t="shared" si="3"/>
        <v>8.8970343218927023E-2</v>
      </c>
    </row>
    <row r="36" spans="1:15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1"/>
      <c r="E36" s="388"/>
      <c r="F36" s="446">
        <f t="shared" si="1"/>
        <v>0</v>
      </c>
      <c r="G36" s="496"/>
      <c r="H36" s="498">
        <f>SUM($F$9:F36)/A36</f>
        <v>0</v>
      </c>
      <c r="I36" s="499">
        <f>SUM($G$9:G36)/A36</f>
        <v>0</v>
      </c>
      <c r="J36" s="443">
        <f t="shared" si="0"/>
        <v>267</v>
      </c>
      <c r="K36" s="459"/>
      <c r="L36" s="338" t="e">
        <f t="shared" si="2"/>
        <v>#DIV/0!</v>
      </c>
      <c r="M36" s="300" t="e">
        <f t="shared" si="2"/>
        <v>#DIV/0!</v>
      </c>
      <c r="N36" s="366"/>
      <c r="O36" s="647">
        <f t="shared" si="3"/>
        <v>8.8970343218927023E-2</v>
      </c>
    </row>
    <row r="37" spans="1:15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1"/>
      <c r="E37" s="388"/>
      <c r="F37" s="446">
        <f t="shared" si="1"/>
        <v>0</v>
      </c>
      <c r="G37" s="496"/>
      <c r="H37" s="498">
        <f>SUM($F$9:F37)/A37</f>
        <v>0</v>
      </c>
      <c r="I37" s="499">
        <f>SUM($G$9:G37)/A37</f>
        <v>0</v>
      </c>
      <c r="J37" s="443">
        <f t="shared" si="0"/>
        <v>267</v>
      </c>
      <c r="K37" s="459"/>
      <c r="L37" s="338" t="e">
        <f t="shared" si="2"/>
        <v>#DIV/0!</v>
      </c>
      <c r="M37" s="300" t="e">
        <f t="shared" si="2"/>
        <v>#DIV/0!</v>
      </c>
      <c r="N37" s="366"/>
      <c r="O37" s="647">
        <f t="shared" si="3"/>
        <v>8.8970343218927023E-2</v>
      </c>
    </row>
    <row r="38" spans="1:15" s="367" customFormat="1" ht="12" customHeight="1">
      <c r="A38" s="500">
        <v>30</v>
      </c>
      <c r="B38" s="365">
        <f>'FRIT HGE91-FHG'!B38</f>
        <v>46264</v>
      </c>
      <c r="C38" s="365" t="s">
        <v>285</v>
      </c>
      <c r="D38" s="497"/>
      <c r="E38" s="388"/>
      <c r="F38" s="446">
        <f t="shared" si="1"/>
        <v>0</v>
      </c>
      <c r="G38" s="496"/>
      <c r="H38" s="500">
        <f>SUM($F$9:F38)/A38</f>
        <v>0</v>
      </c>
      <c r="I38" s="499">
        <f>SUM($G$9:G38)/A38</f>
        <v>0</v>
      </c>
      <c r="J38" s="500">
        <f t="shared" si="0"/>
        <v>267</v>
      </c>
      <c r="K38" s="459"/>
      <c r="L38" s="368" t="e">
        <f t="shared" si="2"/>
        <v>#DIV/0!</v>
      </c>
      <c r="M38" s="300" t="e">
        <f t="shared" si="2"/>
        <v>#DIV/0!</v>
      </c>
      <c r="N38" s="366"/>
      <c r="O38" s="647">
        <f t="shared" si="3"/>
        <v>8.8970343218927023E-2</v>
      </c>
    </row>
    <row r="39" spans="1:15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497"/>
      <c r="E39" s="388"/>
      <c r="F39" s="446">
        <f t="shared" si="1"/>
        <v>0</v>
      </c>
      <c r="G39" s="496"/>
      <c r="H39" s="498">
        <f>SUM($F$9:F39)/A39</f>
        <v>0</v>
      </c>
      <c r="I39" s="499">
        <f>SUM($G$9:G39)/A39</f>
        <v>0</v>
      </c>
      <c r="J39" s="443">
        <f t="shared" si="0"/>
        <v>267</v>
      </c>
      <c r="K39" s="459"/>
      <c r="L39" s="338" t="e">
        <f t="shared" si="2"/>
        <v>#DIV/0!</v>
      </c>
      <c r="M39" s="300" t="e">
        <f t="shared" si="2"/>
        <v>#DIV/0!</v>
      </c>
      <c r="N39" s="366"/>
      <c r="O39" s="647">
        <f t="shared" si="3"/>
        <v>8.8970343218927023E-2</v>
      </c>
    </row>
    <row r="40" spans="1:15" s="374" customFormat="1" ht="12" customHeight="1">
      <c r="A40" s="370" t="s">
        <v>29</v>
      </c>
      <c r="B40" s="371"/>
      <c r="C40" s="372"/>
      <c r="D40" s="388"/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267</v>
      </c>
      <c r="K40" s="461">
        <f>K39</f>
        <v>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267</v>
      </c>
      <c r="E41" s="388">
        <f>E8+E40</f>
        <v>267</v>
      </c>
      <c r="F41" s="389">
        <f>F40</f>
        <v>0</v>
      </c>
      <c r="G41" s="496">
        <f>G40</f>
        <v>0</v>
      </c>
      <c r="H41" s="389"/>
      <c r="I41" s="496"/>
      <c r="J41" s="389">
        <f>D41-F41</f>
        <v>267</v>
      </c>
      <c r="K41" s="389">
        <f>D41-G41</f>
        <v>267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38">
    <cfRule type="cellIs" dxfId="4103" priority="118" operator="lessThan">
      <formula>15</formula>
    </cfRule>
    <cfRule type="cellIs" dxfId="4102" priority="119" operator="greaterThan">
      <formula>20</formula>
    </cfRule>
    <cfRule type="cellIs" dxfId="4101" priority="120" operator="between">
      <formula>15</formula>
      <formula>20</formula>
    </cfRule>
    <cfRule type="cellIs" dxfId="4100" priority="121" operator="between">
      <formula>15</formula>
      <formula>20</formula>
    </cfRule>
    <cfRule type="cellIs" dxfId="4099" priority="122" operator="lessThan">
      <formula>15</formula>
    </cfRule>
    <cfRule type="cellIs" dxfId="4098" priority="123" operator="greaterThan">
      <formula>20</formula>
    </cfRule>
    <cfRule type="cellIs" dxfId="4097" priority="124" operator="between">
      <formula>15</formula>
      <formula>21</formula>
    </cfRule>
    <cfRule type="cellIs" dxfId="4096" priority="125" operator="lessThan">
      <formula>15</formula>
    </cfRule>
    <cfRule type="cellIs" dxfId="4095" priority="126" operator="greaterThan">
      <formula>21</formula>
    </cfRule>
  </conditionalFormatting>
  <conditionalFormatting sqref="M33">
    <cfRule type="cellIs" dxfId="4094" priority="127" operator="lessThan">
      <formula>15</formula>
    </cfRule>
    <cfRule type="cellIs" dxfId="4093" priority="128" operator="greaterThan">
      <formula>20</formula>
    </cfRule>
    <cfRule type="cellIs" dxfId="4092" priority="129" operator="between">
      <formula>15</formula>
      <formula>20</formula>
    </cfRule>
    <cfRule type="cellIs" dxfId="4091" priority="130" operator="between">
      <formula>15</formula>
      <formula>20</formula>
    </cfRule>
    <cfRule type="cellIs" dxfId="4090" priority="131" operator="lessThan">
      <formula>15</formula>
    </cfRule>
    <cfRule type="cellIs" dxfId="4089" priority="132" operator="greaterThan">
      <formula>20</formula>
    </cfRule>
    <cfRule type="cellIs" dxfId="4088" priority="133" operator="between">
      <formula>15</formula>
      <formula>21</formula>
    </cfRule>
    <cfRule type="cellIs" dxfId="4087" priority="134" operator="lessThan">
      <formula>15</formula>
    </cfRule>
    <cfRule type="cellIs" dxfId="4086" priority="135" operator="greaterThan">
      <formula>21</formula>
    </cfRule>
  </conditionalFormatting>
  <conditionalFormatting sqref="M28">
    <cfRule type="cellIs" dxfId="4085" priority="163" operator="lessThan">
      <formula>15</formula>
    </cfRule>
    <cfRule type="cellIs" dxfId="4084" priority="164" operator="greaterThan">
      <formula>20</formula>
    </cfRule>
    <cfRule type="cellIs" dxfId="4083" priority="165" operator="between">
      <formula>15</formula>
      <formula>20</formula>
    </cfRule>
    <cfRule type="cellIs" dxfId="4082" priority="166" operator="between">
      <formula>15</formula>
      <formula>20</formula>
    </cfRule>
    <cfRule type="cellIs" dxfId="4081" priority="167" operator="lessThan">
      <formula>15</formula>
    </cfRule>
    <cfRule type="cellIs" dxfId="4080" priority="168" operator="greaterThan">
      <formula>20</formula>
    </cfRule>
    <cfRule type="cellIs" dxfId="4079" priority="169" operator="between">
      <formula>15</formula>
      <formula>21</formula>
    </cfRule>
    <cfRule type="cellIs" dxfId="4078" priority="170" operator="lessThan">
      <formula>15</formula>
    </cfRule>
    <cfRule type="cellIs" dxfId="4077" priority="171" operator="greaterThan">
      <formula>21</formula>
    </cfRule>
  </conditionalFormatting>
  <conditionalFormatting sqref="M23">
    <cfRule type="cellIs" dxfId="4076" priority="154" operator="lessThan">
      <formula>15</formula>
    </cfRule>
    <cfRule type="cellIs" dxfId="4075" priority="155" operator="greaterThan">
      <formula>20</formula>
    </cfRule>
    <cfRule type="cellIs" dxfId="4074" priority="156" operator="between">
      <formula>15</formula>
      <formula>20</formula>
    </cfRule>
    <cfRule type="cellIs" dxfId="4073" priority="157" operator="between">
      <formula>15</formula>
      <formula>20</formula>
    </cfRule>
    <cfRule type="cellIs" dxfId="4072" priority="158" operator="lessThan">
      <formula>15</formula>
    </cfRule>
    <cfRule type="cellIs" dxfId="4071" priority="159" operator="greaterThan">
      <formula>20</formula>
    </cfRule>
    <cfRule type="cellIs" dxfId="4070" priority="160" operator="between">
      <formula>15</formula>
      <formula>21</formula>
    </cfRule>
    <cfRule type="cellIs" dxfId="4069" priority="161" operator="lessThan">
      <formula>15</formula>
    </cfRule>
    <cfRule type="cellIs" dxfId="4068" priority="162" operator="greaterThan">
      <formula>21</formula>
    </cfRule>
  </conditionalFormatting>
  <conditionalFormatting sqref="M18">
    <cfRule type="cellIs" dxfId="4067" priority="145" operator="lessThan">
      <formula>15</formula>
    </cfRule>
    <cfRule type="cellIs" dxfId="4066" priority="146" operator="greaterThan">
      <formula>20</formula>
    </cfRule>
    <cfRule type="cellIs" dxfId="4065" priority="147" operator="between">
      <formula>15</formula>
      <formula>20</formula>
    </cfRule>
    <cfRule type="cellIs" dxfId="4064" priority="148" operator="between">
      <formula>15</formula>
      <formula>20</formula>
    </cfRule>
    <cfRule type="cellIs" dxfId="4063" priority="149" operator="lessThan">
      <formula>15</formula>
    </cfRule>
    <cfRule type="cellIs" dxfId="4062" priority="150" operator="greaterThan">
      <formula>20</formula>
    </cfRule>
    <cfRule type="cellIs" dxfId="4061" priority="151" operator="between">
      <formula>15</formula>
      <formula>21</formula>
    </cfRule>
    <cfRule type="cellIs" dxfId="4060" priority="152" operator="lessThan">
      <formula>15</formula>
    </cfRule>
    <cfRule type="cellIs" dxfId="4059" priority="153" operator="greaterThan">
      <formula>21</formula>
    </cfRule>
  </conditionalFormatting>
  <conditionalFormatting sqref="M35:M37">
    <cfRule type="cellIs" dxfId="4058" priority="172" operator="lessThan">
      <formula>15</formula>
    </cfRule>
    <cfRule type="cellIs" dxfId="4057" priority="173" operator="greaterThan">
      <formula>20</formula>
    </cfRule>
    <cfRule type="cellIs" dxfId="4056" priority="174" operator="between">
      <formula>15</formula>
      <formula>20</formula>
    </cfRule>
    <cfRule type="cellIs" dxfId="4055" priority="175" operator="between">
      <formula>15</formula>
      <formula>20</formula>
    </cfRule>
    <cfRule type="cellIs" dxfId="4054" priority="176" operator="lessThan">
      <formula>15</formula>
    </cfRule>
    <cfRule type="cellIs" dxfId="4053" priority="177" operator="greaterThan">
      <formula>20</formula>
    </cfRule>
    <cfRule type="cellIs" dxfId="4052" priority="178" operator="between">
      <formula>15</formula>
      <formula>21</formula>
    </cfRule>
    <cfRule type="cellIs" dxfId="4051" priority="179" operator="lessThan">
      <formula>15</formula>
    </cfRule>
    <cfRule type="cellIs" dxfId="4050" priority="180" operator="greaterThan">
      <formula>21</formula>
    </cfRule>
  </conditionalFormatting>
  <conditionalFormatting sqref="M13">
    <cfRule type="cellIs" dxfId="4049" priority="136" operator="lessThan">
      <formula>15</formula>
    </cfRule>
    <cfRule type="cellIs" dxfId="4048" priority="137" operator="greaterThan">
      <formula>20</formula>
    </cfRule>
    <cfRule type="cellIs" dxfId="4047" priority="138" operator="between">
      <formula>15</formula>
      <formula>20</formula>
    </cfRule>
    <cfRule type="cellIs" dxfId="4046" priority="139" operator="between">
      <formula>15</formula>
      <formula>20</formula>
    </cfRule>
    <cfRule type="cellIs" dxfId="4045" priority="140" operator="lessThan">
      <formula>15</formula>
    </cfRule>
    <cfRule type="cellIs" dxfId="4044" priority="141" operator="greaterThan">
      <formula>20</formula>
    </cfRule>
    <cfRule type="cellIs" dxfId="4043" priority="142" operator="between">
      <formula>15</formula>
      <formula>21</formula>
    </cfRule>
    <cfRule type="cellIs" dxfId="4042" priority="143" operator="lessThan">
      <formula>15</formula>
    </cfRule>
    <cfRule type="cellIs" dxfId="4041" priority="144" operator="greaterThan">
      <formula>21</formula>
    </cfRule>
  </conditionalFormatting>
  <conditionalFormatting sqref="M20">
    <cfRule type="cellIs" dxfId="4040" priority="217" operator="lessThan">
      <formula>15</formula>
    </cfRule>
    <cfRule type="cellIs" dxfId="4039" priority="218" operator="greaterThan">
      <formula>20</formula>
    </cfRule>
    <cfRule type="cellIs" dxfId="4038" priority="219" operator="between">
      <formula>15</formula>
      <formula>20</formula>
    </cfRule>
    <cfRule type="cellIs" dxfId="4037" priority="220" operator="between">
      <formula>15</formula>
      <formula>20</formula>
    </cfRule>
    <cfRule type="cellIs" dxfId="4036" priority="221" operator="lessThan">
      <formula>15</formula>
    </cfRule>
    <cfRule type="cellIs" dxfId="4035" priority="222" operator="greaterThan">
      <formula>20</formula>
    </cfRule>
    <cfRule type="cellIs" dxfId="4034" priority="223" operator="between">
      <formula>15</formula>
      <formula>21</formula>
    </cfRule>
    <cfRule type="cellIs" dxfId="4033" priority="224" operator="lessThan">
      <formula>15</formula>
    </cfRule>
    <cfRule type="cellIs" dxfId="4032" priority="225" operator="greaterThan">
      <formula>21</formula>
    </cfRule>
  </conditionalFormatting>
  <conditionalFormatting sqref="M27">
    <cfRule type="cellIs" dxfId="4031" priority="208" operator="lessThan">
      <formula>15</formula>
    </cfRule>
    <cfRule type="cellIs" dxfId="4030" priority="209" operator="greaterThan">
      <formula>20</formula>
    </cfRule>
    <cfRule type="cellIs" dxfId="4029" priority="210" operator="between">
      <formula>15</formula>
      <formula>20</formula>
    </cfRule>
    <cfRule type="cellIs" dxfId="4028" priority="211" operator="between">
      <formula>15</formula>
      <formula>20</formula>
    </cfRule>
    <cfRule type="cellIs" dxfId="4027" priority="212" operator="lessThan">
      <formula>15</formula>
    </cfRule>
    <cfRule type="cellIs" dxfId="4026" priority="213" operator="greaterThan">
      <formula>20</formula>
    </cfRule>
    <cfRule type="cellIs" dxfId="4025" priority="214" operator="between">
      <formula>15</formula>
      <formula>21</formula>
    </cfRule>
    <cfRule type="cellIs" dxfId="4024" priority="215" operator="lessThan">
      <formula>15</formula>
    </cfRule>
    <cfRule type="cellIs" dxfId="4023" priority="216" operator="greaterThan">
      <formula>21</formula>
    </cfRule>
  </conditionalFormatting>
  <conditionalFormatting sqref="M34">
    <cfRule type="cellIs" dxfId="4022" priority="199" operator="lessThan">
      <formula>15</formula>
    </cfRule>
    <cfRule type="cellIs" dxfId="4021" priority="200" operator="greaterThan">
      <formula>20</formula>
    </cfRule>
    <cfRule type="cellIs" dxfId="4020" priority="201" operator="between">
      <formula>15</formula>
      <formula>20</formula>
    </cfRule>
    <cfRule type="cellIs" dxfId="4019" priority="202" operator="between">
      <formula>15</formula>
      <formula>20</formula>
    </cfRule>
    <cfRule type="cellIs" dxfId="4018" priority="203" operator="lessThan">
      <formula>15</formula>
    </cfRule>
    <cfRule type="cellIs" dxfId="4017" priority="204" operator="greaterThan">
      <formula>20</formula>
    </cfRule>
    <cfRule type="cellIs" dxfId="4016" priority="205" operator="between">
      <formula>15</formula>
      <formula>21</formula>
    </cfRule>
    <cfRule type="cellIs" dxfId="4015" priority="206" operator="lessThan">
      <formula>15</formula>
    </cfRule>
    <cfRule type="cellIs" dxfId="4014" priority="207" operator="greaterThan">
      <formula>21</formula>
    </cfRule>
  </conditionalFormatting>
  <conditionalFormatting sqref="M14:M17 M39 M21:M22 M24:M26 M19">
    <cfRule type="cellIs" dxfId="4013" priority="226" operator="lessThan">
      <formula>15</formula>
    </cfRule>
    <cfRule type="cellIs" dxfId="4012" priority="227" operator="greaterThan">
      <formula>20</formula>
    </cfRule>
    <cfRule type="cellIs" dxfId="4011" priority="228" operator="between">
      <formula>15</formula>
      <formula>20</formula>
    </cfRule>
    <cfRule type="cellIs" dxfId="4010" priority="229" operator="between">
      <formula>15</formula>
      <formula>20</formula>
    </cfRule>
    <cfRule type="cellIs" dxfId="4009" priority="230" operator="lessThan">
      <formula>15</formula>
    </cfRule>
    <cfRule type="cellIs" dxfId="4008" priority="231" operator="greaterThan">
      <formula>20</formula>
    </cfRule>
    <cfRule type="cellIs" dxfId="4007" priority="232" operator="between">
      <formula>15</formula>
      <formula>21</formula>
    </cfRule>
    <cfRule type="cellIs" dxfId="4006" priority="233" operator="lessThan">
      <formula>15</formula>
    </cfRule>
    <cfRule type="cellIs" dxfId="4005" priority="234" operator="greaterThan">
      <formula>21</formula>
    </cfRule>
  </conditionalFormatting>
  <conditionalFormatting sqref="M9:M12">
    <cfRule type="cellIs" dxfId="4004" priority="190" operator="lessThan">
      <formula>15</formula>
    </cfRule>
    <cfRule type="cellIs" dxfId="4003" priority="191" operator="greaterThan">
      <formula>20</formula>
    </cfRule>
    <cfRule type="cellIs" dxfId="4002" priority="192" operator="between">
      <formula>15</formula>
      <formula>20</formula>
    </cfRule>
    <cfRule type="cellIs" dxfId="4001" priority="193" operator="between">
      <formula>15</formula>
      <formula>20</formula>
    </cfRule>
    <cfRule type="cellIs" dxfId="4000" priority="194" operator="lessThan">
      <formula>15</formula>
    </cfRule>
    <cfRule type="cellIs" dxfId="3999" priority="195" operator="greaterThan">
      <formula>20</formula>
    </cfRule>
    <cfRule type="cellIs" dxfId="3998" priority="196" operator="between">
      <formula>15</formula>
      <formula>21</formula>
    </cfRule>
    <cfRule type="cellIs" dxfId="3997" priority="197" operator="lessThan">
      <formula>15</formula>
    </cfRule>
    <cfRule type="cellIs" dxfId="3996" priority="198" operator="greaterThan">
      <formula>21</formula>
    </cfRule>
  </conditionalFormatting>
  <conditionalFormatting sqref="M29:M32">
    <cfRule type="cellIs" dxfId="3995" priority="181" operator="lessThan">
      <formula>15</formula>
    </cfRule>
    <cfRule type="cellIs" dxfId="3994" priority="182" operator="greaterThan">
      <formula>20</formula>
    </cfRule>
    <cfRule type="cellIs" dxfId="3993" priority="183" operator="between">
      <formula>15</formula>
      <formula>20</formula>
    </cfRule>
    <cfRule type="cellIs" dxfId="3992" priority="184" operator="between">
      <formula>15</formula>
      <formula>20</formula>
    </cfRule>
    <cfRule type="cellIs" dxfId="3991" priority="185" operator="lessThan">
      <formula>15</formula>
    </cfRule>
    <cfRule type="cellIs" dxfId="3990" priority="186" operator="greaterThan">
      <formula>20</formula>
    </cfRule>
    <cfRule type="cellIs" dxfId="3989" priority="187" operator="between">
      <formula>15</formula>
      <formula>21</formula>
    </cfRule>
    <cfRule type="cellIs" dxfId="3988" priority="188" operator="lessThan">
      <formula>15</formula>
    </cfRule>
    <cfRule type="cellIs" dxfId="3987" priority="189" operator="greaterThan">
      <formula>21</formula>
    </cfRule>
  </conditionalFormatting>
  <conditionalFormatting sqref="M38">
    <cfRule type="cellIs" dxfId="3986" priority="109" operator="lessThan">
      <formula>15</formula>
    </cfRule>
    <cfRule type="cellIs" dxfId="3985" priority="110" operator="greaterThan">
      <formula>20</formula>
    </cfRule>
    <cfRule type="cellIs" dxfId="3984" priority="111" operator="between">
      <formula>15</formula>
      <formula>20</formula>
    </cfRule>
    <cfRule type="cellIs" dxfId="3983" priority="112" operator="between">
      <formula>15</formula>
      <formula>20</formula>
    </cfRule>
    <cfRule type="cellIs" dxfId="3982" priority="113" operator="lessThan">
      <formula>15</formula>
    </cfRule>
    <cfRule type="cellIs" dxfId="3981" priority="114" operator="greaterThan">
      <formula>20</formula>
    </cfRule>
    <cfRule type="cellIs" dxfId="3980" priority="115" operator="between">
      <formula>15</formula>
      <formula>21</formula>
    </cfRule>
    <cfRule type="cellIs" dxfId="3979" priority="116" operator="lessThan">
      <formula>15</formula>
    </cfRule>
    <cfRule type="cellIs" dxfId="3978" priority="117" operator="greaterThan">
      <formula>21</formula>
    </cfRule>
  </conditionalFormatting>
  <conditionalFormatting sqref="M33">
    <cfRule type="cellIs" dxfId="3977" priority="100" operator="lessThan">
      <formula>15</formula>
    </cfRule>
    <cfRule type="cellIs" dxfId="3976" priority="101" operator="greaterThan">
      <formula>20</formula>
    </cfRule>
    <cfRule type="cellIs" dxfId="3975" priority="102" operator="between">
      <formula>15</formula>
      <formula>20</formula>
    </cfRule>
    <cfRule type="cellIs" dxfId="3974" priority="103" operator="between">
      <formula>15</formula>
      <formula>20</formula>
    </cfRule>
    <cfRule type="cellIs" dxfId="3973" priority="104" operator="lessThan">
      <formula>15</formula>
    </cfRule>
    <cfRule type="cellIs" dxfId="3972" priority="105" operator="greaterThan">
      <formula>20</formula>
    </cfRule>
    <cfRule type="cellIs" dxfId="3971" priority="106" operator="between">
      <formula>15</formula>
      <formula>21</formula>
    </cfRule>
    <cfRule type="cellIs" dxfId="3970" priority="107" operator="lessThan">
      <formula>15</formula>
    </cfRule>
    <cfRule type="cellIs" dxfId="3969" priority="108" operator="greaterThan">
      <formula>21</formula>
    </cfRule>
  </conditionalFormatting>
  <conditionalFormatting sqref="M28">
    <cfRule type="cellIs" dxfId="3968" priority="91" operator="lessThan">
      <formula>15</formula>
    </cfRule>
    <cfRule type="cellIs" dxfId="3967" priority="92" operator="greaterThan">
      <formula>20</formula>
    </cfRule>
    <cfRule type="cellIs" dxfId="3966" priority="93" operator="between">
      <formula>15</formula>
      <formula>20</formula>
    </cfRule>
    <cfRule type="cellIs" dxfId="3965" priority="94" operator="between">
      <formula>15</formula>
      <formula>20</formula>
    </cfRule>
    <cfRule type="cellIs" dxfId="3964" priority="95" operator="lessThan">
      <formula>15</formula>
    </cfRule>
    <cfRule type="cellIs" dxfId="3963" priority="96" operator="greaterThan">
      <formula>20</formula>
    </cfRule>
    <cfRule type="cellIs" dxfId="3962" priority="97" operator="between">
      <formula>15</formula>
      <formula>21</formula>
    </cfRule>
    <cfRule type="cellIs" dxfId="3961" priority="98" operator="lessThan">
      <formula>15</formula>
    </cfRule>
    <cfRule type="cellIs" dxfId="3960" priority="99" operator="greaterThan">
      <formula>21</formula>
    </cfRule>
  </conditionalFormatting>
  <conditionalFormatting sqref="M23">
    <cfRule type="cellIs" dxfId="3959" priority="82" operator="lessThan">
      <formula>15</formula>
    </cfRule>
    <cfRule type="cellIs" dxfId="3958" priority="83" operator="greaterThan">
      <formula>20</formula>
    </cfRule>
    <cfRule type="cellIs" dxfId="3957" priority="84" operator="between">
      <formula>15</formula>
      <formula>20</formula>
    </cfRule>
    <cfRule type="cellIs" dxfId="3956" priority="85" operator="between">
      <formula>15</formula>
      <formula>20</formula>
    </cfRule>
    <cfRule type="cellIs" dxfId="3955" priority="86" operator="lessThan">
      <formula>15</formula>
    </cfRule>
    <cfRule type="cellIs" dxfId="3954" priority="87" operator="greaterThan">
      <formula>20</formula>
    </cfRule>
    <cfRule type="cellIs" dxfId="3953" priority="88" operator="between">
      <formula>15</formula>
      <formula>21</formula>
    </cfRule>
    <cfRule type="cellIs" dxfId="3952" priority="89" operator="lessThan">
      <formula>15</formula>
    </cfRule>
    <cfRule type="cellIs" dxfId="3951" priority="90" operator="greaterThan">
      <formula>21</formula>
    </cfRule>
  </conditionalFormatting>
  <conditionalFormatting sqref="M18">
    <cfRule type="cellIs" dxfId="3950" priority="73" operator="lessThan">
      <formula>15</formula>
    </cfRule>
    <cfRule type="cellIs" dxfId="3949" priority="74" operator="greaterThan">
      <formula>20</formula>
    </cfRule>
    <cfRule type="cellIs" dxfId="3948" priority="75" operator="between">
      <formula>15</formula>
      <formula>20</formula>
    </cfRule>
    <cfRule type="cellIs" dxfId="3947" priority="76" operator="between">
      <formula>15</formula>
      <formula>20</formula>
    </cfRule>
    <cfRule type="cellIs" dxfId="3946" priority="77" operator="lessThan">
      <formula>15</formula>
    </cfRule>
    <cfRule type="cellIs" dxfId="3945" priority="78" operator="greaterThan">
      <formula>20</formula>
    </cfRule>
    <cfRule type="cellIs" dxfId="3944" priority="79" operator="between">
      <formula>15</formula>
      <formula>21</formula>
    </cfRule>
    <cfRule type="cellIs" dxfId="3943" priority="80" operator="lessThan">
      <formula>15</formula>
    </cfRule>
    <cfRule type="cellIs" dxfId="3942" priority="81" operator="greaterThan">
      <formula>21</formula>
    </cfRule>
  </conditionalFormatting>
  <conditionalFormatting sqref="M35:M37">
    <cfRule type="cellIs" dxfId="3941" priority="64" operator="lessThan">
      <formula>15</formula>
    </cfRule>
    <cfRule type="cellIs" dxfId="3940" priority="65" operator="greaterThan">
      <formula>20</formula>
    </cfRule>
    <cfRule type="cellIs" dxfId="3939" priority="66" operator="between">
      <formula>15</formula>
      <formula>20</formula>
    </cfRule>
    <cfRule type="cellIs" dxfId="3938" priority="67" operator="between">
      <formula>15</formula>
      <formula>20</formula>
    </cfRule>
    <cfRule type="cellIs" dxfId="3937" priority="68" operator="lessThan">
      <formula>15</formula>
    </cfRule>
    <cfRule type="cellIs" dxfId="3936" priority="69" operator="greaterThan">
      <formula>20</formula>
    </cfRule>
    <cfRule type="cellIs" dxfId="3935" priority="70" operator="between">
      <formula>15</formula>
      <formula>21</formula>
    </cfRule>
    <cfRule type="cellIs" dxfId="3934" priority="71" operator="lessThan">
      <formula>15</formula>
    </cfRule>
    <cfRule type="cellIs" dxfId="3933" priority="72" operator="greaterThan">
      <formula>21</formula>
    </cfRule>
  </conditionalFormatting>
  <conditionalFormatting sqref="M13">
    <cfRule type="cellIs" dxfId="3932" priority="55" operator="lessThan">
      <formula>15</formula>
    </cfRule>
    <cfRule type="cellIs" dxfId="3931" priority="56" operator="greaterThan">
      <formula>20</formula>
    </cfRule>
    <cfRule type="cellIs" dxfId="3930" priority="57" operator="between">
      <formula>15</formula>
      <formula>20</formula>
    </cfRule>
    <cfRule type="cellIs" dxfId="3929" priority="58" operator="between">
      <formula>15</formula>
      <formula>20</formula>
    </cfRule>
    <cfRule type="cellIs" dxfId="3928" priority="59" operator="lessThan">
      <formula>15</formula>
    </cfRule>
    <cfRule type="cellIs" dxfId="3927" priority="60" operator="greaterThan">
      <formula>20</formula>
    </cfRule>
    <cfRule type="cellIs" dxfId="3926" priority="61" operator="between">
      <formula>15</formula>
      <formula>21</formula>
    </cfRule>
    <cfRule type="cellIs" dxfId="3925" priority="62" operator="lessThan">
      <formula>15</formula>
    </cfRule>
    <cfRule type="cellIs" dxfId="3924" priority="63" operator="greaterThan">
      <formula>21</formula>
    </cfRule>
  </conditionalFormatting>
  <conditionalFormatting sqref="M20">
    <cfRule type="cellIs" dxfId="3923" priority="46" operator="lessThan">
      <formula>15</formula>
    </cfRule>
    <cfRule type="cellIs" dxfId="3922" priority="47" operator="greaterThan">
      <formula>20</formula>
    </cfRule>
    <cfRule type="cellIs" dxfId="3921" priority="48" operator="between">
      <formula>15</formula>
      <formula>20</formula>
    </cfRule>
    <cfRule type="cellIs" dxfId="3920" priority="49" operator="between">
      <formula>15</formula>
      <formula>20</formula>
    </cfRule>
    <cfRule type="cellIs" dxfId="3919" priority="50" operator="lessThan">
      <formula>15</formula>
    </cfRule>
    <cfRule type="cellIs" dxfId="3918" priority="51" operator="greaterThan">
      <formula>20</formula>
    </cfRule>
    <cfRule type="cellIs" dxfId="3917" priority="52" operator="between">
      <formula>15</formula>
      <formula>21</formula>
    </cfRule>
    <cfRule type="cellIs" dxfId="3916" priority="53" operator="lessThan">
      <formula>15</formula>
    </cfRule>
    <cfRule type="cellIs" dxfId="3915" priority="54" operator="greaterThan">
      <formula>21</formula>
    </cfRule>
  </conditionalFormatting>
  <conditionalFormatting sqref="M27">
    <cfRule type="cellIs" dxfId="3914" priority="37" operator="lessThan">
      <formula>15</formula>
    </cfRule>
    <cfRule type="cellIs" dxfId="3913" priority="38" operator="greaterThan">
      <formula>20</formula>
    </cfRule>
    <cfRule type="cellIs" dxfId="3912" priority="39" operator="between">
      <formula>15</formula>
      <formula>20</formula>
    </cfRule>
    <cfRule type="cellIs" dxfId="3911" priority="40" operator="between">
      <formula>15</formula>
      <formula>20</formula>
    </cfRule>
    <cfRule type="cellIs" dxfId="3910" priority="41" operator="lessThan">
      <formula>15</formula>
    </cfRule>
    <cfRule type="cellIs" dxfId="3909" priority="42" operator="greaterThan">
      <formula>20</formula>
    </cfRule>
    <cfRule type="cellIs" dxfId="3908" priority="43" operator="between">
      <formula>15</formula>
      <formula>21</formula>
    </cfRule>
    <cfRule type="cellIs" dxfId="3907" priority="44" operator="lessThan">
      <formula>15</formula>
    </cfRule>
    <cfRule type="cellIs" dxfId="3906" priority="45" operator="greaterThan">
      <formula>21</formula>
    </cfRule>
  </conditionalFormatting>
  <conditionalFormatting sqref="M34">
    <cfRule type="cellIs" dxfId="3905" priority="28" operator="lessThan">
      <formula>15</formula>
    </cfRule>
    <cfRule type="cellIs" dxfId="3904" priority="29" operator="greaterThan">
      <formula>20</formula>
    </cfRule>
    <cfRule type="cellIs" dxfId="3903" priority="30" operator="between">
      <formula>15</formula>
      <formula>20</formula>
    </cfRule>
    <cfRule type="cellIs" dxfId="3902" priority="31" operator="between">
      <formula>15</formula>
      <formula>20</formula>
    </cfRule>
    <cfRule type="cellIs" dxfId="3901" priority="32" operator="lessThan">
      <formula>15</formula>
    </cfRule>
    <cfRule type="cellIs" dxfId="3900" priority="33" operator="greaterThan">
      <formula>20</formula>
    </cfRule>
    <cfRule type="cellIs" dxfId="3899" priority="34" operator="between">
      <formula>15</formula>
      <formula>21</formula>
    </cfRule>
    <cfRule type="cellIs" dxfId="3898" priority="35" operator="lessThan">
      <formula>15</formula>
    </cfRule>
    <cfRule type="cellIs" dxfId="3897" priority="36" operator="greaterThan">
      <formula>21</formula>
    </cfRule>
  </conditionalFormatting>
  <conditionalFormatting sqref="M14:M17 M39 M21:M22 M24:M26 M19">
    <cfRule type="cellIs" dxfId="3896" priority="19" operator="lessThan">
      <formula>15</formula>
    </cfRule>
    <cfRule type="cellIs" dxfId="3895" priority="20" operator="greaterThan">
      <formula>20</formula>
    </cfRule>
    <cfRule type="cellIs" dxfId="3894" priority="21" operator="between">
      <formula>15</formula>
      <formula>20</formula>
    </cfRule>
    <cfRule type="cellIs" dxfId="3893" priority="22" operator="between">
      <formula>15</formula>
      <formula>20</formula>
    </cfRule>
    <cfRule type="cellIs" dxfId="3892" priority="23" operator="lessThan">
      <formula>15</formula>
    </cfRule>
    <cfRule type="cellIs" dxfId="3891" priority="24" operator="greaterThan">
      <formula>20</formula>
    </cfRule>
    <cfRule type="cellIs" dxfId="3890" priority="25" operator="between">
      <formula>15</formula>
      <formula>21</formula>
    </cfRule>
    <cfRule type="cellIs" dxfId="3889" priority="26" operator="lessThan">
      <formula>15</formula>
    </cfRule>
    <cfRule type="cellIs" dxfId="3888" priority="27" operator="greaterThan">
      <formula>21</formula>
    </cfRule>
  </conditionalFormatting>
  <conditionalFormatting sqref="M9:M12">
    <cfRule type="cellIs" dxfId="3887" priority="10" operator="lessThan">
      <formula>15</formula>
    </cfRule>
    <cfRule type="cellIs" dxfId="3886" priority="11" operator="greaterThan">
      <formula>20</formula>
    </cfRule>
    <cfRule type="cellIs" dxfId="3885" priority="12" operator="between">
      <formula>15</formula>
      <formula>20</formula>
    </cfRule>
    <cfRule type="cellIs" dxfId="3884" priority="13" operator="between">
      <formula>15</formula>
      <formula>20</formula>
    </cfRule>
    <cfRule type="cellIs" dxfId="3883" priority="14" operator="lessThan">
      <formula>15</formula>
    </cfRule>
    <cfRule type="cellIs" dxfId="3882" priority="15" operator="greaterThan">
      <formula>20</formula>
    </cfRule>
    <cfRule type="cellIs" dxfId="3881" priority="16" operator="between">
      <formula>15</formula>
      <formula>21</formula>
    </cfRule>
    <cfRule type="cellIs" dxfId="3880" priority="17" operator="lessThan">
      <formula>15</formula>
    </cfRule>
    <cfRule type="cellIs" dxfId="3879" priority="18" operator="greaterThan">
      <formula>21</formula>
    </cfRule>
  </conditionalFormatting>
  <conditionalFormatting sqref="M29:M32">
    <cfRule type="cellIs" dxfId="3878" priority="1" operator="lessThan">
      <formula>15</formula>
    </cfRule>
    <cfRule type="cellIs" dxfId="3877" priority="2" operator="greaterThan">
      <formula>20</formula>
    </cfRule>
    <cfRule type="cellIs" dxfId="3876" priority="3" operator="between">
      <formula>15</formula>
      <formula>20</formula>
    </cfRule>
    <cfRule type="cellIs" dxfId="3875" priority="4" operator="between">
      <formula>15</formula>
      <formula>20</formula>
    </cfRule>
    <cfRule type="cellIs" dxfId="3874" priority="5" operator="lessThan">
      <formula>15</formula>
    </cfRule>
    <cfRule type="cellIs" dxfId="3873" priority="6" operator="greaterThan">
      <formula>20</formula>
    </cfRule>
    <cfRule type="cellIs" dxfId="3872" priority="7" operator="between">
      <formula>15</formula>
      <formula>21</formula>
    </cfRule>
    <cfRule type="cellIs" dxfId="3871" priority="8" operator="lessThan">
      <formula>15</formula>
    </cfRule>
    <cfRule type="cellIs" dxfId="3870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9" orientation="landscape"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50"/>
  <sheetViews>
    <sheetView zoomScale="80" zoomScaleNormal="80" workbookViewId="0">
      <pane ySplit="8" topLeftCell="A27" activePane="bottomLeft" state="frozen"/>
      <selection pane="bottomLeft"/>
    </sheetView>
  </sheetViews>
  <sheetFormatPr defaultColWidth="9.28515625" defaultRowHeight="15"/>
  <cols>
    <col min="1" max="1" width="5.28515625" style="143" customWidth="1"/>
    <col min="2" max="2" width="8.28515625" style="143" customWidth="1"/>
    <col min="3" max="3" width="17.42578125" style="143" customWidth="1"/>
    <col min="4" max="11" width="9.42578125" style="142" customWidth="1"/>
    <col min="12" max="13" width="11.7109375" style="143" customWidth="1"/>
    <col min="14" max="14" width="6.1406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TCX T100</v>
      </c>
      <c r="D4" s="383"/>
      <c r="E4" s="383" t="s">
        <v>228</v>
      </c>
      <c r="F4" s="383" t="s">
        <v>230</v>
      </c>
      <c r="G4" s="383"/>
      <c r="I4" s="383" t="s">
        <v>120</v>
      </c>
      <c r="J4" s="316" t="s">
        <v>153</v>
      </c>
      <c r="K4" s="319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1000</v>
      </c>
      <c r="E8" s="388">
        <f>K8</f>
        <v>1000</v>
      </c>
      <c r="F8" s="389"/>
      <c r="G8" s="388"/>
      <c r="H8" s="387"/>
      <c r="I8" s="388"/>
      <c r="J8" s="390">
        <f>K8</f>
        <v>1000</v>
      </c>
      <c r="K8" s="389">
        <v>1000</v>
      </c>
      <c r="L8" s="303"/>
      <c r="M8" s="304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65" t="s">
        <v>285</v>
      </c>
      <c r="D9" s="497"/>
      <c r="E9" s="388"/>
      <c r="F9" s="446"/>
      <c r="G9" s="496"/>
      <c r="H9" s="498">
        <f>SUM($F$8:F9)/A9</f>
        <v>0</v>
      </c>
      <c r="I9" s="499">
        <f>SUM($G$8:G9)/A9</f>
        <v>0</v>
      </c>
      <c r="J9" s="443">
        <f t="shared" ref="J9:K11" si="0">J8+D9-F9</f>
        <v>1000</v>
      </c>
      <c r="K9" s="459">
        <f t="shared" si="0"/>
        <v>1000</v>
      </c>
      <c r="L9" s="338" t="e">
        <f>J9/H9</f>
        <v>#DIV/0!</v>
      </c>
      <c r="M9" s="300" t="e">
        <f>K9/I9</f>
        <v>#DIV/0!</v>
      </c>
      <c r="N9" s="366"/>
      <c r="O9" s="647">
        <f>J9/$O$8</f>
        <v>0.33322225924691767</v>
      </c>
    </row>
    <row r="10" spans="1:25" s="367" customFormat="1" ht="12" customHeight="1">
      <c r="A10" s="364">
        <v>2</v>
      </c>
      <c r="B10" s="365">
        <f>'FRIT HGE91-FHG'!B10</f>
        <v>46236</v>
      </c>
      <c r="C10" s="365" t="s">
        <v>285</v>
      </c>
      <c r="D10" s="497"/>
      <c r="E10" s="388"/>
      <c r="F10" s="446"/>
      <c r="G10" s="496"/>
      <c r="H10" s="498">
        <f>SUM($F$8:F10)/A10</f>
        <v>0</v>
      </c>
      <c r="I10" s="499">
        <f>SUM($G$8:G10)/A10</f>
        <v>0</v>
      </c>
      <c r="J10" s="443">
        <f t="shared" si="0"/>
        <v>1000</v>
      </c>
      <c r="K10" s="459">
        <f t="shared" si="0"/>
        <v>1000</v>
      </c>
      <c r="L10" s="338" t="e">
        <f t="shared" ref="L10:L39" si="1">J10/H10</f>
        <v>#DIV/0!</v>
      </c>
      <c r="M10" s="300" t="e">
        <f t="shared" ref="M10:M39" si="2">K10/I10</f>
        <v>#DIV/0!</v>
      </c>
      <c r="N10" s="366"/>
      <c r="O10" s="647">
        <f t="shared" ref="O10:O39" si="3">J10/$O$8</f>
        <v>0.33322225924691767</v>
      </c>
    </row>
    <row r="11" spans="1:25" s="367" customFormat="1" ht="12" customHeight="1">
      <c r="A11" s="364">
        <v>3</v>
      </c>
      <c r="B11" s="365">
        <f>'FRIT HGE91-FHG'!B11</f>
        <v>46237</v>
      </c>
      <c r="C11" s="365" t="s">
        <v>285</v>
      </c>
      <c r="D11" s="497"/>
      <c r="E11" s="388"/>
      <c r="F11" s="446"/>
      <c r="G11" s="496"/>
      <c r="H11" s="498">
        <f>SUM($F$8:F11)/A11</f>
        <v>0</v>
      </c>
      <c r="I11" s="499">
        <f>SUM($G$8:G11)/A11</f>
        <v>0</v>
      </c>
      <c r="J11" s="443">
        <f t="shared" si="0"/>
        <v>1000</v>
      </c>
      <c r="K11" s="459">
        <f t="shared" si="0"/>
        <v>1000</v>
      </c>
      <c r="L11" s="338" t="e">
        <f t="shared" si="1"/>
        <v>#DIV/0!</v>
      </c>
      <c r="M11" s="300" t="e">
        <f t="shared" si="2"/>
        <v>#DIV/0!</v>
      </c>
      <c r="N11" s="366"/>
      <c r="O11" s="647">
        <f t="shared" si="3"/>
        <v>0.33322225924691767</v>
      </c>
    </row>
    <row r="12" spans="1:25" s="367" customFormat="1" ht="12" customHeight="1">
      <c r="A12" s="364">
        <v>4</v>
      </c>
      <c r="B12" s="365">
        <f>'FRIT HGE91-FHG'!B12</f>
        <v>46238</v>
      </c>
      <c r="C12" s="365" t="s">
        <v>285</v>
      </c>
      <c r="D12" s="497"/>
      <c r="E12" s="388"/>
      <c r="F12" s="446"/>
      <c r="G12" s="496"/>
      <c r="H12" s="498">
        <f>SUM($F$8:F12)/A12</f>
        <v>0</v>
      </c>
      <c r="I12" s="499">
        <f>SUM($G$8:G12)/A12</f>
        <v>0</v>
      </c>
      <c r="J12" s="443">
        <f t="shared" ref="J12:K27" si="4">J11+D12-F12</f>
        <v>1000</v>
      </c>
      <c r="K12" s="459">
        <f t="shared" si="4"/>
        <v>1000</v>
      </c>
      <c r="L12" s="338" t="e">
        <f t="shared" si="1"/>
        <v>#DIV/0!</v>
      </c>
      <c r="M12" s="300" t="e">
        <f t="shared" si="2"/>
        <v>#DIV/0!</v>
      </c>
      <c r="N12" s="366"/>
      <c r="O12" s="647">
        <f t="shared" si="3"/>
        <v>0.33322225924691767</v>
      </c>
    </row>
    <row r="13" spans="1:25" s="367" customFormat="1" ht="12" customHeight="1">
      <c r="A13" s="500">
        <v>5</v>
      </c>
      <c r="B13" s="365">
        <f>'FRIT HGE91-FHG'!B13</f>
        <v>46239</v>
      </c>
      <c r="C13" s="365" t="s">
        <v>285</v>
      </c>
      <c r="D13" s="497"/>
      <c r="E13" s="388"/>
      <c r="F13" s="446"/>
      <c r="G13" s="496"/>
      <c r="H13" s="500">
        <f>SUM($F$8:F13)/A13</f>
        <v>0</v>
      </c>
      <c r="I13" s="499">
        <f>SUM($G$8:G13)/A13</f>
        <v>0</v>
      </c>
      <c r="J13" s="500">
        <f t="shared" si="4"/>
        <v>1000</v>
      </c>
      <c r="K13" s="459">
        <f t="shared" si="4"/>
        <v>1000</v>
      </c>
      <c r="L13" s="368" t="e">
        <f t="shared" si="1"/>
        <v>#DIV/0!</v>
      </c>
      <c r="M13" s="300" t="e">
        <f t="shared" si="2"/>
        <v>#DIV/0!</v>
      </c>
      <c r="N13" s="366"/>
      <c r="O13" s="647">
        <f t="shared" si="3"/>
        <v>0.33322225924691767</v>
      </c>
    </row>
    <row r="14" spans="1:25" s="367" customFormat="1" ht="12" customHeight="1">
      <c r="A14" s="364">
        <v>6</v>
      </c>
      <c r="B14" s="365">
        <f>'FRIT HGE91-FHG'!B14</f>
        <v>46240</v>
      </c>
      <c r="C14" s="365" t="s">
        <v>285</v>
      </c>
      <c r="D14" s="497"/>
      <c r="E14" s="388"/>
      <c r="F14" s="446"/>
      <c r="G14" s="496"/>
      <c r="H14" s="498">
        <f>SUM($F$8:F14)/A14</f>
        <v>0</v>
      </c>
      <c r="I14" s="499">
        <f>SUM($G$8:G14)/A14</f>
        <v>0</v>
      </c>
      <c r="J14" s="443">
        <f t="shared" si="4"/>
        <v>1000</v>
      </c>
      <c r="K14" s="459">
        <f t="shared" si="4"/>
        <v>1000</v>
      </c>
      <c r="L14" s="338" t="e">
        <f t="shared" si="1"/>
        <v>#DIV/0!</v>
      </c>
      <c r="M14" s="300" t="e">
        <f t="shared" si="2"/>
        <v>#DIV/0!</v>
      </c>
      <c r="N14" s="366"/>
      <c r="O14" s="647">
        <f t="shared" si="3"/>
        <v>0.33322225924691767</v>
      </c>
    </row>
    <row r="15" spans="1:25" s="367" customFormat="1" ht="12" customHeight="1">
      <c r="A15" s="364">
        <v>7</v>
      </c>
      <c r="B15" s="365">
        <f>'FRIT HGE91-FHG'!B15</f>
        <v>46241</v>
      </c>
      <c r="C15" s="365" t="s">
        <v>285</v>
      </c>
      <c r="D15" s="497"/>
      <c r="E15" s="388"/>
      <c r="F15" s="446"/>
      <c r="G15" s="496"/>
      <c r="H15" s="498">
        <f>SUM($F$8:F15)/A15</f>
        <v>0</v>
      </c>
      <c r="I15" s="499">
        <f>SUM($G$8:G15)/A15</f>
        <v>0</v>
      </c>
      <c r="J15" s="443">
        <f t="shared" si="4"/>
        <v>1000</v>
      </c>
      <c r="K15" s="459">
        <f t="shared" si="4"/>
        <v>1000</v>
      </c>
      <c r="L15" s="338" t="e">
        <f t="shared" si="1"/>
        <v>#DIV/0!</v>
      </c>
      <c r="M15" s="300" t="e">
        <f t="shared" si="2"/>
        <v>#DIV/0!</v>
      </c>
      <c r="N15" s="366"/>
      <c r="O15" s="647">
        <f t="shared" si="3"/>
        <v>0.33322225924691767</v>
      </c>
    </row>
    <row r="16" spans="1:25" s="367" customFormat="1" ht="12" customHeight="1">
      <c r="A16" s="364">
        <v>8</v>
      </c>
      <c r="B16" s="365">
        <f>'FRIT HGE91-FHG'!B16</f>
        <v>46242</v>
      </c>
      <c r="C16" s="365" t="s">
        <v>285</v>
      </c>
      <c r="D16" s="497"/>
      <c r="E16" s="388"/>
      <c r="F16" s="446"/>
      <c r="G16" s="496"/>
      <c r="H16" s="498">
        <f>SUM($F$8:F16)/A16</f>
        <v>0</v>
      </c>
      <c r="I16" s="499">
        <f>SUM($G$8:G16)/A16</f>
        <v>0</v>
      </c>
      <c r="J16" s="443">
        <f t="shared" si="4"/>
        <v>1000</v>
      </c>
      <c r="K16" s="459">
        <f t="shared" si="4"/>
        <v>1000</v>
      </c>
      <c r="L16" s="338" t="e">
        <f t="shared" si="1"/>
        <v>#DIV/0!</v>
      </c>
      <c r="M16" s="300" t="e">
        <f t="shared" si="2"/>
        <v>#DIV/0!</v>
      </c>
      <c r="N16" s="366"/>
      <c r="O16" s="647">
        <f t="shared" si="3"/>
        <v>0.33322225924691767</v>
      </c>
    </row>
    <row r="17" spans="1:15" s="367" customFormat="1" ht="12" customHeight="1">
      <c r="A17" s="364">
        <v>9</v>
      </c>
      <c r="B17" s="365">
        <f>'FRIT HGE91-FHG'!B17</f>
        <v>46243</v>
      </c>
      <c r="C17" s="365" t="s">
        <v>285</v>
      </c>
      <c r="D17" s="497"/>
      <c r="E17" s="388"/>
      <c r="F17" s="446"/>
      <c r="G17" s="496"/>
      <c r="H17" s="498">
        <f>SUM($F$8:F17)/A17</f>
        <v>0</v>
      </c>
      <c r="I17" s="499">
        <f>SUM($G$8:G17)/A17</f>
        <v>0</v>
      </c>
      <c r="J17" s="443">
        <f t="shared" si="4"/>
        <v>1000</v>
      </c>
      <c r="K17" s="459">
        <f t="shared" si="4"/>
        <v>1000</v>
      </c>
      <c r="L17" s="338" t="e">
        <f t="shared" si="1"/>
        <v>#DIV/0!</v>
      </c>
      <c r="M17" s="300" t="e">
        <f t="shared" si="2"/>
        <v>#DIV/0!</v>
      </c>
      <c r="N17" s="366"/>
      <c r="O17" s="647">
        <f t="shared" si="3"/>
        <v>0.33322225924691767</v>
      </c>
    </row>
    <row r="18" spans="1:15" s="367" customFormat="1" ht="12" customHeight="1">
      <c r="A18" s="500">
        <v>10</v>
      </c>
      <c r="B18" s="365">
        <f>'FRIT HGE91-FHG'!B18</f>
        <v>46244</v>
      </c>
      <c r="C18" s="365" t="s">
        <v>285</v>
      </c>
      <c r="D18" s="497"/>
      <c r="E18" s="388"/>
      <c r="F18" s="446"/>
      <c r="G18" s="496"/>
      <c r="H18" s="500">
        <f>SUM($F$8:F18)/A18</f>
        <v>0</v>
      </c>
      <c r="I18" s="499">
        <f>SUM($G$8:G18)/A18</f>
        <v>0</v>
      </c>
      <c r="J18" s="500">
        <f t="shared" si="4"/>
        <v>1000</v>
      </c>
      <c r="K18" s="459">
        <f t="shared" si="4"/>
        <v>1000</v>
      </c>
      <c r="L18" s="368" t="e">
        <f t="shared" si="1"/>
        <v>#DIV/0!</v>
      </c>
      <c r="M18" s="300" t="e">
        <f t="shared" si="2"/>
        <v>#DIV/0!</v>
      </c>
      <c r="N18" s="366"/>
      <c r="O18" s="647">
        <f t="shared" si="3"/>
        <v>0.33322225924691767</v>
      </c>
    </row>
    <row r="19" spans="1:15" s="367" customFormat="1" ht="12" customHeight="1">
      <c r="A19" s="364">
        <v>11</v>
      </c>
      <c r="B19" s="365">
        <f>'FRIT HGE91-FHG'!B19</f>
        <v>46245</v>
      </c>
      <c r="C19" s="365" t="s">
        <v>285</v>
      </c>
      <c r="D19" s="497"/>
      <c r="E19" s="388"/>
      <c r="F19" s="446"/>
      <c r="G19" s="496"/>
      <c r="H19" s="498">
        <f>SUM($F$8:F19)/A19</f>
        <v>0</v>
      </c>
      <c r="I19" s="499">
        <f>SUM($G$8:G19)/A19</f>
        <v>0</v>
      </c>
      <c r="J19" s="443">
        <f t="shared" si="4"/>
        <v>1000</v>
      </c>
      <c r="K19" s="459">
        <f t="shared" si="4"/>
        <v>1000</v>
      </c>
      <c r="L19" s="338" t="e">
        <f t="shared" si="1"/>
        <v>#DIV/0!</v>
      </c>
      <c r="M19" s="300" t="e">
        <f t="shared" si="2"/>
        <v>#DIV/0!</v>
      </c>
      <c r="N19" s="366"/>
      <c r="O19" s="647">
        <f t="shared" si="3"/>
        <v>0.33322225924691767</v>
      </c>
    </row>
    <row r="20" spans="1:15" s="367" customFormat="1" ht="12" customHeight="1">
      <c r="A20" s="364">
        <v>12</v>
      </c>
      <c r="B20" s="365">
        <f>'FRIT HGE91-FHG'!B20</f>
        <v>46246</v>
      </c>
      <c r="C20" s="365" t="s">
        <v>285</v>
      </c>
      <c r="D20" s="497"/>
      <c r="E20" s="388"/>
      <c r="F20" s="446"/>
      <c r="G20" s="496"/>
      <c r="H20" s="498">
        <f>SUM($F$8:F20)/A20</f>
        <v>0</v>
      </c>
      <c r="I20" s="499">
        <f>SUM($G$8:G20)/A20</f>
        <v>0</v>
      </c>
      <c r="J20" s="443">
        <f t="shared" si="4"/>
        <v>1000</v>
      </c>
      <c r="K20" s="459">
        <f t="shared" si="4"/>
        <v>1000</v>
      </c>
      <c r="L20" s="338" t="e">
        <f t="shared" si="1"/>
        <v>#DIV/0!</v>
      </c>
      <c r="M20" s="300" t="e">
        <f t="shared" si="2"/>
        <v>#DIV/0!</v>
      </c>
      <c r="N20" s="366"/>
      <c r="O20" s="647">
        <f t="shared" si="3"/>
        <v>0.33322225924691767</v>
      </c>
    </row>
    <row r="21" spans="1:15" s="367" customFormat="1" ht="12" customHeight="1">
      <c r="A21" s="364">
        <v>13</v>
      </c>
      <c r="B21" s="365">
        <f>'FRIT HGE91-FHG'!B21</f>
        <v>46247</v>
      </c>
      <c r="C21" s="365" t="s">
        <v>285</v>
      </c>
      <c r="D21" s="497"/>
      <c r="E21" s="388"/>
      <c r="F21" s="446"/>
      <c r="G21" s="496"/>
      <c r="H21" s="498">
        <f>SUM($F$8:F21)/A21</f>
        <v>0</v>
      </c>
      <c r="I21" s="499">
        <f>SUM($G$8:G21)/A21</f>
        <v>0</v>
      </c>
      <c r="J21" s="443">
        <f t="shared" si="4"/>
        <v>1000</v>
      </c>
      <c r="K21" s="459">
        <f>K20+E21-G21</f>
        <v>1000</v>
      </c>
      <c r="L21" s="338" t="e">
        <f t="shared" si="1"/>
        <v>#DIV/0!</v>
      </c>
      <c r="M21" s="300" t="e">
        <f t="shared" si="2"/>
        <v>#DIV/0!</v>
      </c>
      <c r="N21" s="366"/>
      <c r="O21" s="647">
        <f t="shared" si="3"/>
        <v>0.33322225924691767</v>
      </c>
    </row>
    <row r="22" spans="1:15" s="367" customFormat="1" ht="12" customHeight="1">
      <c r="A22" s="364">
        <v>14</v>
      </c>
      <c r="B22" s="365">
        <f>'FRIT HGE91-FHG'!B22</f>
        <v>46248</v>
      </c>
      <c r="C22" s="365" t="s">
        <v>285</v>
      </c>
      <c r="D22" s="497"/>
      <c r="E22" s="388"/>
      <c r="F22" s="446"/>
      <c r="G22" s="496"/>
      <c r="H22" s="498">
        <f>SUM($F$8:F22)/A22</f>
        <v>0</v>
      </c>
      <c r="I22" s="499">
        <f>SUM($G$8:G22)/A22</f>
        <v>0</v>
      </c>
      <c r="J22" s="443">
        <f t="shared" si="4"/>
        <v>1000</v>
      </c>
      <c r="K22" s="459">
        <f>K21+E22-G22</f>
        <v>1000</v>
      </c>
      <c r="L22" s="338" t="e">
        <f t="shared" si="1"/>
        <v>#DIV/0!</v>
      </c>
      <c r="M22" s="300" t="e">
        <f t="shared" si="2"/>
        <v>#DIV/0!</v>
      </c>
      <c r="N22" s="366"/>
      <c r="O22" s="647">
        <f t="shared" si="3"/>
        <v>0.33322225924691767</v>
      </c>
    </row>
    <row r="23" spans="1:15" s="367" customFormat="1" ht="12" customHeight="1">
      <c r="A23" s="500">
        <v>15</v>
      </c>
      <c r="B23" s="365">
        <f>'FRIT HGE91-FHG'!B23</f>
        <v>46249</v>
      </c>
      <c r="C23" s="365" t="s">
        <v>285</v>
      </c>
      <c r="D23" s="497"/>
      <c r="E23" s="388"/>
      <c r="F23" s="446"/>
      <c r="G23" s="496"/>
      <c r="H23" s="500">
        <f>SUM($F$8:F23)/A23</f>
        <v>0</v>
      </c>
      <c r="I23" s="499">
        <f>SUM($G$8:G23)/A23</f>
        <v>0</v>
      </c>
      <c r="J23" s="500">
        <f t="shared" si="4"/>
        <v>1000</v>
      </c>
      <c r="K23" s="459">
        <f t="shared" si="4"/>
        <v>1000</v>
      </c>
      <c r="L23" s="368" t="e">
        <f t="shared" si="1"/>
        <v>#DIV/0!</v>
      </c>
      <c r="M23" s="300" t="e">
        <f t="shared" si="2"/>
        <v>#DIV/0!</v>
      </c>
      <c r="N23" s="366"/>
      <c r="O23" s="647">
        <f t="shared" si="3"/>
        <v>0.33322225924691767</v>
      </c>
    </row>
    <row r="24" spans="1:15" s="367" customFormat="1" ht="12" customHeight="1">
      <c r="A24" s="364">
        <v>16</v>
      </c>
      <c r="B24" s="365">
        <f>'FRIT HGE91-FHG'!B24</f>
        <v>46250</v>
      </c>
      <c r="C24" s="365" t="s">
        <v>285</v>
      </c>
      <c r="D24" s="497"/>
      <c r="E24" s="388"/>
      <c r="F24" s="446"/>
      <c r="G24" s="496"/>
      <c r="H24" s="498">
        <f>SUM($F$8:F24)/A24</f>
        <v>0</v>
      </c>
      <c r="I24" s="499">
        <f>SUM($G$8:G24)/A24</f>
        <v>0</v>
      </c>
      <c r="J24" s="443">
        <f t="shared" si="4"/>
        <v>1000</v>
      </c>
      <c r="K24" s="459">
        <f>K23+E24-G24</f>
        <v>1000</v>
      </c>
      <c r="L24" s="338" t="e">
        <f t="shared" si="1"/>
        <v>#DIV/0!</v>
      </c>
      <c r="M24" s="300" t="e">
        <f t="shared" si="2"/>
        <v>#DIV/0!</v>
      </c>
      <c r="N24" s="366"/>
      <c r="O24" s="647">
        <f t="shared" si="3"/>
        <v>0.33322225924691767</v>
      </c>
    </row>
    <row r="25" spans="1:15" s="367" customFormat="1" ht="12" customHeight="1">
      <c r="A25" s="364">
        <v>17</v>
      </c>
      <c r="B25" s="365">
        <f>'FRIT HGE91-FHG'!B25</f>
        <v>46251</v>
      </c>
      <c r="C25" s="365" t="s">
        <v>285</v>
      </c>
      <c r="D25" s="497"/>
      <c r="E25" s="388"/>
      <c r="F25" s="446"/>
      <c r="G25" s="496"/>
      <c r="H25" s="498">
        <f>SUM($F$8:F25)/A25</f>
        <v>0</v>
      </c>
      <c r="I25" s="499">
        <f>SUM($G$8:G25)/A25</f>
        <v>0</v>
      </c>
      <c r="J25" s="443">
        <f t="shared" si="4"/>
        <v>1000</v>
      </c>
      <c r="K25" s="459">
        <f>K24+E25-G25</f>
        <v>1000</v>
      </c>
      <c r="L25" s="338" t="e">
        <f t="shared" si="1"/>
        <v>#DIV/0!</v>
      </c>
      <c r="M25" s="300" t="e">
        <f t="shared" si="2"/>
        <v>#DIV/0!</v>
      </c>
      <c r="N25" s="366"/>
      <c r="O25" s="647">
        <f t="shared" si="3"/>
        <v>0.33322225924691767</v>
      </c>
    </row>
    <row r="26" spans="1:15" s="367" customFormat="1" ht="12" customHeight="1">
      <c r="A26" s="364">
        <v>18</v>
      </c>
      <c r="B26" s="365">
        <f>'FRIT HGE91-FHG'!B26</f>
        <v>46252</v>
      </c>
      <c r="C26" s="365" t="s">
        <v>285</v>
      </c>
      <c r="D26" s="497"/>
      <c r="E26" s="388"/>
      <c r="F26" s="446"/>
      <c r="G26" s="496"/>
      <c r="H26" s="498">
        <f>SUM($F$8:F26)/A26</f>
        <v>0</v>
      </c>
      <c r="I26" s="499">
        <f>SUM($G$8:G26)/A26</f>
        <v>0</v>
      </c>
      <c r="J26" s="443">
        <f t="shared" si="4"/>
        <v>1000</v>
      </c>
      <c r="K26" s="459">
        <f>K25+E26-G26</f>
        <v>1000</v>
      </c>
      <c r="L26" s="338" t="e">
        <f t="shared" si="1"/>
        <v>#DIV/0!</v>
      </c>
      <c r="M26" s="300" t="e">
        <f t="shared" si="2"/>
        <v>#DIV/0!</v>
      </c>
      <c r="N26" s="366"/>
      <c r="O26" s="647">
        <f t="shared" si="3"/>
        <v>0.33322225924691767</v>
      </c>
    </row>
    <row r="27" spans="1:15" s="367" customFormat="1" ht="12" customHeight="1">
      <c r="A27" s="364">
        <v>19</v>
      </c>
      <c r="B27" s="365">
        <f>'FRIT HGE91-FHG'!B27</f>
        <v>46253</v>
      </c>
      <c r="C27" s="365" t="s">
        <v>285</v>
      </c>
      <c r="D27" s="497"/>
      <c r="E27" s="388"/>
      <c r="F27" s="446"/>
      <c r="G27" s="496"/>
      <c r="H27" s="498">
        <f>SUM($F$8:F27)/A27</f>
        <v>0</v>
      </c>
      <c r="I27" s="499">
        <f>SUM($G$8:G27)/A27</f>
        <v>0</v>
      </c>
      <c r="J27" s="443">
        <f t="shared" si="4"/>
        <v>1000</v>
      </c>
      <c r="K27" s="459">
        <f>K26+E27-G27</f>
        <v>1000</v>
      </c>
      <c r="L27" s="338" t="e">
        <f t="shared" si="1"/>
        <v>#DIV/0!</v>
      </c>
      <c r="M27" s="300" t="e">
        <f t="shared" si="2"/>
        <v>#DIV/0!</v>
      </c>
      <c r="N27" s="366"/>
      <c r="O27" s="647">
        <f t="shared" si="3"/>
        <v>0.33322225924691767</v>
      </c>
    </row>
    <row r="28" spans="1:15" s="367" customFormat="1" ht="12" customHeight="1">
      <c r="A28" s="500">
        <v>20</v>
      </c>
      <c r="B28" s="365">
        <f>'FRIT HGE91-FHG'!B28</f>
        <v>46254</v>
      </c>
      <c r="C28" s="365" t="s">
        <v>285</v>
      </c>
      <c r="D28" s="497"/>
      <c r="E28" s="388"/>
      <c r="F28" s="446"/>
      <c r="G28" s="496"/>
      <c r="H28" s="500">
        <f>SUM($F$8:F28)/A28</f>
        <v>0</v>
      </c>
      <c r="I28" s="499">
        <f>SUM($G$8:G28)/A28</f>
        <v>0</v>
      </c>
      <c r="J28" s="500">
        <f t="shared" ref="J28:K39" si="5">J27+D28-F28</f>
        <v>1000</v>
      </c>
      <c r="K28" s="459">
        <f t="shared" si="5"/>
        <v>1000</v>
      </c>
      <c r="L28" s="368" t="e">
        <f t="shared" si="1"/>
        <v>#DIV/0!</v>
      </c>
      <c r="M28" s="300" t="e">
        <f t="shared" si="2"/>
        <v>#DIV/0!</v>
      </c>
      <c r="N28" s="366"/>
      <c r="O28" s="647">
        <f t="shared" si="3"/>
        <v>0.33322225924691767</v>
      </c>
    </row>
    <row r="29" spans="1:15" s="367" customFormat="1" ht="12" customHeight="1">
      <c r="A29" s="364">
        <v>21</v>
      </c>
      <c r="B29" s="365">
        <f>'FRIT HGE91-FHG'!B29</f>
        <v>46255</v>
      </c>
      <c r="C29" s="365" t="s">
        <v>285</v>
      </c>
      <c r="D29" s="497"/>
      <c r="E29" s="388"/>
      <c r="F29" s="446"/>
      <c r="G29" s="496"/>
      <c r="H29" s="498">
        <f>SUM($F$8:F29)/A29</f>
        <v>0</v>
      </c>
      <c r="I29" s="499">
        <f>SUM($G$8:G29)/A29</f>
        <v>0</v>
      </c>
      <c r="J29" s="443">
        <f t="shared" si="5"/>
        <v>1000</v>
      </c>
      <c r="K29" s="459">
        <f t="shared" si="5"/>
        <v>1000</v>
      </c>
      <c r="L29" s="338" t="e">
        <f t="shared" si="1"/>
        <v>#DIV/0!</v>
      </c>
      <c r="M29" s="300" t="e">
        <f t="shared" si="2"/>
        <v>#DIV/0!</v>
      </c>
      <c r="N29" s="366"/>
      <c r="O29" s="647">
        <f t="shared" si="3"/>
        <v>0.33322225924691767</v>
      </c>
    </row>
    <row r="30" spans="1:15" s="367" customFormat="1" ht="12" customHeight="1">
      <c r="A30" s="364">
        <v>22</v>
      </c>
      <c r="B30" s="365">
        <f>'FRIT HGE91-FHG'!B30</f>
        <v>46256</v>
      </c>
      <c r="C30" s="365" t="s">
        <v>285</v>
      </c>
      <c r="D30" s="497"/>
      <c r="E30" s="388"/>
      <c r="F30" s="446"/>
      <c r="G30" s="496"/>
      <c r="H30" s="498">
        <f>SUM($F$8:F30)/A30</f>
        <v>0</v>
      </c>
      <c r="I30" s="499">
        <f>SUM($G$8:G30)/A30</f>
        <v>0</v>
      </c>
      <c r="J30" s="443">
        <f t="shared" si="5"/>
        <v>1000</v>
      </c>
      <c r="K30" s="459">
        <f t="shared" si="5"/>
        <v>1000</v>
      </c>
      <c r="L30" s="338" t="e">
        <f t="shared" si="1"/>
        <v>#DIV/0!</v>
      </c>
      <c r="M30" s="300" t="e">
        <f t="shared" si="2"/>
        <v>#DIV/0!</v>
      </c>
      <c r="N30" s="366"/>
      <c r="O30" s="647">
        <f t="shared" si="3"/>
        <v>0.33322225924691767</v>
      </c>
    </row>
    <row r="31" spans="1:15" s="367" customFormat="1" ht="12" customHeight="1">
      <c r="A31" s="364">
        <v>23</v>
      </c>
      <c r="B31" s="365">
        <f>'FRIT HGE91-FHG'!B31</f>
        <v>46257</v>
      </c>
      <c r="C31" s="365" t="s">
        <v>285</v>
      </c>
      <c r="D31" s="497"/>
      <c r="E31" s="388"/>
      <c r="F31" s="446"/>
      <c r="G31" s="496"/>
      <c r="H31" s="498">
        <f>SUM($F$8:F31)/A31</f>
        <v>0</v>
      </c>
      <c r="I31" s="499">
        <f>SUM($G$8:G31)/A31</f>
        <v>0</v>
      </c>
      <c r="J31" s="443">
        <f t="shared" si="5"/>
        <v>1000</v>
      </c>
      <c r="K31" s="459">
        <f t="shared" si="5"/>
        <v>1000</v>
      </c>
      <c r="L31" s="338" t="e">
        <f t="shared" si="1"/>
        <v>#DIV/0!</v>
      </c>
      <c r="M31" s="300" t="e">
        <f t="shared" si="2"/>
        <v>#DIV/0!</v>
      </c>
      <c r="N31" s="366"/>
      <c r="O31" s="647">
        <f t="shared" si="3"/>
        <v>0.33322225924691767</v>
      </c>
    </row>
    <row r="32" spans="1:15" s="367" customFormat="1" ht="12" customHeight="1">
      <c r="A32" s="364">
        <v>24</v>
      </c>
      <c r="B32" s="365">
        <f>'FRIT HGE91-FHG'!B32</f>
        <v>46258</v>
      </c>
      <c r="C32" s="365" t="s">
        <v>285</v>
      </c>
      <c r="D32" s="497"/>
      <c r="E32" s="388"/>
      <c r="F32" s="446"/>
      <c r="G32" s="496"/>
      <c r="H32" s="498">
        <f>SUM($F$8:F32)/A32</f>
        <v>0</v>
      </c>
      <c r="I32" s="499">
        <f>SUM($G$8:G32)/A32</f>
        <v>0</v>
      </c>
      <c r="J32" s="443">
        <f t="shared" si="5"/>
        <v>1000</v>
      </c>
      <c r="K32" s="459">
        <f t="shared" si="5"/>
        <v>1000</v>
      </c>
      <c r="L32" s="338" t="e">
        <f t="shared" si="1"/>
        <v>#DIV/0!</v>
      </c>
      <c r="M32" s="300" t="e">
        <f t="shared" si="2"/>
        <v>#DIV/0!</v>
      </c>
      <c r="N32" s="366"/>
      <c r="O32" s="647">
        <f t="shared" si="3"/>
        <v>0.33322225924691767</v>
      </c>
    </row>
    <row r="33" spans="1:15" s="367" customFormat="1" ht="12" customHeight="1">
      <c r="A33" s="448">
        <v>25</v>
      </c>
      <c r="B33" s="365">
        <f>'FRIT HGE91-FHG'!B33</f>
        <v>46259</v>
      </c>
      <c r="C33" s="365" t="s">
        <v>285</v>
      </c>
      <c r="D33" s="497"/>
      <c r="E33" s="388"/>
      <c r="F33" s="446"/>
      <c r="G33" s="496"/>
      <c r="H33" s="448">
        <f>SUM($F$8:F33)/A33</f>
        <v>0</v>
      </c>
      <c r="I33" s="499">
        <f>SUM($G$8:G33)/A33</f>
        <v>0</v>
      </c>
      <c r="J33" s="448">
        <f t="shared" si="5"/>
        <v>1000</v>
      </c>
      <c r="K33" s="459">
        <f t="shared" si="5"/>
        <v>1000</v>
      </c>
      <c r="L33" s="369" t="e">
        <f t="shared" si="1"/>
        <v>#DIV/0!</v>
      </c>
      <c r="M33" s="300" t="e">
        <f t="shared" si="2"/>
        <v>#DIV/0!</v>
      </c>
      <c r="N33" s="366"/>
      <c r="O33" s="647">
        <f t="shared" si="3"/>
        <v>0.33322225924691767</v>
      </c>
    </row>
    <row r="34" spans="1:15" s="367" customFormat="1" ht="12" customHeight="1">
      <c r="A34" s="364">
        <v>26</v>
      </c>
      <c r="B34" s="365">
        <f>'FRIT HGE91-FHG'!B34</f>
        <v>46260</v>
      </c>
      <c r="C34" s="365" t="s">
        <v>285</v>
      </c>
      <c r="D34" s="497"/>
      <c r="E34" s="388"/>
      <c r="F34" s="446"/>
      <c r="G34" s="496"/>
      <c r="H34" s="498">
        <f>SUM($F$8:F34)/A34</f>
        <v>0</v>
      </c>
      <c r="I34" s="499">
        <f>SUM($G$8:G34)/A34</f>
        <v>0</v>
      </c>
      <c r="J34" s="443">
        <f t="shared" si="5"/>
        <v>1000</v>
      </c>
      <c r="K34" s="459">
        <f t="shared" si="5"/>
        <v>1000</v>
      </c>
      <c r="L34" s="338" t="e">
        <f t="shared" si="1"/>
        <v>#DIV/0!</v>
      </c>
      <c r="M34" s="300" t="e">
        <f t="shared" si="2"/>
        <v>#DIV/0!</v>
      </c>
      <c r="N34" s="366"/>
      <c r="O34" s="647">
        <f t="shared" si="3"/>
        <v>0.33322225924691767</v>
      </c>
    </row>
    <row r="35" spans="1:15" s="367" customFormat="1" ht="12" customHeight="1">
      <c r="A35" s="364">
        <v>27</v>
      </c>
      <c r="B35" s="365">
        <f>'FRIT HGE91-FHG'!B35</f>
        <v>46261</v>
      </c>
      <c r="C35" s="365" t="s">
        <v>285</v>
      </c>
      <c r="D35" s="501"/>
      <c r="E35" s="388"/>
      <c r="F35" s="446"/>
      <c r="G35" s="496"/>
      <c r="H35" s="498">
        <f>SUM($F$8:F35)/A35</f>
        <v>0</v>
      </c>
      <c r="I35" s="499">
        <f>SUM($G$8:G35)/A35</f>
        <v>0</v>
      </c>
      <c r="J35" s="443">
        <f t="shared" si="5"/>
        <v>1000</v>
      </c>
      <c r="K35" s="459">
        <f t="shared" si="5"/>
        <v>1000</v>
      </c>
      <c r="L35" s="338" t="e">
        <f t="shared" si="1"/>
        <v>#DIV/0!</v>
      </c>
      <c r="M35" s="300" t="e">
        <f t="shared" si="2"/>
        <v>#DIV/0!</v>
      </c>
      <c r="N35" s="366"/>
      <c r="O35" s="647">
        <f t="shared" si="3"/>
        <v>0.33322225924691767</v>
      </c>
    </row>
    <row r="36" spans="1:15" s="367" customFormat="1" ht="12" customHeight="1">
      <c r="A36" s="364">
        <v>28</v>
      </c>
      <c r="B36" s="365">
        <f>'FRIT HGE91-FHG'!B36</f>
        <v>46262</v>
      </c>
      <c r="C36" s="365" t="s">
        <v>285</v>
      </c>
      <c r="D36" s="501"/>
      <c r="E36" s="388"/>
      <c r="F36" s="446"/>
      <c r="G36" s="496"/>
      <c r="H36" s="498">
        <f>SUM($F$8:F36)/A36</f>
        <v>0</v>
      </c>
      <c r="I36" s="499">
        <f>SUM($G$8:G36)/A36</f>
        <v>0</v>
      </c>
      <c r="J36" s="443">
        <f t="shared" si="5"/>
        <v>1000</v>
      </c>
      <c r="K36" s="459">
        <f t="shared" si="5"/>
        <v>1000</v>
      </c>
      <c r="L36" s="338" t="e">
        <f t="shared" si="1"/>
        <v>#DIV/0!</v>
      </c>
      <c r="M36" s="300" t="e">
        <f t="shared" si="2"/>
        <v>#DIV/0!</v>
      </c>
      <c r="N36" s="366"/>
      <c r="O36" s="647">
        <f t="shared" si="3"/>
        <v>0.33322225924691767</v>
      </c>
    </row>
    <row r="37" spans="1:15" s="367" customFormat="1" ht="12" customHeight="1">
      <c r="A37" s="364">
        <v>29</v>
      </c>
      <c r="B37" s="365">
        <f>'FRIT HGE91-FHG'!B37</f>
        <v>46263</v>
      </c>
      <c r="C37" s="365" t="s">
        <v>285</v>
      </c>
      <c r="D37" s="501"/>
      <c r="E37" s="388"/>
      <c r="F37" s="446"/>
      <c r="G37" s="496"/>
      <c r="H37" s="498">
        <f>SUM($F$8:F37)/A37</f>
        <v>0</v>
      </c>
      <c r="I37" s="499">
        <f>SUM($G$8:G37)/A37</f>
        <v>0</v>
      </c>
      <c r="J37" s="443">
        <f t="shared" si="5"/>
        <v>1000</v>
      </c>
      <c r="K37" s="459">
        <f t="shared" si="5"/>
        <v>1000</v>
      </c>
      <c r="L37" s="338" t="e">
        <f t="shared" si="1"/>
        <v>#DIV/0!</v>
      </c>
      <c r="M37" s="300" t="e">
        <f t="shared" si="2"/>
        <v>#DIV/0!</v>
      </c>
      <c r="N37" s="366"/>
      <c r="O37" s="647">
        <f t="shared" si="3"/>
        <v>0.33322225924691767</v>
      </c>
    </row>
    <row r="38" spans="1:15" s="367" customFormat="1" ht="12" customHeight="1">
      <c r="A38" s="500">
        <v>30</v>
      </c>
      <c r="B38" s="365">
        <f>'FRIT HGE91-FHG'!B38</f>
        <v>46264</v>
      </c>
      <c r="C38" s="365" t="s">
        <v>285</v>
      </c>
      <c r="D38" s="497"/>
      <c r="E38" s="388"/>
      <c r="F38" s="446"/>
      <c r="G38" s="496"/>
      <c r="H38" s="500">
        <f>SUM($F$8:F38)/A38</f>
        <v>0</v>
      </c>
      <c r="I38" s="499">
        <f>SUM($G$8:G38)/A38</f>
        <v>0</v>
      </c>
      <c r="J38" s="500">
        <f t="shared" si="5"/>
        <v>1000</v>
      </c>
      <c r="K38" s="459">
        <f t="shared" si="5"/>
        <v>1000</v>
      </c>
      <c r="L38" s="368" t="e">
        <f t="shared" si="1"/>
        <v>#DIV/0!</v>
      </c>
      <c r="M38" s="300" t="e">
        <f t="shared" si="2"/>
        <v>#DIV/0!</v>
      </c>
      <c r="N38" s="366"/>
      <c r="O38" s="647">
        <f t="shared" si="3"/>
        <v>0.33322225924691767</v>
      </c>
    </row>
    <row r="39" spans="1:15" s="367" customFormat="1" ht="12" customHeight="1">
      <c r="A39" s="364">
        <v>31</v>
      </c>
      <c r="B39" s="365">
        <f>'FRIT HGE91-FHG'!B39</f>
        <v>46265</v>
      </c>
      <c r="C39" s="365" t="s">
        <v>285</v>
      </c>
      <c r="D39" s="497"/>
      <c r="E39" s="388"/>
      <c r="F39" s="446"/>
      <c r="G39" s="496"/>
      <c r="H39" s="498">
        <f>SUM($F$8:F39)/A39</f>
        <v>0</v>
      </c>
      <c r="I39" s="499">
        <f>SUM($G$8:G39)/A39</f>
        <v>0</v>
      </c>
      <c r="J39" s="443">
        <f t="shared" si="5"/>
        <v>1000</v>
      </c>
      <c r="K39" s="459">
        <f t="shared" si="5"/>
        <v>1000</v>
      </c>
      <c r="L39" s="338" t="e">
        <f t="shared" si="1"/>
        <v>#DIV/0!</v>
      </c>
      <c r="M39" s="300" t="e">
        <f t="shared" si="2"/>
        <v>#DIV/0!</v>
      </c>
      <c r="N39" s="366"/>
      <c r="O39" s="647">
        <f t="shared" si="3"/>
        <v>0.33322225924691767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1000</v>
      </c>
      <c r="K40" s="461">
        <f>K39</f>
        <v>1000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1000</v>
      </c>
      <c r="E41" s="388">
        <f>E8+E40</f>
        <v>1000</v>
      </c>
      <c r="F41" s="389">
        <f>F40</f>
        <v>0</v>
      </c>
      <c r="G41" s="496">
        <f>G40</f>
        <v>0</v>
      </c>
      <c r="H41" s="389"/>
      <c r="I41" s="496"/>
      <c r="J41" s="389">
        <f>D41-F41</f>
        <v>1000</v>
      </c>
      <c r="K41" s="389">
        <f>E41-G41</f>
        <v>1000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8">
    <cfRule type="cellIs" dxfId="3869" priority="163" operator="lessThan">
      <formula>15</formula>
    </cfRule>
    <cfRule type="cellIs" dxfId="3868" priority="164" operator="greaterThan">
      <formula>20</formula>
    </cfRule>
    <cfRule type="cellIs" dxfId="3867" priority="165" operator="between">
      <formula>15</formula>
      <formula>20</formula>
    </cfRule>
    <cfRule type="cellIs" dxfId="3866" priority="166" operator="between">
      <formula>15</formula>
      <formula>20</formula>
    </cfRule>
    <cfRule type="cellIs" dxfId="3865" priority="167" operator="lessThan">
      <formula>15</formula>
    </cfRule>
    <cfRule type="cellIs" dxfId="3864" priority="168" operator="greaterThan">
      <formula>20</formula>
    </cfRule>
    <cfRule type="cellIs" dxfId="3863" priority="169" operator="between">
      <formula>15</formula>
      <formula>21</formula>
    </cfRule>
    <cfRule type="cellIs" dxfId="3862" priority="170" operator="lessThan">
      <formula>15</formula>
    </cfRule>
    <cfRule type="cellIs" dxfId="3861" priority="171" operator="greaterThan">
      <formula>21</formula>
    </cfRule>
  </conditionalFormatting>
  <conditionalFormatting sqref="M23">
    <cfRule type="cellIs" dxfId="3860" priority="154" operator="lessThan">
      <formula>15</formula>
    </cfRule>
    <cfRule type="cellIs" dxfId="3859" priority="155" operator="greaterThan">
      <formula>20</formula>
    </cfRule>
    <cfRule type="cellIs" dxfId="3858" priority="156" operator="between">
      <formula>15</formula>
      <formula>20</formula>
    </cfRule>
    <cfRule type="cellIs" dxfId="3857" priority="157" operator="between">
      <formula>15</formula>
      <formula>20</formula>
    </cfRule>
    <cfRule type="cellIs" dxfId="3856" priority="158" operator="lessThan">
      <formula>15</formula>
    </cfRule>
    <cfRule type="cellIs" dxfId="3855" priority="159" operator="greaterThan">
      <formula>20</formula>
    </cfRule>
    <cfRule type="cellIs" dxfId="3854" priority="160" operator="between">
      <formula>15</formula>
      <formula>21</formula>
    </cfRule>
    <cfRule type="cellIs" dxfId="3853" priority="161" operator="lessThan">
      <formula>15</formula>
    </cfRule>
    <cfRule type="cellIs" dxfId="3852" priority="162" operator="greaterThan">
      <formula>21</formula>
    </cfRule>
  </conditionalFormatting>
  <conditionalFormatting sqref="M18">
    <cfRule type="cellIs" dxfId="3851" priority="145" operator="lessThan">
      <formula>15</formula>
    </cfRule>
    <cfRule type="cellIs" dxfId="3850" priority="146" operator="greaterThan">
      <formula>20</formula>
    </cfRule>
    <cfRule type="cellIs" dxfId="3849" priority="147" operator="between">
      <formula>15</formula>
      <formula>20</formula>
    </cfRule>
    <cfRule type="cellIs" dxfId="3848" priority="148" operator="between">
      <formula>15</formula>
      <formula>20</formula>
    </cfRule>
    <cfRule type="cellIs" dxfId="3847" priority="149" operator="lessThan">
      <formula>15</formula>
    </cfRule>
    <cfRule type="cellIs" dxfId="3846" priority="150" operator="greaterThan">
      <formula>20</formula>
    </cfRule>
    <cfRule type="cellIs" dxfId="3845" priority="151" operator="between">
      <formula>15</formula>
      <formula>21</formula>
    </cfRule>
    <cfRule type="cellIs" dxfId="3844" priority="152" operator="lessThan">
      <formula>15</formula>
    </cfRule>
    <cfRule type="cellIs" dxfId="3843" priority="153" operator="greaterThan">
      <formula>21</formula>
    </cfRule>
  </conditionalFormatting>
  <conditionalFormatting sqref="M35:M37">
    <cfRule type="cellIs" dxfId="3842" priority="172" operator="lessThan">
      <formula>15</formula>
    </cfRule>
    <cfRule type="cellIs" dxfId="3841" priority="173" operator="greaterThan">
      <formula>20</formula>
    </cfRule>
    <cfRule type="cellIs" dxfId="3840" priority="174" operator="between">
      <formula>15</formula>
      <formula>20</formula>
    </cfRule>
    <cfRule type="cellIs" dxfId="3839" priority="175" operator="between">
      <formula>15</formula>
      <formula>20</formula>
    </cfRule>
    <cfRule type="cellIs" dxfId="3838" priority="176" operator="lessThan">
      <formula>15</formula>
    </cfRule>
    <cfRule type="cellIs" dxfId="3837" priority="177" operator="greaterThan">
      <formula>20</formula>
    </cfRule>
    <cfRule type="cellIs" dxfId="3836" priority="178" operator="between">
      <formula>15</formula>
      <formula>21</formula>
    </cfRule>
    <cfRule type="cellIs" dxfId="3835" priority="179" operator="lessThan">
      <formula>15</formula>
    </cfRule>
    <cfRule type="cellIs" dxfId="3834" priority="180" operator="greaterThan">
      <formula>21</formula>
    </cfRule>
  </conditionalFormatting>
  <conditionalFormatting sqref="M13">
    <cfRule type="cellIs" dxfId="3833" priority="136" operator="lessThan">
      <formula>15</formula>
    </cfRule>
    <cfRule type="cellIs" dxfId="3832" priority="137" operator="greaterThan">
      <formula>20</formula>
    </cfRule>
    <cfRule type="cellIs" dxfId="3831" priority="138" operator="between">
      <formula>15</formula>
      <formula>20</formula>
    </cfRule>
    <cfRule type="cellIs" dxfId="3830" priority="139" operator="between">
      <formula>15</formula>
      <formula>20</formula>
    </cfRule>
    <cfRule type="cellIs" dxfId="3829" priority="140" operator="lessThan">
      <formula>15</formula>
    </cfRule>
    <cfRule type="cellIs" dxfId="3828" priority="141" operator="greaterThan">
      <formula>20</formula>
    </cfRule>
    <cfRule type="cellIs" dxfId="3827" priority="142" operator="between">
      <formula>15</formula>
      <formula>21</formula>
    </cfRule>
    <cfRule type="cellIs" dxfId="3826" priority="143" operator="lessThan">
      <formula>15</formula>
    </cfRule>
    <cfRule type="cellIs" dxfId="3825" priority="144" operator="greaterThan">
      <formula>21</formula>
    </cfRule>
  </conditionalFormatting>
  <conditionalFormatting sqref="M33">
    <cfRule type="cellIs" dxfId="3824" priority="127" operator="lessThan">
      <formula>15</formula>
    </cfRule>
    <cfRule type="cellIs" dxfId="3823" priority="128" operator="greaterThan">
      <formula>20</formula>
    </cfRule>
    <cfRule type="cellIs" dxfId="3822" priority="129" operator="between">
      <formula>15</formula>
      <formula>20</formula>
    </cfRule>
    <cfRule type="cellIs" dxfId="3821" priority="130" operator="between">
      <formula>15</formula>
      <formula>20</formula>
    </cfRule>
    <cfRule type="cellIs" dxfId="3820" priority="131" operator="lessThan">
      <formula>15</formula>
    </cfRule>
    <cfRule type="cellIs" dxfId="3819" priority="132" operator="greaterThan">
      <formula>20</formula>
    </cfRule>
    <cfRule type="cellIs" dxfId="3818" priority="133" operator="between">
      <formula>15</formula>
      <formula>21</formula>
    </cfRule>
    <cfRule type="cellIs" dxfId="3817" priority="134" operator="lessThan">
      <formula>15</formula>
    </cfRule>
    <cfRule type="cellIs" dxfId="3816" priority="135" operator="greaterThan">
      <formula>21</formula>
    </cfRule>
  </conditionalFormatting>
  <conditionalFormatting sqref="M38">
    <cfRule type="cellIs" dxfId="3815" priority="118" operator="lessThan">
      <formula>15</formula>
    </cfRule>
    <cfRule type="cellIs" dxfId="3814" priority="119" operator="greaterThan">
      <formula>20</formula>
    </cfRule>
    <cfRule type="cellIs" dxfId="3813" priority="120" operator="between">
      <formula>15</formula>
      <formula>20</formula>
    </cfRule>
    <cfRule type="cellIs" dxfId="3812" priority="121" operator="between">
      <formula>15</formula>
      <formula>20</formula>
    </cfRule>
    <cfRule type="cellIs" dxfId="3811" priority="122" operator="lessThan">
      <formula>15</formula>
    </cfRule>
    <cfRule type="cellIs" dxfId="3810" priority="123" operator="greaterThan">
      <formula>20</formula>
    </cfRule>
    <cfRule type="cellIs" dxfId="3809" priority="124" operator="between">
      <formula>15</formula>
      <formula>21</formula>
    </cfRule>
    <cfRule type="cellIs" dxfId="3808" priority="125" operator="lessThan">
      <formula>15</formula>
    </cfRule>
    <cfRule type="cellIs" dxfId="3807" priority="126" operator="greaterThan">
      <formula>21</formula>
    </cfRule>
  </conditionalFormatting>
  <conditionalFormatting sqref="M20">
    <cfRule type="cellIs" dxfId="3806" priority="217" operator="lessThan">
      <formula>15</formula>
    </cfRule>
    <cfRule type="cellIs" dxfId="3805" priority="218" operator="greaterThan">
      <formula>20</formula>
    </cfRule>
    <cfRule type="cellIs" dxfId="3804" priority="219" operator="between">
      <formula>15</formula>
      <formula>20</formula>
    </cfRule>
    <cfRule type="cellIs" dxfId="3803" priority="220" operator="between">
      <formula>15</formula>
      <formula>20</formula>
    </cfRule>
    <cfRule type="cellIs" dxfId="3802" priority="221" operator="lessThan">
      <formula>15</formula>
    </cfRule>
    <cfRule type="cellIs" dxfId="3801" priority="222" operator="greaterThan">
      <formula>20</formula>
    </cfRule>
    <cfRule type="cellIs" dxfId="3800" priority="223" operator="between">
      <formula>15</formula>
      <formula>21</formula>
    </cfRule>
    <cfRule type="cellIs" dxfId="3799" priority="224" operator="lessThan">
      <formula>15</formula>
    </cfRule>
    <cfRule type="cellIs" dxfId="3798" priority="225" operator="greaterThan">
      <formula>21</formula>
    </cfRule>
  </conditionalFormatting>
  <conditionalFormatting sqref="M27">
    <cfRule type="cellIs" dxfId="3797" priority="208" operator="lessThan">
      <formula>15</formula>
    </cfRule>
    <cfRule type="cellIs" dxfId="3796" priority="209" operator="greaterThan">
      <formula>20</formula>
    </cfRule>
    <cfRule type="cellIs" dxfId="3795" priority="210" operator="between">
      <formula>15</formula>
      <formula>20</formula>
    </cfRule>
    <cfRule type="cellIs" dxfId="3794" priority="211" operator="between">
      <formula>15</formula>
      <formula>20</formula>
    </cfRule>
    <cfRule type="cellIs" dxfId="3793" priority="212" operator="lessThan">
      <formula>15</formula>
    </cfRule>
    <cfRule type="cellIs" dxfId="3792" priority="213" operator="greaterThan">
      <formula>20</formula>
    </cfRule>
    <cfRule type="cellIs" dxfId="3791" priority="214" operator="between">
      <formula>15</formula>
      <formula>21</formula>
    </cfRule>
    <cfRule type="cellIs" dxfId="3790" priority="215" operator="lessThan">
      <formula>15</formula>
    </cfRule>
    <cfRule type="cellIs" dxfId="3789" priority="216" operator="greaterThan">
      <formula>21</formula>
    </cfRule>
  </conditionalFormatting>
  <conditionalFormatting sqref="M34">
    <cfRule type="cellIs" dxfId="3788" priority="199" operator="lessThan">
      <formula>15</formula>
    </cfRule>
    <cfRule type="cellIs" dxfId="3787" priority="200" operator="greaterThan">
      <formula>20</formula>
    </cfRule>
    <cfRule type="cellIs" dxfId="3786" priority="201" operator="between">
      <formula>15</formula>
      <formula>20</formula>
    </cfRule>
    <cfRule type="cellIs" dxfId="3785" priority="202" operator="between">
      <formula>15</formula>
      <formula>20</formula>
    </cfRule>
    <cfRule type="cellIs" dxfId="3784" priority="203" operator="lessThan">
      <formula>15</formula>
    </cfRule>
    <cfRule type="cellIs" dxfId="3783" priority="204" operator="greaterThan">
      <formula>20</formula>
    </cfRule>
    <cfRule type="cellIs" dxfId="3782" priority="205" operator="between">
      <formula>15</formula>
      <formula>21</formula>
    </cfRule>
    <cfRule type="cellIs" dxfId="3781" priority="206" operator="lessThan">
      <formula>15</formula>
    </cfRule>
    <cfRule type="cellIs" dxfId="3780" priority="207" operator="greaterThan">
      <formula>21</formula>
    </cfRule>
  </conditionalFormatting>
  <conditionalFormatting sqref="M14:M17 M39 M21:M22 M24:M26 M19">
    <cfRule type="cellIs" dxfId="3779" priority="226" operator="lessThan">
      <formula>15</formula>
    </cfRule>
    <cfRule type="cellIs" dxfId="3778" priority="227" operator="greaterThan">
      <formula>20</formula>
    </cfRule>
    <cfRule type="cellIs" dxfId="3777" priority="228" operator="between">
      <formula>15</formula>
      <formula>20</formula>
    </cfRule>
    <cfRule type="cellIs" dxfId="3776" priority="229" operator="between">
      <formula>15</formula>
      <formula>20</formula>
    </cfRule>
    <cfRule type="cellIs" dxfId="3775" priority="230" operator="lessThan">
      <formula>15</formula>
    </cfRule>
    <cfRule type="cellIs" dxfId="3774" priority="231" operator="greaterThan">
      <formula>20</formula>
    </cfRule>
    <cfRule type="cellIs" dxfId="3773" priority="232" operator="between">
      <formula>15</formula>
      <formula>21</formula>
    </cfRule>
    <cfRule type="cellIs" dxfId="3772" priority="233" operator="lessThan">
      <formula>15</formula>
    </cfRule>
    <cfRule type="cellIs" dxfId="3771" priority="234" operator="greaterThan">
      <formula>21</formula>
    </cfRule>
  </conditionalFormatting>
  <conditionalFormatting sqref="M9:M12">
    <cfRule type="cellIs" dxfId="3770" priority="190" operator="lessThan">
      <formula>15</formula>
    </cfRule>
    <cfRule type="cellIs" dxfId="3769" priority="191" operator="greaterThan">
      <formula>20</formula>
    </cfRule>
    <cfRule type="cellIs" dxfId="3768" priority="192" operator="between">
      <formula>15</formula>
      <formula>20</formula>
    </cfRule>
    <cfRule type="cellIs" dxfId="3767" priority="193" operator="between">
      <formula>15</formula>
      <formula>20</formula>
    </cfRule>
    <cfRule type="cellIs" dxfId="3766" priority="194" operator="lessThan">
      <formula>15</formula>
    </cfRule>
    <cfRule type="cellIs" dxfId="3765" priority="195" operator="greaterThan">
      <formula>20</formula>
    </cfRule>
    <cfRule type="cellIs" dxfId="3764" priority="196" operator="between">
      <formula>15</formula>
      <formula>21</formula>
    </cfRule>
    <cfRule type="cellIs" dxfId="3763" priority="197" operator="lessThan">
      <formula>15</formula>
    </cfRule>
    <cfRule type="cellIs" dxfId="3762" priority="198" operator="greaterThan">
      <formula>21</formula>
    </cfRule>
  </conditionalFormatting>
  <conditionalFormatting sqref="M29:M32">
    <cfRule type="cellIs" dxfId="3761" priority="181" operator="lessThan">
      <formula>15</formula>
    </cfRule>
    <cfRule type="cellIs" dxfId="3760" priority="182" operator="greaterThan">
      <formula>20</formula>
    </cfRule>
    <cfRule type="cellIs" dxfId="3759" priority="183" operator="between">
      <formula>15</formula>
      <formula>20</formula>
    </cfRule>
    <cfRule type="cellIs" dxfId="3758" priority="184" operator="between">
      <formula>15</formula>
      <formula>20</formula>
    </cfRule>
    <cfRule type="cellIs" dxfId="3757" priority="185" operator="lessThan">
      <formula>15</formula>
    </cfRule>
    <cfRule type="cellIs" dxfId="3756" priority="186" operator="greaterThan">
      <formula>20</formula>
    </cfRule>
    <cfRule type="cellIs" dxfId="3755" priority="187" operator="between">
      <formula>15</formula>
      <formula>21</formula>
    </cfRule>
    <cfRule type="cellIs" dxfId="3754" priority="188" operator="lessThan">
      <formula>15</formula>
    </cfRule>
    <cfRule type="cellIs" dxfId="3753" priority="189" operator="greaterThan">
      <formula>21</formula>
    </cfRule>
  </conditionalFormatting>
  <conditionalFormatting sqref="M38">
    <cfRule type="cellIs" dxfId="3752" priority="109" operator="lessThan">
      <formula>15</formula>
    </cfRule>
    <cfRule type="cellIs" dxfId="3751" priority="110" operator="greaterThan">
      <formula>20</formula>
    </cfRule>
    <cfRule type="cellIs" dxfId="3750" priority="111" operator="between">
      <formula>15</formula>
      <formula>20</formula>
    </cfRule>
    <cfRule type="cellIs" dxfId="3749" priority="112" operator="between">
      <formula>15</formula>
      <formula>20</formula>
    </cfRule>
    <cfRule type="cellIs" dxfId="3748" priority="113" operator="lessThan">
      <formula>15</formula>
    </cfRule>
    <cfRule type="cellIs" dxfId="3747" priority="114" operator="greaterThan">
      <formula>20</formula>
    </cfRule>
    <cfRule type="cellIs" dxfId="3746" priority="115" operator="between">
      <formula>15</formula>
      <formula>21</formula>
    </cfRule>
    <cfRule type="cellIs" dxfId="3745" priority="116" operator="lessThan">
      <formula>15</formula>
    </cfRule>
    <cfRule type="cellIs" dxfId="3744" priority="117" operator="greaterThan">
      <formula>21</formula>
    </cfRule>
  </conditionalFormatting>
  <conditionalFormatting sqref="M33">
    <cfRule type="cellIs" dxfId="3743" priority="100" operator="lessThan">
      <formula>15</formula>
    </cfRule>
    <cfRule type="cellIs" dxfId="3742" priority="101" operator="greaterThan">
      <formula>20</formula>
    </cfRule>
    <cfRule type="cellIs" dxfId="3741" priority="102" operator="between">
      <formula>15</formula>
      <formula>20</formula>
    </cfRule>
    <cfRule type="cellIs" dxfId="3740" priority="103" operator="between">
      <formula>15</formula>
      <formula>20</formula>
    </cfRule>
    <cfRule type="cellIs" dxfId="3739" priority="104" operator="lessThan">
      <formula>15</formula>
    </cfRule>
    <cfRule type="cellIs" dxfId="3738" priority="105" operator="greaterThan">
      <formula>20</formula>
    </cfRule>
    <cfRule type="cellIs" dxfId="3737" priority="106" operator="between">
      <formula>15</formula>
      <formula>21</formula>
    </cfRule>
    <cfRule type="cellIs" dxfId="3736" priority="107" operator="lessThan">
      <formula>15</formula>
    </cfRule>
    <cfRule type="cellIs" dxfId="3735" priority="108" operator="greaterThan">
      <formula>21</formula>
    </cfRule>
  </conditionalFormatting>
  <conditionalFormatting sqref="M28">
    <cfRule type="cellIs" dxfId="3734" priority="91" operator="lessThan">
      <formula>15</formula>
    </cfRule>
    <cfRule type="cellIs" dxfId="3733" priority="92" operator="greaterThan">
      <formula>20</formula>
    </cfRule>
    <cfRule type="cellIs" dxfId="3732" priority="93" operator="between">
      <formula>15</formula>
      <formula>20</formula>
    </cfRule>
    <cfRule type="cellIs" dxfId="3731" priority="94" operator="between">
      <formula>15</formula>
      <formula>20</formula>
    </cfRule>
    <cfRule type="cellIs" dxfId="3730" priority="95" operator="lessThan">
      <formula>15</formula>
    </cfRule>
    <cfRule type="cellIs" dxfId="3729" priority="96" operator="greaterThan">
      <formula>20</formula>
    </cfRule>
    <cfRule type="cellIs" dxfId="3728" priority="97" operator="between">
      <formula>15</formula>
      <formula>21</formula>
    </cfRule>
    <cfRule type="cellIs" dxfId="3727" priority="98" operator="lessThan">
      <formula>15</formula>
    </cfRule>
    <cfRule type="cellIs" dxfId="3726" priority="99" operator="greaterThan">
      <formula>21</formula>
    </cfRule>
  </conditionalFormatting>
  <conditionalFormatting sqref="M23">
    <cfRule type="cellIs" dxfId="3725" priority="82" operator="lessThan">
      <formula>15</formula>
    </cfRule>
    <cfRule type="cellIs" dxfId="3724" priority="83" operator="greaterThan">
      <formula>20</formula>
    </cfRule>
    <cfRule type="cellIs" dxfId="3723" priority="84" operator="between">
      <formula>15</formula>
      <formula>20</formula>
    </cfRule>
    <cfRule type="cellIs" dxfId="3722" priority="85" operator="between">
      <formula>15</formula>
      <formula>20</formula>
    </cfRule>
    <cfRule type="cellIs" dxfId="3721" priority="86" operator="lessThan">
      <formula>15</formula>
    </cfRule>
    <cfRule type="cellIs" dxfId="3720" priority="87" operator="greaterThan">
      <formula>20</formula>
    </cfRule>
    <cfRule type="cellIs" dxfId="3719" priority="88" operator="between">
      <formula>15</formula>
      <formula>21</formula>
    </cfRule>
    <cfRule type="cellIs" dxfId="3718" priority="89" operator="lessThan">
      <formula>15</formula>
    </cfRule>
    <cfRule type="cellIs" dxfId="3717" priority="90" operator="greaterThan">
      <formula>21</formula>
    </cfRule>
  </conditionalFormatting>
  <conditionalFormatting sqref="M18">
    <cfRule type="cellIs" dxfId="3716" priority="73" operator="lessThan">
      <formula>15</formula>
    </cfRule>
    <cfRule type="cellIs" dxfId="3715" priority="74" operator="greaterThan">
      <formula>20</formula>
    </cfRule>
    <cfRule type="cellIs" dxfId="3714" priority="75" operator="between">
      <formula>15</formula>
      <formula>20</formula>
    </cfRule>
    <cfRule type="cellIs" dxfId="3713" priority="76" operator="between">
      <formula>15</formula>
      <formula>20</formula>
    </cfRule>
    <cfRule type="cellIs" dxfId="3712" priority="77" operator="lessThan">
      <formula>15</formula>
    </cfRule>
    <cfRule type="cellIs" dxfId="3711" priority="78" operator="greaterThan">
      <formula>20</formula>
    </cfRule>
    <cfRule type="cellIs" dxfId="3710" priority="79" operator="between">
      <formula>15</formula>
      <formula>21</formula>
    </cfRule>
    <cfRule type="cellIs" dxfId="3709" priority="80" operator="lessThan">
      <formula>15</formula>
    </cfRule>
    <cfRule type="cellIs" dxfId="3708" priority="81" operator="greaterThan">
      <formula>21</formula>
    </cfRule>
  </conditionalFormatting>
  <conditionalFormatting sqref="M35:M37">
    <cfRule type="cellIs" dxfId="3707" priority="64" operator="lessThan">
      <formula>15</formula>
    </cfRule>
    <cfRule type="cellIs" dxfId="3706" priority="65" operator="greaterThan">
      <formula>20</formula>
    </cfRule>
    <cfRule type="cellIs" dxfId="3705" priority="66" operator="between">
      <formula>15</formula>
      <formula>20</formula>
    </cfRule>
    <cfRule type="cellIs" dxfId="3704" priority="67" operator="between">
      <formula>15</formula>
      <formula>20</formula>
    </cfRule>
    <cfRule type="cellIs" dxfId="3703" priority="68" operator="lessThan">
      <formula>15</formula>
    </cfRule>
    <cfRule type="cellIs" dxfId="3702" priority="69" operator="greaterThan">
      <formula>20</formula>
    </cfRule>
    <cfRule type="cellIs" dxfId="3701" priority="70" operator="between">
      <formula>15</formula>
      <formula>21</formula>
    </cfRule>
    <cfRule type="cellIs" dxfId="3700" priority="71" operator="lessThan">
      <formula>15</formula>
    </cfRule>
    <cfRule type="cellIs" dxfId="3699" priority="72" operator="greaterThan">
      <formula>21</formula>
    </cfRule>
  </conditionalFormatting>
  <conditionalFormatting sqref="M13">
    <cfRule type="cellIs" dxfId="3698" priority="55" operator="lessThan">
      <formula>15</formula>
    </cfRule>
    <cfRule type="cellIs" dxfId="3697" priority="56" operator="greaterThan">
      <formula>20</formula>
    </cfRule>
    <cfRule type="cellIs" dxfId="3696" priority="57" operator="between">
      <formula>15</formula>
      <formula>20</formula>
    </cfRule>
    <cfRule type="cellIs" dxfId="3695" priority="58" operator="between">
      <formula>15</formula>
      <formula>20</formula>
    </cfRule>
    <cfRule type="cellIs" dxfId="3694" priority="59" operator="lessThan">
      <formula>15</formula>
    </cfRule>
    <cfRule type="cellIs" dxfId="3693" priority="60" operator="greaterThan">
      <formula>20</formula>
    </cfRule>
    <cfRule type="cellIs" dxfId="3692" priority="61" operator="between">
      <formula>15</formula>
      <formula>21</formula>
    </cfRule>
    <cfRule type="cellIs" dxfId="3691" priority="62" operator="lessThan">
      <formula>15</formula>
    </cfRule>
    <cfRule type="cellIs" dxfId="3690" priority="63" operator="greaterThan">
      <formula>21</formula>
    </cfRule>
  </conditionalFormatting>
  <conditionalFormatting sqref="M20">
    <cfRule type="cellIs" dxfId="3689" priority="46" operator="lessThan">
      <formula>15</formula>
    </cfRule>
    <cfRule type="cellIs" dxfId="3688" priority="47" operator="greaterThan">
      <formula>20</formula>
    </cfRule>
    <cfRule type="cellIs" dxfId="3687" priority="48" operator="between">
      <formula>15</formula>
      <formula>20</formula>
    </cfRule>
    <cfRule type="cellIs" dxfId="3686" priority="49" operator="between">
      <formula>15</formula>
      <formula>20</formula>
    </cfRule>
    <cfRule type="cellIs" dxfId="3685" priority="50" operator="lessThan">
      <formula>15</formula>
    </cfRule>
    <cfRule type="cellIs" dxfId="3684" priority="51" operator="greaterThan">
      <formula>20</formula>
    </cfRule>
    <cfRule type="cellIs" dxfId="3683" priority="52" operator="between">
      <formula>15</formula>
      <formula>21</formula>
    </cfRule>
    <cfRule type="cellIs" dxfId="3682" priority="53" operator="lessThan">
      <formula>15</formula>
    </cfRule>
    <cfRule type="cellIs" dxfId="3681" priority="54" operator="greaterThan">
      <formula>21</formula>
    </cfRule>
  </conditionalFormatting>
  <conditionalFormatting sqref="M27">
    <cfRule type="cellIs" dxfId="3680" priority="37" operator="lessThan">
      <formula>15</formula>
    </cfRule>
    <cfRule type="cellIs" dxfId="3679" priority="38" operator="greaterThan">
      <formula>20</formula>
    </cfRule>
    <cfRule type="cellIs" dxfId="3678" priority="39" operator="between">
      <formula>15</formula>
      <formula>20</formula>
    </cfRule>
    <cfRule type="cellIs" dxfId="3677" priority="40" operator="between">
      <formula>15</formula>
      <formula>20</formula>
    </cfRule>
    <cfRule type="cellIs" dxfId="3676" priority="41" operator="lessThan">
      <formula>15</formula>
    </cfRule>
    <cfRule type="cellIs" dxfId="3675" priority="42" operator="greaterThan">
      <formula>20</formula>
    </cfRule>
    <cfRule type="cellIs" dxfId="3674" priority="43" operator="between">
      <formula>15</formula>
      <formula>21</formula>
    </cfRule>
    <cfRule type="cellIs" dxfId="3673" priority="44" operator="lessThan">
      <formula>15</formula>
    </cfRule>
    <cfRule type="cellIs" dxfId="3672" priority="45" operator="greaterThan">
      <formula>21</formula>
    </cfRule>
  </conditionalFormatting>
  <conditionalFormatting sqref="M34">
    <cfRule type="cellIs" dxfId="3671" priority="28" operator="lessThan">
      <formula>15</formula>
    </cfRule>
    <cfRule type="cellIs" dxfId="3670" priority="29" operator="greaterThan">
      <formula>20</formula>
    </cfRule>
    <cfRule type="cellIs" dxfId="3669" priority="30" operator="between">
      <formula>15</formula>
      <formula>20</formula>
    </cfRule>
    <cfRule type="cellIs" dxfId="3668" priority="31" operator="between">
      <formula>15</formula>
      <formula>20</formula>
    </cfRule>
    <cfRule type="cellIs" dxfId="3667" priority="32" operator="lessThan">
      <formula>15</formula>
    </cfRule>
    <cfRule type="cellIs" dxfId="3666" priority="33" operator="greaterThan">
      <formula>20</formula>
    </cfRule>
    <cfRule type="cellIs" dxfId="3665" priority="34" operator="between">
      <formula>15</formula>
      <formula>21</formula>
    </cfRule>
    <cfRule type="cellIs" dxfId="3664" priority="35" operator="lessThan">
      <formula>15</formula>
    </cfRule>
    <cfRule type="cellIs" dxfId="3663" priority="36" operator="greaterThan">
      <formula>21</formula>
    </cfRule>
  </conditionalFormatting>
  <conditionalFormatting sqref="M14:M17 M39 M21:M22 M24:M26 M19">
    <cfRule type="cellIs" dxfId="3662" priority="19" operator="lessThan">
      <formula>15</formula>
    </cfRule>
    <cfRule type="cellIs" dxfId="3661" priority="20" operator="greaterThan">
      <formula>20</formula>
    </cfRule>
    <cfRule type="cellIs" dxfId="3660" priority="21" operator="between">
      <formula>15</formula>
      <formula>20</formula>
    </cfRule>
    <cfRule type="cellIs" dxfId="3659" priority="22" operator="between">
      <formula>15</formula>
      <formula>20</formula>
    </cfRule>
    <cfRule type="cellIs" dxfId="3658" priority="23" operator="lessThan">
      <formula>15</formula>
    </cfRule>
    <cfRule type="cellIs" dxfId="3657" priority="24" operator="greaterThan">
      <formula>20</formula>
    </cfRule>
    <cfRule type="cellIs" dxfId="3656" priority="25" operator="between">
      <formula>15</formula>
      <formula>21</formula>
    </cfRule>
    <cfRule type="cellIs" dxfId="3655" priority="26" operator="lessThan">
      <formula>15</formula>
    </cfRule>
    <cfRule type="cellIs" dxfId="3654" priority="27" operator="greaterThan">
      <formula>21</formula>
    </cfRule>
  </conditionalFormatting>
  <conditionalFormatting sqref="M9:M12">
    <cfRule type="cellIs" dxfId="3653" priority="10" operator="lessThan">
      <formula>15</formula>
    </cfRule>
    <cfRule type="cellIs" dxfId="3652" priority="11" operator="greaterThan">
      <formula>20</formula>
    </cfRule>
    <cfRule type="cellIs" dxfId="3651" priority="12" operator="between">
      <formula>15</formula>
      <formula>20</formula>
    </cfRule>
    <cfRule type="cellIs" dxfId="3650" priority="13" operator="between">
      <formula>15</formula>
      <formula>20</formula>
    </cfRule>
    <cfRule type="cellIs" dxfId="3649" priority="14" operator="lessThan">
      <formula>15</formula>
    </cfRule>
    <cfRule type="cellIs" dxfId="3648" priority="15" operator="greaterThan">
      <formula>20</formula>
    </cfRule>
    <cfRule type="cellIs" dxfId="3647" priority="16" operator="between">
      <formula>15</formula>
      <formula>21</formula>
    </cfRule>
    <cfRule type="cellIs" dxfId="3646" priority="17" operator="lessThan">
      <formula>15</formula>
    </cfRule>
    <cfRule type="cellIs" dxfId="3645" priority="18" operator="greaterThan">
      <formula>21</formula>
    </cfRule>
  </conditionalFormatting>
  <conditionalFormatting sqref="M29:M32">
    <cfRule type="cellIs" dxfId="3644" priority="1" operator="lessThan">
      <formula>15</formula>
    </cfRule>
    <cfRule type="cellIs" dxfId="3643" priority="2" operator="greaterThan">
      <formula>20</formula>
    </cfRule>
    <cfRule type="cellIs" dxfId="3642" priority="3" operator="between">
      <formula>15</formula>
      <formula>20</formula>
    </cfRule>
    <cfRule type="cellIs" dxfId="3641" priority="4" operator="between">
      <formula>15</formula>
      <formula>20</formula>
    </cfRule>
    <cfRule type="cellIs" dxfId="3640" priority="5" operator="lessThan">
      <formula>15</formula>
    </cfRule>
    <cfRule type="cellIs" dxfId="3639" priority="6" operator="greaterThan">
      <formula>20</formula>
    </cfRule>
    <cfRule type="cellIs" dxfId="3638" priority="7" operator="between">
      <formula>15</formula>
      <formula>21</formula>
    </cfRule>
    <cfRule type="cellIs" dxfId="3637" priority="8" operator="lessThan">
      <formula>15</formula>
    </cfRule>
    <cfRule type="cellIs" dxfId="3636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50"/>
  <sheetViews>
    <sheetView zoomScale="80" zoomScaleNormal="80"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6" style="143" customWidth="1"/>
    <col min="2" max="2" width="9.140625" style="143" customWidth="1"/>
    <col min="3" max="3" width="18" style="143" customWidth="1"/>
    <col min="4" max="11" width="9.5703125" style="142" customWidth="1"/>
    <col min="12" max="13" width="11.85546875" style="143" customWidth="1"/>
    <col min="14" max="14" width="5.57031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SƠN CON LĂN TRÊN ( bao đỏ )</v>
      </c>
      <c r="D4" s="383"/>
      <c r="E4" s="383" t="s">
        <v>228</v>
      </c>
      <c r="F4" s="383" t="s">
        <v>230</v>
      </c>
      <c r="G4" s="383"/>
      <c r="I4" s="383" t="s">
        <v>120</v>
      </c>
      <c r="J4" s="316" t="s">
        <v>453</v>
      </c>
      <c r="K4" s="31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55"/>
      <c r="K5" s="355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100</v>
      </c>
      <c r="F8" s="389"/>
      <c r="G8" s="388"/>
      <c r="H8" s="387"/>
      <c r="I8" s="388"/>
      <c r="J8" s="597"/>
      <c r="K8" s="598">
        <v>100</v>
      </c>
      <c r="L8" s="303"/>
      <c r="M8" s="304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/>
      <c r="E9" s="388"/>
      <c r="F9" s="446"/>
      <c r="G9" s="496"/>
      <c r="H9" s="498">
        <f>SUM($F$8:F9)/A9</f>
        <v>0</v>
      </c>
      <c r="I9" s="499">
        <f>SUM($G$8:G9)/A9</f>
        <v>0</v>
      </c>
      <c r="J9" s="443">
        <f>J8+D9-F9</f>
        <v>0</v>
      </c>
      <c r="K9" s="459">
        <f>K8+E9-G9</f>
        <v>100</v>
      </c>
      <c r="L9" s="338" t="e">
        <f>J9/H9</f>
        <v>#DIV/0!</v>
      </c>
      <c r="M9" s="300" t="e">
        <f>K9/I9</f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/>
      <c r="F10" s="446"/>
      <c r="G10" s="496"/>
      <c r="H10" s="498">
        <f>SUM($F$8:F10)/A10</f>
        <v>0</v>
      </c>
      <c r="I10" s="499">
        <f>SUM($G$8:G10)/A10</f>
        <v>0</v>
      </c>
      <c r="J10" s="443">
        <f t="shared" ref="J10:J39" si="0">J9+D10-F10</f>
        <v>0</v>
      </c>
      <c r="K10" s="459">
        <f t="shared" ref="K10:K39" si="1">K9+E10-G10</f>
        <v>100</v>
      </c>
      <c r="L10" s="338" t="e">
        <f t="shared" ref="L10:L39" si="2">J10/H10</f>
        <v>#DIV/0!</v>
      </c>
      <c r="M10" s="300" t="e">
        <f t="shared" ref="M10:M39" si="3">K10/I10</f>
        <v>#DIV/0!</v>
      </c>
      <c r="N10" s="366"/>
      <c r="O10" s="647">
        <f t="shared" ref="O10:O39" si="4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/>
      <c r="F11" s="446"/>
      <c r="G11" s="496"/>
      <c r="H11" s="498">
        <f>SUM($F$8:F11)/A11</f>
        <v>0</v>
      </c>
      <c r="I11" s="499">
        <f>SUM($G$8:G11)/A11</f>
        <v>0</v>
      </c>
      <c r="J11" s="443">
        <f t="shared" si="0"/>
        <v>0</v>
      </c>
      <c r="K11" s="459">
        <f t="shared" si="1"/>
        <v>100</v>
      </c>
      <c r="L11" s="338" t="e">
        <f t="shared" si="2"/>
        <v>#DIV/0!</v>
      </c>
      <c r="M11" s="300" t="e">
        <f t="shared" si="3"/>
        <v>#DIV/0!</v>
      </c>
      <c r="N11" s="366"/>
      <c r="O11" s="647">
        <f t="shared" si="4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/>
      <c r="F12" s="446"/>
      <c r="G12" s="496"/>
      <c r="H12" s="498">
        <f>SUM($F$8:F12)/A12</f>
        <v>0</v>
      </c>
      <c r="I12" s="499">
        <f>SUM($G$8:G12)/A12</f>
        <v>0</v>
      </c>
      <c r="J12" s="443">
        <f t="shared" si="0"/>
        <v>0</v>
      </c>
      <c r="K12" s="459">
        <f t="shared" si="1"/>
        <v>100</v>
      </c>
      <c r="L12" s="338" t="e">
        <f t="shared" si="2"/>
        <v>#DIV/0!</v>
      </c>
      <c r="M12" s="300" t="e">
        <f t="shared" si="3"/>
        <v>#DIV/0!</v>
      </c>
      <c r="N12" s="366"/>
      <c r="O12" s="647">
        <f t="shared" si="4"/>
        <v>0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/>
      <c r="F13" s="446"/>
      <c r="G13" s="496"/>
      <c r="H13" s="500">
        <f>SUM($F$8:F13)/A13</f>
        <v>0</v>
      </c>
      <c r="I13" s="499">
        <f>SUM($G$8:G13)/A13</f>
        <v>0</v>
      </c>
      <c r="J13" s="500">
        <f t="shared" si="0"/>
        <v>0</v>
      </c>
      <c r="K13" s="459">
        <f t="shared" si="1"/>
        <v>100</v>
      </c>
      <c r="L13" s="368" t="e">
        <f t="shared" si="2"/>
        <v>#DIV/0!</v>
      </c>
      <c r="M13" s="300" t="e">
        <f t="shared" si="3"/>
        <v>#DIV/0!</v>
      </c>
      <c r="N13" s="366"/>
      <c r="O13" s="647">
        <f t="shared" si="4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/>
      <c r="F14" s="446"/>
      <c r="G14" s="496"/>
      <c r="H14" s="498">
        <f>SUM($F$8:F14)/A14</f>
        <v>0</v>
      </c>
      <c r="I14" s="499">
        <f>SUM($G$8:G14)/A14</f>
        <v>0</v>
      </c>
      <c r="J14" s="443">
        <f t="shared" si="0"/>
        <v>0</v>
      </c>
      <c r="K14" s="459">
        <f t="shared" si="1"/>
        <v>100</v>
      </c>
      <c r="L14" s="338" t="e">
        <f t="shared" si="2"/>
        <v>#DIV/0!</v>
      </c>
      <c r="M14" s="300" t="e">
        <f t="shared" si="3"/>
        <v>#DIV/0!</v>
      </c>
      <c r="N14" s="366"/>
      <c r="O14" s="647">
        <f t="shared" si="4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/>
      <c r="F15" s="446"/>
      <c r="G15" s="496"/>
      <c r="H15" s="498">
        <f>SUM($F$8:F15)/A15</f>
        <v>0</v>
      </c>
      <c r="I15" s="499">
        <f>SUM($G$8:G15)/A15</f>
        <v>0</v>
      </c>
      <c r="J15" s="443">
        <f t="shared" si="0"/>
        <v>0</v>
      </c>
      <c r="K15" s="459">
        <f t="shared" si="1"/>
        <v>100</v>
      </c>
      <c r="L15" s="338" t="e">
        <f t="shared" si="2"/>
        <v>#DIV/0!</v>
      </c>
      <c r="M15" s="300" t="e">
        <f t="shared" si="3"/>
        <v>#DIV/0!</v>
      </c>
      <c r="N15" s="366"/>
      <c r="O15" s="647">
        <f t="shared" si="4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/>
      <c r="F16" s="446"/>
      <c r="G16" s="496"/>
      <c r="H16" s="498">
        <f>SUM($F$8:F16)/A16</f>
        <v>0</v>
      </c>
      <c r="I16" s="499">
        <f>SUM($G$8:G16)/A16</f>
        <v>0</v>
      </c>
      <c r="J16" s="443">
        <f t="shared" si="0"/>
        <v>0</v>
      </c>
      <c r="K16" s="459">
        <f t="shared" si="1"/>
        <v>100</v>
      </c>
      <c r="L16" s="338" t="e">
        <f t="shared" si="2"/>
        <v>#DIV/0!</v>
      </c>
      <c r="M16" s="300" t="e">
        <f t="shared" si="3"/>
        <v>#DIV/0!</v>
      </c>
      <c r="N16" s="366"/>
      <c r="O16" s="647">
        <f t="shared" si="4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/>
      <c r="F17" s="446"/>
      <c r="G17" s="496"/>
      <c r="H17" s="498">
        <f>SUM($F$8:F17)/A17</f>
        <v>0</v>
      </c>
      <c r="I17" s="499">
        <f>SUM($G$8:G17)/A17</f>
        <v>0</v>
      </c>
      <c r="J17" s="443">
        <f t="shared" si="0"/>
        <v>0</v>
      </c>
      <c r="K17" s="459">
        <f t="shared" si="1"/>
        <v>100</v>
      </c>
      <c r="L17" s="338" t="e">
        <f t="shared" si="2"/>
        <v>#DIV/0!</v>
      </c>
      <c r="M17" s="300" t="e">
        <f t="shared" si="3"/>
        <v>#DIV/0!</v>
      </c>
      <c r="N17" s="366"/>
      <c r="O17" s="647">
        <f t="shared" si="4"/>
        <v>0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/>
      <c r="F18" s="446"/>
      <c r="G18" s="496"/>
      <c r="H18" s="500">
        <f>SUM($F$8:F18)/A18</f>
        <v>0</v>
      </c>
      <c r="I18" s="499">
        <f>SUM($G$8:G18)/A18</f>
        <v>0</v>
      </c>
      <c r="J18" s="500">
        <f t="shared" si="0"/>
        <v>0</v>
      </c>
      <c r="K18" s="459">
        <f t="shared" si="1"/>
        <v>100</v>
      </c>
      <c r="L18" s="368" t="e">
        <f t="shared" si="2"/>
        <v>#DIV/0!</v>
      </c>
      <c r="M18" s="300" t="e">
        <f t="shared" si="3"/>
        <v>#DIV/0!</v>
      </c>
      <c r="N18" s="366"/>
      <c r="O18" s="647">
        <f t="shared" si="4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/>
      <c r="F19" s="446"/>
      <c r="G19" s="496"/>
      <c r="H19" s="498">
        <f>SUM($F$8:F19)/A19</f>
        <v>0</v>
      </c>
      <c r="I19" s="499">
        <f>SUM($G$8:G19)/A19</f>
        <v>0</v>
      </c>
      <c r="J19" s="443">
        <f t="shared" si="0"/>
        <v>0</v>
      </c>
      <c r="K19" s="459">
        <f t="shared" si="1"/>
        <v>100</v>
      </c>
      <c r="L19" s="338" t="e">
        <f t="shared" si="2"/>
        <v>#DIV/0!</v>
      </c>
      <c r="M19" s="300" t="e">
        <f t="shared" si="3"/>
        <v>#DIV/0!</v>
      </c>
      <c r="N19" s="366"/>
      <c r="O19" s="647">
        <f t="shared" si="4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/>
      <c r="F20" s="446"/>
      <c r="G20" s="496"/>
      <c r="H20" s="498">
        <f>SUM($F$8:F20)/A20</f>
        <v>0</v>
      </c>
      <c r="I20" s="499">
        <f>SUM($G$8:G20)/A20</f>
        <v>0</v>
      </c>
      <c r="J20" s="443">
        <f t="shared" si="0"/>
        <v>0</v>
      </c>
      <c r="K20" s="459">
        <f t="shared" si="1"/>
        <v>100</v>
      </c>
      <c r="L20" s="338" t="e">
        <f t="shared" si="2"/>
        <v>#DIV/0!</v>
      </c>
      <c r="M20" s="300" t="e">
        <f t="shared" si="3"/>
        <v>#DIV/0!</v>
      </c>
      <c r="N20" s="366"/>
      <c r="O20" s="647">
        <f t="shared" si="4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/>
      <c r="F21" s="446"/>
      <c r="G21" s="496"/>
      <c r="H21" s="498">
        <f>SUM($F$8:F21)/A21</f>
        <v>0</v>
      </c>
      <c r="I21" s="499">
        <f>SUM($G$8:G21)/A21</f>
        <v>0</v>
      </c>
      <c r="J21" s="443">
        <f t="shared" si="0"/>
        <v>0</v>
      </c>
      <c r="K21" s="459">
        <f t="shared" si="1"/>
        <v>100</v>
      </c>
      <c r="L21" s="338" t="e">
        <f t="shared" si="2"/>
        <v>#DIV/0!</v>
      </c>
      <c r="M21" s="300" t="e">
        <f t="shared" si="3"/>
        <v>#DIV/0!</v>
      </c>
      <c r="N21" s="366"/>
      <c r="O21" s="647">
        <f t="shared" si="4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/>
      <c r="F22" s="446"/>
      <c r="G22" s="496"/>
      <c r="H22" s="498">
        <f>SUM($F$8:F22)/A22</f>
        <v>0</v>
      </c>
      <c r="I22" s="499">
        <f>SUM($G$8:G22)/A22</f>
        <v>0</v>
      </c>
      <c r="J22" s="443">
        <f t="shared" si="0"/>
        <v>0</v>
      </c>
      <c r="K22" s="459">
        <f t="shared" si="1"/>
        <v>100</v>
      </c>
      <c r="L22" s="338" t="e">
        <f t="shared" si="2"/>
        <v>#DIV/0!</v>
      </c>
      <c r="M22" s="300" t="e">
        <f t="shared" si="3"/>
        <v>#DIV/0!</v>
      </c>
      <c r="N22" s="366"/>
      <c r="O22" s="647">
        <f t="shared" si="4"/>
        <v>0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/>
      <c r="F23" s="446"/>
      <c r="G23" s="496"/>
      <c r="H23" s="500">
        <f>SUM($F$8:F23)/A23</f>
        <v>0</v>
      </c>
      <c r="I23" s="499">
        <f>SUM($G$8:G23)/A23</f>
        <v>0</v>
      </c>
      <c r="J23" s="500">
        <f t="shared" si="0"/>
        <v>0</v>
      </c>
      <c r="K23" s="459">
        <f t="shared" si="1"/>
        <v>100</v>
      </c>
      <c r="L23" s="368" t="e">
        <f t="shared" si="2"/>
        <v>#DIV/0!</v>
      </c>
      <c r="M23" s="300" t="e">
        <f t="shared" si="3"/>
        <v>#DIV/0!</v>
      </c>
      <c r="N23" s="366"/>
      <c r="O23" s="647">
        <f t="shared" si="4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/>
      <c r="F24" s="446"/>
      <c r="G24" s="496"/>
      <c r="H24" s="498">
        <f>SUM($F$8:F24)/A24</f>
        <v>0</v>
      </c>
      <c r="I24" s="499">
        <f>SUM($G$8:G24)/A24</f>
        <v>0</v>
      </c>
      <c r="J24" s="443">
        <f t="shared" si="0"/>
        <v>0</v>
      </c>
      <c r="K24" s="459">
        <f t="shared" si="1"/>
        <v>100</v>
      </c>
      <c r="L24" s="338" t="e">
        <f t="shared" si="2"/>
        <v>#DIV/0!</v>
      </c>
      <c r="M24" s="300" t="e">
        <f t="shared" si="3"/>
        <v>#DIV/0!</v>
      </c>
      <c r="N24" s="366"/>
      <c r="O24" s="647">
        <f t="shared" si="4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/>
      <c r="F25" s="446"/>
      <c r="G25" s="496"/>
      <c r="H25" s="498">
        <f>SUM($F$8:F25)/A25</f>
        <v>0</v>
      </c>
      <c r="I25" s="499">
        <f>SUM($G$8:G25)/A25</f>
        <v>0</v>
      </c>
      <c r="J25" s="443">
        <f t="shared" si="0"/>
        <v>0</v>
      </c>
      <c r="K25" s="459">
        <f t="shared" si="1"/>
        <v>100</v>
      </c>
      <c r="L25" s="338" t="e">
        <f t="shared" si="2"/>
        <v>#DIV/0!</v>
      </c>
      <c r="M25" s="300" t="e">
        <f t="shared" si="3"/>
        <v>#DIV/0!</v>
      </c>
      <c r="N25" s="366"/>
      <c r="O25" s="647">
        <f t="shared" si="4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/>
      <c r="F26" s="446"/>
      <c r="G26" s="496"/>
      <c r="H26" s="498">
        <f>SUM($F$8:F26)/A26</f>
        <v>0</v>
      </c>
      <c r="I26" s="499">
        <f>SUM($G$8:G26)/A26</f>
        <v>0</v>
      </c>
      <c r="J26" s="443">
        <f t="shared" si="0"/>
        <v>0</v>
      </c>
      <c r="K26" s="459">
        <f t="shared" si="1"/>
        <v>100</v>
      </c>
      <c r="L26" s="338" t="e">
        <f t="shared" si="2"/>
        <v>#DIV/0!</v>
      </c>
      <c r="M26" s="300" t="e">
        <f t="shared" si="3"/>
        <v>#DIV/0!</v>
      </c>
      <c r="N26" s="366"/>
      <c r="O26" s="647">
        <f t="shared" si="4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/>
      <c r="F27" s="446"/>
      <c r="G27" s="496"/>
      <c r="H27" s="498">
        <f>SUM($F$8:F27)/A27</f>
        <v>0</v>
      </c>
      <c r="I27" s="499">
        <f>SUM($G$8:G27)/A27</f>
        <v>0</v>
      </c>
      <c r="J27" s="443">
        <f t="shared" si="0"/>
        <v>0</v>
      </c>
      <c r="K27" s="459">
        <f t="shared" si="1"/>
        <v>100</v>
      </c>
      <c r="L27" s="338" t="e">
        <f t="shared" si="2"/>
        <v>#DIV/0!</v>
      </c>
      <c r="M27" s="300" t="e">
        <f t="shared" si="3"/>
        <v>#DIV/0!</v>
      </c>
      <c r="N27" s="366"/>
      <c r="O27" s="647">
        <f t="shared" si="4"/>
        <v>0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/>
      <c r="F28" s="446"/>
      <c r="G28" s="496"/>
      <c r="H28" s="500">
        <f>SUM($F$8:F28)/A28</f>
        <v>0</v>
      </c>
      <c r="I28" s="499">
        <f>SUM($G$8:G28)/A28</f>
        <v>0</v>
      </c>
      <c r="J28" s="500">
        <f t="shared" si="0"/>
        <v>0</v>
      </c>
      <c r="K28" s="459">
        <f t="shared" si="1"/>
        <v>100</v>
      </c>
      <c r="L28" s="368" t="e">
        <f t="shared" si="2"/>
        <v>#DIV/0!</v>
      </c>
      <c r="M28" s="300" t="e">
        <f t="shared" si="3"/>
        <v>#DIV/0!</v>
      </c>
      <c r="N28" s="366"/>
      <c r="O28" s="647">
        <f t="shared" si="4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/>
      <c r="F29" s="446"/>
      <c r="G29" s="496"/>
      <c r="H29" s="498">
        <f>SUM($F$8:F29)/A29</f>
        <v>0</v>
      </c>
      <c r="I29" s="499">
        <f>SUM($G$8:G29)/A29</f>
        <v>0</v>
      </c>
      <c r="J29" s="443">
        <f t="shared" si="0"/>
        <v>0</v>
      </c>
      <c r="K29" s="459">
        <f t="shared" si="1"/>
        <v>100</v>
      </c>
      <c r="L29" s="338" t="e">
        <f t="shared" si="2"/>
        <v>#DIV/0!</v>
      </c>
      <c r="M29" s="300" t="e">
        <f t="shared" si="3"/>
        <v>#DIV/0!</v>
      </c>
      <c r="N29" s="366"/>
      <c r="O29" s="647">
        <f t="shared" si="4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/>
      <c r="F30" s="446"/>
      <c r="G30" s="496"/>
      <c r="H30" s="498">
        <f>SUM($F$8:F30)/A30</f>
        <v>0</v>
      </c>
      <c r="I30" s="499">
        <f>SUM($G$8:G30)/A30</f>
        <v>0</v>
      </c>
      <c r="J30" s="443">
        <f t="shared" si="0"/>
        <v>0</v>
      </c>
      <c r="K30" s="459">
        <f t="shared" si="1"/>
        <v>100</v>
      </c>
      <c r="L30" s="338" t="e">
        <f t="shared" si="2"/>
        <v>#DIV/0!</v>
      </c>
      <c r="M30" s="300" t="e">
        <f t="shared" si="3"/>
        <v>#DIV/0!</v>
      </c>
      <c r="N30" s="366"/>
      <c r="O30" s="647">
        <f t="shared" si="4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/>
      <c r="F31" s="446"/>
      <c r="G31" s="496"/>
      <c r="H31" s="498">
        <f>SUM($F$8:F31)/A31</f>
        <v>0</v>
      </c>
      <c r="I31" s="499">
        <f>SUM($G$8:G31)/A31</f>
        <v>0</v>
      </c>
      <c r="J31" s="443">
        <f t="shared" si="0"/>
        <v>0</v>
      </c>
      <c r="K31" s="459">
        <f t="shared" si="1"/>
        <v>100</v>
      </c>
      <c r="L31" s="338" t="e">
        <f t="shared" si="2"/>
        <v>#DIV/0!</v>
      </c>
      <c r="M31" s="300" t="e">
        <f t="shared" si="3"/>
        <v>#DIV/0!</v>
      </c>
      <c r="N31" s="366"/>
      <c r="O31" s="647">
        <f t="shared" si="4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/>
      <c r="F32" s="446"/>
      <c r="G32" s="496"/>
      <c r="H32" s="498">
        <f>SUM($F$8:F32)/A32</f>
        <v>0</v>
      </c>
      <c r="I32" s="499">
        <f>SUM($G$8:G32)/A32</f>
        <v>0</v>
      </c>
      <c r="J32" s="443">
        <f t="shared" si="0"/>
        <v>0</v>
      </c>
      <c r="K32" s="459">
        <f t="shared" si="1"/>
        <v>100</v>
      </c>
      <c r="L32" s="338" t="e">
        <f t="shared" si="2"/>
        <v>#DIV/0!</v>
      </c>
      <c r="M32" s="300" t="e">
        <f t="shared" si="3"/>
        <v>#DIV/0!</v>
      </c>
      <c r="N32" s="366"/>
      <c r="O32" s="647">
        <f t="shared" si="4"/>
        <v>0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/>
      <c r="F33" s="446"/>
      <c r="G33" s="496"/>
      <c r="H33" s="448">
        <f>SUM($F$8:F33)/A33</f>
        <v>0</v>
      </c>
      <c r="I33" s="499">
        <f>SUM($G$8:G33)/A33</f>
        <v>0</v>
      </c>
      <c r="J33" s="448">
        <f t="shared" si="0"/>
        <v>0</v>
      </c>
      <c r="K33" s="459">
        <f t="shared" si="1"/>
        <v>100</v>
      </c>
      <c r="L33" s="369" t="e">
        <f t="shared" si="2"/>
        <v>#DIV/0!</v>
      </c>
      <c r="M33" s="300" t="e">
        <f t="shared" si="3"/>
        <v>#DIV/0!</v>
      </c>
      <c r="N33" s="366"/>
      <c r="O33" s="647">
        <f t="shared" si="4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/>
      <c r="F34" s="446"/>
      <c r="G34" s="496"/>
      <c r="H34" s="498">
        <f>SUM($F$8:F34)/A34</f>
        <v>0</v>
      </c>
      <c r="I34" s="499">
        <f>SUM($G$8:G34)/A34</f>
        <v>0</v>
      </c>
      <c r="J34" s="443">
        <f t="shared" si="0"/>
        <v>0</v>
      </c>
      <c r="K34" s="459">
        <f t="shared" si="1"/>
        <v>100</v>
      </c>
      <c r="L34" s="338" t="e">
        <f t="shared" si="2"/>
        <v>#DIV/0!</v>
      </c>
      <c r="M34" s="300" t="e">
        <f t="shared" si="3"/>
        <v>#DIV/0!</v>
      </c>
      <c r="N34" s="366"/>
      <c r="O34" s="647">
        <f t="shared" si="4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/>
      <c r="F35" s="446"/>
      <c r="G35" s="496"/>
      <c r="H35" s="498">
        <f>SUM($F$8:F35)/A35</f>
        <v>0</v>
      </c>
      <c r="I35" s="499">
        <f>SUM($G$8:G35)/A35</f>
        <v>0</v>
      </c>
      <c r="J35" s="443">
        <f t="shared" si="0"/>
        <v>0</v>
      </c>
      <c r="K35" s="459">
        <f t="shared" si="1"/>
        <v>100</v>
      </c>
      <c r="L35" s="338" t="e">
        <f t="shared" si="2"/>
        <v>#DIV/0!</v>
      </c>
      <c r="M35" s="300" t="e">
        <f t="shared" si="3"/>
        <v>#DIV/0!</v>
      </c>
      <c r="N35" s="366"/>
      <c r="O35" s="647">
        <f t="shared" si="4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/>
      <c r="F36" s="446"/>
      <c r="G36" s="496"/>
      <c r="H36" s="498">
        <f>SUM($F$8:F36)/A36</f>
        <v>0</v>
      </c>
      <c r="I36" s="499">
        <f>SUM($G$8:G36)/A36</f>
        <v>0</v>
      </c>
      <c r="J36" s="443">
        <f t="shared" si="0"/>
        <v>0</v>
      </c>
      <c r="K36" s="459">
        <f t="shared" si="1"/>
        <v>100</v>
      </c>
      <c r="L36" s="338" t="e">
        <f t="shared" si="2"/>
        <v>#DIV/0!</v>
      </c>
      <c r="M36" s="300" t="e">
        <f t="shared" si="3"/>
        <v>#DIV/0!</v>
      </c>
      <c r="N36" s="366"/>
      <c r="O36" s="647">
        <f t="shared" si="4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/>
      <c r="F37" s="446"/>
      <c r="G37" s="496"/>
      <c r="H37" s="498">
        <f>SUM($F$8:F37)/A37</f>
        <v>0</v>
      </c>
      <c r="I37" s="499">
        <f>SUM($G$8:G37)/A37</f>
        <v>0</v>
      </c>
      <c r="J37" s="443">
        <f t="shared" si="0"/>
        <v>0</v>
      </c>
      <c r="K37" s="459">
        <f t="shared" si="1"/>
        <v>100</v>
      </c>
      <c r="L37" s="338" t="e">
        <f t="shared" si="2"/>
        <v>#DIV/0!</v>
      </c>
      <c r="M37" s="300" t="e">
        <f t="shared" si="3"/>
        <v>#DIV/0!</v>
      </c>
      <c r="N37" s="366"/>
      <c r="O37" s="647">
        <f t="shared" si="4"/>
        <v>0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/>
      <c r="F38" s="446"/>
      <c r="G38" s="496"/>
      <c r="H38" s="500">
        <f>SUM($F$8:F38)/A38</f>
        <v>0</v>
      </c>
      <c r="I38" s="499">
        <f>SUM($G$8:G38)/A38</f>
        <v>0</v>
      </c>
      <c r="J38" s="500">
        <f t="shared" si="0"/>
        <v>0</v>
      </c>
      <c r="K38" s="459">
        <f t="shared" si="1"/>
        <v>100</v>
      </c>
      <c r="L38" s="368" t="e">
        <f t="shared" si="2"/>
        <v>#DIV/0!</v>
      </c>
      <c r="M38" s="300" t="e">
        <f t="shared" si="3"/>
        <v>#DIV/0!</v>
      </c>
      <c r="N38" s="366"/>
      <c r="O38" s="647">
        <f t="shared" si="4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/>
      <c r="F39" s="446"/>
      <c r="G39" s="496"/>
      <c r="H39" s="498">
        <f>SUM($F$8:F39)/A39</f>
        <v>0</v>
      </c>
      <c r="I39" s="499">
        <f>SUM($G$8:G39)/A39</f>
        <v>0</v>
      </c>
      <c r="J39" s="443">
        <f t="shared" si="0"/>
        <v>0</v>
      </c>
      <c r="K39" s="459">
        <f t="shared" si="1"/>
        <v>100</v>
      </c>
      <c r="L39" s="338" t="e">
        <f t="shared" si="2"/>
        <v>#DIV/0!</v>
      </c>
      <c r="M39" s="300" t="e">
        <f t="shared" si="3"/>
        <v>#DIV/0!</v>
      </c>
      <c r="N39" s="366"/>
      <c r="O39" s="647">
        <f t="shared" si="4"/>
        <v>0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100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100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100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8">
    <cfRule type="cellIs" dxfId="3635" priority="163" operator="lessThan">
      <formula>15</formula>
    </cfRule>
    <cfRule type="cellIs" dxfId="3634" priority="164" operator="greaterThan">
      <formula>20</formula>
    </cfRule>
    <cfRule type="cellIs" dxfId="3633" priority="165" operator="between">
      <formula>15</formula>
      <formula>20</formula>
    </cfRule>
    <cfRule type="cellIs" dxfId="3632" priority="166" operator="between">
      <formula>15</formula>
      <formula>20</formula>
    </cfRule>
    <cfRule type="cellIs" dxfId="3631" priority="167" operator="lessThan">
      <formula>15</formula>
    </cfRule>
    <cfRule type="cellIs" dxfId="3630" priority="168" operator="greaterThan">
      <formula>20</formula>
    </cfRule>
    <cfRule type="cellIs" dxfId="3629" priority="169" operator="between">
      <formula>15</formula>
      <formula>21</formula>
    </cfRule>
    <cfRule type="cellIs" dxfId="3628" priority="170" operator="lessThan">
      <formula>15</formula>
    </cfRule>
    <cfRule type="cellIs" dxfId="3627" priority="171" operator="greaterThan">
      <formula>21</formula>
    </cfRule>
  </conditionalFormatting>
  <conditionalFormatting sqref="M23">
    <cfRule type="cellIs" dxfId="3626" priority="154" operator="lessThan">
      <formula>15</formula>
    </cfRule>
    <cfRule type="cellIs" dxfId="3625" priority="155" operator="greaterThan">
      <formula>20</formula>
    </cfRule>
    <cfRule type="cellIs" dxfId="3624" priority="156" operator="between">
      <formula>15</formula>
      <formula>20</formula>
    </cfRule>
    <cfRule type="cellIs" dxfId="3623" priority="157" operator="between">
      <formula>15</formula>
      <formula>20</formula>
    </cfRule>
    <cfRule type="cellIs" dxfId="3622" priority="158" operator="lessThan">
      <formula>15</formula>
    </cfRule>
    <cfRule type="cellIs" dxfId="3621" priority="159" operator="greaterThan">
      <formula>20</formula>
    </cfRule>
    <cfRule type="cellIs" dxfId="3620" priority="160" operator="between">
      <formula>15</formula>
      <formula>21</formula>
    </cfRule>
    <cfRule type="cellIs" dxfId="3619" priority="161" operator="lessThan">
      <formula>15</formula>
    </cfRule>
    <cfRule type="cellIs" dxfId="3618" priority="162" operator="greaterThan">
      <formula>21</formula>
    </cfRule>
  </conditionalFormatting>
  <conditionalFormatting sqref="M18">
    <cfRule type="cellIs" dxfId="3617" priority="145" operator="lessThan">
      <formula>15</formula>
    </cfRule>
    <cfRule type="cellIs" dxfId="3616" priority="146" operator="greaterThan">
      <formula>20</formula>
    </cfRule>
    <cfRule type="cellIs" dxfId="3615" priority="147" operator="between">
      <formula>15</formula>
      <formula>20</formula>
    </cfRule>
    <cfRule type="cellIs" dxfId="3614" priority="148" operator="between">
      <formula>15</formula>
      <formula>20</formula>
    </cfRule>
    <cfRule type="cellIs" dxfId="3613" priority="149" operator="lessThan">
      <formula>15</formula>
    </cfRule>
    <cfRule type="cellIs" dxfId="3612" priority="150" operator="greaterThan">
      <formula>20</formula>
    </cfRule>
    <cfRule type="cellIs" dxfId="3611" priority="151" operator="between">
      <formula>15</formula>
      <formula>21</formula>
    </cfRule>
    <cfRule type="cellIs" dxfId="3610" priority="152" operator="lessThan">
      <formula>15</formula>
    </cfRule>
    <cfRule type="cellIs" dxfId="3609" priority="153" operator="greaterThan">
      <formula>21</formula>
    </cfRule>
  </conditionalFormatting>
  <conditionalFormatting sqref="M35:M37">
    <cfRule type="cellIs" dxfId="3608" priority="172" operator="lessThan">
      <formula>15</formula>
    </cfRule>
    <cfRule type="cellIs" dxfId="3607" priority="173" operator="greaterThan">
      <formula>20</formula>
    </cfRule>
    <cfRule type="cellIs" dxfId="3606" priority="174" operator="between">
      <formula>15</formula>
      <formula>20</formula>
    </cfRule>
    <cfRule type="cellIs" dxfId="3605" priority="175" operator="between">
      <formula>15</formula>
      <formula>20</formula>
    </cfRule>
    <cfRule type="cellIs" dxfId="3604" priority="176" operator="lessThan">
      <formula>15</formula>
    </cfRule>
    <cfRule type="cellIs" dxfId="3603" priority="177" operator="greaterThan">
      <formula>20</formula>
    </cfRule>
    <cfRule type="cellIs" dxfId="3602" priority="178" operator="between">
      <formula>15</formula>
      <formula>21</formula>
    </cfRule>
    <cfRule type="cellIs" dxfId="3601" priority="179" operator="lessThan">
      <formula>15</formula>
    </cfRule>
    <cfRule type="cellIs" dxfId="3600" priority="180" operator="greaterThan">
      <formula>21</formula>
    </cfRule>
  </conditionalFormatting>
  <conditionalFormatting sqref="M13">
    <cfRule type="cellIs" dxfId="3599" priority="136" operator="lessThan">
      <formula>15</formula>
    </cfRule>
    <cfRule type="cellIs" dxfId="3598" priority="137" operator="greaterThan">
      <formula>20</formula>
    </cfRule>
    <cfRule type="cellIs" dxfId="3597" priority="138" operator="between">
      <formula>15</formula>
      <formula>20</formula>
    </cfRule>
    <cfRule type="cellIs" dxfId="3596" priority="139" operator="between">
      <formula>15</formula>
      <formula>20</formula>
    </cfRule>
    <cfRule type="cellIs" dxfId="3595" priority="140" operator="lessThan">
      <formula>15</formula>
    </cfRule>
    <cfRule type="cellIs" dxfId="3594" priority="141" operator="greaterThan">
      <formula>20</formula>
    </cfRule>
    <cfRule type="cellIs" dxfId="3593" priority="142" operator="between">
      <formula>15</formula>
      <formula>21</formula>
    </cfRule>
    <cfRule type="cellIs" dxfId="3592" priority="143" operator="lessThan">
      <formula>15</formula>
    </cfRule>
    <cfRule type="cellIs" dxfId="3591" priority="144" operator="greaterThan">
      <formula>21</formula>
    </cfRule>
  </conditionalFormatting>
  <conditionalFormatting sqref="M33">
    <cfRule type="cellIs" dxfId="3590" priority="127" operator="lessThan">
      <formula>15</formula>
    </cfRule>
    <cfRule type="cellIs" dxfId="3589" priority="128" operator="greaterThan">
      <formula>20</formula>
    </cfRule>
    <cfRule type="cellIs" dxfId="3588" priority="129" operator="between">
      <formula>15</formula>
      <formula>20</formula>
    </cfRule>
    <cfRule type="cellIs" dxfId="3587" priority="130" operator="between">
      <formula>15</formula>
      <formula>20</formula>
    </cfRule>
    <cfRule type="cellIs" dxfId="3586" priority="131" operator="lessThan">
      <formula>15</formula>
    </cfRule>
    <cfRule type="cellIs" dxfId="3585" priority="132" operator="greaterThan">
      <formula>20</formula>
    </cfRule>
    <cfRule type="cellIs" dxfId="3584" priority="133" operator="between">
      <formula>15</formula>
      <formula>21</formula>
    </cfRule>
    <cfRule type="cellIs" dxfId="3583" priority="134" operator="lessThan">
      <formula>15</formula>
    </cfRule>
    <cfRule type="cellIs" dxfId="3582" priority="135" operator="greaterThan">
      <formula>21</formula>
    </cfRule>
  </conditionalFormatting>
  <conditionalFormatting sqref="M38">
    <cfRule type="cellIs" dxfId="3581" priority="118" operator="lessThan">
      <formula>15</formula>
    </cfRule>
    <cfRule type="cellIs" dxfId="3580" priority="119" operator="greaterThan">
      <formula>20</formula>
    </cfRule>
    <cfRule type="cellIs" dxfId="3579" priority="120" operator="between">
      <formula>15</formula>
      <formula>20</formula>
    </cfRule>
    <cfRule type="cellIs" dxfId="3578" priority="121" operator="between">
      <formula>15</formula>
      <formula>20</formula>
    </cfRule>
    <cfRule type="cellIs" dxfId="3577" priority="122" operator="lessThan">
      <formula>15</formula>
    </cfRule>
    <cfRule type="cellIs" dxfId="3576" priority="123" operator="greaterThan">
      <formula>20</formula>
    </cfRule>
    <cfRule type="cellIs" dxfId="3575" priority="124" operator="between">
      <formula>15</formula>
      <formula>21</formula>
    </cfRule>
    <cfRule type="cellIs" dxfId="3574" priority="125" operator="lessThan">
      <formula>15</formula>
    </cfRule>
    <cfRule type="cellIs" dxfId="3573" priority="126" operator="greaterThan">
      <formula>21</formula>
    </cfRule>
  </conditionalFormatting>
  <conditionalFormatting sqref="M20">
    <cfRule type="cellIs" dxfId="3572" priority="217" operator="lessThan">
      <formula>15</formula>
    </cfRule>
    <cfRule type="cellIs" dxfId="3571" priority="218" operator="greaterThan">
      <formula>20</formula>
    </cfRule>
    <cfRule type="cellIs" dxfId="3570" priority="219" operator="between">
      <formula>15</formula>
      <formula>20</formula>
    </cfRule>
    <cfRule type="cellIs" dxfId="3569" priority="220" operator="between">
      <formula>15</formula>
      <formula>20</formula>
    </cfRule>
    <cfRule type="cellIs" dxfId="3568" priority="221" operator="lessThan">
      <formula>15</formula>
    </cfRule>
    <cfRule type="cellIs" dxfId="3567" priority="222" operator="greaterThan">
      <formula>20</formula>
    </cfRule>
    <cfRule type="cellIs" dxfId="3566" priority="223" operator="between">
      <formula>15</formula>
      <formula>21</formula>
    </cfRule>
    <cfRule type="cellIs" dxfId="3565" priority="224" operator="lessThan">
      <formula>15</formula>
    </cfRule>
    <cfRule type="cellIs" dxfId="3564" priority="225" operator="greaterThan">
      <formula>21</formula>
    </cfRule>
  </conditionalFormatting>
  <conditionalFormatting sqref="M27">
    <cfRule type="cellIs" dxfId="3563" priority="208" operator="lessThan">
      <formula>15</formula>
    </cfRule>
    <cfRule type="cellIs" dxfId="3562" priority="209" operator="greaterThan">
      <formula>20</formula>
    </cfRule>
    <cfRule type="cellIs" dxfId="3561" priority="210" operator="between">
      <formula>15</formula>
      <formula>20</formula>
    </cfRule>
    <cfRule type="cellIs" dxfId="3560" priority="211" operator="between">
      <formula>15</formula>
      <formula>20</formula>
    </cfRule>
    <cfRule type="cellIs" dxfId="3559" priority="212" operator="lessThan">
      <formula>15</formula>
    </cfRule>
    <cfRule type="cellIs" dxfId="3558" priority="213" operator="greaterThan">
      <formula>20</formula>
    </cfRule>
    <cfRule type="cellIs" dxfId="3557" priority="214" operator="between">
      <formula>15</formula>
      <formula>21</formula>
    </cfRule>
    <cfRule type="cellIs" dxfId="3556" priority="215" operator="lessThan">
      <formula>15</formula>
    </cfRule>
    <cfRule type="cellIs" dxfId="3555" priority="216" operator="greaterThan">
      <formula>21</formula>
    </cfRule>
  </conditionalFormatting>
  <conditionalFormatting sqref="M34">
    <cfRule type="cellIs" dxfId="3554" priority="199" operator="lessThan">
      <formula>15</formula>
    </cfRule>
    <cfRule type="cellIs" dxfId="3553" priority="200" operator="greaterThan">
      <formula>20</formula>
    </cfRule>
    <cfRule type="cellIs" dxfId="3552" priority="201" operator="between">
      <formula>15</formula>
      <formula>20</formula>
    </cfRule>
    <cfRule type="cellIs" dxfId="3551" priority="202" operator="between">
      <formula>15</formula>
      <formula>20</formula>
    </cfRule>
    <cfRule type="cellIs" dxfId="3550" priority="203" operator="lessThan">
      <formula>15</formula>
    </cfRule>
    <cfRule type="cellIs" dxfId="3549" priority="204" operator="greaterThan">
      <formula>20</formula>
    </cfRule>
    <cfRule type="cellIs" dxfId="3548" priority="205" operator="between">
      <formula>15</formula>
      <formula>21</formula>
    </cfRule>
    <cfRule type="cellIs" dxfId="3547" priority="206" operator="lessThan">
      <formula>15</formula>
    </cfRule>
    <cfRule type="cellIs" dxfId="3546" priority="207" operator="greaterThan">
      <formula>21</formula>
    </cfRule>
  </conditionalFormatting>
  <conditionalFormatting sqref="M14:M17 M39 M21:M22 M24:M26 M19">
    <cfRule type="cellIs" dxfId="3545" priority="226" operator="lessThan">
      <formula>15</formula>
    </cfRule>
    <cfRule type="cellIs" dxfId="3544" priority="227" operator="greaterThan">
      <formula>20</formula>
    </cfRule>
    <cfRule type="cellIs" dxfId="3543" priority="228" operator="between">
      <formula>15</formula>
      <formula>20</formula>
    </cfRule>
    <cfRule type="cellIs" dxfId="3542" priority="229" operator="between">
      <formula>15</formula>
      <formula>20</formula>
    </cfRule>
    <cfRule type="cellIs" dxfId="3541" priority="230" operator="lessThan">
      <formula>15</formula>
    </cfRule>
    <cfRule type="cellIs" dxfId="3540" priority="231" operator="greaterThan">
      <formula>20</formula>
    </cfRule>
    <cfRule type="cellIs" dxfId="3539" priority="232" operator="between">
      <formula>15</formula>
      <formula>21</formula>
    </cfRule>
    <cfRule type="cellIs" dxfId="3538" priority="233" operator="lessThan">
      <formula>15</formula>
    </cfRule>
    <cfRule type="cellIs" dxfId="3537" priority="234" operator="greaterThan">
      <formula>21</formula>
    </cfRule>
  </conditionalFormatting>
  <conditionalFormatting sqref="M9:M12">
    <cfRule type="cellIs" dxfId="3536" priority="190" operator="lessThan">
      <formula>15</formula>
    </cfRule>
    <cfRule type="cellIs" dxfId="3535" priority="191" operator="greaterThan">
      <formula>20</formula>
    </cfRule>
    <cfRule type="cellIs" dxfId="3534" priority="192" operator="between">
      <formula>15</formula>
      <formula>20</formula>
    </cfRule>
    <cfRule type="cellIs" dxfId="3533" priority="193" operator="between">
      <formula>15</formula>
      <formula>20</formula>
    </cfRule>
    <cfRule type="cellIs" dxfId="3532" priority="194" operator="lessThan">
      <formula>15</formula>
    </cfRule>
    <cfRule type="cellIs" dxfId="3531" priority="195" operator="greaterThan">
      <formula>20</formula>
    </cfRule>
    <cfRule type="cellIs" dxfId="3530" priority="196" operator="between">
      <formula>15</formula>
      <formula>21</formula>
    </cfRule>
    <cfRule type="cellIs" dxfId="3529" priority="197" operator="lessThan">
      <formula>15</formula>
    </cfRule>
    <cfRule type="cellIs" dxfId="3528" priority="198" operator="greaterThan">
      <formula>21</formula>
    </cfRule>
  </conditionalFormatting>
  <conditionalFormatting sqref="M29:M32">
    <cfRule type="cellIs" dxfId="3527" priority="181" operator="lessThan">
      <formula>15</formula>
    </cfRule>
    <cfRule type="cellIs" dxfId="3526" priority="182" operator="greaterThan">
      <formula>20</formula>
    </cfRule>
    <cfRule type="cellIs" dxfId="3525" priority="183" operator="between">
      <formula>15</formula>
      <formula>20</formula>
    </cfRule>
    <cfRule type="cellIs" dxfId="3524" priority="184" operator="between">
      <formula>15</formula>
      <formula>20</formula>
    </cfRule>
    <cfRule type="cellIs" dxfId="3523" priority="185" operator="lessThan">
      <formula>15</formula>
    </cfRule>
    <cfRule type="cellIs" dxfId="3522" priority="186" operator="greaterThan">
      <formula>20</formula>
    </cfRule>
    <cfRule type="cellIs" dxfId="3521" priority="187" operator="between">
      <formula>15</formula>
      <formula>21</formula>
    </cfRule>
    <cfRule type="cellIs" dxfId="3520" priority="188" operator="lessThan">
      <formula>15</formula>
    </cfRule>
    <cfRule type="cellIs" dxfId="3519" priority="189" operator="greaterThan">
      <formula>21</formula>
    </cfRule>
  </conditionalFormatting>
  <conditionalFormatting sqref="M38">
    <cfRule type="cellIs" dxfId="3518" priority="109" operator="lessThan">
      <formula>15</formula>
    </cfRule>
    <cfRule type="cellIs" dxfId="3517" priority="110" operator="greaterThan">
      <formula>20</formula>
    </cfRule>
    <cfRule type="cellIs" dxfId="3516" priority="111" operator="between">
      <formula>15</formula>
      <formula>20</formula>
    </cfRule>
    <cfRule type="cellIs" dxfId="3515" priority="112" operator="between">
      <formula>15</formula>
      <formula>20</formula>
    </cfRule>
    <cfRule type="cellIs" dxfId="3514" priority="113" operator="lessThan">
      <formula>15</formula>
    </cfRule>
    <cfRule type="cellIs" dxfId="3513" priority="114" operator="greaterThan">
      <formula>20</formula>
    </cfRule>
    <cfRule type="cellIs" dxfId="3512" priority="115" operator="between">
      <formula>15</formula>
      <formula>21</formula>
    </cfRule>
    <cfRule type="cellIs" dxfId="3511" priority="116" operator="lessThan">
      <formula>15</formula>
    </cfRule>
    <cfRule type="cellIs" dxfId="3510" priority="117" operator="greaterThan">
      <formula>21</formula>
    </cfRule>
  </conditionalFormatting>
  <conditionalFormatting sqref="M33">
    <cfRule type="cellIs" dxfId="3509" priority="100" operator="lessThan">
      <formula>15</formula>
    </cfRule>
    <cfRule type="cellIs" dxfId="3508" priority="101" operator="greaterThan">
      <formula>20</formula>
    </cfRule>
    <cfRule type="cellIs" dxfId="3507" priority="102" operator="between">
      <formula>15</formula>
      <formula>20</formula>
    </cfRule>
    <cfRule type="cellIs" dxfId="3506" priority="103" operator="between">
      <formula>15</formula>
      <formula>20</formula>
    </cfRule>
    <cfRule type="cellIs" dxfId="3505" priority="104" operator="lessThan">
      <formula>15</formula>
    </cfRule>
    <cfRule type="cellIs" dxfId="3504" priority="105" operator="greaterThan">
      <formula>20</formula>
    </cfRule>
    <cfRule type="cellIs" dxfId="3503" priority="106" operator="between">
      <formula>15</formula>
      <formula>21</formula>
    </cfRule>
    <cfRule type="cellIs" dxfId="3502" priority="107" operator="lessThan">
      <formula>15</formula>
    </cfRule>
    <cfRule type="cellIs" dxfId="3501" priority="108" operator="greaterThan">
      <formula>21</formula>
    </cfRule>
  </conditionalFormatting>
  <conditionalFormatting sqref="M28">
    <cfRule type="cellIs" dxfId="3500" priority="91" operator="lessThan">
      <formula>15</formula>
    </cfRule>
    <cfRule type="cellIs" dxfId="3499" priority="92" operator="greaterThan">
      <formula>20</formula>
    </cfRule>
    <cfRule type="cellIs" dxfId="3498" priority="93" operator="between">
      <formula>15</formula>
      <formula>20</formula>
    </cfRule>
    <cfRule type="cellIs" dxfId="3497" priority="94" operator="between">
      <formula>15</formula>
      <formula>20</formula>
    </cfRule>
    <cfRule type="cellIs" dxfId="3496" priority="95" operator="lessThan">
      <formula>15</formula>
    </cfRule>
    <cfRule type="cellIs" dxfId="3495" priority="96" operator="greaterThan">
      <formula>20</formula>
    </cfRule>
    <cfRule type="cellIs" dxfId="3494" priority="97" operator="between">
      <formula>15</formula>
      <formula>21</formula>
    </cfRule>
    <cfRule type="cellIs" dxfId="3493" priority="98" operator="lessThan">
      <formula>15</formula>
    </cfRule>
    <cfRule type="cellIs" dxfId="3492" priority="99" operator="greaterThan">
      <formula>21</formula>
    </cfRule>
  </conditionalFormatting>
  <conditionalFormatting sqref="M23">
    <cfRule type="cellIs" dxfId="3491" priority="82" operator="lessThan">
      <formula>15</formula>
    </cfRule>
    <cfRule type="cellIs" dxfId="3490" priority="83" operator="greaterThan">
      <formula>20</formula>
    </cfRule>
    <cfRule type="cellIs" dxfId="3489" priority="84" operator="between">
      <formula>15</formula>
      <formula>20</formula>
    </cfRule>
    <cfRule type="cellIs" dxfId="3488" priority="85" operator="between">
      <formula>15</formula>
      <formula>20</formula>
    </cfRule>
    <cfRule type="cellIs" dxfId="3487" priority="86" operator="lessThan">
      <formula>15</formula>
    </cfRule>
    <cfRule type="cellIs" dxfId="3486" priority="87" operator="greaterThan">
      <formula>20</formula>
    </cfRule>
    <cfRule type="cellIs" dxfId="3485" priority="88" operator="between">
      <formula>15</formula>
      <formula>21</formula>
    </cfRule>
    <cfRule type="cellIs" dxfId="3484" priority="89" operator="lessThan">
      <formula>15</formula>
    </cfRule>
    <cfRule type="cellIs" dxfId="3483" priority="90" operator="greaterThan">
      <formula>21</formula>
    </cfRule>
  </conditionalFormatting>
  <conditionalFormatting sqref="M18">
    <cfRule type="cellIs" dxfId="3482" priority="73" operator="lessThan">
      <formula>15</formula>
    </cfRule>
    <cfRule type="cellIs" dxfId="3481" priority="74" operator="greaterThan">
      <formula>20</formula>
    </cfRule>
    <cfRule type="cellIs" dxfId="3480" priority="75" operator="between">
      <formula>15</formula>
      <formula>20</formula>
    </cfRule>
    <cfRule type="cellIs" dxfId="3479" priority="76" operator="between">
      <formula>15</formula>
      <formula>20</formula>
    </cfRule>
    <cfRule type="cellIs" dxfId="3478" priority="77" operator="lessThan">
      <formula>15</formula>
    </cfRule>
    <cfRule type="cellIs" dxfId="3477" priority="78" operator="greaterThan">
      <formula>20</formula>
    </cfRule>
    <cfRule type="cellIs" dxfId="3476" priority="79" operator="between">
      <formula>15</formula>
      <formula>21</formula>
    </cfRule>
    <cfRule type="cellIs" dxfId="3475" priority="80" operator="lessThan">
      <formula>15</formula>
    </cfRule>
    <cfRule type="cellIs" dxfId="3474" priority="81" operator="greaterThan">
      <formula>21</formula>
    </cfRule>
  </conditionalFormatting>
  <conditionalFormatting sqref="M35:M37">
    <cfRule type="cellIs" dxfId="3473" priority="64" operator="lessThan">
      <formula>15</formula>
    </cfRule>
    <cfRule type="cellIs" dxfId="3472" priority="65" operator="greaterThan">
      <formula>20</formula>
    </cfRule>
    <cfRule type="cellIs" dxfId="3471" priority="66" operator="between">
      <formula>15</formula>
      <formula>20</formula>
    </cfRule>
    <cfRule type="cellIs" dxfId="3470" priority="67" operator="between">
      <formula>15</formula>
      <formula>20</formula>
    </cfRule>
    <cfRule type="cellIs" dxfId="3469" priority="68" operator="lessThan">
      <formula>15</formula>
    </cfRule>
    <cfRule type="cellIs" dxfId="3468" priority="69" operator="greaterThan">
      <formula>20</formula>
    </cfRule>
    <cfRule type="cellIs" dxfId="3467" priority="70" operator="between">
      <formula>15</formula>
      <formula>21</formula>
    </cfRule>
    <cfRule type="cellIs" dxfId="3466" priority="71" operator="lessThan">
      <formula>15</formula>
    </cfRule>
    <cfRule type="cellIs" dxfId="3465" priority="72" operator="greaterThan">
      <formula>21</formula>
    </cfRule>
  </conditionalFormatting>
  <conditionalFormatting sqref="M13">
    <cfRule type="cellIs" dxfId="3464" priority="55" operator="lessThan">
      <formula>15</formula>
    </cfRule>
    <cfRule type="cellIs" dxfId="3463" priority="56" operator="greaterThan">
      <formula>20</formula>
    </cfRule>
    <cfRule type="cellIs" dxfId="3462" priority="57" operator="between">
      <formula>15</formula>
      <formula>20</formula>
    </cfRule>
    <cfRule type="cellIs" dxfId="3461" priority="58" operator="between">
      <formula>15</formula>
      <formula>20</formula>
    </cfRule>
    <cfRule type="cellIs" dxfId="3460" priority="59" operator="lessThan">
      <formula>15</formula>
    </cfRule>
    <cfRule type="cellIs" dxfId="3459" priority="60" operator="greaterThan">
      <formula>20</formula>
    </cfRule>
    <cfRule type="cellIs" dxfId="3458" priority="61" operator="between">
      <formula>15</formula>
      <formula>21</formula>
    </cfRule>
    <cfRule type="cellIs" dxfId="3457" priority="62" operator="lessThan">
      <formula>15</formula>
    </cfRule>
    <cfRule type="cellIs" dxfId="3456" priority="63" operator="greaterThan">
      <formula>21</formula>
    </cfRule>
  </conditionalFormatting>
  <conditionalFormatting sqref="M20">
    <cfRule type="cellIs" dxfId="3455" priority="46" operator="lessThan">
      <formula>15</formula>
    </cfRule>
    <cfRule type="cellIs" dxfId="3454" priority="47" operator="greaterThan">
      <formula>20</formula>
    </cfRule>
    <cfRule type="cellIs" dxfId="3453" priority="48" operator="between">
      <formula>15</formula>
      <formula>20</formula>
    </cfRule>
    <cfRule type="cellIs" dxfId="3452" priority="49" operator="between">
      <formula>15</formula>
      <formula>20</formula>
    </cfRule>
    <cfRule type="cellIs" dxfId="3451" priority="50" operator="lessThan">
      <formula>15</formula>
    </cfRule>
    <cfRule type="cellIs" dxfId="3450" priority="51" operator="greaterThan">
      <formula>20</formula>
    </cfRule>
    <cfRule type="cellIs" dxfId="3449" priority="52" operator="between">
      <formula>15</formula>
      <formula>21</formula>
    </cfRule>
    <cfRule type="cellIs" dxfId="3448" priority="53" operator="lessThan">
      <formula>15</formula>
    </cfRule>
    <cfRule type="cellIs" dxfId="3447" priority="54" operator="greaterThan">
      <formula>21</formula>
    </cfRule>
  </conditionalFormatting>
  <conditionalFormatting sqref="M27">
    <cfRule type="cellIs" dxfId="3446" priority="37" operator="lessThan">
      <formula>15</formula>
    </cfRule>
    <cfRule type="cellIs" dxfId="3445" priority="38" operator="greaterThan">
      <formula>20</formula>
    </cfRule>
    <cfRule type="cellIs" dxfId="3444" priority="39" operator="between">
      <formula>15</formula>
      <formula>20</formula>
    </cfRule>
    <cfRule type="cellIs" dxfId="3443" priority="40" operator="between">
      <formula>15</formula>
      <formula>20</formula>
    </cfRule>
    <cfRule type="cellIs" dxfId="3442" priority="41" operator="lessThan">
      <formula>15</formula>
    </cfRule>
    <cfRule type="cellIs" dxfId="3441" priority="42" operator="greaterThan">
      <formula>20</formula>
    </cfRule>
    <cfRule type="cellIs" dxfId="3440" priority="43" operator="between">
      <formula>15</formula>
      <formula>21</formula>
    </cfRule>
    <cfRule type="cellIs" dxfId="3439" priority="44" operator="lessThan">
      <formula>15</formula>
    </cfRule>
    <cfRule type="cellIs" dxfId="3438" priority="45" operator="greaterThan">
      <formula>21</formula>
    </cfRule>
  </conditionalFormatting>
  <conditionalFormatting sqref="M34">
    <cfRule type="cellIs" dxfId="3437" priority="28" operator="lessThan">
      <formula>15</formula>
    </cfRule>
    <cfRule type="cellIs" dxfId="3436" priority="29" operator="greaterThan">
      <formula>20</formula>
    </cfRule>
    <cfRule type="cellIs" dxfId="3435" priority="30" operator="between">
      <formula>15</formula>
      <formula>20</formula>
    </cfRule>
    <cfRule type="cellIs" dxfId="3434" priority="31" operator="between">
      <formula>15</formula>
      <formula>20</formula>
    </cfRule>
    <cfRule type="cellIs" dxfId="3433" priority="32" operator="lessThan">
      <formula>15</formula>
    </cfRule>
    <cfRule type="cellIs" dxfId="3432" priority="33" operator="greaterThan">
      <formula>20</formula>
    </cfRule>
    <cfRule type="cellIs" dxfId="3431" priority="34" operator="between">
      <formula>15</formula>
      <formula>21</formula>
    </cfRule>
    <cfRule type="cellIs" dxfId="3430" priority="35" operator="lessThan">
      <formula>15</formula>
    </cfRule>
    <cfRule type="cellIs" dxfId="3429" priority="36" operator="greaterThan">
      <formula>21</formula>
    </cfRule>
  </conditionalFormatting>
  <conditionalFormatting sqref="M14:M17 M39 M21:M22 M24:M26 M19">
    <cfRule type="cellIs" dxfId="3428" priority="19" operator="lessThan">
      <formula>15</formula>
    </cfRule>
    <cfRule type="cellIs" dxfId="3427" priority="20" operator="greaterThan">
      <formula>20</formula>
    </cfRule>
    <cfRule type="cellIs" dxfId="3426" priority="21" operator="between">
      <formula>15</formula>
      <formula>20</formula>
    </cfRule>
    <cfRule type="cellIs" dxfId="3425" priority="22" operator="between">
      <formula>15</formula>
      <formula>20</formula>
    </cfRule>
    <cfRule type="cellIs" dxfId="3424" priority="23" operator="lessThan">
      <formula>15</formula>
    </cfRule>
    <cfRule type="cellIs" dxfId="3423" priority="24" operator="greaterThan">
      <formula>20</formula>
    </cfRule>
    <cfRule type="cellIs" dxfId="3422" priority="25" operator="between">
      <formula>15</formula>
      <formula>21</formula>
    </cfRule>
    <cfRule type="cellIs" dxfId="3421" priority="26" operator="lessThan">
      <formula>15</formula>
    </cfRule>
    <cfRule type="cellIs" dxfId="3420" priority="27" operator="greaterThan">
      <formula>21</formula>
    </cfRule>
  </conditionalFormatting>
  <conditionalFormatting sqref="M9:M12">
    <cfRule type="cellIs" dxfId="3419" priority="10" operator="lessThan">
      <formula>15</formula>
    </cfRule>
    <cfRule type="cellIs" dxfId="3418" priority="11" operator="greaterThan">
      <formula>20</formula>
    </cfRule>
    <cfRule type="cellIs" dxfId="3417" priority="12" operator="between">
      <formula>15</formula>
      <formula>20</formula>
    </cfRule>
    <cfRule type="cellIs" dxfId="3416" priority="13" operator="between">
      <formula>15</formula>
      <formula>20</formula>
    </cfRule>
    <cfRule type="cellIs" dxfId="3415" priority="14" operator="lessThan">
      <formula>15</formula>
    </cfRule>
    <cfRule type="cellIs" dxfId="3414" priority="15" operator="greaterThan">
      <formula>20</formula>
    </cfRule>
    <cfRule type="cellIs" dxfId="3413" priority="16" operator="between">
      <formula>15</formula>
      <formula>21</formula>
    </cfRule>
    <cfRule type="cellIs" dxfId="3412" priority="17" operator="lessThan">
      <formula>15</formula>
    </cfRule>
    <cfRule type="cellIs" dxfId="3411" priority="18" operator="greaterThan">
      <formula>21</formula>
    </cfRule>
  </conditionalFormatting>
  <conditionalFormatting sqref="M29:M32">
    <cfRule type="cellIs" dxfId="3410" priority="1" operator="lessThan">
      <formula>15</formula>
    </cfRule>
    <cfRule type="cellIs" dxfId="3409" priority="2" operator="greaterThan">
      <formula>20</formula>
    </cfRule>
    <cfRule type="cellIs" dxfId="3408" priority="3" operator="between">
      <formula>15</formula>
      <formula>20</formula>
    </cfRule>
    <cfRule type="cellIs" dxfId="3407" priority="4" operator="between">
      <formula>15</formula>
      <formula>20</formula>
    </cfRule>
    <cfRule type="cellIs" dxfId="3406" priority="5" operator="lessThan">
      <formula>15</formula>
    </cfRule>
    <cfRule type="cellIs" dxfId="3405" priority="6" operator="greaterThan">
      <formula>20</formula>
    </cfRule>
    <cfRule type="cellIs" dxfId="3404" priority="7" operator="between">
      <formula>15</formula>
      <formula>21</formula>
    </cfRule>
    <cfRule type="cellIs" dxfId="3403" priority="8" operator="lessThan">
      <formula>15</formula>
    </cfRule>
    <cfRule type="cellIs" dxfId="3402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50"/>
  <sheetViews>
    <sheetView zoomScale="80" zoomScaleNormal="80" workbookViewId="0">
      <pane ySplit="8" topLeftCell="A9" activePane="bottomLeft" state="frozen"/>
      <selection pane="bottomLeft" activeCell="M5" sqref="M5"/>
    </sheetView>
  </sheetViews>
  <sheetFormatPr defaultColWidth="9.28515625" defaultRowHeight="15"/>
  <cols>
    <col min="1" max="1" width="6" style="143" customWidth="1"/>
    <col min="2" max="2" width="8.140625" style="143" customWidth="1"/>
    <col min="3" max="3" width="16.42578125" style="143" customWidth="1"/>
    <col min="4" max="11" width="9.42578125" style="142" customWidth="1"/>
    <col min="12" max="13" width="12.5703125" style="143" customWidth="1"/>
    <col min="14" max="14" width="6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SƠN CON LĂN DƯỚI ( bao xanh )</v>
      </c>
      <c r="D4" s="383"/>
      <c r="E4" s="383" t="s">
        <v>228</v>
      </c>
      <c r="F4" s="383" t="s">
        <v>230</v>
      </c>
      <c r="G4" s="383"/>
      <c r="I4" s="383" t="s">
        <v>120</v>
      </c>
      <c r="J4" s="466" t="s">
        <v>454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J5" s="355"/>
      <c r="K5" s="355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800</v>
      </c>
      <c r="F8" s="389"/>
      <c r="G8" s="388"/>
      <c r="H8" s="387"/>
      <c r="I8" s="388"/>
      <c r="J8" s="597"/>
      <c r="K8" s="598">
        <v>800</v>
      </c>
      <c r="L8" s="303"/>
      <c r="M8" s="304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/>
      <c r="E9" s="388"/>
      <c r="F9" s="446"/>
      <c r="G9" s="496"/>
      <c r="H9" s="498">
        <f>SUM($F$8:F9)/A9</f>
        <v>0</v>
      </c>
      <c r="I9" s="499">
        <f>SUM($G$8:G9)/A9</f>
        <v>0</v>
      </c>
      <c r="J9" s="443">
        <f t="shared" ref="J9:K11" si="0">J8+D9-F9</f>
        <v>0</v>
      </c>
      <c r="K9" s="459">
        <f t="shared" si="0"/>
        <v>800</v>
      </c>
      <c r="L9" s="338" t="e">
        <f t="shared" ref="L9:L16" si="1">J9/H9</f>
        <v>#DIV/0!</v>
      </c>
      <c r="M9" s="300" t="e">
        <f t="shared" ref="M9:M16" si="2">K9/I9</f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/>
      <c r="F10" s="446"/>
      <c r="G10" s="496"/>
      <c r="H10" s="498">
        <f>SUM($F$8:F10)/A10</f>
        <v>0</v>
      </c>
      <c r="I10" s="499">
        <f>SUM($G$8:G10)/A10</f>
        <v>0</v>
      </c>
      <c r="J10" s="443">
        <f t="shared" si="0"/>
        <v>0</v>
      </c>
      <c r="K10" s="459">
        <f t="shared" si="0"/>
        <v>800</v>
      </c>
      <c r="L10" s="338" t="e">
        <f t="shared" si="1"/>
        <v>#DIV/0!</v>
      </c>
      <c r="M10" s="300" t="e">
        <f t="shared" si="2"/>
        <v>#DIV/0!</v>
      </c>
      <c r="N10" s="366"/>
      <c r="O10" s="647">
        <f t="shared" ref="O10:O39" si="3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/>
      <c r="F11" s="446"/>
      <c r="G11" s="496"/>
      <c r="H11" s="498">
        <f>SUM($F$8:F11)/A11</f>
        <v>0</v>
      </c>
      <c r="I11" s="499">
        <f>SUM($G$8:G11)/A11</f>
        <v>0</v>
      </c>
      <c r="J11" s="443">
        <f t="shared" si="0"/>
        <v>0</v>
      </c>
      <c r="K11" s="459">
        <f t="shared" si="0"/>
        <v>800</v>
      </c>
      <c r="L11" s="338" t="e">
        <f t="shared" si="1"/>
        <v>#DIV/0!</v>
      </c>
      <c r="M11" s="300" t="e">
        <f t="shared" si="2"/>
        <v>#DIV/0!</v>
      </c>
      <c r="N11" s="366"/>
      <c r="O11" s="647">
        <f t="shared" si="3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/>
      <c r="F12" s="446"/>
      <c r="G12" s="496"/>
      <c r="H12" s="498">
        <f>SUM($F$8:F12)/A12</f>
        <v>0</v>
      </c>
      <c r="I12" s="499">
        <f>SUM($G$8:G12)/A12</f>
        <v>0</v>
      </c>
      <c r="J12" s="443">
        <f t="shared" ref="J12:K27" si="4">J11+D12-F12</f>
        <v>0</v>
      </c>
      <c r="K12" s="459">
        <f t="shared" si="4"/>
        <v>800</v>
      </c>
      <c r="L12" s="338" t="e">
        <f t="shared" si="1"/>
        <v>#DIV/0!</v>
      </c>
      <c r="M12" s="300" t="e">
        <f t="shared" si="2"/>
        <v>#DIV/0!</v>
      </c>
      <c r="N12" s="366"/>
      <c r="O12" s="647">
        <f t="shared" si="3"/>
        <v>0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/>
      <c r="F13" s="446"/>
      <c r="G13" s="496"/>
      <c r="H13" s="500">
        <f>SUM($F$8:F13)/A13</f>
        <v>0</v>
      </c>
      <c r="I13" s="499">
        <f>SUM($G$8:G13)/A13</f>
        <v>0</v>
      </c>
      <c r="J13" s="500">
        <f t="shared" si="4"/>
        <v>0</v>
      </c>
      <c r="K13" s="459">
        <f t="shared" si="4"/>
        <v>800</v>
      </c>
      <c r="L13" s="368" t="e">
        <f t="shared" si="1"/>
        <v>#DIV/0!</v>
      </c>
      <c r="M13" s="300" t="e">
        <f t="shared" si="2"/>
        <v>#DIV/0!</v>
      </c>
      <c r="N13" s="366"/>
      <c r="O13" s="647">
        <f t="shared" si="3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/>
      <c r="F14" s="446"/>
      <c r="G14" s="496"/>
      <c r="H14" s="498">
        <f>SUM($F$8:F14)/A14</f>
        <v>0</v>
      </c>
      <c r="I14" s="499">
        <f>SUM($G$8:G14)/A14</f>
        <v>0</v>
      </c>
      <c r="J14" s="443">
        <f t="shared" si="4"/>
        <v>0</v>
      </c>
      <c r="K14" s="459">
        <f t="shared" si="4"/>
        <v>800</v>
      </c>
      <c r="L14" s="338" t="e">
        <f t="shared" si="1"/>
        <v>#DIV/0!</v>
      </c>
      <c r="M14" s="300" t="e">
        <f t="shared" si="2"/>
        <v>#DIV/0!</v>
      </c>
      <c r="N14" s="366"/>
      <c r="O14" s="647">
        <f t="shared" si="3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/>
      <c r="F15" s="446"/>
      <c r="G15" s="496"/>
      <c r="H15" s="498">
        <f>SUM($F$8:F15)/A15</f>
        <v>0</v>
      </c>
      <c r="I15" s="499">
        <f>SUM($G$8:G15)/A15</f>
        <v>0</v>
      </c>
      <c r="J15" s="443">
        <f t="shared" si="4"/>
        <v>0</v>
      </c>
      <c r="K15" s="459">
        <f t="shared" si="4"/>
        <v>800</v>
      </c>
      <c r="L15" s="338" t="e">
        <f t="shared" si="1"/>
        <v>#DIV/0!</v>
      </c>
      <c r="M15" s="300" t="e">
        <f t="shared" si="2"/>
        <v>#DIV/0!</v>
      </c>
      <c r="N15" s="366"/>
      <c r="O15" s="647">
        <f t="shared" si="3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/>
      <c r="F16" s="446"/>
      <c r="G16" s="496"/>
      <c r="H16" s="498">
        <f>SUM($F$8:F16)/A16</f>
        <v>0</v>
      </c>
      <c r="I16" s="499">
        <f>SUM($G$8:G16)/A16</f>
        <v>0</v>
      </c>
      <c r="J16" s="443">
        <f t="shared" si="4"/>
        <v>0</v>
      </c>
      <c r="K16" s="459">
        <f t="shared" si="4"/>
        <v>800</v>
      </c>
      <c r="L16" s="338" t="e">
        <f t="shared" si="1"/>
        <v>#DIV/0!</v>
      </c>
      <c r="M16" s="300" t="e">
        <f t="shared" si="2"/>
        <v>#DIV/0!</v>
      </c>
      <c r="N16" s="366"/>
      <c r="O16" s="647">
        <f t="shared" si="3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/>
      <c r="F17" s="446"/>
      <c r="G17" s="496"/>
      <c r="H17" s="498">
        <f>SUM($F$8:F17)/A17</f>
        <v>0</v>
      </c>
      <c r="I17" s="499">
        <f>SUM($G$8:G17)/A17</f>
        <v>0</v>
      </c>
      <c r="J17" s="443">
        <f t="shared" si="4"/>
        <v>0</v>
      </c>
      <c r="K17" s="459">
        <f t="shared" si="4"/>
        <v>800</v>
      </c>
      <c r="L17" s="338" t="e">
        <f t="shared" ref="L17:L39" si="5">J17/H17</f>
        <v>#DIV/0!</v>
      </c>
      <c r="M17" s="300" t="e">
        <f t="shared" ref="M17:M39" si="6">K17/I17</f>
        <v>#DIV/0!</v>
      </c>
      <c r="N17" s="366"/>
      <c r="O17" s="647">
        <f t="shared" si="3"/>
        <v>0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/>
      <c r="F18" s="446"/>
      <c r="G18" s="496"/>
      <c r="H18" s="500">
        <f>SUM($F$8:F18)/A18</f>
        <v>0</v>
      </c>
      <c r="I18" s="499">
        <f>SUM($G$8:G18)/A18</f>
        <v>0</v>
      </c>
      <c r="J18" s="500">
        <f t="shared" si="4"/>
        <v>0</v>
      </c>
      <c r="K18" s="459">
        <f t="shared" si="4"/>
        <v>800</v>
      </c>
      <c r="L18" s="368" t="e">
        <f t="shared" si="5"/>
        <v>#DIV/0!</v>
      </c>
      <c r="M18" s="300" t="e">
        <f t="shared" si="6"/>
        <v>#DIV/0!</v>
      </c>
      <c r="N18" s="366"/>
      <c r="O18" s="647">
        <f t="shared" si="3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/>
      <c r="F19" s="446"/>
      <c r="G19" s="496"/>
      <c r="H19" s="498">
        <f>SUM($F$8:F19)/A19</f>
        <v>0</v>
      </c>
      <c r="I19" s="499">
        <f>SUM($G$8:G19)/A19</f>
        <v>0</v>
      </c>
      <c r="J19" s="443">
        <f t="shared" si="4"/>
        <v>0</v>
      </c>
      <c r="K19" s="459">
        <f t="shared" si="4"/>
        <v>800</v>
      </c>
      <c r="L19" s="338" t="e">
        <f t="shared" si="5"/>
        <v>#DIV/0!</v>
      </c>
      <c r="M19" s="300" t="e">
        <f t="shared" si="6"/>
        <v>#DIV/0!</v>
      </c>
      <c r="N19" s="366"/>
      <c r="O19" s="647">
        <f t="shared" si="3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/>
      <c r="F20" s="446"/>
      <c r="G20" s="496"/>
      <c r="H20" s="498">
        <f>SUM($F$8:F20)/A20</f>
        <v>0</v>
      </c>
      <c r="I20" s="499">
        <f>SUM($G$8:G20)/A20</f>
        <v>0</v>
      </c>
      <c r="J20" s="443">
        <f t="shared" si="4"/>
        <v>0</v>
      </c>
      <c r="K20" s="459">
        <f t="shared" si="4"/>
        <v>800</v>
      </c>
      <c r="L20" s="338" t="e">
        <f t="shared" si="5"/>
        <v>#DIV/0!</v>
      </c>
      <c r="M20" s="300" t="e">
        <f t="shared" si="6"/>
        <v>#DIV/0!</v>
      </c>
      <c r="N20" s="366"/>
      <c r="O20" s="647">
        <f t="shared" si="3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/>
      <c r="F21" s="446"/>
      <c r="G21" s="496"/>
      <c r="H21" s="498">
        <f>SUM($F$8:F21)/A21</f>
        <v>0</v>
      </c>
      <c r="I21" s="499">
        <f>SUM($G$8:G21)/A21</f>
        <v>0</v>
      </c>
      <c r="J21" s="443">
        <f t="shared" si="4"/>
        <v>0</v>
      </c>
      <c r="K21" s="459">
        <f>K20+E21-G21</f>
        <v>800</v>
      </c>
      <c r="L21" s="338" t="e">
        <f t="shared" si="5"/>
        <v>#DIV/0!</v>
      </c>
      <c r="M21" s="300" t="e">
        <f t="shared" si="6"/>
        <v>#DIV/0!</v>
      </c>
      <c r="N21" s="366"/>
      <c r="O21" s="647">
        <f t="shared" si="3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/>
      <c r="F22" s="446"/>
      <c r="G22" s="496"/>
      <c r="H22" s="498">
        <f>SUM($F$8:F22)/A22</f>
        <v>0</v>
      </c>
      <c r="I22" s="499">
        <f>SUM($G$8:G22)/A22</f>
        <v>0</v>
      </c>
      <c r="J22" s="443">
        <f t="shared" si="4"/>
        <v>0</v>
      </c>
      <c r="K22" s="459">
        <f>K21+E22-G22</f>
        <v>800</v>
      </c>
      <c r="L22" s="338" t="e">
        <f t="shared" si="5"/>
        <v>#DIV/0!</v>
      </c>
      <c r="M22" s="300" t="e">
        <f t="shared" si="6"/>
        <v>#DIV/0!</v>
      </c>
      <c r="N22" s="366"/>
      <c r="O22" s="647">
        <f t="shared" si="3"/>
        <v>0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/>
      <c r="F23" s="446"/>
      <c r="G23" s="496"/>
      <c r="H23" s="500">
        <f>SUM($F$8:F23)/A23</f>
        <v>0</v>
      </c>
      <c r="I23" s="499">
        <f>SUM($G$8:G23)/A23</f>
        <v>0</v>
      </c>
      <c r="J23" s="500">
        <f t="shared" si="4"/>
        <v>0</v>
      </c>
      <c r="K23" s="459">
        <f t="shared" si="4"/>
        <v>800</v>
      </c>
      <c r="L23" s="368" t="e">
        <f t="shared" si="5"/>
        <v>#DIV/0!</v>
      </c>
      <c r="M23" s="300" t="e">
        <f t="shared" si="6"/>
        <v>#DIV/0!</v>
      </c>
      <c r="N23" s="366"/>
      <c r="O23" s="647">
        <f t="shared" si="3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/>
      <c r="F24" s="446"/>
      <c r="G24" s="496"/>
      <c r="H24" s="498">
        <f>SUM($F$8:F24)/A24</f>
        <v>0</v>
      </c>
      <c r="I24" s="499">
        <f>SUM($G$8:G24)/A24</f>
        <v>0</v>
      </c>
      <c r="J24" s="443">
        <f t="shared" si="4"/>
        <v>0</v>
      </c>
      <c r="K24" s="459">
        <f>K23+E24-G24</f>
        <v>800</v>
      </c>
      <c r="L24" s="338" t="e">
        <f t="shared" si="5"/>
        <v>#DIV/0!</v>
      </c>
      <c r="M24" s="300" t="e">
        <f t="shared" si="6"/>
        <v>#DIV/0!</v>
      </c>
      <c r="N24" s="366"/>
      <c r="O24" s="647">
        <f t="shared" si="3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/>
      <c r="F25" s="446"/>
      <c r="G25" s="496"/>
      <c r="H25" s="498">
        <f>SUM($F$8:F25)/A25</f>
        <v>0</v>
      </c>
      <c r="I25" s="499">
        <f>SUM($G$8:G25)/A25</f>
        <v>0</v>
      </c>
      <c r="J25" s="443">
        <f t="shared" si="4"/>
        <v>0</v>
      </c>
      <c r="K25" s="459">
        <f>K24+E25-G25</f>
        <v>800</v>
      </c>
      <c r="L25" s="338" t="e">
        <f t="shared" si="5"/>
        <v>#DIV/0!</v>
      </c>
      <c r="M25" s="300" t="e">
        <f t="shared" si="6"/>
        <v>#DIV/0!</v>
      </c>
      <c r="N25" s="366"/>
      <c r="O25" s="647">
        <f t="shared" si="3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/>
      <c r="F26" s="446"/>
      <c r="G26" s="496"/>
      <c r="H26" s="498">
        <f>SUM($F$8:F26)/A26</f>
        <v>0</v>
      </c>
      <c r="I26" s="499">
        <f>SUM($G$8:G26)/A26</f>
        <v>0</v>
      </c>
      <c r="J26" s="443">
        <f t="shared" si="4"/>
        <v>0</v>
      </c>
      <c r="K26" s="459">
        <f>K25+E26-G26</f>
        <v>800</v>
      </c>
      <c r="L26" s="338" t="e">
        <f t="shared" si="5"/>
        <v>#DIV/0!</v>
      </c>
      <c r="M26" s="300" t="e">
        <f t="shared" si="6"/>
        <v>#DIV/0!</v>
      </c>
      <c r="N26" s="366"/>
      <c r="O26" s="647">
        <f t="shared" si="3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/>
      <c r="F27" s="446"/>
      <c r="G27" s="496"/>
      <c r="H27" s="498">
        <f>SUM($F$8:F27)/A27</f>
        <v>0</v>
      </c>
      <c r="I27" s="499">
        <f>SUM($G$8:G27)/A27</f>
        <v>0</v>
      </c>
      <c r="J27" s="443">
        <f t="shared" si="4"/>
        <v>0</v>
      </c>
      <c r="K27" s="459">
        <f>K26+E27-G27</f>
        <v>800</v>
      </c>
      <c r="L27" s="338" t="e">
        <f t="shared" si="5"/>
        <v>#DIV/0!</v>
      </c>
      <c r="M27" s="300" t="e">
        <f t="shared" si="6"/>
        <v>#DIV/0!</v>
      </c>
      <c r="N27" s="366"/>
      <c r="O27" s="647">
        <f t="shared" si="3"/>
        <v>0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/>
      <c r="F28" s="446"/>
      <c r="G28" s="496"/>
      <c r="H28" s="500">
        <f>SUM($F$8:F28)/A28</f>
        <v>0</v>
      </c>
      <c r="I28" s="499">
        <f>SUM($G$8:G28)/A28</f>
        <v>0</v>
      </c>
      <c r="J28" s="500">
        <f t="shared" ref="J28:K39" si="7">J27+D28-F28</f>
        <v>0</v>
      </c>
      <c r="K28" s="459">
        <f t="shared" si="7"/>
        <v>800</v>
      </c>
      <c r="L28" s="368" t="e">
        <f t="shared" si="5"/>
        <v>#DIV/0!</v>
      </c>
      <c r="M28" s="300" t="e">
        <f t="shared" si="6"/>
        <v>#DIV/0!</v>
      </c>
      <c r="N28" s="366"/>
      <c r="O28" s="647">
        <f t="shared" si="3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/>
      <c r="F29" s="446"/>
      <c r="G29" s="496"/>
      <c r="H29" s="498">
        <f>SUM($F$8:F29)/A29</f>
        <v>0</v>
      </c>
      <c r="I29" s="499">
        <f>SUM($G$8:G29)/A29</f>
        <v>0</v>
      </c>
      <c r="J29" s="443">
        <f t="shared" si="7"/>
        <v>0</v>
      </c>
      <c r="K29" s="459">
        <f t="shared" si="7"/>
        <v>800</v>
      </c>
      <c r="L29" s="338" t="e">
        <f t="shared" si="5"/>
        <v>#DIV/0!</v>
      </c>
      <c r="M29" s="300" t="e">
        <f t="shared" si="6"/>
        <v>#DIV/0!</v>
      </c>
      <c r="N29" s="366"/>
      <c r="O29" s="647">
        <f t="shared" si="3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/>
      <c r="F30" s="446"/>
      <c r="G30" s="496"/>
      <c r="H30" s="498">
        <f>SUM($F$8:F30)/A30</f>
        <v>0</v>
      </c>
      <c r="I30" s="499">
        <f>SUM($G$8:G30)/A30</f>
        <v>0</v>
      </c>
      <c r="J30" s="443">
        <f t="shared" si="7"/>
        <v>0</v>
      </c>
      <c r="K30" s="459">
        <f t="shared" si="7"/>
        <v>800</v>
      </c>
      <c r="L30" s="338" t="e">
        <f t="shared" si="5"/>
        <v>#DIV/0!</v>
      </c>
      <c r="M30" s="300" t="e">
        <f t="shared" si="6"/>
        <v>#DIV/0!</v>
      </c>
      <c r="N30" s="366"/>
      <c r="O30" s="647">
        <f t="shared" si="3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/>
      <c r="F31" s="446"/>
      <c r="G31" s="496"/>
      <c r="H31" s="498">
        <f>SUM($F$8:F31)/A31</f>
        <v>0</v>
      </c>
      <c r="I31" s="499">
        <f>SUM($G$8:G31)/A31</f>
        <v>0</v>
      </c>
      <c r="J31" s="443">
        <f t="shared" si="7"/>
        <v>0</v>
      </c>
      <c r="K31" s="459">
        <f t="shared" si="7"/>
        <v>800</v>
      </c>
      <c r="L31" s="338" t="e">
        <f t="shared" si="5"/>
        <v>#DIV/0!</v>
      </c>
      <c r="M31" s="300" t="e">
        <f t="shared" si="6"/>
        <v>#DIV/0!</v>
      </c>
      <c r="N31" s="366"/>
      <c r="O31" s="647">
        <f t="shared" si="3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/>
      <c r="F32" s="446"/>
      <c r="G32" s="496"/>
      <c r="H32" s="498">
        <f>SUM($F$8:F32)/A32</f>
        <v>0</v>
      </c>
      <c r="I32" s="499">
        <f>SUM($G$8:G32)/A32</f>
        <v>0</v>
      </c>
      <c r="J32" s="443">
        <f t="shared" si="7"/>
        <v>0</v>
      </c>
      <c r="K32" s="459">
        <f t="shared" si="7"/>
        <v>800</v>
      </c>
      <c r="L32" s="338" t="e">
        <f t="shared" si="5"/>
        <v>#DIV/0!</v>
      </c>
      <c r="M32" s="300" t="e">
        <f t="shared" si="6"/>
        <v>#DIV/0!</v>
      </c>
      <c r="N32" s="366"/>
      <c r="O32" s="647">
        <f t="shared" si="3"/>
        <v>0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/>
      <c r="F33" s="446"/>
      <c r="G33" s="496"/>
      <c r="H33" s="448">
        <f>SUM($F$8:F33)/A33</f>
        <v>0</v>
      </c>
      <c r="I33" s="499">
        <f>SUM($G$8:G33)/A33</f>
        <v>0</v>
      </c>
      <c r="J33" s="448">
        <f t="shared" si="7"/>
        <v>0</v>
      </c>
      <c r="K33" s="459">
        <f t="shared" si="7"/>
        <v>800</v>
      </c>
      <c r="L33" s="369" t="e">
        <f t="shared" si="5"/>
        <v>#DIV/0!</v>
      </c>
      <c r="M33" s="300" t="e">
        <f t="shared" si="6"/>
        <v>#DIV/0!</v>
      </c>
      <c r="N33" s="366"/>
      <c r="O33" s="647">
        <f t="shared" si="3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/>
      <c r="F34" s="446"/>
      <c r="G34" s="496"/>
      <c r="H34" s="498">
        <f>SUM($F$8:F34)/A34</f>
        <v>0</v>
      </c>
      <c r="I34" s="499">
        <f>SUM($G$8:G34)/A34</f>
        <v>0</v>
      </c>
      <c r="J34" s="443">
        <f t="shared" si="7"/>
        <v>0</v>
      </c>
      <c r="K34" s="459">
        <f t="shared" si="7"/>
        <v>800</v>
      </c>
      <c r="L34" s="338" t="e">
        <f t="shared" si="5"/>
        <v>#DIV/0!</v>
      </c>
      <c r="M34" s="300" t="e">
        <f t="shared" si="6"/>
        <v>#DIV/0!</v>
      </c>
      <c r="N34" s="366"/>
      <c r="O34" s="647">
        <f t="shared" si="3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/>
      <c r="F35" s="446"/>
      <c r="G35" s="496"/>
      <c r="H35" s="498">
        <f>SUM($F$8:F35)/A35</f>
        <v>0</v>
      </c>
      <c r="I35" s="499">
        <f>SUM($G$8:G35)/A35</f>
        <v>0</v>
      </c>
      <c r="J35" s="443">
        <f t="shared" si="7"/>
        <v>0</v>
      </c>
      <c r="K35" s="459">
        <f t="shared" si="7"/>
        <v>800</v>
      </c>
      <c r="L35" s="338" t="e">
        <f t="shared" si="5"/>
        <v>#DIV/0!</v>
      </c>
      <c r="M35" s="300" t="e">
        <f t="shared" si="6"/>
        <v>#DIV/0!</v>
      </c>
      <c r="N35" s="366"/>
      <c r="O35" s="647">
        <f t="shared" si="3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/>
      <c r="F36" s="446"/>
      <c r="G36" s="496"/>
      <c r="H36" s="498">
        <f>SUM($F$8:F36)/A36</f>
        <v>0</v>
      </c>
      <c r="I36" s="499">
        <f>SUM($G$8:G36)/A36</f>
        <v>0</v>
      </c>
      <c r="J36" s="443">
        <f t="shared" si="7"/>
        <v>0</v>
      </c>
      <c r="K36" s="459">
        <f t="shared" si="7"/>
        <v>800</v>
      </c>
      <c r="L36" s="338" t="e">
        <f t="shared" si="5"/>
        <v>#DIV/0!</v>
      </c>
      <c r="M36" s="300" t="e">
        <f t="shared" si="6"/>
        <v>#DIV/0!</v>
      </c>
      <c r="N36" s="366"/>
      <c r="O36" s="647">
        <f t="shared" si="3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/>
      <c r="F37" s="446"/>
      <c r="G37" s="496"/>
      <c r="H37" s="498">
        <f>SUM($F$8:F37)/A37</f>
        <v>0</v>
      </c>
      <c r="I37" s="499">
        <f>SUM($G$8:G37)/A37</f>
        <v>0</v>
      </c>
      <c r="J37" s="443">
        <f t="shared" si="7"/>
        <v>0</v>
      </c>
      <c r="K37" s="459">
        <f t="shared" si="7"/>
        <v>800</v>
      </c>
      <c r="L37" s="338" t="e">
        <f t="shared" si="5"/>
        <v>#DIV/0!</v>
      </c>
      <c r="M37" s="300" t="e">
        <f t="shared" si="6"/>
        <v>#DIV/0!</v>
      </c>
      <c r="N37" s="366"/>
      <c r="O37" s="647">
        <f t="shared" si="3"/>
        <v>0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/>
      <c r="F38" s="446"/>
      <c r="G38" s="496"/>
      <c r="H38" s="500">
        <f>SUM($F$8:F38)/A38</f>
        <v>0</v>
      </c>
      <c r="I38" s="499">
        <f>SUM($G$8:G38)/A38</f>
        <v>0</v>
      </c>
      <c r="J38" s="500">
        <f t="shared" si="7"/>
        <v>0</v>
      </c>
      <c r="K38" s="459">
        <f t="shared" si="7"/>
        <v>800</v>
      </c>
      <c r="L38" s="368" t="e">
        <f t="shared" si="5"/>
        <v>#DIV/0!</v>
      </c>
      <c r="M38" s="300" t="e">
        <f t="shared" si="6"/>
        <v>#DIV/0!</v>
      </c>
      <c r="N38" s="366"/>
      <c r="O38" s="647">
        <f t="shared" si="3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/>
      <c r="F39" s="446"/>
      <c r="G39" s="496"/>
      <c r="H39" s="498">
        <f>SUM($F$8:F39)/A39</f>
        <v>0</v>
      </c>
      <c r="I39" s="499">
        <f>SUM($G$8:G39)/A39</f>
        <v>0</v>
      </c>
      <c r="J39" s="443">
        <f t="shared" si="7"/>
        <v>0</v>
      </c>
      <c r="K39" s="459">
        <f t="shared" si="7"/>
        <v>800</v>
      </c>
      <c r="L39" s="338" t="e">
        <f t="shared" si="5"/>
        <v>#DIV/0!</v>
      </c>
      <c r="M39" s="300" t="e">
        <f t="shared" si="6"/>
        <v>#DIV/0!</v>
      </c>
      <c r="N39" s="366"/>
      <c r="O39" s="647">
        <f t="shared" si="3"/>
        <v>0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800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800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800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D6:E6"/>
    <mergeCell ref="F6:G6"/>
    <mergeCell ref="H6:I6"/>
    <mergeCell ref="J6:K6"/>
    <mergeCell ref="L6:M6"/>
    <mergeCell ref="A6:A7"/>
    <mergeCell ref="B6:B7"/>
    <mergeCell ref="C6:C7"/>
    <mergeCell ref="N6:N7"/>
  </mergeCells>
  <conditionalFormatting sqref="M28">
    <cfRule type="cellIs" dxfId="3401" priority="163" operator="lessThan">
      <formula>15</formula>
    </cfRule>
    <cfRule type="cellIs" dxfId="3400" priority="164" operator="greaterThan">
      <formula>20</formula>
    </cfRule>
    <cfRule type="cellIs" dxfId="3399" priority="165" operator="between">
      <formula>15</formula>
      <formula>20</formula>
    </cfRule>
    <cfRule type="cellIs" dxfId="3398" priority="166" operator="between">
      <formula>15</formula>
      <formula>20</formula>
    </cfRule>
    <cfRule type="cellIs" dxfId="3397" priority="167" operator="lessThan">
      <formula>15</formula>
    </cfRule>
    <cfRule type="cellIs" dxfId="3396" priority="168" operator="greaterThan">
      <formula>20</formula>
    </cfRule>
    <cfRule type="cellIs" dxfId="3395" priority="169" operator="between">
      <formula>15</formula>
      <formula>21</formula>
    </cfRule>
    <cfRule type="cellIs" dxfId="3394" priority="170" operator="lessThan">
      <formula>15</formula>
    </cfRule>
    <cfRule type="cellIs" dxfId="3393" priority="171" operator="greaterThan">
      <formula>21</formula>
    </cfRule>
  </conditionalFormatting>
  <conditionalFormatting sqref="M23">
    <cfRule type="cellIs" dxfId="3392" priority="154" operator="lessThan">
      <formula>15</formula>
    </cfRule>
    <cfRule type="cellIs" dxfId="3391" priority="155" operator="greaterThan">
      <formula>20</formula>
    </cfRule>
    <cfRule type="cellIs" dxfId="3390" priority="156" operator="between">
      <formula>15</formula>
      <formula>20</formula>
    </cfRule>
    <cfRule type="cellIs" dxfId="3389" priority="157" operator="between">
      <formula>15</formula>
      <formula>20</formula>
    </cfRule>
    <cfRule type="cellIs" dxfId="3388" priority="158" operator="lessThan">
      <formula>15</formula>
    </cfRule>
    <cfRule type="cellIs" dxfId="3387" priority="159" operator="greaterThan">
      <formula>20</formula>
    </cfRule>
    <cfRule type="cellIs" dxfId="3386" priority="160" operator="between">
      <formula>15</formula>
      <formula>21</formula>
    </cfRule>
    <cfRule type="cellIs" dxfId="3385" priority="161" operator="lessThan">
      <formula>15</formula>
    </cfRule>
    <cfRule type="cellIs" dxfId="3384" priority="162" operator="greaterThan">
      <formula>21</formula>
    </cfRule>
  </conditionalFormatting>
  <conditionalFormatting sqref="M18">
    <cfRule type="cellIs" dxfId="3383" priority="145" operator="lessThan">
      <formula>15</formula>
    </cfRule>
    <cfRule type="cellIs" dxfId="3382" priority="146" operator="greaterThan">
      <formula>20</formula>
    </cfRule>
    <cfRule type="cellIs" dxfId="3381" priority="147" operator="between">
      <formula>15</formula>
      <formula>20</formula>
    </cfRule>
    <cfRule type="cellIs" dxfId="3380" priority="148" operator="between">
      <formula>15</formula>
      <formula>20</formula>
    </cfRule>
    <cfRule type="cellIs" dxfId="3379" priority="149" operator="lessThan">
      <formula>15</formula>
    </cfRule>
    <cfRule type="cellIs" dxfId="3378" priority="150" operator="greaterThan">
      <formula>20</formula>
    </cfRule>
    <cfRule type="cellIs" dxfId="3377" priority="151" operator="between">
      <formula>15</formula>
      <formula>21</formula>
    </cfRule>
    <cfRule type="cellIs" dxfId="3376" priority="152" operator="lessThan">
      <formula>15</formula>
    </cfRule>
    <cfRule type="cellIs" dxfId="3375" priority="153" operator="greaterThan">
      <formula>21</formula>
    </cfRule>
  </conditionalFormatting>
  <conditionalFormatting sqref="M35:M37">
    <cfRule type="cellIs" dxfId="3374" priority="172" operator="lessThan">
      <formula>15</formula>
    </cfRule>
    <cfRule type="cellIs" dxfId="3373" priority="173" operator="greaterThan">
      <formula>20</formula>
    </cfRule>
    <cfRule type="cellIs" dxfId="3372" priority="174" operator="between">
      <formula>15</formula>
      <formula>20</formula>
    </cfRule>
    <cfRule type="cellIs" dxfId="3371" priority="175" operator="between">
      <formula>15</formula>
      <formula>20</formula>
    </cfRule>
    <cfRule type="cellIs" dxfId="3370" priority="176" operator="lessThan">
      <formula>15</formula>
    </cfRule>
    <cfRule type="cellIs" dxfId="3369" priority="177" operator="greaterThan">
      <formula>20</formula>
    </cfRule>
    <cfRule type="cellIs" dxfId="3368" priority="178" operator="between">
      <formula>15</formula>
      <formula>21</formula>
    </cfRule>
    <cfRule type="cellIs" dxfId="3367" priority="179" operator="lessThan">
      <formula>15</formula>
    </cfRule>
    <cfRule type="cellIs" dxfId="3366" priority="180" operator="greaterThan">
      <formula>21</formula>
    </cfRule>
  </conditionalFormatting>
  <conditionalFormatting sqref="M13">
    <cfRule type="cellIs" dxfId="3365" priority="136" operator="lessThan">
      <formula>15</formula>
    </cfRule>
    <cfRule type="cellIs" dxfId="3364" priority="137" operator="greaterThan">
      <formula>20</formula>
    </cfRule>
    <cfRule type="cellIs" dxfId="3363" priority="138" operator="between">
      <formula>15</formula>
      <formula>20</formula>
    </cfRule>
    <cfRule type="cellIs" dxfId="3362" priority="139" operator="between">
      <formula>15</formula>
      <formula>20</formula>
    </cfRule>
    <cfRule type="cellIs" dxfId="3361" priority="140" operator="lessThan">
      <formula>15</formula>
    </cfRule>
    <cfRule type="cellIs" dxfId="3360" priority="141" operator="greaterThan">
      <formula>20</formula>
    </cfRule>
    <cfRule type="cellIs" dxfId="3359" priority="142" operator="between">
      <formula>15</formula>
      <formula>21</formula>
    </cfRule>
    <cfRule type="cellIs" dxfId="3358" priority="143" operator="lessThan">
      <formula>15</formula>
    </cfRule>
    <cfRule type="cellIs" dxfId="3357" priority="144" operator="greaterThan">
      <formula>21</formula>
    </cfRule>
  </conditionalFormatting>
  <conditionalFormatting sqref="M33">
    <cfRule type="cellIs" dxfId="3356" priority="127" operator="lessThan">
      <formula>15</formula>
    </cfRule>
    <cfRule type="cellIs" dxfId="3355" priority="128" operator="greaterThan">
      <formula>20</formula>
    </cfRule>
    <cfRule type="cellIs" dxfId="3354" priority="129" operator="between">
      <formula>15</formula>
      <formula>20</formula>
    </cfRule>
    <cfRule type="cellIs" dxfId="3353" priority="130" operator="between">
      <formula>15</formula>
      <formula>20</formula>
    </cfRule>
    <cfRule type="cellIs" dxfId="3352" priority="131" operator="lessThan">
      <formula>15</formula>
    </cfRule>
    <cfRule type="cellIs" dxfId="3351" priority="132" operator="greaterThan">
      <formula>20</formula>
    </cfRule>
    <cfRule type="cellIs" dxfId="3350" priority="133" operator="between">
      <formula>15</formula>
      <formula>21</formula>
    </cfRule>
    <cfRule type="cellIs" dxfId="3349" priority="134" operator="lessThan">
      <formula>15</formula>
    </cfRule>
    <cfRule type="cellIs" dxfId="3348" priority="135" operator="greaterThan">
      <formula>21</formula>
    </cfRule>
  </conditionalFormatting>
  <conditionalFormatting sqref="M38">
    <cfRule type="cellIs" dxfId="3347" priority="118" operator="lessThan">
      <formula>15</formula>
    </cfRule>
    <cfRule type="cellIs" dxfId="3346" priority="119" operator="greaterThan">
      <formula>20</formula>
    </cfRule>
    <cfRule type="cellIs" dxfId="3345" priority="120" operator="between">
      <formula>15</formula>
      <formula>20</formula>
    </cfRule>
    <cfRule type="cellIs" dxfId="3344" priority="121" operator="between">
      <formula>15</formula>
      <formula>20</formula>
    </cfRule>
    <cfRule type="cellIs" dxfId="3343" priority="122" operator="lessThan">
      <formula>15</formula>
    </cfRule>
    <cfRule type="cellIs" dxfId="3342" priority="123" operator="greaterThan">
      <formula>20</formula>
    </cfRule>
    <cfRule type="cellIs" dxfId="3341" priority="124" operator="between">
      <formula>15</formula>
      <formula>21</formula>
    </cfRule>
    <cfRule type="cellIs" dxfId="3340" priority="125" operator="lessThan">
      <formula>15</formula>
    </cfRule>
    <cfRule type="cellIs" dxfId="3339" priority="126" operator="greaterThan">
      <formula>21</formula>
    </cfRule>
  </conditionalFormatting>
  <conditionalFormatting sqref="M20">
    <cfRule type="cellIs" dxfId="3338" priority="217" operator="lessThan">
      <formula>15</formula>
    </cfRule>
    <cfRule type="cellIs" dxfId="3337" priority="218" operator="greaterThan">
      <formula>20</formula>
    </cfRule>
    <cfRule type="cellIs" dxfId="3336" priority="219" operator="between">
      <formula>15</formula>
      <formula>20</formula>
    </cfRule>
    <cfRule type="cellIs" dxfId="3335" priority="220" operator="between">
      <formula>15</formula>
      <formula>20</formula>
    </cfRule>
    <cfRule type="cellIs" dxfId="3334" priority="221" operator="lessThan">
      <formula>15</formula>
    </cfRule>
    <cfRule type="cellIs" dxfId="3333" priority="222" operator="greaterThan">
      <formula>20</formula>
    </cfRule>
    <cfRule type="cellIs" dxfId="3332" priority="223" operator="between">
      <formula>15</formula>
      <formula>21</formula>
    </cfRule>
    <cfRule type="cellIs" dxfId="3331" priority="224" operator="lessThan">
      <formula>15</formula>
    </cfRule>
    <cfRule type="cellIs" dxfId="3330" priority="225" operator="greaterThan">
      <formula>21</formula>
    </cfRule>
  </conditionalFormatting>
  <conditionalFormatting sqref="M27">
    <cfRule type="cellIs" dxfId="3329" priority="208" operator="lessThan">
      <formula>15</formula>
    </cfRule>
    <cfRule type="cellIs" dxfId="3328" priority="209" operator="greaterThan">
      <formula>20</formula>
    </cfRule>
    <cfRule type="cellIs" dxfId="3327" priority="210" operator="between">
      <formula>15</formula>
      <formula>20</formula>
    </cfRule>
    <cfRule type="cellIs" dxfId="3326" priority="211" operator="between">
      <formula>15</formula>
      <formula>20</formula>
    </cfRule>
    <cfRule type="cellIs" dxfId="3325" priority="212" operator="lessThan">
      <formula>15</formula>
    </cfRule>
    <cfRule type="cellIs" dxfId="3324" priority="213" operator="greaterThan">
      <formula>20</formula>
    </cfRule>
    <cfRule type="cellIs" dxfId="3323" priority="214" operator="between">
      <formula>15</formula>
      <formula>21</formula>
    </cfRule>
    <cfRule type="cellIs" dxfId="3322" priority="215" operator="lessThan">
      <formula>15</formula>
    </cfRule>
    <cfRule type="cellIs" dxfId="3321" priority="216" operator="greaterThan">
      <formula>21</formula>
    </cfRule>
  </conditionalFormatting>
  <conditionalFormatting sqref="M34">
    <cfRule type="cellIs" dxfId="3320" priority="199" operator="lessThan">
      <formula>15</formula>
    </cfRule>
    <cfRule type="cellIs" dxfId="3319" priority="200" operator="greaterThan">
      <formula>20</formula>
    </cfRule>
    <cfRule type="cellIs" dxfId="3318" priority="201" operator="between">
      <formula>15</formula>
      <formula>20</formula>
    </cfRule>
    <cfRule type="cellIs" dxfId="3317" priority="202" operator="between">
      <formula>15</formula>
      <formula>20</formula>
    </cfRule>
    <cfRule type="cellIs" dxfId="3316" priority="203" operator="lessThan">
      <formula>15</formula>
    </cfRule>
    <cfRule type="cellIs" dxfId="3315" priority="204" operator="greaterThan">
      <formula>20</formula>
    </cfRule>
    <cfRule type="cellIs" dxfId="3314" priority="205" operator="between">
      <formula>15</formula>
      <formula>21</formula>
    </cfRule>
    <cfRule type="cellIs" dxfId="3313" priority="206" operator="lessThan">
      <formula>15</formula>
    </cfRule>
    <cfRule type="cellIs" dxfId="3312" priority="207" operator="greaterThan">
      <formula>21</formula>
    </cfRule>
  </conditionalFormatting>
  <conditionalFormatting sqref="M14:M17 M39 M21:M22 M24:M26 M19">
    <cfRule type="cellIs" dxfId="3311" priority="226" operator="lessThan">
      <formula>15</formula>
    </cfRule>
    <cfRule type="cellIs" dxfId="3310" priority="227" operator="greaterThan">
      <formula>20</formula>
    </cfRule>
    <cfRule type="cellIs" dxfId="3309" priority="228" operator="between">
      <formula>15</formula>
      <formula>20</formula>
    </cfRule>
    <cfRule type="cellIs" dxfId="3308" priority="229" operator="between">
      <formula>15</formula>
      <formula>20</formula>
    </cfRule>
    <cfRule type="cellIs" dxfId="3307" priority="230" operator="lessThan">
      <formula>15</formula>
    </cfRule>
    <cfRule type="cellIs" dxfId="3306" priority="231" operator="greaterThan">
      <formula>20</formula>
    </cfRule>
    <cfRule type="cellIs" dxfId="3305" priority="232" operator="between">
      <formula>15</formula>
      <formula>21</formula>
    </cfRule>
    <cfRule type="cellIs" dxfId="3304" priority="233" operator="lessThan">
      <formula>15</formula>
    </cfRule>
    <cfRule type="cellIs" dxfId="3303" priority="234" operator="greaterThan">
      <formula>21</formula>
    </cfRule>
  </conditionalFormatting>
  <conditionalFormatting sqref="M9:M12">
    <cfRule type="cellIs" dxfId="3302" priority="190" operator="lessThan">
      <formula>15</formula>
    </cfRule>
    <cfRule type="cellIs" dxfId="3301" priority="191" operator="greaterThan">
      <formula>20</formula>
    </cfRule>
    <cfRule type="cellIs" dxfId="3300" priority="192" operator="between">
      <formula>15</formula>
      <formula>20</formula>
    </cfRule>
    <cfRule type="cellIs" dxfId="3299" priority="193" operator="between">
      <formula>15</formula>
      <formula>20</formula>
    </cfRule>
    <cfRule type="cellIs" dxfId="3298" priority="194" operator="lessThan">
      <formula>15</formula>
    </cfRule>
    <cfRule type="cellIs" dxfId="3297" priority="195" operator="greaterThan">
      <formula>20</formula>
    </cfRule>
    <cfRule type="cellIs" dxfId="3296" priority="196" operator="between">
      <formula>15</formula>
      <formula>21</formula>
    </cfRule>
    <cfRule type="cellIs" dxfId="3295" priority="197" operator="lessThan">
      <formula>15</formula>
    </cfRule>
    <cfRule type="cellIs" dxfId="3294" priority="198" operator="greaterThan">
      <formula>21</formula>
    </cfRule>
  </conditionalFormatting>
  <conditionalFormatting sqref="M29:M32">
    <cfRule type="cellIs" dxfId="3293" priority="181" operator="lessThan">
      <formula>15</formula>
    </cfRule>
    <cfRule type="cellIs" dxfId="3292" priority="182" operator="greaterThan">
      <formula>20</formula>
    </cfRule>
    <cfRule type="cellIs" dxfId="3291" priority="183" operator="between">
      <formula>15</formula>
      <formula>20</formula>
    </cfRule>
    <cfRule type="cellIs" dxfId="3290" priority="184" operator="between">
      <formula>15</formula>
      <formula>20</formula>
    </cfRule>
    <cfRule type="cellIs" dxfId="3289" priority="185" operator="lessThan">
      <formula>15</formula>
    </cfRule>
    <cfRule type="cellIs" dxfId="3288" priority="186" operator="greaterThan">
      <formula>20</formula>
    </cfRule>
    <cfRule type="cellIs" dxfId="3287" priority="187" operator="between">
      <formula>15</formula>
      <formula>21</formula>
    </cfRule>
    <cfRule type="cellIs" dxfId="3286" priority="188" operator="lessThan">
      <formula>15</formula>
    </cfRule>
    <cfRule type="cellIs" dxfId="3285" priority="189" operator="greaterThan">
      <formula>21</formula>
    </cfRule>
  </conditionalFormatting>
  <conditionalFormatting sqref="M38">
    <cfRule type="cellIs" dxfId="3284" priority="109" operator="lessThan">
      <formula>15</formula>
    </cfRule>
    <cfRule type="cellIs" dxfId="3283" priority="110" operator="greaterThan">
      <formula>20</formula>
    </cfRule>
    <cfRule type="cellIs" dxfId="3282" priority="111" operator="between">
      <formula>15</formula>
      <formula>20</formula>
    </cfRule>
    <cfRule type="cellIs" dxfId="3281" priority="112" operator="between">
      <formula>15</formula>
      <formula>20</formula>
    </cfRule>
    <cfRule type="cellIs" dxfId="3280" priority="113" operator="lessThan">
      <formula>15</formula>
    </cfRule>
    <cfRule type="cellIs" dxfId="3279" priority="114" operator="greaterThan">
      <formula>20</formula>
    </cfRule>
    <cfRule type="cellIs" dxfId="3278" priority="115" operator="between">
      <formula>15</formula>
      <formula>21</formula>
    </cfRule>
    <cfRule type="cellIs" dxfId="3277" priority="116" operator="lessThan">
      <formula>15</formula>
    </cfRule>
    <cfRule type="cellIs" dxfId="3276" priority="117" operator="greaterThan">
      <formula>21</formula>
    </cfRule>
  </conditionalFormatting>
  <conditionalFormatting sqref="M33">
    <cfRule type="cellIs" dxfId="3275" priority="100" operator="lessThan">
      <formula>15</formula>
    </cfRule>
    <cfRule type="cellIs" dxfId="3274" priority="101" operator="greaterThan">
      <formula>20</formula>
    </cfRule>
    <cfRule type="cellIs" dxfId="3273" priority="102" operator="between">
      <formula>15</formula>
      <formula>20</formula>
    </cfRule>
    <cfRule type="cellIs" dxfId="3272" priority="103" operator="between">
      <formula>15</formula>
      <formula>20</formula>
    </cfRule>
    <cfRule type="cellIs" dxfId="3271" priority="104" operator="lessThan">
      <formula>15</formula>
    </cfRule>
    <cfRule type="cellIs" dxfId="3270" priority="105" operator="greaterThan">
      <formula>20</formula>
    </cfRule>
    <cfRule type="cellIs" dxfId="3269" priority="106" operator="between">
      <formula>15</formula>
      <formula>21</formula>
    </cfRule>
    <cfRule type="cellIs" dxfId="3268" priority="107" operator="lessThan">
      <formula>15</formula>
    </cfRule>
    <cfRule type="cellIs" dxfId="3267" priority="108" operator="greaterThan">
      <formula>21</formula>
    </cfRule>
  </conditionalFormatting>
  <conditionalFormatting sqref="M28">
    <cfRule type="cellIs" dxfId="3266" priority="91" operator="lessThan">
      <formula>15</formula>
    </cfRule>
    <cfRule type="cellIs" dxfId="3265" priority="92" operator="greaterThan">
      <formula>20</formula>
    </cfRule>
    <cfRule type="cellIs" dxfId="3264" priority="93" operator="between">
      <formula>15</formula>
      <formula>20</formula>
    </cfRule>
    <cfRule type="cellIs" dxfId="3263" priority="94" operator="between">
      <formula>15</formula>
      <formula>20</formula>
    </cfRule>
    <cfRule type="cellIs" dxfId="3262" priority="95" operator="lessThan">
      <formula>15</formula>
    </cfRule>
    <cfRule type="cellIs" dxfId="3261" priority="96" operator="greaterThan">
      <formula>20</formula>
    </cfRule>
    <cfRule type="cellIs" dxfId="3260" priority="97" operator="between">
      <formula>15</formula>
      <formula>21</formula>
    </cfRule>
    <cfRule type="cellIs" dxfId="3259" priority="98" operator="lessThan">
      <formula>15</formula>
    </cfRule>
    <cfRule type="cellIs" dxfId="3258" priority="99" operator="greaterThan">
      <formula>21</formula>
    </cfRule>
  </conditionalFormatting>
  <conditionalFormatting sqref="M23">
    <cfRule type="cellIs" dxfId="3257" priority="82" operator="lessThan">
      <formula>15</formula>
    </cfRule>
    <cfRule type="cellIs" dxfId="3256" priority="83" operator="greaterThan">
      <formula>20</formula>
    </cfRule>
    <cfRule type="cellIs" dxfId="3255" priority="84" operator="between">
      <formula>15</formula>
      <formula>20</formula>
    </cfRule>
    <cfRule type="cellIs" dxfId="3254" priority="85" operator="between">
      <formula>15</formula>
      <formula>20</formula>
    </cfRule>
    <cfRule type="cellIs" dxfId="3253" priority="86" operator="lessThan">
      <formula>15</formula>
    </cfRule>
    <cfRule type="cellIs" dxfId="3252" priority="87" operator="greaterThan">
      <formula>20</formula>
    </cfRule>
    <cfRule type="cellIs" dxfId="3251" priority="88" operator="between">
      <formula>15</formula>
      <formula>21</formula>
    </cfRule>
    <cfRule type="cellIs" dxfId="3250" priority="89" operator="lessThan">
      <formula>15</formula>
    </cfRule>
    <cfRule type="cellIs" dxfId="3249" priority="90" operator="greaterThan">
      <formula>21</formula>
    </cfRule>
  </conditionalFormatting>
  <conditionalFormatting sqref="M18">
    <cfRule type="cellIs" dxfId="3248" priority="73" operator="lessThan">
      <formula>15</formula>
    </cfRule>
    <cfRule type="cellIs" dxfId="3247" priority="74" operator="greaterThan">
      <formula>20</formula>
    </cfRule>
    <cfRule type="cellIs" dxfId="3246" priority="75" operator="between">
      <formula>15</formula>
      <formula>20</formula>
    </cfRule>
    <cfRule type="cellIs" dxfId="3245" priority="76" operator="between">
      <formula>15</formula>
      <formula>20</formula>
    </cfRule>
    <cfRule type="cellIs" dxfId="3244" priority="77" operator="lessThan">
      <formula>15</formula>
    </cfRule>
    <cfRule type="cellIs" dxfId="3243" priority="78" operator="greaterThan">
      <formula>20</formula>
    </cfRule>
    <cfRule type="cellIs" dxfId="3242" priority="79" operator="between">
      <formula>15</formula>
      <formula>21</formula>
    </cfRule>
    <cfRule type="cellIs" dxfId="3241" priority="80" operator="lessThan">
      <formula>15</formula>
    </cfRule>
    <cfRule type="cellIs" dxfId="3240" priority="81" operator="greaterThan">
      <formula>21</formula>
    </cfRule>
  </conditionalFormatting>
  <conditionalFormatting sqref="M35:M37">
    <cfRule type="cellIs" dxfId="3239" priority="64" operator="lessThan">
      <formula>15</formula>
    </cfRule>
    <cfRule type="cellIs" dxfId="3238" priority="65" operator="greaterThan">
      <formula>20</formula>
    </cfRule>
    <cfRule type="cellIs" dxfId="3237" priority="66" operator="between">
      <formula>15</formula>
      <formula>20</formula>
    </cfRule>
    <cfRule type="cellIs" dxfId="3236" priority="67" operator="between">
      <formula>15</formula>
      <formula>20</formula>
    </cfRule>
    <cfRule type="cellIs" dxfId="3235" priority="68" operator="lessThan">
      <formula>15</formula>
    </cfRule>
    <cfRule type="cellIs" dxfId="3234" priority="69" operator="greaterThan">
      <formula>20</formula>
    </cfRule>
    <cfRule type="cellIs" dxfId="3233" priority="70" operator="between">
      <formula>15</formula>
      <formula>21</formula>
    </cfRule>
    <cfRule type="cellIs" dxfId="3232" priority="71" operator="lessThan">
      <formula>15</formula>
    </cfRule>
    <cfRule type="cellIs" dxfId="3231" priority="72" operator="greaterThan">
      <formula>21</formula>
    </cfRule>
  </conditionalFormatting>
  <conditionalFormatting sqref="M13">
    <cfRule type="cellIs" dxfId="3230" priority="55" operator="lessThan">
      <formula>15</formula>
    </cfRule>
    <cfRule type="cellIs" dxfId="3229" priority="56" operator="greaterThan">
      <formula>20</formula>
    </cfRule>
    <cfRule type="cellIs" dxfId="3228" priority="57" operator="between">
      <formula>15</formula>
      <formula>20</formula>
    </cfRule>
    <cfRule type="cellIs" dxfId="3227" priority="58" operator="between">
      <formula>15</formula>
      <formula>20</formula>
    </cfRule>
    <cfRule type="cellIs" dxfId="3226" priority="59" operator="lessThan">
      <formula>15</formula>
    </cfRule>
    <cfRule type="cellIs" dxfId="3225" priority="60" operator="greaterThan">
      <formula>20</formula>
    </cfRule>
    <cfRule type="cellIs" dxfId="3224" priority="61" operator="between">
      <formula>15</formula>
      <formula>21</formula>
    </cfRule>
    <cfRule type="cellIs" dxfId="3223" priority="62" operator="lessThan">
      <formula>15</formula>
    </cfRule>
    <cfRule type="cellIs" dxfId="3222" priority="63" operator="greaterThan">
      <formula>21</formula>
    </cfRule>
  </conditionalFormatting>
  <conditionalFormatting sqref="M20">
    <cfRule type="cellIs" dxfId="3221" priority="46" operator="lessThan">
      <formula>15</formula>
    </cfRule>
    <cfRule type="cellIs" dxfId="3220" priority="47" operator="greaterThan">
      <formula>20</formula>
    </cfRule>
    <cfRule type="cellIs" dxfId="3219" priority="48" operator="between">
      <formula>15</formula>
      <formula>20</formula>
    </cfRule>
    <cfRule type="cellIs" dxfId="3218" priority="49" operator="between">
      <formula>15</formula>
      <formula>20</formula>
    </cfRule>
    <cfRule type="cellIs" dxfId="3217" priority="50" operator="lessThan">
      <formula>15</formula>
    </cfRule>
    <cfRule type="cellIs" dxfId="3216" priority="51" operator="greaterThan">
      <formula>20</formula>
    </cfRule>
    <cfRule type="cellIs" dxfId="3215" priority="52" operator="between">
      <formula>15</formula>
      <formula>21</formula>
    </cfRule>
    <cfRule type="cellIs" dxfId="3214" priority="53" operator="lessThan">
      <formula>15</formula>
    </cfRule>
    <cfRule type="cellIs" dxfId="3213" priority="54" operator="greaterThan">
      <formula>21</formula>
    </cfRule>
  </conditionalFormatting>
  <conditionalFormatting sqref="M27">
    <cfRule type="cellIs" dxfId="3212" priority="37" operator="lessThan">
      <formula>15</formula>
    </cfRule>
    <cfRule type="cellIs" dxfId="3211" priority="38" operator="greaterThan">
      <formula>20</formula>
    </cfRule>
    <cfRule type="cellIs" dxfId="3210" priority="39" operator="between">
      <formula>15</formula>
      <formula>20</formula>
    </cfRule>
    <cfRule type="cellIs" dxfId="3209" priority="40" operator="between">
      <formula>15</formula>
      <formula>20</formula>
    </cfRule>
    <cfRule type="cellIs" dxfId="3208" priority="41" operator="lessThan">
      <formula>15</formula>
    </cfRule>
    <cfRule type="cellIs" dxfId="3207" priority="42" operator="greaterThan">
      <formula>20</formula>
    </cfRule>
    <cfRule type="cellIs" dxfId="3206" priority="43" operator="between">
      <formula>15</formula>
      <formula>21</formula>
    </cfRule>
    <cfRule type="cellIs" dxfId="3205" priority="44" operator="lessThan">
      <formula>15</formula>
    </cfRule>
    <cfRule type="cellIs" dxfId="3204" priority="45" operator="greaterThan">
      <formula>21</formula>
    </cfRule>
  </conditionalFormatting>
  <conditionalFormatting sqref="M34">
    <cfRule type="cellIs" dxfId="3203" priority="28" operator="lessThan">
      <formula>15</formula>
    </cfRule>
    <cfRule type="cellIs" dxfId="3202" priority="29" operator="greaterThan">
      <formula>20</formula>
    </cfRule>
    <cfRule type="cellIs" dxfId="3201" priority="30" operator="between">
      <formula>15</formula>
      <formula>20</formula>
    </cfRule>
    <cfRule type="cellIs" dxfId="3200" priority="31" operator="between">
      <formula>15</formula>
      <formula>20</formula>
    </cfRule>
    <cfRule type="cellIs" dxfId="3199" priority="32" operator="lessThan">
      <formula>15</formula>
    </cfRule>
    <cfRule type="cellIs" dxfId="3198" priority="33" operator="greaterThan">
      <formula>20</formula>
    </cfRule>
    <cfRule type="cellIs" dxfId="3197" priority="34" operator="between">
      <formula>15</formula>
      <formula>21</formula>
    </cfRule>
    <cfRule type="cellIs" dxfId="3196" priority="35" operator="lessThan">
      <formula>15</formula>
    </cfRule>
    <cfRule type="cellIs" dxfId="3195" priority="36" operator="greaterThan">
      <formula>21</formula>
    </cfRule>
  </conditionalFormatting>
  <conditionalFormatting sqref="M14:M17 M39 M21:M22 M24:M26 M19">
    <cfRule type="cellIs" dxfId="3194" priority="19" operator="lessThan">
      <formula>15</formula>
    </cfRule>
    <cfRule type="cellIs" dxfId="3193" priority="20" operator="greaterThan">
      <formula>20</formula>
    </cfRule>
    <cfRule type="cellIs" dxfId="3192" priority="21" operator="between">
      <formula>15</formula>
      <formula>20</formula>
    </cfRule>
    <cfRule type="cellIs" dxfId="3191" priority="22" operator="between">
      <formula>15</formula>
      <formula>20</formula>
    </cfRule>
    <cfRule type="cellIs" dxfId="3190" priority="23" operator="lessThan">
      <formula>15</formula>
    </cfRule>
    <cfRule type="cellIs" dxfId="3189" priority="24" operator="greaterThan">
      <formula>20</formula>
    </cfRule>
    <cfRule type="cellIs" dxfId="3188" priority="25" operator="between">
      <formula>15</formula>
      <formula>21</formula>
    </cfRule>
    <cfRule type="cellIs" dxfId="3187" priority="26" operator="lessThan">
      <formula>15</formula>
    </cfRule>
    <cfRule type="cellIs" dxfId="3186" priority="27" operator="greaterThan">
      <formula>21</formula>
    </cfRule>
  </conditionalFormatting>
  <conditionalFormatting sqref="M9:M12">
    <cfRule type="cellIs" dxfId="3185" priority="10" operator="lessThan">
      <formula>15</formula>
    </cfRule>
    <cfRule type="cellIs" dxfId="3184" priority="11" operator="greaterThan">
      <formula>20</formula>
    </cfRule>
    <cfRule type="cellIs" dxfId="3183" priority="12" operator="between">
      <formula>15</formula>
      <formula>20</formula>
    </cfRule>
    <cfRule type="cellIs" dxfId="3182" priority="13" operator="between">
      <formula>15</formula>
      <formula>20</formula>
    </cfRule>
    <cfRule type="cellIs" dxfId="3181" priority="14" operator="lessThan">
      <formula>15</formula>
    </cfRule>
    <cfRule type="cellIs" dxfId="3180" priority="15" operator="greaterThan">
      <formula>20</formula>
    </cfRule>
    <cfRule type="cellIs" dxfId="3179" priority="16" operator="between">
      <formula>15</formula>
      <formula>21</formula>
    </cfRule>
    <cfRule type="cellIs" dxfId="3178" priority="17" operator="lessThan">
      <formula>15</formula>
    </cfRule>
    <cfRule type="cellIs" dxfId="3177" priority="18" operator="greaterThan">
      <formula>21</formula>
    </cfRule>
  </conditionalFormatting>
  <conditionalFormatting sqref="M29:M32">
    <cfRule type="cellIs" dxfId="3176" priority="1" operator="lessThan">
      <formula>15</formula>
    </cfRule>
    <cfRule type="cellIs" dxfId="3175" priority="2" operator="greaterThan">
      <formula>20</formula>
    </cfRule>
    <cfRule type="cellIs" dxfId="3174" priority="3" operator="between">
      <formula>15</formula>
      <formula>20</formula>
    </cfRule>
    <cfRule type="cellIs" dxfId="3173" priority="4" operator="between">
      <formula>15</formula>
      <formula>20</formula>
    </cfRule>
    <cfRule type="cellIs" dxfId="3172" priority="5" operator="lessThan">
      <formula>15</formula>
    </cfRule>
    <cfRule type="cellIs" dxfId="3171" priority="6" operator="greaterThan">
      <formula>20</formula>
    </cfRule>
    <cfRule type="cellIs" dxfId="3170" priority="7" operator="between">
      <formula>15</formula>
      <formula>21</formula>
    </cfRule>
    <cfRule type="cellIs" dxfId="3169" priority="8" operator="lessThan">
      <formula>15</formula>
    </cfRule>
    <cfRule type="cellIs" dxfId="3168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0"/>
  <sheetViews>
    <sheetView zoomScale="80" zoomScaleNormal="80" workbookViewId="0">
      <pane ySplit="8" topLeftCell="A21" activePane="bottomLeft" state="frozen"/>
      <selection pane="bottomLeft"/>
    </sheetView>
  </sheetViews>
  <sheetFormatPr defaultColWidth="9.28515625" defaultRowHeight="15"/>
  <cols>
    <col min="1" max="1" width="6.5703125" style="143" customWidth="1"/>
    <col min="2" max="2" width="8.140625" style="143" customWidth="1"/>
    <col min="3" max="3" width="16.42578125" style="143" customWidth="1"/>
    <col min="4" max="11" width="10" style="142" customWidth="1"/>
    <col min="12" max="13" width="11.5703125" style="143" customWidth="1"/>
    <col min="14" max="14" width="6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FRIT TB3008</v>
      </c>
      <c r="D4" s="383"/>
      <c r="E4" s="383" t="s">
        <v>228</v>
      </c>
      <c r="F4" s="383" t="s">
        <v>230</v>
      </c>
      <c r="G4" s="383"/>
      <c r="I4" s="383" t="s">
        <v>120</v>
      </c>
      <c r="J4" s="466" t="s">
        <v>300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E8</f>
        <v>6180</v>
      </c>
      <c r="E8" s="388">
        <f>K8</f>
        <v>6180</v>
      </c>
      <c r="F8" s="389"/>
      <c r="G8" s="388"/>
      <c r="H8" s="387"/>
      <c r="I8" s="388"/>
      <c r="J8" s="390">
        <f>K8</f>
        <v>6180</v>
      </c>
      <c r="K8" s="389">
        <v>6180</v>
      </c>
      <c r="L8" s="303"/>
      <c r="M8" s="304"/>
      <c r="N8" s="366">
        <v>0.01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/>
      <c r="E9" s="388">
        <f>D9</f>
        <v>0</v>
      </c>
      <c r="F9" s="446"/>
      <c r="G9" s="496">
        <f>F9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6180</v>
      </c>
      <c r="K9" s="459">
        <f t="shared" si="0"/>
        <v>6180</v>
      </c>
      <c r="L9" s="338" t="e">
        <f t="shared" ref="L9:M24" si="1">J9/H9</f>
        <v>#DIV/0!</v>
      </c>
      <c r="M9" s="300" t="e">
        <f t="shared" si="1"/>
        <v>#DIV/0!</v>
      </c>
      <c r="N9" s="366"/>
      <c r="O9" s="647">
        <f>J9/$O$8</f>
        <v>2.0593135621459515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>
        <f t="shared" ref="E10:E39" si="2">D10</f>
        <v>0</v>
      </c>
      <c r="F10" s="446"/>
      <c r="G10" s="496">
        <f t="shared" ref="G10:G20" si="3">F10</f>
        <v>0</v>
      </c>
      <c r="H10" s="498">
        <f>SUM($F$8:F10)/A10</f>
        <v>0</v>
      </c>
      <c r="I10" s="499">
        <f>SUM($G$8:G10)/A10</f>
        <v>0</v>
      </c>
      <c r="J10" s="443">
        <f t="shared" si="0"/>
        <v>6180</v>
      </c>
      <c r="K10" s="459">
        <f t="shared" si="0"/>
        <v>6180</v>
      </c>
      <c r="L10" s="338" t="e">
        <f t="shared" si="1"/>
        <v>#DIV/0!</v>
      </c>
      <c r="M10" s="300" t="e">
        <f t="shared" si="1"/>
        <v>#DIV/0!</v>
      </c>
      <c r="N10" s="366"/>
      <c r="O10" s="647">
        <f t="shared" ref="O10:O39" si="4">J10/$O$8</f>
        <v>2.0593135621459515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>
        <f t="shared" si="2"/>
        <v>0</v>
      </c>
      <c r="F11" s="446"/>
      <c r="G11" s="496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6180</v>
      </c>
      <c r="K11" s="459">
        <f t="shared" si="0"/>
        <v>6180</v>
      </c>
      <c r="L11" s="338" t="e">
        <f t="shared" si="1"/>
        <v>#DIV/0!</v>
      </c>
      <c r="M11" s="300" t="e">
        <f t="shared" si="1"/>
        <v>#DIV/0!</v>
      </c>
      <c r="N11" s="366"/>
      <c r="O11" s="647">
        <f t="shared" si="4"/>
        <v>2.0593135621459515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>
        <f t="shared" si="2"/>
        <v>0</v>
      </c>
      <c r="F12" s="446"/>
      <c r="G12" s="496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6180</v>
      </c>
      <c r="K12" s="459">
        <f t="shared" si="0"/>
        <v>6180</v>
      </c>
      <c r="L12" s="338" t="e">
        <f t="shared" si="1"/>
        <v>#DIV/0!</v>
      </c>
      <c r="M12" s="300" t="e">
        <f t="shared" si="1"/>
        <v>#DIV/0!</v>
      </c>
      <c r="N12" s="366"/>
      <c r="O12" s="647">
        <f t="shared" si="4"/>
        <v>2.0593135621459515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>
        <f t="shared" si="2"/>
        <v>0</v>
      </c>
      <c r="F13" s="446"/>
      <c r="G13" s="496">
        <f t="shared" si="3"/>
        <v>0</v>
      </c>
      <c r="H13" s="500">
        <f>SUM($F$8:F13)/A13</f>
        <v>0</v>
      </c>
      <c r="I13" s="499">
        <f>SUM($G$8:G13)/A13</f>
        <v>0</v>
      </c>
      <c r="J13" s="500">
        <f t="shared" si="0"/>
        <v>6180</v>
      </c>
      <c r="K13" s="459">
        <f t="shared" si="0"/>
        <v>6180</v>
      </c>
      <c r="L13" s="368" t="e">
        <f t="shared" si="1"/>
        <v>#DIV/0!</v>
      </c>
      <c r="M13" s="300" t="e">
        <f t="shared" si="1"/>
        <v>#DIV/0!</v>
      </c>
      <c r="N13" s="366"/>
      <c r="O13" s="647">
        <f t="shared" si="4"/>
        <v>2.0593135621459515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>
        <f t="shared" si="2"/>
        <v>0</v>
      </c>
      <c r="F14" s="446"/>
      <c r="G14" s="496">
        <f t="shared" si="3"/>
        <v>0</v>
      </c>
      <c r="H14" s="498">
        <f>SUM($F$8:F14)/A14</f>
        <v>0</v>
      </c>
      <c r="I14" s="499">
        <f>SUM($G$8:G14)/A14</f>
        <v>0</v>
      </c>
      <c r="J14" s="443">
        <f t="shared" si="0"/>
        <v>6180</v>
      </c>
      <c r="K14" s="459">
        <f t="shared" si="0"/>
        <v>6180</v>
      </c>
      <c r="L14" s="338" t="e">
        <f t="shared" si="1"/>
        <v>#DIV/0!</v>
      </c>
      <c r="M14" s="300" t="e">
        <f t="shared" si="1"/>
        <v>#DIV/0!</v>
      </c>
      <c r="N14" s="366"/>
      <c r="O14" s="647">
        <f t="shared" si="4"/>
        <v>2.0593135621459515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>
        <f t="shared" si="2"/>
        <v>0</v>
      </c>
      <c r="F15" s="446"/>
      <c r="G15" s="496">
        <f t="shared" si="3"/>
        <v>0</v>
      </c>
      <c r="H15" s="498">
        <f>SUM($F$8:F15)/A15</f>
        <v>0</v>
      </c>
      <c r="I15" s="499">
        <f>SUM($G$8:G15)/A15</f>
        <v>0</v>
      </c>
      <c r="J15" s="443">
        <f t="shared" si="0"/>
        <v>6180</v>
      </c>
      <c r="K15" s="459">
        <f t="shared" si="0"/>
        <v>6180</v>
      </c>
      <c r="L15" s="338" t="e">
        <f t="shared" si="1"/>
        <v>#DIV/0!</v>
      </c>
      <c r="M15" s="300" t="e">
        <f t="shared" si="1"/>
        <v>#DIV/0!</v>
      </c>
      <c r="N15" s="366"/>
      <c r="O15" s="647">
        <f t="shared" si="4"/>
        <v>2.0593135621459515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>
        <f t="shared" si="2"/>
        <v>0</v>
      </c>
      <c r="F16" s="446"/>
      <c r="G16" s="496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6180</v>
      </c>
      <c r="K16" s="459">
        <f t="shared" si="0"/>
        <v>6180</v>
      </c>
      <c r="L16" s="338" t="e">
        <f t="shared" si="1"/>
        <v>#DIV/0!</v>
      </c>
      <c r="M16" s="300" t="e">
        <f t="shared" si="1"/>
        <v>#DIV/0!</v>
      </c>
      <c r="N16" s="366"/>
      <c r="O16" s="647">
        <f t="shared" si="4"/>
        <v>2.0593135621459515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>
        <f t="shared" si="2"/>
        <v>0</v>
      </c>
      <c r="F17" s="446"/>
      <c r="G17" s="496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6180</v>
      </c>
      <c r="K17" s="459">
        <f t="shared" si="0"/>
        <v>6180</v>
      </c>
      <c r="L17" s="338" t="e">
        <f t="shared" si="1"/>
        <v>#DIV/0!</v>
      </c>
      <c r="M17" s="300" t="e">
        <f t="shared" si="1"/>
        <v>#DIV/0!</v>
      </c>
      <c r="N17" s="366"/>
      <c r="O17" s="647">
        <f t="shared" si="4"/>
        <v>2.0593135621459515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>
        <f t="shared" si="2"/>
        <v>0</v>
      </c>
      <c r="F18" s="446"/>
      <c r="G18" s="496">
        <f t="shared" si="3"/>
        <v>0</v>
      </c>
      <c r="H18" s="500">
        <f>SUM($F$8:F18)/A18</f>
        <v>0</v>
      </c>
      <c r="I18" s="499">
        <f>SUM($G$8:G18)/A18</f>
        <v>0</v>
      </c>
      <c r="J18" s="500">
        <f t="shared" si="0"/>
        <v>6180</v>
      </c>
      <c r="K18" s="459">
        <f t="shared" si="0"/>
        <v>6180</v>
      </c>
      <c r="L18" s="368" t="e">
        <f t="shared" si="1"/>
        <v>#DIV/0!</v>
      </c>
      <c r="M18" s="300" t="e">
        <f t="shared" si="1"/>
        <v>#DIV/0!</v>
      </c>
      <c r="N18" s="366"/>
      <c r="O18" s="647">
        <f t="shared" si="4"/>
        <v>2.0593135621459515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>
        <f t="shared" si="2"/>
        <v>0</v>
      </c>
      <c r="F19" s="446"/>
      <c r="G19" s="496">
        <f t="shared" si="3"/>
        <v>0</v>
      </c>
      <c r="H19" s="498">
        <f>SUM($F$8:F19)/A19</f>
        <v>0</v>
      </c>
      <c r="I19" s="499">
        <f>SUM($G$8:G19)/A19</f>
        <v>0</v>
      </c>
      <c r="J19" s="443">
        <f t="shared" si="0"/>
        <v>6180</v>
      </c>
      <c r="K19" s="459">
        <f t="shared" si="0"/>
        <v>6180</v>
      </c>
      <c r="L19" s="338" t="e">
        <f t="shared" si="1"/>
        <v>#DIV/0!</v>
      </c>
      <c r="M19" s="300" t="e">
        <f t="shared" si="1"/>
        <v>#DIV/0!</v>
      </c>
      <c r="N19" s="366"/>
      <c r="O19" s="647">
        <f t="shared" si="4"/>
        <v>2.0593135621459515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>
        <f t="shared" si="2"/>
        <v>0</v>
      </c>
      <c r="F20" s="446"/>
      <c r="G20" s="496">
        <f t="shared" si="3"/>
        <v>0</v>
      </c>
      <c r="H20" s="498">
        <f>SUM($F$8:F20)/A20</f>
        <v>0</v>
      </c>
      <c r="I20" s="499">
        <f>SUM($G$8:G20)/A20</f>
        <v>0</v>
      </c>
      <c r="J20" s="443">
        <f t="shared" si="0"/>
        <v>6180</v>
      </c>
      <c r="K20" s="459">
        <f t="shared" si="0"/>
        <v>6180</v>
      </c>
      <c r="L20" s="338" t="e">
        <f t="shared" si="1"/>
        <v>#DIV/0!</v>
      </c>
      <c r="M20" s="300" t="e">
        <f t="shared" si="1"/>
        <v>#DIV/0!</v>
      </c>
      <c r="N20" s="366"/>
      <c r="O20" s="647">
        <f t="shared" si="4"/>
        <v>2.0593135621459515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>
        <f t="shared" si="2"/>
        <v>0</v>
      </c>
      <c r="F21" s="446"/>
      <c r="G21" s="496">
        <f t="shared" ref="G21:G39" si="5">F21</f>
        <v>0</v>
      </c>
      <c r="H21" s="498">
        <f>SUM($F$8:F21)/A21</f>
        <v>0</v>
      </c>
      <c r="I21" s="499">
        <f>SUM($G$8:G21)/A21</f>
        <v>0</v>
      </c>
      <c r="J21" s="443">
        <f t="shared" si="0"/>
        <v>6180</v>
      </c>
      <c r="K21" s="459">
        <f>K20+E21-G21</f>
        <v>6180</v>
      </c>
      <c r="L21" s="338" t="e">
        <f t="shared" si="1"/>
        <v>#DIV/0!</v>
      </c>
      <c r="M21" s="300" t="e">
        <f t="shared" si="1"/>
        <v>#DIV/0!</v>
      </c>
      <c r="N21" s="366"/>
      <c r="O21" s="647">
        <f t="shared" si="4"/>
        <v>2.0593135621459515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>
        <f t="shared" si="2"/>
        <v>0</v>
      </c>
      <c r="F22" s="446"/>
      <c r="G22" s="496">
        <f t="shared" si="5"/>
        <v>0</v>
      </c>
      <c r="H22" s="498">
        <f>SUM($F$8:F22)/A22</f>
        <v>0</v>
      </c>
      <c r="I22" s="499">
        <f>SUM($G$8:G22)/A22</f>
        <v>0</v>
      </c>
      <c r="J22" s="443">
        <f t="shared" si="0"/>
        <v>6180</v>
      </c>
      <c r="K22" s="459">
        <f>K21+E22-G22</f>
        <v>6180</v>
      </c>
      <c r="L22" s="338" t="e">
        <f t="shared" si="1"/>
        <v>#DIV/0!</v>
      </c>
      <c r="M22" s="300" t="e">
        <f t="shared" si="1"/>
        <v>#DIV/0!</v>
      </c>
      <c r="N22" s="366"/>
      <c r="O22" s="647">
        <f t="shared" si="4"/>
        <v>2.0593135621459515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>
        <f t="shared" si="2"/>
        <v>0</v>
      </c>
      <c r="F23" s="446"/>
      <c r="G23" s="496">
        <f t="shared" si="5"/>
        <v>0</v>
      </c>
      <c r="H23" s="500">
        <f>SUM($F$8:F23)/A23</f>
        <v>0</v>
      </c>
      <c r="I23" s="499">
        <f>SUM($G$8:G23)/A23</f>
        <v>0</v>
      </c>
      <c r="J23" s="500">
        <f t="shared" si="0"/>
        <v>6180</v>
      </c>
      <c r="K23" s="459">
        <f t="shared" si="0"/>
        <v>6180</v>
      </c>
      <c r="L23" s="368" t="e">
        <f t="shared" si="1"/>
        <v>#DIV/0!</v>
      </c>
      <c r="M23" s="300" t="e">
        <f t="shared" si="1"/>
        <v>#DIV/0!</v>
      </c>
      <c r="N23" s="366"/>
      <c r="O23" s="647">
        <f t="shared" si="4"/>
        <v>2.0593135621459515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>
        <f t="shared" si="2"/>
        <v>0</v>
      </c>
      <c r="F24" s="446"/>
      <c r="G24" s="496">
        <f t="shared" si="5"/>
        <v>0</v>
      </c>
      <c r="H24" s="498">
        <f>SUM($F$8:F24)/A24</f>
        <v>0</v>
      </c>
      <c r="I24" s="499">
        <f>SUM($G$8:G24)/A24</f>
        <v>0</v>
      </c>
      <c r="J24" s="443">
        <f t="shared" si="0"/>
        <v>6180</v>
      </c>
      <c r="K24" s="459">
        <f>K23+E24-G24</f>
        <v>6180</v>
      </c>
      <c r="L24" s="338" t="e">
        <f t="shared" si="1"/>
        <v>#DIV/0!</v>
      </c>
      <c r="M24" s="300" t="e">
        <f t="shared" si="1"/>
        <v>#DIV/0!</v>
      </c>
      <c r="N24" s="366"/>
      <c r="O24" s="647">
        <f t="shared" si="4"/>
        <v>2.0593135621459515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>
        <f t="shared" si="2"/>
        <v>0</v>
      </c>
      <c r="F25" s="446"/>
      <c r="G25" s="496">
        <f t="shared" si="5"/>
        <v>0</v>
      </c>
      <c r="H25" s="498">
        <f>SUM($F$8:F25)/A25</f>
        <v>0</v>
      </c>
      <c r="I25" s="499">
        <f>SUM($G$8:G25)/A25</f>
        <v>0</v>
      </c>
      <c r="J25" s="443">
        <f t="shared" ref="J25:K39" si="6">J24+D25-F25</f>
        <v>6180</v>
      </c>
      <c r="K25" s="459">
        <f>K24+E25-G25</f>
        <v>6180</v>
      </c>
      <c r="L25" s="338" t="e">
        <f t="shared" ref="L25:M39" si="7">J25/H25</f>
        <v>#DIV/0!</v>
      </c>
      <c r="M25" s="300" t="e">
        <f t="shared" si="7"/>
        <v>#DIV/0!</v>
      </c>
      <c r="N25" s="366"/>
      <c r="O25" s="647">
        <f t="shared" si="4"/>
        <v>2.0593135621459515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>
        <f t="shared" si="2"/>
        <v>0</v>
      </c>
      <c r="F26" s="446"/>
      <c r="G26" s="496">
        <f t="shared" si="5"/>
        <v>0</v>
      </c>
      <c r="H26" s="498">
        <f>SUM($F$8:F26)/A26</f>
        <v>0</v>
      </c>
      <c r="I26" s="499">
        <f>SUM($G$8:G26)/A26</f>
        <v>0</v>
      </c>
      <c r="J26" s="443">
        <f t="shared" si="6"/>
        <v>6180</v>
      </c>
      <c r="K26" s="459">
        <f>K25+E26-G26</f>
        <v>6180</v>
      </c>
      <c r="L26" s="338" t="e">
        <f t="shared" si="7"/>
        <v>#DIV/0!</v>
      </c>
      <c r="M26" s="300" t="e">
        <f t="shared" si="7"/>
        <v>#DIV/0!</v>
      </c>
      <c r="N26" s="366"/>
      <c r="O26" s="647">
        <f t="shared" si="4"/>
        <v>2.0593135621459515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>
        <f t="shared" si="2"/>
        <v>0</v>
      </c>
      <c r="F27" s="446"/>
      <c r="G27" s="496">
        <f t="shared" si="5"/>
        <v>0</v>
      </c>
      <c r="H27" s="498">
        <f>SUM($F$8:F27)/A27</f>
        <v>0</v>
      </c>
      <c r="I27" s="499">
        <f>SUM($G$8:G27)/A27</f>
        <v>0</v>
      </c>
      <c r="J27" s="443">
        <f t="shared" si="6"/>
        <v>6180</v>
      </c>
      <c r="K27" s="459">
        <f>K26+E27-G27</f>
        <v>6180</v>
      </c>
      <c r="L27" s="338" t="e">
        <f t="shared" si="7"/>
        <v>#DIV/0!</v>
      </c>
      <c r="M27" s="300" t="e">
        <f t="shared" si="7"/>
        <v>#DIV/0!</v>
      </c>
      <c r="N27" s="366"/>
      <c r="O27" s="647">
        <f t="shared" si="4"/>
        <v>2.0593135621459515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>
        <f t="shared" si="2"/>
        <v>0</v>
      </c>
      <c r="F28" s="446"/>
      <c r="G28" s="496">
        <f t="shared" si="5"/>
        <v>0</v>
      </c>
      <c r="H28" s="500">
        <f>SUM($F$8:F28)/A28</f>
        <v>0</v>
      </c>
      <c r="I28" s="499">
        <f>SUM($G$8:G28)/A28</f>
        <v>0</v>
      </c>
      <c r="J28" s="500">
        <f t="shared" si="6"/>
        <v>6180</v>
      </c>
      <c r="K28" s="459">
        <f t="shared" si="6"/>
        <v>6180</v>
      </c>
      <c r="L28" s="368" t="e">
        <f t="shared" si="7"/>
        <v>#DIV/0!</v>
      </c>
      <c r="M28" s="300" t="e">
        <f t="shared" si="7"/>
        <v>#DIV/0!</v>
      </c>
      <c r="N28" s="366"/>
      <c r="O28" s="647">
        <f t="shared" si="4"/>
        <v>2.0593135621459515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>
        <f t="shared" si="2"/>
        <v>0</v>
      </c>
      <c r="F29" s="446"/>
      <c r="G29" s="496">
        <f t="shared" si="5"/>
        <v>0</v>
      </c>
      <c r="H29" s="498">
        <f>SUM($F$8:F29)/A29</f>
        <v>0</v>
      </c>
      <c r="I29" s="499">
        <f>SUM($G$8:G29)/A29</f>
        <v>0</v>
      </c>
      <c r="J29" s="443">
        <f t="shared" si="6"/>
        <v>6180</v>
      </c>
      <c r="K29" s="459">
        <f t="shared" si="6"/>
        <v>6180</v>
      </c>
      <c r="L29" s="338" t="e">
        <f t="shared" si="7"/>
        <v>#DIV/0!</v>
      </c>
      <c r="M29" s="300" t="e">
        <f t="shared" si="7"/>
        <v>#DIV/0!</v>
      </c>
      <c r="N29" s="366"/>
      <c r="O29" s="647">
        <f t="shared" si="4"/>
        <v>2.0593135621459515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>
        <f t="shared" si="2"/>
        <v>0</v>
      </c>
      <c r="F30" s="446"/>
      <c r="G30" s="496">
        <f t="shared" si="5"/>
        <v>0</v>
      </c>
      <c r="H30" s="498">
        <f>SUM($F$8:F30)/A30</f>
        <v>0</v>
      </c>
      <c r="I30" s="499">
        <f>SUM($G$8:G30)/A30</f>
        <v>0</v>
      </c>
      <c r="J30" s="443">
        <f t="shared" si="6"/>
        <v>6180</v>
      </c>
      <c r="K30" s="459">
        <f t="shared" si="6"/>
        <v>6180</v>
      </c>
      <c r="L30" s="338" t="e">
        <f t="shared" si="7"/>
        <v>#DIV/0!</v>
      </c>
      <c r="M30" s="300" t="e">
        <f t="shared" si="7"/>
        <v>#DIV/0!</v>
      </c>
      <c r="N30" s="366"/>
      <c r="O30" s="647">
        <f t="shared" si="4"/>
        <v>2.0593135621459515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>
        <f t="shared" si="2"/>
        <v>0</v>
      </c>
      <c r="F31" s="446"/>
      <c r="G31" s="496">
        <f t="shared" si="5"/>
        <v>0</v>
      </c>
      <c r="H31" s="498">
        <f>SUM($F$8:F31)/A31</f>
        <v>0</v>
      </c>
      <c r="I31" s="499">
        <f>SUM($G$8:G31)/A31</f>
        <v>0</v>
      </c>
      <c r="J31" s="443">
        <f t="shared" si="6"/>
        <v>6180</v>
      </c>
      <c r="K31" s="459">
        <f t="shared" si="6"/>
        <v>6180</v>
      </c>
      <c r="L31" s="338" t="e">
        <f t="shared" si="7"/>
        <v>#DIV/0!</v>
      </c>
      <c r="M31" s="300" t="e">
        <f t="shared" si="7"/>
        <v>#DIV/0!</v>
      </c>
      <c r="N31" s="366"/>
      <c r="O31" s="647">
        <f t="shared" si="4"/>
        <v>2.0593135621459515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>
        <f t="shared" si="2"/>
        <v>0</v>
      </c>
      <c r="F32" s="446"/>
      <c r="G32" s="496">
        <f t="shared" si="5"/>
        <v>0</v>
      </c>
      <c r="H32" s="498">
        <f>SUM($F$8:F32)/A32</f>
        <v>0</v>
      </c>
      <c r="I32" s="499">
        <f>SUM($G$8:G32)/A32</f>
        <v>0</v>
      </c>
      <c r="J32" s="443">
        <f t="shared" si="6"/>
        <v>6180</v>
      </c>
      <c r="K32" s="459">
        <f t="shared" si="6"/>
        <v>6180</v>
      </c>
      <c r="L32" s="338" t="e">
        <f t="shared" si="7"/>
        <v>#DIV/0!</v>
      </c>
      <c r="M32" s="300" t="e">
        <f t="shared" si="7"/>
        <v>#DIV/0!</v>
      </c>
      <c r="N32" s="366"/>
      <c r="O32" s="647">
        <f t="shared" si="4"/>
        <v>2.0593135621459515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>
        <f t="shared" si="2"/>
        <v>0</v>
      </c>
      <c r="F33" s="446"/>
      <c r="G33" s="496">
        <f t="shared" si="5"/>
        <v>0</v>
      </c>
      <c r="H33" s="448">
        <f>SUM($F$8:F33)/A33</f>
        <v>0</v>
      </c>
      <c r="I33" s="499">
        <f>SUM($G$8:G33)/A33</f>
        <v>0</v>
      </c>
      <c r="J33" s="448">
        <f t="shared" si="6"/>
        <v>6180</v>
      </c>
      <c r="K33" s="459">
        <f t="shared" si="6"/>
        <v>6180</v>
      </c>
      <c r="L33" s="369" t="e">
        <f t="shared" si="7"/>
        <v>#DIV/0!</v>
      </c>
      <c r="M33" s="300" t="e">
        <f t="shared" si="7"/>
        <v>#DIV/0!</v>
      </c>
      <c r="N33" s="366"/>
      <c r="O33" s="647">
        <f t="shared" si="4"/>
        <v>2.0593135621459515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>
        <f t="shared" si="2"/>
        <v>0</v>
      </c>
      <c r="F34" s="446"/>
      <c r="G34" s="496">
        <f t="shared" si="5"/>
        <v>0</v>
      </c>
      <c r="H34" s="498">
        <f>SUM($F$8:F34)/A34</f>
        <v>0</v>
      </c>
      <c r="I34" s="499">
        <f>SUM($G$8:G34)/A34</f>
        <v>0</v>
      </c>
      <c r="J34" s="443">
        <f t="shared" si="6"/>
        <v>6180</v>
      </c>
      <c r="K34" s="459">
        <f t="shared" si="6"/>
        <v>6180</v>
      </c>
      <c r="L34" s="338" t="e">
        <f t="shared" si="7"/>
        <v>#DIV/0!</v>
      </c>
      <c r="M34" s="300" t="e">
        <f t="shared" si="7"/>
        <v>#DIV/0!</v>
      </c>
      <c r="N34" s="366"/>
      <c r="O34" s="647">
        <f t="shared" si="4"/>
        <v>2.0593135621459515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>
        <f t="shared" si="2"/>
        <v>0</v>
      </c>
      <c r="F35" s="446"/>
      <c r="G35" s="496">
        <f t="shared" si="5"/>
        <v>0</v>
      </c>
      <c r="H35" s="498">
        <f>SUM($F$8:F35)/A35</f>
        <v>0</v>
      </c>
      <c r="I35" s="499">
        <f>SUM($G$8:G35)/A35</f>
        <v>0</v>
      </c>
      <c r="J35" s="443">
        <f t="shared" si="6"/>
        <v>6180</v>
      </c>
      <c r="K35" s="459">
        <f t="shared" si="6"/>
        <v>6180</v>
      </c>
      <c r="L35" s="338" t="e">
        <f t="shared" si="7"/>
        <v>#DIV/0!</v>
      </c>
      <c r="M35" s="300" t="e">
        <f t="shared" si="7"/>
        <v>#DIV/0!</v>
      </c>
      <c r="N35" s="366"/>
      <c r="O35" s="647">
        <f t="shared" si="4"/>
        <v>2.0593135621459515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>
        <f t="shared" si="2"/>
        <v>0</v>
      </c>
      <c r="F36" s="446"/>
      <c r="G36" s="496">
        <f t="shared" si="5"/>
        <v>0</v>
      </c>
      <c r="H36" s="498">
        <f>SUM($F$8:F36)/A36</f>
        <v>0</v>
      </c>
      <c r="I36" s="499">
        <f>SUM($G$8:G36)/A36</f>
        <v>0</v>
      </c>
      <c r="J36" s="443">
        <f t="shared" si="6"/>
        <v>6180</v>
      </c>
      <c r="K36" s="459">
        <f t="shared" si="6"/>
        <v>6180</v>
      </c>
      <c r="L36" s="338" t="e">
        <f t="shared" si="7"/>
        <v>#DIV/0!</v>
      </c>
      <c r="M36" s="300" t="e">
        <f t="shared" si="7"/>
        <v>#DIV/0!</v>
      </c>
      <c r="N36" s="366"/>
      <c r="O36" s="647">
        <f t="shared" si="4"/>
        <v>2.0593135621459515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>
        <f t="shared" si="2"/>
        <v>0</v>
      </c>
      <c r="F37" s="446"/>
      <c r="G37" s="496">
        <f t="shared" si="5"/>
        <v>0</v>
      </c>
      <c r="H37" s="498">
        <f>SUM($F$8:F37)/A37</f>
        <v>0</v>
      </c>
      <c r="I37" s="499">
        <f>SUM($G$8:G37)/A37</f>
        <v>0</v>
      </c>
      <c r="J37" s="443">
        <f t="shared" si="6"/>
        <v>6180</v>
      </c>
      <c r="K37" s="459">
        <f t="shared" si="6"/>
        <v>6180</v>
      </c>
      <c r="L37" s="338" t="e">
        <f t="shared" si="7"/>
        <v>#DIV/0!</v>
      </c>
      <c r="M37" s="300" t="e">
        <f t="shared" si="7"/>
        <v>#DIV/0!</v>
      </c>
      <c r="N37" s="366"/>
      <c r="O37" s="647">
        <f t="shared" si="4"/>
        <v>2.0593135621459515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>
        <f t="shared" si="2"/>
        <v>0</v>
      </c>
      <c r="F38" s="446"/>
      <c r="G38" s="496">
        <f t="shared" si="5"/>
        <v>0</v>
      </c>
      <c r="H38" s="500">
        <f>SUM($F$8:F38)/A38</f>
        <v>0</v>
      </c>
      <c r="I38" s="499">
        <f>SUM($G$8:G38)/A38</f>
        <v>0</v>
      </c>
      <c r="J38" s="500">
        <f t="shared" si="6"/>
        <v>6180</v>
      </c>
      <c r="K38" s="459">
        <f t="shared" si="6"/>
        <v>6180</v>
      </c>
      <c r="L38" s="368" t="e">
        <f t="shared" si="7"/>
        <v>#DIV/0!</v>
      </c>
      <c r="M38" s="300" t="e">
        <f t="shared" si="7"/>
        <v>#DIV/0!</v>
      </c>
      <c r="N38" s="366"/>
      <c r="O38" s="647">
        <f t="shared" si="4"/>
        <v>2.0593135621459515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>
        <f t="shared" si="2"/>
        <v>0</v>
      </c>
      <c r="F39" s="446"/>
      <c r="G39" s="496">
        <f t="shared" si="5"/>
        <v>0</v>
      </c>
      <c r="H39" s="498">
        <f>SUM($F$8:F39)/A39</f>
        <v>0</v>
      </c>
      <c r="I39" s="499">
        <f>SUM($G$8:G39)/A39</f>
        <v>0</v>
      </c>
      <c r="J39" s="443">
        <f t="shared" si="6"/>
        <v>6180</v>
      </c>
      <c r="K39" s="459">
        <f t="shared" si="6"/>
        <v>6180</v>
      </c>
      <c r="L39" s="338" t="e">
        <f t="shared" si="7"/>
        <v>#DIV/0!</v>
      </c>
      <c r="M39" s="300" t="e">
        <f t="shared" si="7"/>
        <v>#DIV/0!</v>
      </c>
      <c r="N39" s="366"/>
      <c r="O39" s="647">
        <f t="shared" si="4"/>
        <v>2.0593135621459515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6180</v>
      </c>
      <c r="K40" s="461">
        <f>K39</f>
        <v>6180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6180</v>
      </c>
      <c r="E41" s="388">
        <f>E8+E40</f>
        <v>6180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6180</v>
      </c>
      <c r="K41" s="389">
        <f>E41-G41</f>
        <v>6180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8">
    <cfRule type="cellIs" dxfId="3167" priority="163" operator="lessThan">
      <formula>15</formula>
    </cfRule>
    <cfRule type="cellIs" dxfId="3166" priority="164" operator="greaterThan">
      <formula>20</formula>
    </cfRule>
    <cfRule type="cellIs" dxfId="3165" priority="165" operator="between">
      <formula>15</formula>
      <formula>20</formula>
    </cfRule>
    <cfRule type="cellIs" dxfId="3164" priority="166" operator="between">
      <formula>15</formula>
      <formula>20</formula>
    </cfRule>
    <cfRule type="cellIs" dxfId="3163" priority="167" operator="lessThan">
      <formula>15</formula>
    </cfRule>
    <cfRule type="cellIs" dxfId="3162" priority="168" operator="greaterThan">
      <formula>20</formula>
    </cfRule>
    <cfRule type="cellIs" dxfId="3161" priority="169" operator="between">
      <formula>15</formula>
      <formula>21</formula>
    </cfRule>
    <cfRule type="cellIs" dxfId="3160" priority="170" operator="lessThan">
      <formula>15</formula>
    </cfRule>
    <cfRule type="cellIs" dxfId="3159" priority="171" operator="greaterThan">
      <formula>21</formula>
    </cfRule>
  </conditionalFormatting>
  <conditionalFormatting sqref="M23">
    <cfRule type="cellIs" dxfId="3158" priority="154" operator="lessThan">
      <formula>15</formula>
    </cfRule>
    <cfRule type="cellIs" dxfId="3157" priority="155" operator="greaterThan">
      <formula>20</formula>
    </cfRule>
    <cfRule type="cellIs" dxfId="3156" priority="156" operator="between">
      <formula>15</formula>
      <formula>20</formula>
    </cfRule>
    <cfRule type="cellIs" dxfId="3155" priority="157" operator="between">
      <formula>15</formula>
      <formula>20</formula>
    </cfRule>
    <cfRule type="cellIs" dxfId="3154" priority="158" operator="lessThan">
      <formula>15</formula>
    </cfRule>
    <cfRule type="cellIs" dxfId="3153" priority="159" operator="greaterThan">
      <formula>20</formula>
    </cfRule>
    <cfRule type="cellIs" dxfId="3152" priority="160" operator="between">
      <formula>15</formula>
      <formula>21</formula>
    </cfRule>
    <cfRule type="cellIs" dxfId="3151" priority="161" operator="lessThan">
      <formula>15</formula>
    </cfRule>
    <cfRule type="cellIs" dxfId="3150" priority="162" operator="greaterThan">
      <formula>21</formula>
    </cfRule>
  </conditionalFormatting>
  <conditionalFormatting sqref="M18">
    <cfRule type="cellIs" dxfId="3149" priority="145" operator="lessThan">
      <formula>15</formula>
    </cfRule>
    <cfRule type="cellIs" dxfId="3148" priority="146" operator="greaterThan">
      <formula>20</formula>
    </cfRule>
    <cfRule type="cellIs" dxfId="3147" priority="147" operator="between">
      <formula>15</formula>
      <formula>20</formula>
    </cfRule>
    <cfRule type="cellIs" dxfId="3146" priority="148" operator="between">
      <formula>15</formula>
      <formula>20</formula>
    </cfRule>
    <cfRule type="cellIs" dxfId="3145" priority="149" operator="lessThan">
      <formula>15</formula>
    </cfRule>
    <cfRule type="cellIs" dxfId="3144" priority="150" operator="greaterThan">
      <formula>20</formula>
    </cfRule>
    <cfRule type="cellIs" dxfId="3143" priority="151" operator="between">
      <formula>15</formula>
      <formula>21</formula>
    </cfRule>
    <cfRule type="cellIs" dxfId="3142" priority="152" operator="lessThan">
      <formula>15</formula>
    </cfRule>
    <cfRule type="cellIs" dxfId="3141" priority="153" operator="greaterThan">
      <formula>21</formula>
    </cfRule>
  </conditionalFormatting>
  <conditionalFormatting sqref="M35:M37">
    <cfRule type="cellIs" dxfId="3140" priority="172" operator="lessThan">
      <formula>15</formula>
    </cfRule>
    <cfRule type="cellIs" dxfId="3139" priority="173" operator="greaterThan">
      <formula>20</formula>
    </cfRule>
    <cfRule type="cellIs" dxfId="3138" priority="174" operator="between">
      <formula>15</formula>
      <formula>20</formula>
    </cfRule>
    <cfRule type="cellIs" dxfId="3137" priority="175" operator="between">
      <formula>15</formula>
      <formula>20</formula>
    </cfRule>
    <cfRule type="cellIs" dxfId="3136" priority="176" operator="lessThan">
      <formula>15</formula>
    </cfRule>
    <cfRule type="cellIs" dxfId="3135" priority="177" operator="greaterThan">
      <formula>20</formula>
    </cfRule>
    <cfRule type="cellIs" dxfId="3134" priority="178" operator="between">
      <formula>15</formula>
      <formula>21</formula>
    </cfRule>
    <cfRule type="cellIs" dxfId="3133" priority="179" operator="lessThan">
      <formula>15</formula>
    </cfRule>
    <cfRule type="cellIs" dxfId="3132" priority="180" operator="greaterThan">
      <formula>21</formula>
    </cfRule>
  </conditionalFormatting>
  <conditionalFormatting sqref="M13">
    <cfRule type="cellIs" dxfId="3131" priority="136" operator="lessThan">
      <formula>15</formula>
    </cfRule>
    <cfRule type="cellIs" dxfId="3130" priority="137" operator="greaterThan">
      <formula>20</formula>
    </cfRule>
    <cfRule type="cellIs" dxfId="3129" priority="138" operator="between">
      <formula>15</formula>
      <formula>20</formula>
    </cfRule>
    <cfRule type="cellIs" dxfId="3128" priority="139" operator="between">
      <formula>15</formula>
      <formula>20</formula>
    </cfRule>
    <cfRule type="cellIs" dxfId="3127" priority="140" operator="lessThan">
      <formula>15</formula>
    </cfRule>
    <cfRule type="cellIs" dxfId="3126" priority="141" operator="greaterThan">
      <formula>20</formula>
    </cfRule>
    <cfRule type="cellIs" dxfId="3125" priority="142" operator="between">
      <formula>15</formula>
      <formula>21</formula>
    </cfRule>
    <cfRule type="cellIs" dxfId="3124" priority="143" operator="lessThan">
      <formula>15</formula>
    </cfRule>
    <cfRule type="cellIs" dxfId="3123" priority="144" operator="greaterThan">
      <formula>21</formula>
    </cfRule>
  </conditionalFormatting>
  <conditionalFormatting sqref="M33">
    <cfRule type="cellIs" dxfId="3122" priority="127" operator="lessThan">
      <formula>15</formula>
    </cfRule>
    <cfRule type="cellIs" dxfId="3121" priority="128" operator="greaterThan">
      <formula>20</formula>
    </cfRule>
    <cfRule type="cellIs" dxfId="3120" priority="129" operator="between">
      <formula>15</formula>
      <formula>20</formula>
    </cfRule>
    <cfRule type="cellIs" dxfId="3119" priority="130" operator="between">
      <formula>15</formula>
      <formula>20</formula>
    </cfRule>
    <cfRule type="cellIs" dxfId="3118" priority="131" operator="lessThan">
      <formula>15</formula>
    </cfRule>
    <cfRule type="cellIs" dxfId="3117" priority="132" operator="greaterThan">
      <formula>20</formula>
    </cfRule>
    <cfRule type="cellIs" dxfId="3116" priority="133" operator="between">
      <formula>15</formula>
      <formula>21</formula>
    </cfRule>
    <cfRule type="cellIs" dxfId="3115" priority="134" operator="lessThan">
      <formula>15</formula>
    </cfRule>
    <cfRule type="cellIs" dxfId="3114" priority="135" operator="greaterThan">
      <formula>21</formula>
    </cfRule>
  </conditionalFormatting>
  <conditionalFormatting sqref="M38">
    <cfRule type="cellIs" dxfId="3113" priority="118" operator="lessThan">
      <formula>15</formula>
    </cfRule>
    <cfRule type="cellIs" dxfId="3112" priority="119" operator="greaterThan">
      <formula>20</formula>
    </cfRule>
    <cfRule type="cellIs" dxfId="3111" priority="120" operator="between">
      <formula>15</formula>
      <formula>20</formula>
    </cfRule>
    <cfRule type="cellIs" dxfId="3110" priority="121" operator="between">
      <formula>15</formula>
      <formula>20</formula>
    </cfRule>
    <cfRule type="cellIs" dxfId="3109" priority="122" operator="lessThan">
      <formula>15</formula>
    </cfRule>
    <cfRule type="cellIs" dxfId="3108" priority="123" operator="greaterThan">
      <formula>20</formula>
    </cfRule>
    <cfRule type="cellIs" dxfId="3107" priority="124" operator="between">
      <formula>15</formula>
      <formula>21</formula>
    </cfRule>
    <cfRule type="cellIs" dxfId="3106" priority="125" operator="lessThan">
      <formula>15</formula>
    </cfRule>
    <cfRule type="cellIs" dxfId="3105" priority="126" operator="greaterThan">
      <formula>21</formula>
    </cfRule>
  </conditionalFormatting>
  <conditionalFormatting sqref="M20">
    <cfRule type="cellIs" dxfId="3104" priority="217" operator="lessThan">
      <formula>15</formula>
    </cfRule>
    <cfRule type="cellIs" dxfId="3103" priority="218" operator="greaterThan">
      <formula>20</formula>
    </cfRule>
    <cfRule type="cellIs" dxfId="3102" priority="219" operator="between">
      <formula>15</formula>
      <formula>20</formula>
    </cfRule>
    <cfRule type="cellIs" dxfId="3101" priority="220" operator="between">
      <formula>15</formula>
      <formula>20</formula>
    </cfRule>
    <cfRule type="cellIs" dxfId="3100" priority="221" operator="lessThan">
      <formula>15</formula>
    </cfRule>
    <cfRule type="cellIs" dxfId="3099" priority="222" operator="greaterThan">
      <formula>20</formula>
    </cfRule>
    <cfRule type="cellIs" dxfId="3098" priority="223" operator="between">
      <formula>15</formula>
      <formula>21</formula>
    </cfRule>
    <cfRule type="cellIs" dxfId="3097" priority="224" operator="lessThan">
      <formula>15</formula>
    </cfRule>
    <cfRule type="cellIs" dxfId="3096" priority="225" operator="greaterThan">
      <formula>21</formula>
    </cfRule>
  </conditionalFormatting>
  <conditionalFormatting sqref="M27">
    <cfRule type="cellIs" dxfId="3095" priority="208" operator="lessThan">
      <formula>15</formula>
    </cfRule>
    <cfRule type="cellIs" dxfId="3094" priority="209" operator="greaterThan">
      <formula>20</formula>
    </cfRule>
    <cfRule type="cellIs" dxfId="3093" priority="210" operator="between">
      <formula>15</formula>
      <formula>20</formula>
    </cfRule>
    <cfRule type="cellIs" dxfId="3092" priority="211" operator="between">
      <formula>15</formula>
      <formula>20</formula>
    </cfRule>
    <cfRule type="cellIs" dxfId="3091" priority="212" operator="lessThan">
      <formula>15</formula>
    </cfRule>
    <cfRule type="cellIs" dxfId="3090" priority="213" operator="greaterThan">
      <formula>20</formula>
    </cfRule>
    <cfRule type="cellIs" dxfId="3089" priority="214" operator="between">
      <formula>15</formula>
      <formula>21</formula>
    </cfRule>
    <cfRule type="cellIs" dxfId="3088" priority="215" operator="lessThan">
      <formula>15</formula>
    </cfRule>
    <cfRule type="cellIs" dxfId="3087" priority="216" operator="greaterThan">
      <formula>21</formula>
    </cfRule>
  </conditionalFormatting>
  <conditionalFormatting sqref="M34">
    <cfRule type="cellIs" dxfId="3086" priority="199" operator="lessThan">
      <formula>15</formula>
    </cfRule>
    <cfRule type="cellIs" dxfId="3085" priority="200" operator="greaterThan">
      <formula>20</formula>
    </cfRule>
    <cfRule type="cellIs" dxfId="3084" priority="201" operator="between">
      <formula>15</formula>
      <formula>20</formula>
    </cfRule>
    <cfRule type="cellIs" dxfId="3083" priority="202" operator="between">
      <formula>15</formula>
      <formula>20</formula>
    </cfRule>
    <cfRule type="cellIs" dxfId="3082" priority="203" operator="lessThan">
      <formula>15</formula>
    </cfRule>
    <cfRule type="cellIs" dxfId="3081" priority="204" operator="greaterThan">
      <formula>20</formula>
    </cfRule>
    <cfRule type="cellIs" dxfId="3080" priority="205" operator="between">
      <formula>15</formula>
      <formula>21</formula>
    </cfRule>
    <cfRule type="cellIs" dxfId="3079" priority="206" operator="lessThan">
      <formula>15</formula>
    </cfRule>
    <cfRule type="cellIs" dxfId="3078" priority="207" operator="greaterThan">
      <formula>21</formula>
    </cfRule>
  </conditionalFormatting>
  <conditionalFormatting sqref="M14:M17 M39 M21:M22 M24:M26 M19">
    <cfRule type="cellIs" dxfId="3077" priority="226" operator="lessThan">
      <formula>15</formula>
    </cfRule>
    <cfRule type="cellIs" dxfId="3076" priority="227" operator="greaterThan">
      <formula>20</formula>
    </cfRule>
    <cfRule type="cellIs" dxfId="3075" priority="228" operator="between">
      <formula>15</formula>
      <formula>20</formula>
    </cfRule>
    <cfRule type="cellIs" dxfId="3074" priority="229" operator="between">
      <formula>15</formula>
      <formula>20</formula>
    </cfRule>
    <cfRule type="cellIs" dxfId="3073" priority="230" operator="lessThan">
      <formula>15</formula>
    </cfRule>
    <cfRule type="cellIs" dxfId="3072" priority="231" operator="greaterThan">
      <formula>20</formula>
    </cfRule>
    <cfRule type="cellIs" dxfId="3071" priority="232" operator="between">
      <formula>15</formula>
      <formula>21</formula>
    </cfRule>
    <cfRule type="cellIs" dxfId="3070" priority="233" operator="lessThan">
      <formula>15</formula>
    </cfRule>
    <cfRule type="cellIs" dxfId="3069" priority="234" operator="greaterThan">
      <formula>21</formula>
    </cfRule>
  </conditionalFormatting>
  <conditionalFormatting sqref="M9:M12">
    <cfRule type="cellIs" dxfId="3068" priority="190" operator="lessThan">
      <formula>15</formula>
    </cfRule>
    <cfRule type="cellIs" dxfId="3067" priority="191" operator="greaterThan">
      <formula>20</formula>
    </cfRule>
    <cfRule type="cellIs" dxfId="3066" priority="192" operator="between">
      <formula>15</formula>
      <formula>20</formula>
    </cfRule>
    <cfRule type="cellIs" dxfId="3065" priority="193" operator="between">
      <formula>15</formula>
      <formula>20</formula>
    </cfRule>
    <cfRule type="cellIs" dxfId="3064" priority="194" operator="lessThan">
      <formula>15</formula>
    </cfRule>
    <cfRule type="cellIs" dxfId="3063" priority="195" operator="greaterThan">
      <formula>20</formula>
    </cfRule>
    <cfRule type="cellIs" dxfId="3062" priority="196" operator="between">
      <formula>15</formula>
      <formula>21</formula>
    </cfRule>
    <cfRule type="cellIs" dxfId="3061" priority="197" operator="lessThan">
      <formula>15</formula>
    </cfRule>
    <cfRule type="cellIs" dxfId="3060" priority="198" operator="greaterThan">
      <formula>21</formula>
    </cfRule>
  </conditionalFormatting>
  <conditionalFormatting sqref="M29:M32">
    <cfRule type="cellIs" dxfId="3059" priority="181" operator="lessThan">
      <formula>15</formula>
    </cfRule>
    <cfRule type="cellIs" dxfId="3058" priority="182" operator="greaterThan">
      <formula>20</formula>
    </cfRule>
    <cfRule type="cellIs" dxfId="3057" priority="183" operator="between">
      <formula>15</formula>
      <formula>20</formula>
    </cfRule>
    <cfRule type="cellIs" dxfId="3056" priority="184" operator="between">
      <formula>15</formula>
      <formula>20</formula>
    </cfRule>
    <cfRule type="cellIs" dxfId="3055" priority="185" operator="lessThan">
      <formula>15</formula>
    </cfRule>
    <cfRule type="cellIs" dxfId="3054" priority="186" operator="greaterThan">
      <formula>20</formula>
    </cfRule>
    <cfRule type="cellIs" dxfId="3053" priority="187" operator="between">
      <formula>15</formula>
      <formula>21</formula>
    </cfRule>
    <cfRule type="cellIs" dxfId="3052" priority="188" operator="lessThan">
      <formula>15</formula>
    </cfRule>
    <cfRule type="cellIs" dxfId="3051" priority="189" operator="greaterThan">
      <formula>21</formula>
    </cfRule>
  </conditionalFormatting>
  <conditionalFormatting sqref="M38">
    <cfRule type="cellIs" dxfId="3050" priority="109" operator="lessThan">
      <formula>15</formula>
    </cfRule>
    <cfRule type="cellIs" dxfId="3049" priority="110" operator="greaterThan">
      <formula>20</formula>
    </cfRule>
    <cfRule type="cellIs" dxfId="3048" priority="111" operator="between">
      <formula>15</formula>
      <formula>20</formula>
    </cfRule>
    <cfRule type="cellIs" dxfId="3047" priority="112" operator="between">
      <formula>15</formula>
      <formula>20</formula>
    </cfRule>
    <cfRule type="cellIs" dxfId="3046" priority="113" operator="lessThan">
      <formula>15</formula>
    </cfRule>
    <cfRule type="cellIs" dxfId="3045" priority="114" operator="greaterThan">
      <formula>20</formula>
    </cfRule>
    <cfRule type="cellIs" dxfId="3044" priority="115" operator="between">
      <formula>15</formula>
      <formula>21</formula>
    </cfRule>
    <cfRule type="cellIs" dxfId="3043" priority="116" operator="lessThan">
      <formula>15</formula>
    </cfRule>
    <cfRule type="cellIs" dxfId="3042" priority="117" operator="greaterThan">
      <formula>21</formula>
    </cfRule>
  </conditionalFormatting>
  <conditionalFormatting sqref="M33">
    <cfRule type="cellIs" dxfId="3041" priority="100" operator="lessThan">
      <formula>15</formula>
    </cfRule>
    <cfRule type="cellIs" dxfId="3040" priority="101" operator="greaterThan">
      <formula>20</formula>
    </cfRule>
    <cfRule type="cellIs" dxfId="3039" priority="102" operator="between">
      <formula>15</formula>
      <formula>20</formula>
    </cfRule>
    <cfRule type="cellIs" dxfId="3038" priority="103" operator="between">
      <formula>15</formula>
      <formula>20</formula>
    </cfRule>
    <cfRule type="cellIs" dxfId="3037" priority="104" operator="lessThan">
      <formula>15</formula>
    </cfRule>
    <cfRule type="cellIs" dxfId="3036" priority="105" operator="greaterThan">
      <formula>20</formula>
    </cfRule>
    <cfRule type="cellIs" dxfId="3035" priority="106" operator="between">
      <formula>15</formula>
      <formula>21</formula>
    </cfRule>
    <cfRule type="cellIs" dxfId="3034" priority="107" operator="lessThan">
      <formula>15</formula>
    </cfRule>
    <cfRule type="cellIs" dxfId="3033" priority="108" operator="greaterThan">
      <formula>21</formula>
    </cfRule>
  </conditionalFormatting>
  <conditionalFormatting sqref="M28">
    <cfRule type="cellIs" dxfId="3032" priority="91" operator="lessThan">
      <formula>15</formula>
    </cfRule>
    <cfRule type="cellIs" dxfId="3031" priority="92" operator="greaterThan">
      <formula>20</formula>
    </cfRule>
    <cfRule type="cellIs" dxfId="3030" priority="93" operator="between">
      <formula>15</formula>
      <formula>20</formula>
    </cfRule>
    <cfRule type="cellIs" dxfId="3029" priority="94" operator="between">
      <formula>15</formula>
      <formula>20</formula>
    </cfRule>
    <cfRule type="cellIs" dxfId="3028" priority="95" operator="lessThan">
      <formula>15</formula>
    </cfRule>
    <cfRule type="cellIs" dxfId="3027" priority="96" operator="greaterThan">
      <formula>20</formula>
    </cfRule>
    <cfRule type="cellIs" dxfId="3026" priority="97" operator="between">
      <formula>15</formula>
      <formula>21</formula>
    </cfRule>
    <cfRule type="cellIs" dxfId="3025" priority="98" operator="lessThan">
      <formula>15</formula>
    </cfRule>
    <cfRule type="cellIs" dxfId="3024" priority="99" operator="greaterThan">
      <formula>21</formula>
    </cfRule>
  </conditionalFormatting>
  <conditionalFormatting sqref="M23">
    <cfRule type="cellIs" dxfId="3023" priority="82" operator="lessThan">
      <formula>15</formula>
    </cfRule>
    <cfRule type="cellIs" dxfId="3022" priority="83" operator="greaterThan">
      <formula>20</formula>
    </cfRule>
    <cfRule type="cellIs" dxfId="3021" priority="84" operator="between">
      <formula>15</formula>
      <formula>20</formula>
    </cfRule>
    <cfRule type="cellIs" dxfId="3020" priority="85" operator="between">
      <formula>15</formula>
      <formula>20</formula>
    </cfRule>
    <cfRule type="cellIs" dxfId="3019" priority="86" operator="lessThan">
      <formula>15</formula>
    </cfRule>
    <cfRule type="cellIs" dxfId="3018" priority="87" operator="greaterThan">
      <formula>20</formula>
    </cfRule>
    <cfRule type="cellIs" dxfId="3017" priority="88" operator="between">
      <formula>15</formula>
      <formula>21</formula>
    </cfRule>
    <cfRule type="cellIs" dxfId="3016" priority="89" operator="lessThan">
      <formula>15</formula>
    </cfRule>
    <cfRule type="cellIs" dxfId="3015" priority="90" operator="greaterThan">
      <formula>21</formula>
    </cfRule>
  </conditionalFormatting>
  <conditionalFormatting sqref="M18">
    <cfRule type="cellIs" dxfId="3014" priority="73" operator="lessThan">
      <formula>15</formula>
    </cfRule>
    <cfRule type="cellIs" dxfId="3013" priority="74" operator="greaterThan">
      <formula>20</formula>
    </cfRule>
    <cfRule type="cellIs" dxfId="3012" priority="75" operator="between">
      <formula>15</formula>
      <formula>20</formula>
    </cfRule>
    <cfRule type="cellIs" dxfId="3011" priority="76" operator="between">
      <formula>15</formula>
      <formula>20</formula>
    </cfRule>
    <cfRule type="cellIs" dxfId="3010" priority="77" operator="lessThan">
      <formula>15</formula>
    </cfRule>
    <cfRule type="cellIs" dxfId="3009" priority="78" operator="greaterThan">
      <formula>20</formula>
    </cfRule>
    <cfRule type="cellIs" dxfId="3008" priority="79" operator="between">
      <formula>15</formula>
      <formula>21</formula>
    </cfRule>
    <cfRule type="cellIs" dxfId="3007" priority="80" operator="lessThan">
      <formula>15</formula>
    </cfRule>
    <cfRule type="cellIs" dxfId="3006" priority="81" operator="greaterThan">
      <formula>21</formula>
    </cfRule>
  </conditionalFormatting>
  <conditionalFormatting sqref="M35:M37">
    <cfRule type="cellIs" dxfId="3005" priority="64" operator="lessThan">
      <formula>15</formula>
    </cfRule>
    <cfRule type="cellIs" dxfId="3004" priority="65" operator="greaterThan">
      <formula>20</formula>
    </cfRule>
    <cfRule type="cellIs" dxfId="3003" priority="66" operator="between">
      <formula>15</formula>
      <formula>20</formula>
    </cfRule>
    <cfRule type="cellIs" dxfId="3002" priority="67" operator="between">
      <formula>15</formula>
      <formula>20</formula>
    </cfRule>
    <cfRule type="cellIs" dxfId="3001" priority="68" operator="lessThan">
      <formula>15</formula>
    </cfRule>
    <cfRule type="cellIs" dxfId="3000" priority="69" operator="greaterThan">
      <formula>20</formula>
    </cfRule>
    <cfRule type="cellIs" dxfId="2999" priority="70" operator="between">
      <formula>15</formula>
      <formula>21</formula>
    </cfRule>
    <cfRule type="cellIs" dxfId="2998" priority="71" operator="lessThan">
      <formula>15</formula>
    </cfRule>
    <cfRule type="cellIs" dxfId="2997" priority="72" operator="greaterThan">
      <formula>21</formula>
    </cfRule>
  </conditionalFormatting>
  <conditionalFormatting sqref="M13">
    <cfRule type="cellIs" dxfId="2996" priority="55" operator="lessThan">
      <formula>15</formula>
    </cfRule>
    <cfRule type="cellIs" dxfId="2995" priority="56" operator="greaterThan">
      <formula>20</formula>
    </cfRule>
    <cfRule type="cellIs" dxfId="2994" priority="57" operator="between">
      <formula>15</formula>
      <formula>20</formula>
    </cfRule>
    <cfRule type="cellIs" dxfId="2993" priority="58" operator="between">
      <formula>15</formula>
      <formula>20</formula>
    </cfRule>
    <cfRule type="cellIs" dxfId="2992" priority="59" operator="lessThan">
      <formula>15</formula>
    </cfRule>
    <cfRule type="cellIs" dxfId="2991" priority="60" operator="greaterThan">
      <formula>20</formula>
    </cfRule>
    <cfRule type="cellIs" dxfId="2990" priority="61" operator="between">
      <formula>15</formula>
      <formula>21</formula>
    </cfRule>
    <cfRule type="cellIs" dxfId="2989" priority="62" operator="lessThan">
      <formula>15</formula>
    </cfRule>
    <cfRule type="cellIs" dxfId="2988" priority="63" operator="greaterThan">
      <formula>21</formula>
    </cfRule>
  </conditionalFormatting>
  <conditionalFormatting sqref="M20">
    <cfRule type="cellIs" dxfId="2987" priority="46" operator="lessThan">
      <formula>15</formula>
    </cfRule>
    <cfRule type="cellIs" dxfId="2986" priority="47" operator="greaterThan">
      <formula>20</formula>
    </cfRule>
    <cfRule type="cellIs" dxfId="2985" priority="48" operator="between">
      <formula>15</formula>
      <formula>20</formula>
    </cfRule>
    <cfRule type="cellIs" dxfId="2984" priority="49" operator="between">
      <formula>15</formula>
      <formula>20</formula>
    </cfRule>
    <cfRule type="cellIs" dxfId="2983" priority="50" operator="lessThan">
      <formula>15</formula>
    </cfRule>
    <cfRule type="cellIs" dxfId="2982" priority="51" operator="greaterThan">
      <formula>20</formula>
    </cfRule>
    <cfRule type="cellIs" dxfId="2981" priority="52" operator="between">
      <formula>15</formula>
      <formula>21</formula>
    </cfRule>
    <cfRule type="cellIs" dxfId="2980" priority="53" operator="lessThan">
      <formula>15</formula>
    </cfRule>
    <cfRule type="cellIs" dxfId="2979" priority="54" operator="greaterThan">
      <formula>21</formula>
    </cfRule>
  </conditionalFormatting>
  <conditionalFormatting sqref="M27">
    <cfRule type="cellIs" dxfId="2978" priority="37" operator="lessThan">
      <formula>15</formula>
    </cfRule>
    <cfRule type="cellIs" dxfId="2977" priority="38" operator="greaterThan">
      <formula>20</formula>
    </cfRule>
    <cfRule type="cellIs" dxfId="2976" priority="39" operator="between">
      <formula>15</formula>
      <formula>20</formula>
    </cfRule>
    <cfRule type="cellIs" dxfId="2975" priority="40" operator="between">
      <formula>15</formula>
      <formula>20</formula>
    </cfRule>
    <cfRule type="cellIs" dxfId="2974" priority="41" operator="lessThan">
      <formula>15</formula>
    </cfRule>
    <cfRule type="cellIs" dxfId="2973" priority="42" operator="greaterThan">
      <formula>20</formula>
    </cfRule>
    <cfRule type="cellIs" dxfId="2972" priority="43" operator="between">
      <formula>15</formula>
      <formula>21</formula>
    </cfRule>
    <cfRule type="cellIs" dxfId="2971" priority="44" operator="lessThan">
      <formula>15</formula>
    </cfRule>
    <cfRule type="cellIs" dxfId="2970" priority="45" operator="greaterThan">
      <formula>21</formula>
    </cfRule>
  </conditionalFormatting>
  <conditionalFormatting sqref="M34">
    <cfRule type="cellIs" dxfId="2969" priority="28" operator="lessThan">
      <formula>15</formula>
    </cfRule>
    <cfRule type="cellIs" dxfId="2968" priority="29" operator="greaterThan">
      <formula>20</formula>
    </cfRule>
    <cfRule type="cellIs" dxfId="2967" priority="30" operator="between">
      <formula>15</formula>
      <formula>20</formula>
    </cfRule>
    <cfRule type="cellIs" dxfId="2966" priority="31" operator="between">
      <formula>15</formula>
      <formula>20</formula>
    </cfRule>
    <cfRule type="cellIs" dxfId="2965" priority="32" operator="lessThan">
      <formula>15</formula>
    </cfRule>
    <cfRule type="cellIs" dxfId="2964" priority="33" operator="greaterThan">
      <formula>20</formula>
    </cfRule>
    <cfRule type="cellIs" dxfId="2963" priority="34" operator="between">
      <formula>15</formula>
      <formula>21</formula>
    </cfRule>
    <cfRule type="cellIs" dxfId="2962" priority="35" operator="lessThan">
      <formula>15</formula>
    </cfRule>
    <cfRule type="cellIs" dxfId="2961" priority="36" operator="greaterThan">
      <formula>21</formula>
    </cfRule>
  </conditionalFormatting>
  <conditionalFormatting sqref="M14:M17 M39 M21:M22 M24:M26 M19">
    <cfRule type="cellIs" dxfId="2960" priority="19" operator="lessThan">
      <formula>15</formula>
    </cfRule>
    <cfRule type="cellIs" dxfId="2959" priority="20" operator="greaterThan">
      <formula>20</formula>
    </cfRule>
    <cfRule type="cellIs" dxfId="2958" priority="21" operator="between">
      <formula>15</formula>
      <formula>20</formula>
    </cfRule>
    <cfRule type="cellIs" dxfId="2957" priority="22" operator="between">
      <formula>15</formula>
      <formula>20</formula>
    </cfRule>
    <cfRule type="cellIs" dxfId="2956" priority="23" operator="lessThan">
      <formula>15</formula>
    </cfRule>
    <cfRule type="cellIs" dxfId="2955" priority="24" operator="greaterThan">
      <formula>20</formula>
    </cfRule>
    <cfRule type="cellIs" dxfId="2954" priority="25" operator="between">
      <formula>15</formula>
      <formula>21</formula>
    </cfRule>
    <cfRule type="cellIs" dxfId="2953" priority="26" operator="lessThan">
      <formula>15</formula>
    </cfRule>
    <cfRule type="cellIs" dxfId="2952" priority="27" operator="greaterThan">
      <formula>21</formula>
    </cfRule>
  </conditionalFormatting>
  <conditionalFormatting sqref="M9:M12">
    <cfRule type="cellIs" dxfId="2951" priority="10" operator="lessThan">
      <formula>15</formula>
    </cfRule>
    <cfRule type="cellIs" dxfId="2950" priority="11" operator="greaterThan">
      <formula>20</formula>
    </cfRule>
    <cfRule type="cellIs" dxfId="2949" priority="12" operator="between">
      <formula>15</formula>
      <formula>20</formula>
    </cfRule>
    <cfRule type="cellIs" dxfId="2948" priority="13" operator="between">
      <formula>15</formula>
      <formula>20</formula>
    </cfRule>
    <cfRule type="cellIs" dxfId="2947" priority="14" operator="lessThan">
      <formula>15</formula>
    </cfRule>
    <cfRule type="cellIs" dxfId="2946" priority="15" operator="greaterThan">
      <formula>20</formula>
    </cfRule>
    <cfRule type="cellIs" dxfId="2945" priority="16" operator="between">
      <formula>15</formula>
      <formula>21</formula>
    </cfRule>
    <cfRule type="cellIs" dxfId="2944" priority="17" operator="lessThan">
      <formula>15</formula>
    </cfRule>
    <cfRule type="cellIs" dxfId="2943" priority="18" operator="greaterThan">
      <formula>21</formula>
    </cfRule>
  </conditionalFormatting>
  <conditionalFormatting sqref="M29:M32">
    <cfRule type="cellIs" dxfId="2942" priority="1" operator="lessThan">
      <formula>15</formula>
    </cfRule>
    <cfRule type="cellIs" dxfId="2941" priority="2" operator="greaterThan">
      <formula>20</formula>
    </cfRule>
    <cfRule type="cellIs" dxfId="2940" priority="3" operator="between">
      <formula>15</formula>
      <formula>20</formula>
    </cfRule>
    <cfRule type="cellIs" dxfId="2939" priority="4" operator="between">
      <formula>15</formula>
      <formula>20</formula>
    </cfRule>
    <cfRule type="cellIs" dxfId="2938" priority="5" operator="lessThan">
      <formula>15</formula>
    </cfRule>
    <cfRule type="cellIs" dxfId="2937" priority="6" operator="greaterThan">
      <formula>20</formula>
    </cfRule>
    <cfRule type="cellIs" dxfId="2936" priority="7" operator="between">
      <formula>15</formula>
      <formula>21</formula>
    </cfRule>
    <cfRule type="cellIs" dxfId="2935" priority="8" operator="lessThan">
      <formula>15</formula>
    </cfRule>
    <cfRule type="cellIs" dxfId="2934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50"/>
  <sheetViews>
    <sheetView zoomScale="80" zoomScaleNormal="80" workbookViewId="0">
      <pane ySplit="8" topLeftCell="A21" activePane="bottomLeft" state="frozen"/>
      <selection pane="bottomLeft" activeCell="M5" sqref="M5"/>
    </sheetView>
  </sheetViews>
  <sheetFormatPr defaultColWidth="9.28515625" defaultRowHeight="15"/>
  <cols>
    <col min="1" max="1" width="5.85546875" style="143" customWidth="1"/>
    <col min="2" max="2" width="7.7109375" style="143" customWidth="1"/>
    <col min="3" max="3" width="16.42578125" style="143" customWidth="1"/>
    <col min="4" max="11" width="9.85546875" style="142" customWidth="1"/>
    <col min="12" max="13" width="12.140625" style="143" customWidth="1"/>
    <col min="14" max="14" width="5.5703125" style="143" customWidth="1"/>
    <col min="15" max="15" width="11.5703125" style="143" bestFit="1" customWidth="1"/>
    <col min="16" max="17" width="9.28515625" style="143"/>
    <col min="18" max="18" width="9.7109375" style="143" customWidth="1"/>
    <col min="19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FRIT TB3001</v>
      </c>
      <c r="D4" s="383"/>
      <c r="E4" s="383" t="s">
        <v>228</v>
      </c>
      <c r="F4" s="383" t="s">
        <v>230</v>
      </c>
      <c r="G4" s="383"/>
      <c r="I4" s="383" t="s">
        <v>120</v>
      </c>
      <c r="J4" s="466" t="s">
        <v>301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E8</f>
        <v>8263</v>
      </c>
      <c r="E8" s="388">
        <f>K8</f>
        <v>8263</v>
      </c>
      <c r="F8" s="389"/>
      <c r="G8" s="388"/>
      <c r="H8" s="387"/>
      <c r="I8" s="388"/>
      <c r="J8" s="390">
        <f>K8</f>
        <v>8263</v>
      </c>
      <c r="K8" s="389">
        <v>8263</v>
      </c>
      <c r="L8" s="303"/>
      <c r="M8" s="304"/>
      <c r="N8" s="366">
        <v>8.0000000000000002E-3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/>
      <c r="E9" s="388">
        <f>D9</f>
        <v>0</v>
      </c>
      <c r="F9" s="446"/>
      <c r="G9" s="496">
        <f>F9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8263</v>
      </c>
      <c r="K9" s="459">
        <f t="shared" si="0"/>
        <v>8263</v>
      </c>
      <c r="L9" s="338" t="e">
        <f t="shared" ref="L9:M24" si="1">J9/H9</f>
        <v>#DIV/0!</v>
      </c>
      <c r="M9" s="300" t="e">
        <f t="shared" si="1"/>
        <v>#DIV/0!</v>
      </c>
      <c r="N9" s="366"/>
      <c r="O9" s="647">
        <f>J9/$O$8</f>
        <v>2.753415528157281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>
        <f t="shared" ref="E10:E39" si="2">D10</f>
        <v>0</v>
      </c>
      <c r="F10" s="446"/>
      <c r="G10" s="496">
        <f t="shared" ref="G10:G39" si="3">F10</f>
        <v>0</v>
      </c>
      <c r="H10" s="498">
        <f>SUM($F$8:F10)/A10</f>
        <v>0</v>
      </c>
      <c r="I10" s="499">
        <f>SUM($G$8:G10)/A10</f>
        <v>0</v>
      </c>
      <c r="J10" s="443">
        <f t="shared" si="0"/>
        <v>8263</v>
      </c>
      <c r="K10" s="459">
        <f t="shared" si="0"/>
        <v>8263</v>
      </c>
      <c r="L10" s="338" t="e">
        <f t="shared" si="1"/>
        <v>#DIV/0!</v>
      </c>
      <c r="M10" s="300" t="e">
        <f t="shared" si="1"/>
        <v>#DIV/0!</v>
      </c>
      <c r="N10" s="366"/>
      <c r="O10" s="647">
        <f t="shared" ref="O10:O39" si="4">J10/$O$8</f>
        <v>2.753415528157281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>
        <f t="shared" si="2"/>
        <v>0</v>
      </c>
      <c r="F11" s="446"/>
      <c r="G11" s="496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8263</v>
      </c>
      <c r="K11" s="459">
        <f t="shared" si="0"/>
        <v>8263</v>
      </c>
      <c r="L11" s="338" t="e">
        <f t="shared" si="1"/>
        <v>#DIV/0!</v>
      </c>
      <c r="M11" s="300" t="e">
        <f t="shared" si="1"/>
        <v>#DIV/0!</v>
      </c>
      <c r="N11" s="366"/>
      <c r="O11" s="647">
        <f t="shared" si="4"/>
        <v>2.753415528157281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>
        <f t="shared" si="2"/>
        <v>0</v>
      </c>
      <c r="F12" s="446"/>
      <c r="G12" s="496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8263</v>
      </c>
      <c r="K12" s="459">
        <f t="shared" si="0"/>
        <v>8263</v>
      </c>
      <c r="L12" s="338" t="e">
        <f t="shared" si="1"/>
        <v>#DIV/0!</v>
      </c>
      <c r="M12" s="300" t="e">
        <f t="shared" si="1"/>
        <v>#DIV/0!</v>
      </c>
      <c r="N12" s="366"/>
      <c r="O12" s="647">
        <f t="shared" si="4"/>
        <v>2.753415528157281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>
        <f t="shared" si="2"/>
        <v>0</v>
      </c>
      <c r="F13" s="446"/>
      <c r="G13" s="496">
        <f t="shared" si="3"/>
        <v>0</v>
      </c>
      <c r="H13" s="500">
        <f>SUM($F$8:F13)/A13</f>
        <v>0</v>
      </c>
      <c r="I13" s="499">
        <f>SUM($G$8:G13)/A13</f>
        <v>0</v>
      </c>
      <c r="J13" s="500">
        <f t="shared" si="0"/>
        <v>8263</v>
      </c>
      <c r="K13" s="459">
        <f t="shared" si="0"/>
        <v>8263</v>
      </c>
      <c r="L13" s="368" t="e">
        <f t="shared" si="1"/>
        <v>#DIV/0!</v>
      </c>
      <c r="M13" s="300" t="e">
        <f t="shared" si="1"/>
        <v>#DIV/0!</v>
      </c>
      <c r="N13" s="366"/>
      <c r="O13" s="647">
        <f t="shared" si="4"/>
        <v>2.753415528157281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>
        <f t="shared" si="2"/>
        <v>0</v>
      </c>
      <c r="F14" s="446"/>
      <c r="G14" s="496">
        <f t="shared" si="3"/>
        <v>0</v>
      </c>
      <c r="H14" s="498">
        <f>SUM($F$8:F14)/A14</f>
        <v>0</v>
      </c>
      <c r="I14" s="499">
        <f>SUM($G$8:G14)/A14</f>
        <v>0</v>
      </c>
      <c r="J14" s="443">
        <f t="shared" si="0"/>
        <v>8263</v>
      </c>
      <c r="K14" s="459">
        <f t="shared" si="0"/>
        <v>8263</v>
      </c>
      <c r="L14" s="338" t="e">
        <f t="shared" si="1"/>
        <v>#DIV/0!</v>
      </c>
      <c r="M14" s="300" t="e">
        <f t="shared" si="1"/>
        <v>#DIV/0!</v>
      </c>
      <c r="N14" s="366"/>
      <c r="O14" s="647">
        <f t="shared" si="4"/>
        <v>2.753415528157281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>
        <f t="shared" si="2"/>
        <v>0</v>
      </c>
      <c r="F15" s="446"/>
      <c r="G15" s="496">
        <f t="shared" si="3"/>
        <v>0</v>
      </c>
      <c r="H15" s="498">
        <f>SUM($F$8:F15)/A15</f>
        <v>0</v>
      </c>
      <c r="I15" s="499">
        <f>SUM($G$8:G15)/A15</f>
        <v>0</v>
      </c>
      <c r="J15" s="443">
        <f t="shared" si="0"/>
        <v>8263</v>
      </c>
      <c r="K15" s="459">
        <f t="shared" si="0"/>
        <v>8263</v>
      </c>
      <c r="L15" s="338" t="e">
        <f t="shared" si="1"/>
        <v>#DIV/0!</v>
      </c>
      <c r="M15" s="300" t="e">
        <f t="shared" si="1"/>
        <v>#DIV/0!</v>
      </c>
      <c r="N15" s="366"/>
      <c r="O15" s="647">
        <f t="shared" si="4"/>
        <v>2.753415528157281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>
        <f t="shared" si="2"/>
        <v>0</v>
      </c>
      <c r="F16" s="446"/>
      <c r="G16" s="496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8263</v>
      </c>
      <c r="K16" s="459">
        <f t="shared" si="0"/>
        <v>8263</v>
      </c>
      <c r="L16" s="338" t="e">
        <f t="shared" si="1"/>
        <v>#DIV/0!</v>
      </c>
      <c r="M16" s="300" t="e">
        <f t="shared" si="1"/>
        <v>#DIV/0!</v>
      </c>
      <c r="N16" s="366"/>
      <c r="O16" s="647">
        <f t="shared" si="4"/>
        <v>2.753415528157281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>
        <f t="shared" si="2"/>
        <v>0</v>
      </c>
      <c r="F17" s="446"/>
      <c r="G17" s="496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8263</v>
      </c>
      <c r="K17" s="459">
        <f t="shared" si="0"/>
        <v>8263</v>
      </c>
      <c r="L17" s="338" t="e">
        <f t="shared" si="1"/>
        <v>#DIV/0!</v>
      </c>
      <c r="M17" s="300" t="e">
        <f t="shared" si="1"/>
        <v>#DIV/0!</v>
      </c>
      <c r="N17" s="366"/>
      <c r="O17" s="647">
        <f t="shared" si="4"/>
        <v>2.753415528157281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>
        <f t="shared" si="2"/>
        <v>0</v>
      </c>
      <c r="F18" s="446"/>
      <c r="G18" s="496">
        <f t="shared" si="3"/>
        <v>0</v>
      </c>
      <c r="H18" s="500">
        <f>SUM($F$8:F18)/A18</f>
        <v>0</v>
      </c>
      <c r="I18" s="499">
        <f>SUM($G$8:G18)/A18</f>
        <v>0</v>
      </c>
      <c r="J18" s="500">
        <f t="shared" si="0"/>
        <v>8263</v>
      </c>
      <c r="K18" s="459">
        <f t="shared" si="0"/>
        <v>8263</v>
      </c>
      <c r="L18" s="368" t="e">
        <f t="shared" si="1"/>
        <v>#DIV/0!</v>
      </c>
      <c r="M18" s="300" t="e">
        <f t="shared" si="1"/>
        <v>#DIV/0!</v>
      </c>
      <c r="N18" s="366"/>
      <c r="O18" s="647">
        <f t="shared" si="4"/>
        <v>2.753415528157281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>
        <f t="shared" si="2"/>
        <v>0</v>
      </c>
      <c r="F19" s="446"/>
      <c r="G19" s="496">
        <f t="shared" si="3"/>
        <v>0</v>
      </c>
      <c r="H19" s="498">
        <f>SUM($F$8:F19)/A19</f>
        <v>0</v>
      </c>
      <c r="I19" s="499">
        <f>SUM($G$8:G19)/A19</f>
        <v>0</v>
      </c>
      <c r="J19" s="443">
        <f t="shared" si="0"/>
        <v>8263</v>
      </c>
      <c r="K19" s="459">
        <f t="shared" si="0"/>
        <v>8263</v>
      </c>
      <c r="L19" s="338" t="e">
        <f t="shared" si="1"/>
        <v>#DIV/0!</v>
      </c>
      <c r="M19" s="300" t="e">
        <f t="shared" si="1"/>
        <v>#DIV/0!</v>
      </c>
      <c r="N19" s="366"/>
      <c r="O19" s="647">
        <f t="shared" si="4"/>
        <v>2.753415528157281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>
        <f t="shared" si="2"/>
        <v>0</v>
      </c>
      <c r="F20" s="446"/>
      <c r="G20" s="496">
        <f t="shared" si="3"/>
        <v>0</v>
      </c>
      <c r="H20" s="498">
        <f>SUM($F$8:F20)/A20</f>
        <v>0</v>
      </c>
      <c r="I20" s="499">
        <f>SUM($G$8:G20)/A20</f>
        <v>0</v>
      </c>
      <c r="J20" s="443">
        <f t="shared" si="0"/>
        <v>8263</v>
      </c>
      <c r="K20" s="459">
        <f t="shared" si="0"/>
        <v>8263</v>
      </c>
      <c r="L20" s="338" t="e">
        <f t="shared" si="1"/>
        <v>#DIV/0!</v>
      </c>
      <c r="M20" s="300" t="e">
        <f t="shared" si="1"/>
        <v>#DIV/0!</v>
      </c>
      <c r="N20" s="366"/>
      <c r="O20" s="647">
        <f t="shared" si="4"/>
        <v>2.753415528157281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>
        <f t="shared" si="2"/>
        <v>0</v>
      </c>
      <c r="F21" s="446"/>
      <c r="G21" s="496">
        <f>F21</f>
        <v>0</v>
      </c>
      <c r="H21" s="498">
        <f>SUM($F$8:F21)/A21</f>
        <v>0</v>
      </c>
      <c r="I21" s="499">
        <f>SUM($G$8:G21)/A21</f>
        <v>0</v>
      </c>
      <c r="J21" s="443">
        <f t="shared" si="0"/>
        <v>8263</v>
      </c>
      <c r="K21" s="459">
        <f>K20+E21-G21</f>
        <v>8263</v>
      </c>
      <c r="L21" s="338" t="e">
        <f t="shared" si="1"/>
        <v>#DIV/0!</v>
      </c>
      <c r="M21" s="300" t="e">
        <f t="shared" si="1"/>
        <v>#DIV/0!</v>
      </c>
      <c r="N21" s="366"/>
      <c r="O21" s="647">
        <f t="shared" si="4"/>
        <v>2.753415528157281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>
        <f t="shared" si="2"/>
        <v>0</v>
      </c>
      <c r="F22" s="446"/>
      <c r="G22" s="496">
        <f>F22</f>
        <v>0</v>
      </c>
      <c r="H22" s="498">
        <f>SUM($F$8:F22)/A22</f>
        <v>0</v>
      </c>
      <c r="I22" s="499">
        <f>SUM($G$8:G22)/A22</f>
        <v>0</v>
      </c>
      <c r="J22" s="443">
        <f t="shared" si="0"/>
        <v>8263</v>
      </c>
      <c r="K22" s="459">
        <f>K21+E22-G22</f>
        <v>8263</v>
      </c>
      <c r="L22" s="338" t="e">
        <f t="shared" si="1"/>
        <v>#DIV/0!</v>
      </c>
      <c r="M22" s="300" t="e">
        <f t="shared" si="1"/>
        <v>#DIV/0!</v>
      </c>
      <c r="N22" s="366"/>
      <c r="O22" s="647">
        <f t="shared" si="4"/>
        <v>2.753415528157281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>
        <f t="shared" si="2"/>
        <v>0</v>
      </c>
      <c r="F23" s="446"/>
      <c r="G23" s="496">
        <f t="shared" si="3"/>
        <v>0</v>
      </c>
      <c r="H23" s="500">
        <f>SUM($F$8:F23)/A23</f>
        <v>0</v>
      </c>
      <c r="I23" s="499">
        <f>SUM($G$8:G23)/A23</f>
        <v>0</v>
      </c>
      <c r="J23" s="500">
        <f t="shared" si="0"/>
        <v>8263</v>
      </c>
      <c r="K23" s="459">
        <f t="shared" si="0"/>
        <v>8263</v>
      </c>
      <c r="L23" s="368" t="e">
        <f t="shared" si="1"/>
        <v>#DIV/0!</v>
      </c>
      <c r="M23" s="300" t="e">
        <f t="shared" si="1"/>
        <v>#DIV/0!</v>
      </c>
      <c r="N23" s="366"/>
      <c r="O23" s="647">
        <f t="shared" si="4"/>
        <v>2.753415528157281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>
        <f t="shared" si="2"/>
        <v>0</v>
      </c>
      <c r="F24" s="446"/>
      <c r="G24" s="496">
        <f t="shared" si="3"/>
        <v>0</v>
      </c>
      <c r="H24" s="498">
        <f>SUM($F$8:F24)/A24</f>
        <v>0</v>
      </c>
      <c r="I24" s="499">
        <f>SUM($G$8:G24)/A24</f>
        <v>0</v>
      </c>
      <c r="J24" s="443">
        <f t="shared" si="0"/>
        <v>8263</v>
      </c>
      <c r="K24" s="459">
        <f>K23+E24-G24</f>
        <v>8263</v>
      </c>
      <c r="L24" s="338" t="e">
        <f t="shared" si="1"/>
        <v>#DIV/0!</v>
      </c>
      <c r="M24" s="300" t="e">
        <f t="shared" si="1"/>
        <v>#DIV/0!</v>
      </c>
      <c r="N24" s="366"/>
      <c r="O24" s="647">
        <f t="shared" si="4"/>
        <v>2.753415528157281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>
        <f t="shared" si="2"/>
        <v>0</v>
      </c>
      <c r="F25" s="446"/>
      <c r="G25" s="496">
        <f t="shared" si="3"/>
        <v>0</v>
      </c>
      <c r="H25" s="498">
        <f>SUM($F$8:F25)/A25</f>
        <v>0</v>
      </c>
      <c r="I25" s="499">
        <f>SUM($G$8:G25)/A25</f>
        <v>0</v>
      </c>
      <c r="J25" s="443">
        <f t="shared" ref="J25:K39" si="5">J24+D25-F25</f>
        <v>8263</v>
      </c>
      <c r="K25" s="459">
        <f>K24+E25-G25</f>
        <v>8263</v>
      </c>
      <c r="L25" s="338" t="e">
        <f t="shared" ref="L25:M39" si="6">J25/H25</f>
        <v>#DIV/0!</v>
      </c>
      <c r="M25" s="300" t="e">
        <f t="shared" si="6"/>
        <v>#DIV/0!</v>
      </c>
      <c r="N25" s="366"/>
      <c r="O25" s="647">
        <f t="shared" si="4"/>
        <v>2.753415528157281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>
        <f t="shared" si="2"/>
        <v>0</v>
      </c>
      <c r="F26" s="446"/>
      <c r="G26" s="496">
        <f t="shared" si="3"/>
        <v>0</v>
      </c>
      <c r="H26" s="498">
        <f>SUM($F$8:F26)/A26</f>
        <v>0</v>
      </c>
      <c r="I26" s="499">
        <f>SUM($G$8:G26)/A26</f>
        <v>0</v>
      </c>
      <c r="J26" s="443">
        <f t="shared" si="5"/>
        <v>8263</v>
      </c>
      <c r="K26" s="459">
        <f>K25+E26-G26</f>
        <v>8263</v>
      </c>
      <c r="L26" s="338" t="e">
        <f t="shared" si="6"/>
        <v>#DIV/0!</v>
      </c>
      <c r="M26" s="300" t="e">
        <f t="shared" si="6"/>
        <v>#DIV/0!</v>
      </c>
      <c r="N26" s="366"/>
      <c r="O26" s="647">
        <f t="shared" si="4"/>
        <v>2.753415528157281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>
        <f t="shared" si="2"/>
        <v>0</v>
      </c>
      <c r="F27" s="446"/>
      <c r="G27" s="496">
        <f t="shared" si="3"/>
        <v>0</v>
      </c>
      <c r="H27" s="498">
        <f>SUM($F$8:F27)/A27</f>
        <v>0</v>
      </c>
      <c r="I27" s="499">
        <f>SUM($G$8:G27)/A27</f>
        <v>0</v>
      </c>
      <c r="J27" s="443">
        <f t="shared" si="5"/>
        <v>8263</v>
      </c>
      <c r="K27" s="459">
        <f>K26+E27-G27</f>
        <v>8263</v>
      </c>
      <c r="L27" s="338" t="e">
        <f t="shared" si="6"/>
        <v>#DIV/0!</v>
      </c>
      <c r="M27" s="300" t="e">
        <f t="shared" si="6"/>
        <v>#DIV/0!</v>
      </c>
      <c r="N27" s="366"/>
      <c r="O27" s="647">
        <f t="shared" si="4"/>
        <v>2.753415528157281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>
        <f t="shared" si="2"/>
        <v>0</v>
      </c>
      <c r="F28" s="446"/>
      <c r="G28" s="496">
        <f t="shared" si="3"/>
        <v>0</v>
      </c>
      <c r="H28" s="500">
        <f>SUM($F$8:F28)/A28</f>
        <v>0</v>
      </c>
      <c r="I28" s="499">
        <f>SUM($G$8:G28)/A28</f>
        <v>0</v>
      </c>
      <c r="J28" s="500">
        <f t="shared" si="5"/>
        <v>8263</v>
      </c>
      <c r="K28" s="459">
        <f t="shared" si="5"/>
        <v>8263</v>
      </c>
      <c r="L28" s="368" t="e">
        <f t="shared" si="6"/>
        <v>#DIV/0!</v>
      </c>
      <c r="M28" s="300" t="e">
        <f t="shared" si="6"/>
        <v>#DIV/0!</v>
      </c>
      <c r="N28" s="366"/>
      <c r="O28" s="647">
        <f t="shared" si="4"/>
        <v>2.753415528157281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>
        <f t="shared" si="2"/>
        <v>0</v>
      </c>
      <c r="F29" s="446"/>
      <c r="G29" s="496">
        <f t="shared" si="3"/>
        <v>0</v>
      </c>
      <c r="H29" s="498">
        <f>SUM($F$8:F29)/A29</f>
        <v>0</v>
      </c>
      <c r="I29" s="499">
        <f>SUM($G$8:G29)/A29</f>
        <v>0</v>
      </c>
      <c r="J29" s="443">
        <f t="shared" si="5"/>
        <v>8263</v>
      </c>
      <c r="K29" s="459">
        <f t="shared" si="5"/>
        <v>8263</v>
      </c>
      <c r="L29" s="338" t="e">
        <f t="shared" si="6"/>
        <v>#DIV/0!</v>
      </c>
      <c r="M29" s="300" t="e">
        <f t="shared" si="6"/>
        <v>#DIV/0!</v>
      </c>
      <c r="N29" s="366"/>
      <c r="O29" s="647">
        <f t="shared" si="4"/>
        <v>2.753415528157281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>
        <f t="shared" si="2"/>
        <v>0</v>
      </c>
      <c r="F30" s="446"/>
      <c r="G30" s="496">
        <f t="shared" si="3"/>
        <v>0</v>
      </c>
      <c r="H30" s="498">
        <f>SUM($F$8:F30)/A30</f>
        <v>0</v>
      </c>
      <c r="I30" s="499">
        <f>SUM($G$8:G30)/A30</f>
        <v>0</v>
      </c>
      <c r="J30" s="443">
        <f t="shared" si="5"/>
        <v>8263</v>
      </c>
      <c r="K30" s="459">
        <f t="shared" si="5"/>
        <v>8263</v>
      </c>
      <c r="L30" s="338" t="e">
        <f t="shared" si="6"/>
        <v>#DIV/0!</v>
      </c>
      <c r="M30" s="300" t="e">
        <f t="shared" si="6"/>
        <v>#DIV/0!</v>
      </c>
      <c r="N30" s="366"/>
      <c r="O30" s="647">
        <f t="shared" si="4"/>
        <v>2.753415528157281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>
        <f t="shared" si="2"/>
        <v>0</v>
      </c>
      <c r="F31" s="446"/>
      <c r="G31" s="496">
        <f t="shared" si="3"/>
        <v>0</v>
      </c>
      <c r="H31" s="498">
        <f>SUM($F$8:F31)/A31</f>
        <v>0</v>
      </c>
      <c r="I31" s="499">
        <f>SUM($G$8:G31)/A31</f>
        <v>0</v>
      </c>
      <c r="J31" s="443">
        <f t="shared" si="5"/>
        <v>8263</v>
      </c>
      <c r="K31" s="459">
        <f t="shared" si="5"/>
        <v>8263</v>
      </c>
      <c r="L31" s="338" t="e">
        <f t="shared" si="6"/>
        <v>#DIV/0!</v>
      </c>
      <c r="M31" s="300" t="e">
        <f t="shared" si="6"/>
        <v>#DIV/0!</v>
      </c>
      <c r="N31" s="366"/>
      <c r="O31" s="647">
        <f t="shared" si="4"/>
        <v>2.753415528157281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>
        <f t="shared" si="2"/>
        <v>0</v>
      </c>
      <c r="F32" s="446"/>
      <c r="G32" s="496">
        <f t="shared" si="3"/>
        <v>0</v>
      </c>
      <c r="H32" s="498">
        <f>SUM($F$8:F32)/A32</f>
        <v>0</v>
      </c>
      <c r="I32" s="499">
        <f>SUM($G$8:G32)/A32</f>
        <v>0</v>
      </c>
      <c r="J32" s="443">
        <f t="shared" si="5"/>
        <v>8263</v>
      </c>
      <c r="K32" s="459">
        <f t="shared" si="5"/>
        <v>8263</v>
      </c>
      <c r="L32" s="338" t="e">
        <f t="shared" si="6"/>
        <v>#DIV/0!</v>
      </c>
      <c r="M32" s="300" t="e">
        <f t="shared" si="6"/>
        <v>#DIV/0!</v>
      </c>
      <c r="N32" s="366"/>
      <c r="O32" s="647">
        <f t="shared" si="4"/>
        <v>2.753415528157281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>
        <f t="shared" si="2"/>
        <v>0</v>
      </c>
      <c r="F33" s="446"/>
      <c r="G33" s="496">
        <f t="shared" si="3"/>
        <v>0</v>
      </c>
      <c r="H33" s="448">
        <f>SUM($F$8:F33)/A33</f>
        <v>0</v>
      </c>
      <c r="I33" s="499">
        <f>SUM($G$8:G33)/A33</f>
        <v>0</v>
      </c>
      <c r="J33" s="448">
        <f t="shared" si="5"/>
        <v>8263</v>
      </c>
      <c r="K33" s="459">
        <f t="shared" si="5"/>
        <v>8263</v>
      </c>
      <c r="L33" s="369" t="e">
        <f t="shared" si="6"/>
        <v>#DIV/0!</v>
      </c>
      <c r="M33" s="300" t="e">
        <f t="shared" si="6"/>
        <v>#DIV/0!</v>
      </c>
      <c r="N33" s="366"/>
      <c r="O33" s="647">
        <f t="shared" si="4"/>
        <v>2.753415528157281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>
        <f t="shared" si="2"/>
        <v>0</v>
      </c>
      <c r="F34" s="446"/>
      <c r="G34" s="496">
        <f t="shared" si="3"/>
        <v>0</v>
      </c>
      <c r="H34" s="498">
        <f>SUM($F$8:F34)/A34</f>
        <v>0</v>
      </c>
      <c r="I34" s="499">
        <f>SUM($G$8:G34)/A34</f>
        <v>0</v>
      </c>
      <c r="J34" s="443">
        <f t="shared" si="5"/>
        <v>8263</v>
      </c>
      <c r="K34" s="459">
        <f t="shared" si="5"/>
        <v>8263</v>
      </c>
      <c r="L34" s="338" t="e">
        <f t="shared" si="6"/>
        <v>#DIV/0!</v>
      </c>
      <c r="M34" s="300" t="e">
        <f t="shared" si="6"/>
        <v>#DIV/0!</v>
      </c>
      <c r="N34" s="366"/>
      <c r="O34" s="647">
        <f t="shared" si="4"/>
        <v>2.753415528157281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>
        <f t="shared" si="2"/>
        <v>0</v>
      </c>
      <c r="F35" s="446"/>
      <c r="G35" s="496">
        <f t="shared" si="3"/>
        <v>0</v>
      </c>
      <c r="H35" s="498">
        <f>SUM($F$8:F35)/A35</f>
        <v>0</v>
      </c>
      <c r="I35" s="499">
        <f>SUM($G$8:G35)/A35</f>
        <v>0</v>
      </c>
      <c r="J35" s="443">
        <f t="shared" si="5"/>
        <v>8263</v>
      </c>
      <c r="K35" s="459">
        <f t="shared" si="5"/>
        <v>8263</v>
      </c>
      <c r="L35" s="338" t="e">
        <f t="shared" si="6"/>
        <v>#DIV/0!</v>
      </c>
      <c r="M35" s="300" t="e">
        <f t="shared" si="6"/>
        <v>#DIV/0!</v>
      </c>
      <c r="N35" s="366"/>
      <c r="O35" s="647">
        <f t="shared" si="4"/>
        <v>2.753415528157281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>
        <f t="shared" si="2"/>
        <v>0</v>
      </c>
      <c r="F36" s="446"/>
      <c r="G36" s="496">
        <f t="shared" si="3"/>
        <v>0</v>
      </c>
      <c r="H36" s="498">
        <f>SUM($F$8:F36)/A36</f>
        <v>0</v>
      </c>
      <c r="I36" s="499">
        <f>SUM($G$8:G36)/A36</f>
        <v>0</v>
      </c>
      <c r="J36" s="443">
        <f t="shared" si="5"/>
        <v>8263</v>
      </c>
      <c r="K36" s="459">
        <f t="shared" si="5"/>
        <v>8263</v>
      </c>
      <c r="L36" s="338" t="e">
        <f t="shared" si="6"/>
        <v>#DIV/0!</v>
      </c>
      <c r="M36" s="300" t="e">
        <f t="shared" si="6"/>
        <v>#DIV/0!</v>
      </c>
      <c r="N36" s="366"/>
      <c r="O36" s="647">
        <f t="shared" si="4"/>
        <v>2.753415528157281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>
        <f t="shared" si="2"/>
        <v>0</v>
      </c>
      <c r="F37" s="446"/>
      <c r="G37" s="496">
        <f t="shared" si="3"/>
        <v>0</v>
      </c>
      <c r="H37" s="498">
        <f>SUM($F$8:F37)/A37</f>
        <v>0</v>
      </c>
      <c r="I37" s="499">
        <f>SUM($G$8:G37)/A37</f>
        <v>0</v>
      </c>
      <c r="J37" s="443">
        <f t="shared" si="5"/>
        <v>8263</v>
      </c>
      <c r="K37" s="459">
        <f t="shared" si="5"/>
        <v>8263</v>
      </c>
      <c r="L37" s="338" t="e">
        <f t="shared" si="6"/>
        <v>#DIV/0!</v>
      </c>
      <c r="M37" s="300" t="e">
        <f t="shared" si="6"/>
        <v>#DIV/0!</v>
      </c>
      <c r="N37" s="366"/>
      <c r="O37" s="647">
        <f t="shared" si="4"/>
        <v>2.753415528157281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>
        <f t="shared" si="2"/>
        <v>0</v>
      </c>
      <c r="F38" s="446"/>
      <c r="G38" s="496">
        <f t="shared" si="3"/>
        <v>0</v>
      </c>
      <c r="H38" s="500">
        <f>SUM($F$8:F38)/A38</f>
        <v>0</v>
      </c>
      <c r="I38" s="499">
        <f>SUM($G$8:G38)/A38</f>
        <v>0</v>
      </c>
      <c r="J38" s="500">
        <f t="shared" si="5"/>
        <v>8263</v>
      </c>
      <c r="K38" s="459">
        <f t="shared" si="5"/>
        <v>8263</v>
      </c>
      <c r="L38" s="368" t="e">
        <f t="shared" si="6"/>
        <v>#DIV/0!</v>
      </c>
      <c r="M38" s="300" t="e">
        <f t="shared" si="6"/>
        <v>#DIV/0!</v>
      </c>
      <c r="N38" s="366"/>
      <c r="O38" s="647">
        <f t="shared" si="4"/>
        <v>2.753415528157281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>
        <f t="shared" si="2"/>
        <v>0</v>
      </c>
      <c r="F39" s="446"/>
      <c r="G39" s="496">
        <f t="shared" si="3"/>
        <v>0</v>
      </c>
      <c r="H39" s="498">
        <f>SUM($F$8:F39)/A39</f>
        <v>0</v>
      </c>
      <c r="I39" s="499">
        <f>SUM($G$8:G39)/A39</f>
        <v>0</v>
      </c>
      <c r="J39" s="443">
        <f t="shared" si="5"/>
        <v>8263</v>
      </c>
      <c r="K39" s="459">
        <f t="shared" si="5"/>
        <v>8263</v>
      </c>
      <c r="L39" s="338" t="e">
        <f t="shared" si="6"/>
        <v>#DIV/0!</v>
      </c>
      <c r="M39" s="300" t="e">
        <f t="shared" si="6"/>
        <v>#DIV/0!</v>
      </c>
      <c r="N39" s="366"/>
      <c r="O39" s="647">
        <f t="shared" si="4"/>
        <v>2.753415528157281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8263</v>
      </c>
      <c r="K40" s="461">
        <f>K39</f>
        <v>8263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8263</v>
      </c>
      <c r="E41" s="388">
        <f>E8+E40</f>
        <v>8263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8263</v>
      </c>
      <c r="K41" s="389">
        <f>E41-G41</f>
        <v>8263</v>
      </c>
      <c r="L41" s="302"/>
      <c r="M41" s="302">
        <v>28967</v>
      </c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8">
    <cfRule type="cellIs" dxfId="2933" priority="163" operator="lessThan">
      <formula>15</formula>
    </cfRule>
    <cfRule type="cellIs" dxfId="2932" priority="164" operator="greaterThan">
      <formula>20</formula>
    </cfRule>
    <cfRule type="cellIs" dxfId="2931" priority="165" operator="between">
      <formula>15</formula>
      <formula>20</formula>
    </cfRule>
    <cfRule type="cellIs" dxfId="2930" priority="166" operator="between">
      <formula>15</formula>
      <formula>20</formula>
    </cfRule>
    <cfRule type="cellIs" dxfId="2929" priority="167" operator="lessThan">
      <formula>15</formula>
    </cfRule>
    <cfRule type="cellIs" dxfId="2928" priority="168" operator="greaterThan">
      <formula>20</formula>
    </cfRule>
    <cfRule type="cellIs" dxfId="2927" priority="169" operator="between">
      <formula>15</formula>
      <formula>21</formula>
    </cfRule>
    <cfRule type="cellIs" dxfId="2926" priority="170" operator="lessThan">
      <formula>15</formula>
    </cfRule>
    <cfRule type="cellIs" dxfId="2925" priority="171" operator="greaterThan">
      <formula>21</formula>
    </cfRule>
  </conditionalFormatting>
  <conditionalFormatting sqref="M23">
    <cfRule type="cellIs" dxfId="2924" priority="154" operator="lessThan">
      <formula>15</formula>
    </cfRule>
    <cfRule type="cellIs" dxfId="2923" priority="155" operator="greaterThan">
      <formula>20</formula>
    </cfRule>
    <cfRule type="cellIs" dxfId="2922" priority="156" operator="between">
      <formula>15</formula>
      <formula>20</formula>
    </cfRule>
    <cfRule type="cellIs" dxfId="2921" priority="157" operator="between">
      <formula>15</formula>
      <formula>20</formula>
    </cfRule>
    <cfRule type="cellIs" dxfId="2920" priority="158" operator="lessThan">
      <formula>15</formula>
    </cfRule>
    <cfRule type="cellIs" dxfId="2919" priority="159" operator="greaterThan">
      <formula>20</formula>
    </cfRule>
    <cfRule type="cellIs" dxfId="2918" priority="160" operator="between">
      <formula>15</formula>
      <formula>21</formula>
    </cfRule>
    <cfRule type="cellIs" dxfId="2917" priority="161" operator="lessThan">
      <formula>15</formula>
    </cfRule>
    <cfRule type="cellIs" dxfId="2916" priority="162" operator="greaterThan">
      <formula>21</formula>
    </cfRule>
  </conditionalFormatting>
  <conditionalFormatting sqref="M18">
    <cfRule type="cellIs" dxfId="2915" priority="145" operator="lessThan">
      <formula>15</formula>
    </cfRule>
    <cfRule type="cellIs" dxfId="2914" priority="146" operator="greaterThan">
      <formula>20</formula>
    </cfRule>
    <cfRule type="cellIs" dxfId="2913" priority="147" operator="between">
      <formula>15</formula>
      <formula>20</formula>
    </cfRule>
    <cfRule type="cellIs" dxfId="2912" priority="148" operator="between">
      <formula>15</formula>
      <formula>20</formula>
    </cfRule>
    <cfRule type="cellIs" dxfId="2911" priority="149" operator="lessThan">
      <formula>15</formula>
    </cfRule>
    <cfRule type="cellIs" dxfId="2910" priority="150" operator="greaterThan">
      <formula>20</formula>
    </cfRule>
    <cfRule type="cellIs" dxfId="2909" priority="151" operator="between">
      <formula>15</formula>
      <formula>21</formula>
    </cfRule>
    <cfRule type="cellIs" dxfId="2908" priority="152" operator="lessThan">
      <formula>15</formula>
    </cfRule>
    <cfRule type="cellIs" dxfId="2907" priority="153" operator="greaterThan">
      <formula>21</formula>
    </cfRule>
  </conditionalFormatting>
  <conditionalFormatting sqref="M35:M37">
    <cfRule type="cellIs" dxfId="2906" priority="172" operator="lessThan">
      <formula>15</formula>
    </cfRule>
    <cfRule type="cellIs" dxfId="2905" priority="173" operator="greaterThan">
      <formula>20</formula>
    </cfRule>
    <cfRule type="cellIs" dxfId="2904" priority="174" operator="between">
      <formula>15</formula>
      <formula>20</formula>
    </cfRule>
    <cfRule type="cellIs" dxfId="2903" priority="175" operator="between">
      <formula>15</formula>
      <formula>20</formula>
    </cfRule>
    <cfRule type="cellIs" dxfId="2902" priority="176" operator="lessThan">
      <formula>15</formula>
    </cfRule>
    <cfRule type="cellIs" dxfId="2901" priority="177" operator="greaterThan">
      <formula>20</formula>
    </cfRule>
    <cfRule type="cellIs" dxfId="2900" priority="178" operator="between">
      <formula>15</formula>
      <formula>21</formula>
    </cfRule>
    <cfRule type="cellIs" dxfId="2899" priority="179" operator="lessThan">
      <formula>15</formula>
    </cfRule>
    <cfRule type="cellIs" dxfId="2898" priority="180" operator="greaterThan">
      <formula>21</formula>
    </cfRule>
  </conditionalFormatting>
  <conditionalFormatting sqref="M13">
    <cfRule type="cellIs" dxfId="2897" priority="136" operator="lessThan">
      <formula>15</formula>
    </cfRule>
    <cfRule type="cellIs" dxfId="2896" priority="137" operator="greaterThan">
      <formula>20</formula>
    </cfRule>
    <cfRule type="cellIs" dxfId="2895" priority="138" operator="between">
      <formula>15</formula>
      <formula>20</formula>
    </cfRule>
    <cfRule type="cellIs" dxfId="2894" priority="139" operator="between">
      <formula>15</formula>
      <formula>20</formula>
    </cfRule>
    <cfRule type="cellIs" dxfId="2893" priority="140" operator="lessThan">
      <formula>15</formula>
    </cfRule>
    <cfRule type="cellIs" dxfId="2892" priority="141" operator="greaterThan">
      <formula>20</formula>
    </cfRule>
    <cfRule type="cellIs" dxfId="2891" priority="142" operator="between">
      <formula>15</formula>
      <formula>21</formula>
    </cfRule>
    <cfRule type="cellIs" dxfId="2890" priority="143" operator="lessThan">
      <formula>15</formula>
    </cfRule>
    <cfRule type="cellIs" dxfId="2889" priority="144" operator="greaterThan">
      <formula>21</formula>
    </cfRule>
  </conditionalFormatting>
  <conditionalFormatting sqref="M33">
    <cfRule type="cellIs" dxfId="2888" priority="127" operator="lessThan">
      <formula>15</formula>
    </cfRule>
    <cfRule type="cellIs" dxfId="2887" priority="128" operator="greaterThan">
      <formula>20</formula>
    </cfRule>
    <cfRule type="cellIs" dxfId="2886" priority="129" operator="between">
      <formula>15</formula>
      <formula>20</formula>
    </cfRule>
    <cfRule type="cellIs" dxfId="2885" priority="130" operator="between">
      <formula>15</formula>
      <formula>20</formula>
    </cfRule>
    <cfRule type="cellIs" dxfId="2884" priority="131" operator="lessThan">
      <formula>15</formula>
    </cfRule>
    <cfRule type="cellIs" dxfId="2883" priority="132" operator="greaterThan">
      <formula>20</formula>
    </cfRule>
    <cfRule type="cellIs" dxfId="2882" priority="133" operator="between">
      <formula>15</formula>
      <formula>21</formula>
    </cfRule>
    <cfRule type="cellIs" dxfId="2881" priority="134" operator="lessThan">
      <formula>15</formula>
    </cfRule>
    <cfRule type="cellIs" dxfId="2880" priority="135" operator="greaterThan">
      <formula>21</formula>
    </cfRule>
  </conditionalFormatting>
  <conditionalFormatting sqref="M38">
    <cfRule type="cellIs" dxfId="2879" priority="118" operator="lessThan">
      <formula>15</formula>
    </cfRule>
    <cfRule type="cellIs" dxfId="2878" priority="119" operator="greaterThan">
      <formula>20</formula>
    </cfRule>
    <cfRule type="cellIs" dxfId="2877" priority="120" operator="between">
      <formula>15</formula>
      <formula>20</formula>
    </cfRule>
    <cfRule type="cellIs" dxfId="2876" priority="121" operator="between">
      <formula>15</formula>
      <formula>20</formula>
    </cfRule>
    <cfRule type="cellIs" dxfId="2875" priority="122" operator="lessThan">
      <formula>15</formula>
    </cfRule>
    <cfRule type="cellIs" dxfId="2874" priority="123" operator="greaterThan">
      <formula>20</formula>
    </cfRule>
    <cfRule type="cellIs" dxfId="2873" priority="124" operator="between">
      <formula>15</formula>
      <formula>21</formula>
    </cfRule>
    <cfRule type="cellIs" dxfId="2872" priority="125" operator="lessThan">
      <formula>15</formula>
    </cfRule>
    <cfRule type="cellIs" dxfId="2871" priority="126" operator="greaterThan">
      <formula>21</formula>
    </cfRule>
  </conditionalFormatting>
  <conditionalFormatting sqref="M20">
    <cfRule type="cellIs" dxfId="2870" priority="217" operator="lessThan">
      <formula>15</formula>
    </cfRule>
    <cfRule type="cellIs" dxfId="2869" priority="218" operator="greaterThan">
      <formula>20</formula>
    </cfRule>
    <cfRule type="cellIs" dxfId="2868" priority="219" operator="between">
      <formula>15</formula>
      <formula>20</formula>
    </cfRule>
    <cfRule type="cellIs" dxfId="2867" priority="220" operator="between">
      <formula>15</formula>
      <formula>20</formula>
    </cfRule>
    <cfRule type="cellIs" dxfId="2866" priority="221" operator="lessThan">
      <formula>15</formula>
    </cfRule>
    <cfRule type="cellIs" dxfId="2865" priority="222" operator="greaterThan">
      <formula>20</formula>
    </cfRule>
    <cfRule type="cellIs" dxfId="2864" priority="223" operator="between">
      <formula>15</formula>
      <formula>21</formula>
    </cfRule>
    <cfRule type="cellIs" dxfId="2863" priority="224" operator="lessThan">
      <formula>15</formula>
    </cfRule>
    <cfRule type="cellIs" dxfId="2862" priority="225" operator="greaterThan">
      <formula>21</formula>
    </cfRule>
  </conditionalFormatting>
  <conditionalFormatting sqref="M27">
    <cfRule type="cellIs" dxfId="2861" priority="208" operator="lessThan">
      <formula>15</formula>
    </cfRule>
    <cfRule type="cellIs" dxfId="2860" priority="209" operator="greaterThan">
      <formula>20</formula>
    </cfRule>
    <cfRule type="cellIs" dxfId="2859" priority="210" operator="between">
      <formula>15</formula>
      <formula>20</formula>
    </cfRule>
    <cfRule type="cellIs" dxfId="2858" priority="211" operator="between">
      <formula>15</formula>
      <formula>20</formula>
    </cfRule>
    <cfRule type="cellIs" dxfId="2857" priority="212" operator="lessThan">
      <formula>15</formula>
    </cfRule>
    <cfRule type="cellIs" dxfId="2856" priority="213" operator="greaterThan">
      <formula>20</formula>
    </cfRule>
    <cfRule type="cellIs" dxfId="2855" priority="214" operator="between">
      <formula>15</formula>
      <formula>21</formula>
    </cfRule>
    <cfRule type="cellIs" dxfId="2854" priority="215" operator="lessThan">
      <formula>15</formula>
    </cfRule>
    <cfRule type="cellIs" dxfId="2853" priority="216" operator="greaterThan">
      <formula>21</formula>
    </cfRule>
  </conditionalFormatting>
  <conditionalFormatting sqref="M34">
    <cfRule type="cellIs" dxfId="2852" priority="199" operator="lessThan">
      <formula>15</formula>
    </cfRule>
    <cfRule type="cellIs" dxfId="2851" priority="200" operator="greaterThan">
      <formula>20</formula>
    </cfRule>
    <cfRule type="cellIs" dxfId="2850" priority="201" operator="between">
      <formula>15</formula>
      <formula>20</formula>
    </cfRule>
    <cfRule type="cellIs" dxfId="2849" priority="202" operator="between">
      <formula>15</formula>
      <formula>20</formula>
    </cfRule>
    <cfRule type="cellIs" dxfId="2848" priority="203" operator="lessThan">
      <formula>15</formula>
    </cfRule>
    <cfRule type="cellIs" dxfId="2847" priority="204" operator="greaterThan">
      <formula>20</formula>
    </cfRule>
    <cfRule type="cellIs" dxfId="2846" priority="205" operator="between">
      <formula>15</formula>
      <formula>21</formula>
    </cfRule>
    <cfRule type="cellIs" dxfId="2845" priority="206" operator="lessThan">
      <formula>15</formula>
    </cfRule>
    <cfRule type="cellIs" dxfId="2844" priority="207" operator="greaterThan">
      <formula>21</formula>
    </cfRule>
  </conditionalFormatting>
  <conditionalFormatting sqref="M14:M17 M39 M21:M22 M24:M26 M19">
    <cfRule type="cellIs" dxfId="2843" priority="226" operator="lessThan">
      <formula>15</formula>
    </cfRule>
    <cfRule type="cellIs" dxfId="2842" priority="227" operator="greaterThan">
      <formula>20</formula>
    </cfRule>
    <cfRule type="cellIs" dxfId="2841" priority="228" operator="between">
      <formula>15</formula>
      <formula>20</formula>
    </cfRule>
    <cfRule type="cellIs" dxfId="2840" priority="229" operator="between">
      <formula>15</formula>
      <formula>20</formula>
    </cfRule>
    <cfRule type="cellIs" dxfId="2839" priority="230" operator="lessThan">
      <formula>15</formula>
    </cfRule>
    <cfRule type="cellIs" dxfId="2838" priority="231" operator="greaterThan">
      <formula>20</formula>
    </cfRule>
    <cfRule type="cellIs" dxfId="2837" priority="232" operator="between">
      <formula>15</formula>
      <formula>21</formula>
    </cfRule>
    <cfRule type="cellIs" dxfId="2836" priority="233" operator="lessThan">
      <formula>15</formula>
    </cfRule>
    <cfRule type="cellIs" dxfId="2835" priority="234" operator="greaterThan">
      <formula>21</formula>
    </cfRule>
  </conditionalFormatting>
  <conditionalFormatting sqref="M9:M12">
    <cfRule type="cellIs" dxfId="2834" priority="190" operator="lessThan">
      <formula>15</formula>
    </cfRule>
    <cfRule type="cellIs" dxfId="2833" priority="191" operator="greaterThan">
      <formula>20</formula>
    </cfRule>
    <cfRule type="cellIs" dxfId="2832" priority="192" operator="between">
      <formula>15</formula>
      <formula>20</formula>
    </cfRule>
    <cfRule type="cellIs" dxfId="2831" priority="193" operator="between">
      <formula>15</formula>
      <formula>20</formula>
    </cfRule>
    <cfRule type="cellIs" dxfId="2830" priority="194" operator="lessThan">
      <formula>15</formula>
    </cfRule>
    <cfRule type="cellIs" dxfId="2829" priority="195" operator="greaterThan">
      <formula>20</formula>
    </cfRule>
    <cfRule type="cellIs" dxfId="2828" priority="196" operator="between">
      <formula>15</formula>
      <formula>21</formula>
    </cfRule>
    <cfRule type="cellIs" dxfId="2827" priority="197" operator="lessThan">
      <formula>15</formula>
    </cfRule>
    <cfRule type="cellIs" dxfId="2826" priority="198" operator="greaterThan">
      <formula>21</formula>
    </cfRule>
  </conditionalFormatting>
  <conditionalFormatting sqref="M29:M32">
    <cfRule type="cellIs" dxfId="2825" priority="181" operator="lessThan">
      <formula>15</formula>
    </cfRule>
    <cfRule type="cellIs" dxfId="2824" priority="182" operator="greaterThan">
      <formula>20</formula>
    </cfRule>
    <cfRule type="cellIs" dxfId="2823" priority="183" operator="between">
      <formula>15</formula>
      <formula>20</formula>
    </cfRule>
    <cfRule type="cellIs" dxfId="2822" priority="184" operator="between">
      <formula>15</formula>
      <formula>20</formula>
    </cfRule>
    <cfRule type="cellIs" dxfId="2821" priority="185" operator="lessThan">
      <formula>15</formula>
    </cfRule>
    <cfRule type="cellIs" dxfId="2820" priority="186" operator="greaterThan">
      <formula>20</formula>
    </cfRule>
    <cfRule type="cellIs" dxfId="2819" priority="187" operator="between">
      <formula>15</formula>
      <formula>21</formula>
    </cfRule>
    <cfRule type="cellIs" dxfId="2818" priority="188" operator="lessThan">
      <formula>15</formula>
    </cfRule>
    <cfRule type="cellIs" dxfId="2817" priority="189" operator="greaterThan">
      <formula>21</formula>
    </cfRule>
  </conditionalFormatting>
  <conditionalFormatting sqref="M38">
    <cfRule type="cellIs" dxfId="2816" priority="109" operator="lessThan">
      <formula>15</formula>
    </cfRule>
    <cfRule type="cellIs" dxfId="2815" priority="110" operator="greaterThan">
      <formula>20</formula>
    </cfRule>
    <cfRule type="cellIs" dxfId="2814" priority="111" operator="between">
      <formula>15</formula>
      <formula>20</formula>
    </cfRule>
    <cfRule type="cellIs" dxfId="2813" priority="112" operator="between">
      <formula>15</formula>
      <formula>20</formula>
    </cfRule>
    <cfRule type="cellIs" dxfId="2812" priority="113" operator="lessThan">
      <formula>15</formula>
    </cfRule>
    <cfRule type="cellIs" dxfId="2811" priority="114" operator="greaterThan">
      <formula>20</formula>
    </cfRule>
    <cfRule type="cellIs" dxfId="2810" priority="115" operator="between">
      <formula>15</formula>
      <formula>21</formula>
    </cfRule>
    <cfRule type="cellIs" dxfId="2809" priority="116" operator="lessThan">
      <formula>15</formula>
    </cfRule>
    <cfRule type="cellIs" dxfId="2808" priority="117" operator="greaterThan">
      <formula>21</formula>
    </cfRule>
  </conditionalFormatting>
  <conditionalFormatting sqref="M33">
    <cfRule type="cellIs" dxfId="2807" priority="100" operator="lessThan">
      <formula>15</formula>
    </cfRule>
    <cfRule type="cellIs" dxfId="2806" priority="101" operator="greaterThan">
      <formula>20</formula>
    </cfRule>
    <cfRule type="cellIs" dxfId="2805" priority="102" operator="between">
      <formula>15</formula>
      <formula>20</formula>
    </cfRule>
    <cfRule type="cellIs" dxfId="2804" priority="103" operator="between">
      <formula>15</formula>
      <formula>20</formula>
    </cfRule>
    <cfRule type="cellIs" dxfId="2803" priority="104" operator="lessThan">
      <formula>15</formula>
    </cfRule>
    <cfRule type="cellIs" dxfId="2802" priority="105" operator="greaterThan">
      <formula>20</formula>
    </cfRule>
    <cfRule type="cellIs" dxfId="2801" priority="106" operator="between">
      <formula>15</formula>
      <formula>21</formula>
    </cfRule>
    <cfRule type="cellIs" dxfId="2800" priority="107" operator="lessThan">
      <formula>15</formula>
    </cfRule>
    <cfRule type="cellIs" dxfId="2799" priority="108" operator="greaterThan">
      <formula>21</formula>
    </cfRule>
  </conditionalFormatting>
  <conditionalFormatting sqref="M28">
    <cfRule type="cellIs" dxfId="2798" priority="91" operator="lessThan">
      <formula>15</formula>
    </cfRule>
    <cfRule type="cellIs" dxfId="2797" priority="92" operator="greaterThan">
      <formula>20</formula>
    </cfRule>
    <cfRule type="cellIs" dxfId="2796" priority="93" operator="between">
      <formula>15</formula>
      <formula>20</formula>
    </cfRule>
    <cfRule type="cellIs" dxfId="2795" priority="94" operator="between">
      <formula>15</formula>
      <formula>20</formula>
    </cfRule>
    <cfRule type="cellIs" dxfId="2794" priority="95" operator="lessThan">
      <formula>15</formula>
    </cfRule>
    <cfRule type="cellIs" dxfId="2793" priority="96" operator="greaterThan">
      <formula>20</formula>
    </cfRule>
    <cfRule type="cellIs" dxfId="2792" priority="97" operator="between">
      <formula>15</formula>
      <formula>21</formula>
    </cfRule>
    <cfRule type="cellIs" dxfId="2791" priority="98" operator="lessThan">
      <formula>15</formula>
    </cfRule>
    <cfRule type="cellIs" dxfId="2790" priority="99" operator="greaterThan">
      <formula>21</formula>
    </cfRule>
  </conditionalFormatting>
  <conditionalFormatting sqref="M23">
    <cfRule type="cellIs" dxfId="2789" priority="82" operator="lessThan">
      <formula>15</formula>
    </cfRule>
    <cfRule type="cellIs" dxfId="2788" priority="83" operator="greaterThan">
      <formula>20</formula>
    </cfRule>
    <cfRule type="cellIs" dxfId="2787" priority="84" operator="between">
      <formula>15</formula>
      <formula>20</formula>
    </cfRule>
    <cfRule type="cellIs" dxfId="2786" priority="85" operator="between">
      <formula>15</formula>
      <formula>20</formula>
    </cfRule>
    <cfRule type="cellIs" dxfId="2785" priority="86" operator="lessThan">
      <formula>15</formula>
    </cfRule>
    <cfRule type="cellIs" dxfId="2784" priority="87" operator="greaterThan">
      <formula>20</formula>
    </cfRule>
    <cfRule type="cellIs" dxfId="2783" priority="88" operator="between">
      <formula>15</formula>
      <formula>21</formula>
    </cfRule>
    <cfRule type="cellIs" dxfId="2782" priority="89" operator="lessThan">
      <formula>15</formula>
    </cfRule>
    <cfRule type="cellIs" dxfId="2781" priority="90" operator="greaterThan">
      <formula>21</formula>
    </cfRule>
  </conditionalFormatting>
  <conditionalFormatting sqref="M18">
    <cfRule type="cellIs" dxfId="2780" priority="73" operator="lessThan">
      <formula>15</formula>
    </cfRule>
    <cfRule type="cellIs" dxfId="2779" priority="74" operator="greaterThan">
      <formula>20</formula>
    </cfRule>
    <cfRule type="cellIs" dxfId="2778" priority="75" operator="between">
      <formula>15</formula>
      <formula>20</formula>
    </cfRule>
    <cfRule type="cellIs" dxfId="2777" priority="76" operator="between">
      <formula>15</formula>
      <formula>20</formula>
    </cfRule>
    <cfRule type="cellIs" dxfId="2776" priority="77" operator="lessThan">
      <formula>15</formula>
    </cfRule>
    <cfRule type="cellIs" dxfId="2775" priority="78" operator="greaterThan">
      <formula>20</formula>
    </cfRule>
    <cfRule type="cellIs" dxfId="2774" priority="79" operator="between">
      <formula>15</formula>
      <formula>21</formula>
    </cfRule>
    <cfRule type="cellIs" dxfId="2773" priority="80" operator="lessThan">
      <formula>15</formula>
    </cfRule>
    <cfRule type="cellIs" dxfId="2772" priority="81" operator="greaterThan">
      <formula>21</formula>
    </cfRule>
  </conditionalFormatting>
  <conditionalFormatting sqref="M35:M37">
    <cfRule type="cellIs" dxfId="2771" priority="64" operator="lessThan">
      <formula>15</formula>
    </cfRule>
    <cfRule type="cellIs" dxfId="2770" priority="65" operator="greaterThan">
      <formula>20</formula>
    </cfRule>
    <cfRule type="cellIs" dxfId="2769" priority="66" operator="between">
      <formula>15</formula>
      <formula>20</formula>
    </cfRule>
    <cfRule type="cellIs" dxfId="2768" priority="67" operator="between">
      <formula>15</formula>
      <formula>20</formula>
    </cfRule>
    <cfRule type="cellIs" dxfId="2767" priority="68" operator="lessThan">
      <formula>15</formula>
    </cfRule>
    <cfRule type="cellIs" dxfId="2766" priority="69" operator="greaterThan">
      <formula>20</formula>
    </cfRule>
    <cfRule type="cellIs" dxfId="2765" priority="70" operator="between">
      <formula>15</formula>
      <formula>21</formula>
    </cfRule>
    <cfRule type="cellIs" dxfId="2764" priority="71" operator="lessThan">
      <formula>15</formula>
    </cfRule>
    <cfRule type="cellIs" dxfId="2763" priority="72" operator="greaterThan">
      <formula>21</formula>
    </cfRule>
  </conditionalFormatting>
  <conditionalFormatting sqref="M13">
    <cfRule type="cellIs" dxfId="2762" priority="55" operator="lessThan">
      <formula>15</formula>
    </cfRule>
    <cfRule type="cellIs" dxfId="2761" priority="56" operator="greaterThan">
      <formula>20</formula>
    </cfRule>
    <cfRule type="cellIs" dxfId="2760" priority="57" operator="between">
      <formula>15</formula>
      <formula>20</formula>
    </cfRule>
    <cfRule type="cellIs" dxfId="2759" priority="58" operator="between">
      <formula>15</formula>
      <formula>20</formula>
    </cfRule>
    <cfRule type="cellIs" dxfId="2758" priority="59" operator="lessThan">
      <formula>15</formula>
    </cfRule>
    <cfRule type="cellIs" dxfId="2757" priority="60" operator="greaterThan">
      <formula>20</formula>
    </cfRule>
    <cfRule type="cellIs" dxfId="2756" priority="61" operator="between">
      <formula>15</formula>
      <formula>21</formula>
    </cfRule>
    <cfRule type="cellIs" dxfId="2755" priority="62" operator="lessThan">
      <formula>15</formula>
    </cfRule>
    <cfRule type="cellIs" dxfId="2754" priority="63" operator="greaterThan">
      <formula>21</formula>
    </cfRule>
  </conditionalFormatting>
  <conditionalFormatting sqref="M20">
    <cfRule type="cellIs" dxfId="2753" priority="46" operator="lessThan">
      <formula>15</formula>
    </cfRule>
    <cfRule type="cellIs" dxfId="2752" priority="47" operator="greaterThan">
      <formula>20</formula>
    </cfRule>
    <cfRule type="cellIs" dxfId="2751" priority="48" operator="between">
      <formula>15</formula>
      <formula>20</formula>
    </cfRule>
    <cfRule type="cellIs" dxfId="2750" priority="49" operator="between">
      <formula>15</formula>
      <formula>20</formula>
    </cfRule>
    <cfRule type="cellIs" dxfId="2749" priority="50" operator="lessThan">
      <formula>15</formula>
    </cfRule>
    <cfRule type="cellIs" dxfId="2748" priority="51" operator="greaterThan">
      <formula>20</formula>
    </cfRule>
    <cfRule type="cellIs" dxfId="2747" priority="52" operator="between">
      <formula>15</formula>
      <formula>21</formula>
    </cfRule>
    <cfRule type="cellIs" dxfId="2746" priority="53" operator="lessThan">
      <formula>15</formula>
    </cfRule>
    <cfRule type="cellIs" dxfId="2745" priority="54" operator="greaterThan">
      <formula>21</formula>
    </cfRule>
  </conditionalFormatting>
  <conditionalFormatting sqref="M27">
    <cfRule type="cellIs" dxfId="2744" priority="37" operator="lessThan">
      <formula>15</formula>
    </cfRule>
    <cfRule type="cellIs" dxfId="2743" priority="38" operator="greaterThan">
      <formula>20</formula>
    </cfRule>
    <cfRule type="cellIs" dxfId="2742" priority="39" operator="between">
      <formula>15</formula>
      <formula>20</formula>
    </cfRule>
    <cfRule type="cellIs" dxfId="2741" priority="40" operator="between">
      <formula>15</formula>
      <formula>20</formula>
    </cfRule>
    <cfRule type="cellIs" dxfId="2740" priority="41" operator="lessThan">
      <formula>15</formula>
    </cfRule>
    <cfRule type="cellIs" dxfId="2739" priority="42" operator="greaterThan">
      <formula>20</formula>
    </cfRule>
    <cfRule type="cellIs" dxfId="2738" priority="43" operator="between">
      <formula>15</formula>
      <formula>21</formula>
    </cfRule>
    <cfRule type="cellIs" dxfId="2737" priority="44" operator="lessThan">
      <formula>15</formula>
    </cfRule>
    <cfRule type="cellIs" dxfId="2736" priority="45" operator="greaterThan">
      <formula>21</formula>
    </cfRule>
  </conditionalFormatting>
  <conditionalFormatting sqref="M34">
    <cfRule type="cellIs" dxfId="2735" priority="28" operator="lessThan">
      <formula>15</formula>
    </cfRule>
    <cfRule type="cellIs" dxfId="2734" priority="29" operator="greaterThan">
      <formula>20</formula>
    </cfRule>
    <cfRule type="cellIs" dxfId="2733" priority="30" operator="between">
      <formula>15</formula>
      <formula>20</formula>
    </cfRule>
    <cfRule type="cellIs" dxfId="2732" priority="31" operator="between">
      <formula>15</formula>
      <formula>20</formula>
    </cfRule>
    <cfRule type="cellIs" dxfId="2731" priority="32" operator="lessThan">
      <formula>15</formula>
    </cfRule>
    <cfRule type="cellIs" dxfId="2730" priority="33" operator="greaterThan">
      <formula>20</formula>
    </cfRule>
    <cfRule type="cellIs" dxfId="2729" priority="34" operator="between">
      <formula>15</formula>
      <formula>21</formula>
    </cfRule>
    <cfRule type="cellIs" dxfId="2728" priority="35" operator="lessThan">
      <formula>15</formula>
    </cfRule>
    <cfRule type="cellIs" dxfId="2727" priority="36" operator="greaterThan">
      <formula>21</formula>
    </cfRule>
  </conditionalFormatting>
  <conditionalFormatting sqref="M14:M17 M39 M21:M22 M24:M26 M19">
    <cfRule type="cellIs" dxfId="2726" priority="19" operator="lessThan">
      <formula>15</formula>
    </cfRule>
    <cfRule type="cellIs" dxfId="2725" priority="20" operator="greaterThan">
      <formula>20</formula>
    </cfRule>
    <cfRule type="cellIs" dxfId="2724" priority="21" operator="between">
      <formula>15</formula>
      <formula>20</formula>
    </cfRule>
    <cfRule type="cellIs" dxfId="2723" priority="22" operator="between">
      <formula>15</formula>
      <formula>20</formula>
    </cfRule>
    <cfRule type="cellIs" dxfId="2722" priority="23" operator="lessThan">
      <formula>15</formula>
    </cfRule>
    <cfRule type="cellIs" dxfId="2721" priority="24" operator="greaterThan">
      <formula>20</formula>
    </cfRule>
    <cfRule type="cellIs" dxfId="2720" priority="25" operator="between">
      <formula>15</formula>
      <formula>21</formula>
    </cfRule>
    <cfRule type="cellIs" dxfId="2719" priority="26" operator="lessThan">
      <formula>15</formula>
    </cfRule>
    <cfRule type="cellIs" dxfId="2718" priority="27" operator="greaterThan">
      <formula>21</formula>
    </cfRule>
  </conditionalFormatting>
  <conditionalFormatting sqref="M9:M12">
    <cfRule type="cellIs" dxfId="2717" priority="10" operator="lessThan">
      <formula>15</formula>
    </cfRule>
    <cfRule type="cellIs" dxfId="2716" priority="11" operator="greaterThan">
      <formula>20</formula>
    </cfRule>
    <cfRule type="cellIs" dxfId="2715" priority="12" operator="between">
      <formula>15</formula>
      <formula>20</formula>
    </cfRule>
    <cfRule type="cellIs" dxfId="2714" priority="13" operator="between">
      <formula>15</formula>
      <formula>20</formula>
    </cfRule>
    <cfRule type="cellIs" dxfId="2713" priority="14" operator="lessThan">
      <formula>15</formula>
    </cfRule>
    <cfRule type="cellIs" dxfId="2712" priority="15" operator="greaterThan">
      <formula>20</formula>
    </cfRule>
    <cfRule type="cellIs" dxfId="2711" priority="16" operator="between">
      <formula>15</formula>
      <formula>21</formula>
    </cfRule>
    <cfRule type="cellIs" dxfId="2710" priority="17" operator="lessThan">
      <formula>15</formula>
    </cfRule>
    <cfRule type="cellIs" dxfId="2709" priority="18" operator="greaterThan">
      <formula>21</formula>
    </cfRule>
  </conditionalFormatting>
  <conditionalFormatting sqref="M29:M32">
    <cfRule type="cellIs" dxfId="2708" priority="1" operator="lessThan">
      <formula>15</formula>
    </cfRule>
    <cfRule type="cellIs" dxfId="2707" priority="2" operator="greaterThan">
      <formula>20</formula>
    </cfRule>
    <cfRule type="cellIs" dxfId="2706" priority="3" operator="between">
      <formula>15</formula>
      <formula>20</formula>
    </cfRule>
    <cfRule type="cellIs" dxfId="2705" priority="4" operator="between">
      <formula>15</formula>
      <formula>20</formula>
    </cfRule>
    <cfRule type="cellIs" dxfId="2704" priority="5" operator="lessThan">
      <formula>15</formula>
    </cfRule>
    <cfRule type="cellIs" dxfId="2703" priority="6" operator="greaterThan">
      <formula>20</formula>
    </cfRule>
    <cfRule type="cellIs" dxfId="2702" priority="7" operator="between">
      <formula>15</formula>
      <formula>21</formula>
    </cfRule>
    <cfRule type="cellIs" dxfId="2701" priority="8" operator="lessThan">
      <formula>15</formula>
    </cfRule>
    <cfRule type="cellIs" dxfId="2700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50"/>
  <sheetViews>
    <sheetView zoomScale="80" zoomScaleNormal="80" workbookViewId="0">
      <pane ySplit="8" topLeftCell="A24" activePane="bottomLeft" state="frozen"/>
      <selection pane="bottomLeft"/>
    </sheetView>
  </sheetViews>
  <sheetFormatPr defaultColWidth="9.28515625" defaultRowHeight="15"/>
  <cols>
    <col min="1" max="1" width="5.85546875" style="143" customWidth="1"/>
    <col min="2" max="2" width="8.5703125" style="143" customWidth="1"/>
    <col min="3" max="3" width="18.140625" style="143" customWidth="1"/>
    <col min="4" max="11" width="9.42578125" style="142" customWidth="1"/>
    <col min="12" max="13" width="12.42578125" style="143" customWidth="1"/>
    <col min="14" max="14" width="5.425781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KL S501</v>
      </c>
      <c r="D4" s="383"/>
      <c r="E4" s="383" t="s">
        <v>228</v>
      </c>
      <c r="F4" s="383" t="s">
        <v>230</v>
      </c>
      <c r="G4" s="383"/>
      <c r="I4" s="383" t="s">
        <v>120</v>
      </c>
      <c r="J4" s="466" t="s">
        <v>313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3222</v>
      </c>
      <c r="E8" s="388">
        <f>K8</f>
        <v>3222</v>
      </c>
      <c r="F8" s="389"/>
      <c r="G8" s="388"/>
      <c r="H8" s="387"/>
      <c r="I8" s="388"/>
      <c r="J8" s="390">
        <f>K8-K8*N8</f>
        <v>3222</v>
      </c>
      <c r="K8" s="389">
        <v>3222</v>
      </c>
      <c r="L8" s="303"/>
      <c r="M8" s="304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/>
      <c r="E9" s="388">
        <f>D9</f>
        <v>0</v>
      </c>
      <c r="F9" s="446"/>
      <c r="G9" s="496">
        <f>F9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3222</v>
      </c>
      <c r="K9" s="459">
        <f t="shared" si="0"/>
        <v>3222</v>
      </c>
      <c r="L9" s="338" t="e">
        <f t="shared" ref="L9:M24" si="1">J9/H9</f>
        <v>#DIV/0!</v>
      </c>
      <c r="M9" s="300" t="e">
        <f t="shared" si="1"/>
        <v>#DIV/0!</v>
      </c>
      <c r="N9" s="366"/>
      <c r="O9" s="647">
        <f>J9/$O$8</f>
        <v>1.0736421192935688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>
        <f t="shared" ref="E10:E39" si="2">D10</f>
        <v>0</v>
      </c>
      <c r="F10" s="446"/>
      <c r="G10" s="496">
        <f t="shared" ref="G10:G39" si="3">F10</f>
        <v>0</v>
      </c>
      <c r="H10" s="498">
        <f>SUM($F$8:F10)/A10</f>
        <v>0</v>
      </c>
      <c r="I10" s="499">
        <f>SUM($G$8:G10)/A10</f>
        <v>0</v>
      </c>
      <c r="J10" s="443">
        <f t="shared" si="0"/>
        <v>3222</v>
      </c>
      <c r="K10" s="459">
        <f t="shared" si="0"/>
        <v>3222</v>
      </c>
      <c r="L10" s="338" t="e">
        <f t="shared" si="1"/>
        <v>#DIV/0!</v>
      </c>
      <c r="M10" s="300" t="e">
        <f t="shared" si="1"/>
        <v>#DIV/0!</v>
      </c>
      <c r="N10" s="366"/>
      <c r="O10" s="647">
        <f t="shared" ref="O10:O39" si="4">J10/$O$8</f>
        <v>1.0736421192935688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>
        <f t="shared" si="2"/>
        <v>0</v>
      </c>
      <c r="F11" s="446"/>
      <c r="G11" s="496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3222</v>
      </c>
      <c r="K11" s="459">
        <f t="shared" si="0"/>
        <v>3222</v>
      </c>
      <c r="L11" s="338" t="e">
        <f t="shared" si="1"/>
        <v>#DIV/0!</v>
      </c>
      <c r="M11" s="300" t="e">
        <f t="shared" si="1"/>
        <v>#DIV/0!</v>
      </c>
      <c r="N11" s="366"/>
      <c r="O11" s="647">
        <f t="shared" si="4"/>
        <v>1.0736421192935688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>
        <f t="shared" si="2"/>
        <v>0</v>
      </c>
      <c r="F12" s="446"/>
      <c r="G12" s="496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3222</v>
      </c>
      <c r="K12" s="459">
        <f t="shared" si="0"/>
        <v>3222</v>
      </c>
      <c r="L12" s="338" t="e">
        <f t="shared" si="1"/>
        <v>#DIV/0!</v>
      </c>
      <c r="M12" s="300" t="e">
        <f t="shared" si="1"/>
        <v>#DIV/0!</v>
      </c>
      <c r="N12" s="366"/>
      <c r="O12" s="647">
        <f t="shared" si="4"/>
        <v>1.0736421192935688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>
        <f t="shared" si="2"/>
        <v>0</v>
      </c>
      <c r="F13" s="446"/>
      <c r="G13" s="496">
        <f t="shared" si="3"/>
        <v>0</v>
      </c>
      <c r="H13" s="500">
        <f>SUM($F$8:F13)/A13</f>
        <v>0</v>
      </c>
      <c r="I13" s="499">
        <f>SUM($G$8:G13)/A13</f>
        <v>0</v>
      </c>
      <c r="J13" s="500">
        <f t="shared" si="0"/>
        <v>3222</v>
      </c>
      <c r="K13" s="459">
        <f t="shared" si="0"/>
        <v>3222</v>
      </c>
      <c r="L13" s="368" t="e">
        <f t="shared" si="1"/>
        <v>#DIV/0!</v>
      </c>
      <c r="M13" s="300" t="e">
        <f t="shared" si="1"/>
        <v>#DIV/0!</v>
      </c>
      <c r="N13" s="366"/>
      <c r="O13" s="647">
        <f t="shared" si="4"/>
        <v>1.0736421192935688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>
        <f t="shared" si="2"/>
        <v>0</v>
      </c>
      <c r="F14" s="446"/>
      <c r="G14" s="496">
        <f t="shared" si="3"/>
        <v>0</v>
      </c>
      <c r="H14" s="498">
        <f>SUM($F$8:F14)/A14</f>
        <v>0</v>
      </c>
      <c r="I14" s="499">
        <f>SUM($G$8:G14)/A14</f>
        <v>0</v>
      </c>
      <c r="J14" s="443">
        <f t="shared" si="0"/>
        <v>3222</v>
      </c>
      <c r="K14" s="459">
        <f t="shared" si="0"/>
        <v>3222</v>
      </c>
      <c r="L14" s="338" t="e">
        <f t="shared" si="1"/>
        <v>#DIV/0!</v>
      </c>
      <c r="M14" s="300" t="e">
        <f t="shared" si="1"/>
        <v>#DIV/0!</v>
      </c>
      <c r="N14" s="366"/>
      <c r="O14" s="647">
        <f t="shared" si="4"/>
        <v>1.0736421192935688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>
        <f t="shared" si="2"/>
        <v>0</v>
      </c>
      <c r="F15" s="446"/>
      <c r="G15" s="496">
        <f t="shared" si="3"/>
        <v>0</v>
      </c>
      <c r="H15" s="498">
        <f>SUM($F$8:F15)/A15</f>
        <v>0</v>
      </c>
      <c r="I15" s="499">
        <f>SUM($G$8:G15)/A15</f>
        <v>0</v>
      </c>
      <c r="J15" s="443">
        <f t="shared" si="0"/>
        <v>3222</v>
      </c>
      <c r="K15" s="459">
        <f t="shared" si="0"/>
        <v>3222</v>
      </c>
      <c r="L15" s="338" t="e">
        <f t="shared" si="1"/>
        <v>#DIV/0!</v>
      </c>
      <c r="M15" s="300" t="e">
        <f t="shared" si="1"/>
        <v>#DIV/0!</v>
      </c>
      <c r="N15" s="366"/>
      <c r="O15" s="647">
        <f t="shared" si="4"/>
        <v>1.0736421192935688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>
        <f t="shared" si="2"/>
        <v>0</v>
      </c>
      <c r="F16" s="446"/>
      <c r="G16" s="496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3222</v>
      </c>
      <c r="K16" s="459">
        <f t="shared" si="0"/>
        <v>3222</v>
      </c>
      <c r="L16" s="338" t="e">
        <f t="shared" si="1"/>
        <v>#DIV/0!</v>
      </c>
      <c r="M16" s="300" t="e">
        <f t="shared" si="1"/>
        <v>#DIV/0!</v>
      </c>
      <c r="N16" s="366"/>
      <c r="O16" s="647">
        <f t="shared" si="4"/>
        <v>1.0736421192935688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>
        <f t="shared" si="2"/>
        <v>0</v>
      </c>
      <c r="F17" s="446"/>
      <c r="G17" s="496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3222</v>
      </c>
      <c r="K17" s="459">
        <f t="shared" si="0"/>
        <v>3222</v>
      </c>
      <c r="L17" s="338" t="e">
        <f t="shared" si="1"/>
        <v>#DIV/0!</v>
      </c>
      <c r="M17" s="300" t="e">
        <f t="shared" si="1"/>
        <v>#DIV/0!</v>
      </c>
      <c r="N17" s="366"/>
      <c r="O17" s="647">
        <f t="shared" si="4"/>
        <v>1.0736421192935688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>
        <f t="shared" si="2"/>
        <v>0</v>
      </c>
      <c r="F18" s="446"/>
      <c r="G18" s="496">
        <f t="shared" si="3"/>
        <v>0</v>
      </c>
      <c r="H18" s="500">
        <f>SUM($F$8:F18)/A18</f>
        <v>0</v>
      </c>
      <c r="I18" s="499">
        <f>SUM($G$8:G18)/A18</f>
        <v>0</v>
      </c>
      <c r="J18" s="500">
        <f t="shared" si="0"/>
        <v>3222</v>
      </c>
      <c r="K18" s="459">
        <f t="shared" si="0"/>
        <v>3222</v>
      </c>
      <c r="L18" s="368" t="e">
        <f t="shared" si="1"/>
        <v>#DIV/0!</v>
      </c>
      <c r="M18" s="300" t="e">
        <f t="shared" si="1"/>
        <v>#DIV/0!</v>
      </c>
      <c r="N18" s="366"/>
      <c r="O18" s="647">
        <f t="shared" si="4"/>
        <v>1.0736421192935688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>
        <f t="shared" si="2"/>
        <v>0</v>
      </c>
      <c r="F19" s="446"/>
      <c r="G19" s="496">
        <f t="shared" si="3"/>
        <v>0</v>
      </c>
      <c r="H19" s="498">
        <f>SUM($F$8:F19)/A19</f>
        <v>0</v>
      </c>
      <c r="I19" s="499">
        <f>SUM($G$8:G19)/A19</f>
        <v>0</v>
      </c>
      <c r="J19" s="443">
        <f t="shared" si="0"/>
        <v>3222</v>
      </c>
      <c r="K19" s="459">
        <f t="shared" si="0"/>
        <v>3222</v>
      </c>
      <c r="L19" s="338" t="e">
        <f t="shared" si="1"/>
        <v>#DIV/0!</v>
      </c>
      <c r="M19" s="300" t="e">
        <f t="shared" si="1"/>
        <v>#DIV/0!</v>
      </c>
      <c r="N19" s="366"/>
      <c r="O19" s="647">
        <f t="shared" si="4"/>
        <v>1.0736421192935688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>
        <f t="shared" si="2"/>
        <v>0</v>
      </c>
      <c r="F20" s="446"/>
      <c r="G20" s="496">
        <f t="shared" si="3"/>
        <v>0</v>
      </c>
      <c r="H20" s="498">
        <f>SUM($F$8:F20)/A20</f>
        <v>0</v>
      </c>
      <c r="I20" s="499">
        <f>SUM($G$8:G20)/A20</f>
        <v>0</v>
      </c>
      <c r="J20" s="443">
        <f t="shared" si="0"/>
        <v>3222</v>
      </c>
      <c r="K20" s="459">
        <f t="shared" si="0"/>
        <v>3222</v>
      </c>
      <c r="L20" s="338" t="e">
        <f t="shared" si="1"/>
        <v>#DIV/0!</v>
      </c>
      <c r="M20" s="300" t="e">
        <f t="shared" si="1"/>
        <v>#DIV/0!</v>
      </c>
      <c r="N20" s="366"/>
      <c r="O20" s="647">
        <f t="shared" si="4"/>
        <v>1.0736421192935688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>
        <f t="shared" si="2"/>
        <v>0</v>
      </c>
      <c r="F21" s="446"/>
      <c r="G21" s="496">
        <f t="shared" si="3"/>
        <v>0</v>
      </c>
      <c r="H21" s="498">
        <f>SUM($F$8:F21)/A21</f>
        <v>0</v>
      </c>
      <c r="I21" s="499">
        <f>SUM($G$8:G21)/A21</f>
        <v>0</v>
      </c>
      <c r="J21" s="443">
        <f t="shared" si="0"/>
        <v>3222</v>
      </c>
      <c r="K21" s="459">
        <f>K20+E21-G21</f>
        <v>3222</v>
      </c>
      <c r="L21" s="338" t="e">
        <f t="shared" si="1"/>
        <v>#DIV/0!</v>
      </c>
      <c r="M21" s="300" t="e">
        <f t="shared" si="1"/>
        <v>#DIV/0!</v>
      </c>
      <c r="N21" s="366"/>
      <c r="O21" s="647">
        <f t="shared" si="4"/>
        <v>1.0736421192935688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>
        <f t="shared" si="2"/>
        <v>0</v>
      </c>
      <c r="F22" s="446"/>
      <c r="G22" s="496">
        <f t="shared" si="3"/>
        <v>0</v>
      </c>
      <c r="H22" s="498">
        <f>SUM($F$8:F22)/A22</f>
        <v>0</v>
      </c>
      <c r="I22" s="499">
        <f>SUM($G$8:G22)/A22</f>
        <v>0</v>
      </c>
      <c r="J22" s="443">
        <f t="shared" si="0"/>
        <v>3222</v>
      </c>
      <c r="K22" s="459">
        <f>K21+E22-G22</f>
        <v>3222</v>
      </c>
      <c r="L22" s="338" t="e">
        <f t="shared" si="1"/>
        <v>#DIV/0!</v>
      </c>
      <c r="M22" s="300" t="e">
        <f t="shared" si="1"/>
        <v>#DIV/0!</v>
      </c>
      <c r="N22" s="366"/>
      <c r="O22" s="647">
        <f t="shared" si="4"/>
        <v>1.0736421192935688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>
        <f t="shared" si="2"/>
        <v>0</v>
      </c>
      <c r="F23" s="446"/>
      <c r="G23" s="496">
        <f t="shared" si="3"/>
        <v>0</v>
      </c>
      <c r="H23" s="500">
        <f>SUM($F$8:F23)/A23</f>
        <v>0</v>
      </c>
      <c r="I23" s="499">
        <f>SUM($G$8:G23)/A23</f>
        <v>0</v>
      </c>
      <c r="J23" s="500">
        <f t="shared" si="0"/>
        <v>3222</v>
      </c>
      <c r="K23" s="459">
        <f t="shared" si="0"/>
        <v>3222</v>
      </c>
      <c r="L23" s="368" t="e">
        <f t="shared" si="1"/>
        <v>#DIV/0!</v>
      </c>
      <c r="M23" s="300" t="e">
        <f t="shared" si="1"/>
        <v>#DIV/0!</v>
      </c>
      <c r="N23" s="366"/>
      <c r="O23" s="647">
        <f t="shared" si="4"/>
        <v>1.0736421192935688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>
        <f t="shared" si="2"/>
        <v>0</v>
      </c>
      <c r="F24" s="446"/>
      <c r="G24" s="496">
        <f t="shared" si="3"/>
        <v>0</v>
      </c>
      <c r="H24" s="498">
        <f>SUM($F$8:F24)/A24</f>
        <v>0</v>
      </c>
      <c r="I24" s="499">
        <f>SUM($G$8:G24)/A24</f>
        <v>0</v>
      </c>
      <c r="J24" s="443">
        <f t="shared" si="0"/>
        <v>3222</v>
      </c>
      <c r="K24" s="459">
        <f>K23+E24-G24</f>
        <v>3222</v>
      </c>
      <c r="L24" s="338" t="e">
        <f t="shared" si="1"/>
        <v>#DIV/0!</v>
      </c>
      <c r="M24" s="300" t="e">
        <f t="shared" si="1"/>
        <v>#DIV/0!</v>
      </c>
      <c r="N24" s="366"/>
      <c r="O24" s="647">
        <f t="shared" si="4"/>
        <v>1.0736421192935688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>
        <f t="shared" si="2"/>
        <v>0</v>
      </c>
      <c r="F25" s="446"/>
      <c r="G25" s="496">
        <f t="shared" si="3"/>
        <v>0</v>
      </c>
      <c r="H25" s="498">
        <f>SUM($F$8:F25)/A25</f>
        <v>0</v>
      </c>
      <c r="I25" s="499">
        <f>SUM($G$8:G25)/A25</f>
        <v>0</v>
      </c>
      <c r="J25" s="443">
        <f t="shared" ref="J25:K39" si="5">J24+D25-F25</f>
        <v>3222</v>
      </c>
      <c r="K25" s="459">
        <f>K24+E25-G25</f>
        <v>3222</v>
      </c>
      <c r="L25" s="338" t="e">
        <f t="shared" ref="L25:M39" si="6">J25/H25</f>
        <v>#DIV/0!</v>
      </c>
      <c r="M25" s="300" t="e">
        <f t="shared" si="6"/>
        <v>#DIV/0!</v>
      </c>
      <c r="N25" s="366"/>
      <c r="O25" s="647">
        <f t="shared" si="4"/>
        <v>1.0736421192935688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>
        <f t="shared" si="2"/>
        <v>0</v>
      </c>
      <c r="F26" s="446"/>
      <c r="G26" s="496">
        <f t="shared" si="3"/>
        <v>0</v>
      </c>
      <c r="H26" s="498">
        <f>SUM($F$8:F26)/A26</f>
        <v>0</v>
      </c>
      <c r="I26" s="499">
        <f>SUM($G$8:G26)/A26</f>
        <v>0</v>
      </c>
      <c r="J26" s="443">
        <f t="shared" si="5"/>
        <v>3222</v>
      </c>
      <c r="K26" s="459">
        <f>K25+E26-G26</f>
        <v>3222</v>
      </c>
      <c r="L26" s="338" t="e">
        <f t="shared" si="6"/>
        <v>#DIV/0!</v>
      </c>
      <c r="M26" s="300" t="e">
        <f t="shared" si="6"/>
        <v>#DIV/0!</v>
      </c>
      <c r="N26" s="366"/>
      <c r="O26" s="647">
        <f t="shared" si="4"/>
        <v>1.0736421192935688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>
        <f t="shared" si="2"/>
        <v>0</v>
      </c>
      <c r="F27" s="446"/>
      <c r="G27" s="496">
        <f t="shared" si="3"/>
        <v>0</v>
      </c>
      <c r="H27" s="498">
        <f>SUM($F$8:F27)/A27</f>
        <v>0</v>
      </c>
      <c r="I27" s="499">
        <f>SUM($G$8:G27)/A27</f>
        <v>0</v>
      </c>
      <c r="J27" s="443">
        <f t="shared" si="5"/>
        <v>3222</v>
      </c>
      <c r="K27" s="459">
        <f>K26+E27-G27</f>
        <v>3222</v>
      </c>
      <c r="L27" s="338" t="e">
        <f t="shared" si="6"/>
        <v>#DIV/0!</v>
      </c>
      <c r="M27" s="300" t="e">
        <f t="shared" si="6"/>
        <v>#DIV/0!</v>
      </c>
      <c r="N27" s="366"/>
      <c r="O27" s="647">
        <f t="shared" si="4"/>
        <v>1.0736421192935688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>
        <f t="shared" si="2"/>
        <v>0</v>
      </c>
      <c r="F28" s="446"/>
      <c r="G28" s="496">
        <f t="shared" si="3"/>
        <v>0</v>
      </c>
      <c r="H28" s="500">
        <f>SUM($F$8:F28)/A28</f>
        <v>0</v>
      </c>
      <c r="I28" s="499">
        <f>SUM($G$8:G28)/A28</f>
        <v>0</v>
      </c>
      <c r="J28" s="500">
        <f t="shared" si="5"/>
        <v>3222</v>
      </c>
      <c r="K28" s="459">
        <f t="shared" si="5"/>
        <v>3222</v>
      </c>
      <c r="L28" s="368" t="e">
        <f t="shared" si="6"/>
        <v>#DIV/0!</v>
      </c>
      <c r="M28" s="300" t="e">
        <f t="shared" si="6"/>
        <v>#DIV/0!</v>
      </c>
      <c r="N28" s="366"/>
      <c r="O28" s="647">
        <f t="shared" si="4"/>
        <v>1.0736421192935688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>
        <f t="shared" si="2"/>
        <v>0</v>
      </c>
      <c r="F29" s="446"/>
      <c r="G29" s="496">
        <f t="shared" si="3"/>
        <v>0</v>
      </c>
      <c r="H29" s="498">
        <f>SUM($F$8:F29)/A29</f>
        <v>0</v>
      </c>
      <c r="I29" s="499">
        <f>SUM($G$8:G29)/A29</f>
        <v>0</v>
      </c>
      <c r="J29" s="443">
        <f t="shared" si="5"/>
        <v>3222</v>
      </c>
      <c r="K29" s="459">
        <f t="shared" si="5"/>
        <v>3222</v>
      </c>
      <c r="L29" s="338" t="e">
        <f t="shared" si="6"/>
        <v>#DIV/0!</v>
      </c>
      <c r="M29" s="300" t="e">
        <f t="shared" si="6"/>
        <v>#DIV/0!</v>
      </c>
      <c r="N29" s="366"/>
      <c r="O29" s="647">
        <f t="shared" si="4"/>
        <v>1.0736421192935688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>
        <f t="shared" si="2"/>
        <v>0</v>
      </c>
      <c r="F30" s="446"/>
      <c r="G30" s="496">
        <f t="shared" si="3"/>
        <v>0</v>
      </c>
      <c r="H30" s="498">
        <f>SUM($F$8:F30)/A30</f>
        <v>0</v>
      </c>
      <c r="I30" s="499">
        <f>SUM($G$8:G30)/A30</f>
        <v>0</v>
      </c>
      <c r="J30" s="443">
        <f t="shared" si="5"/>
        <v>3222</v>
      </c>
      <c r="K30" s="459">
        <f t="shared" si="5"/>
        <v>3222</v>
      </c>
      <c r="L30" s="338" t="e">
        <f t="shared" si="6"/>
        <v>#DIV/0!</v>
      </c>
      <c r="M30" s="300" t="e">
        <f t="shared" si="6"/>
        <v>#DIV/0!</v>
      </c>
      <c r="N30" s="366"/>
      <c r="O30" s="647">
        <f t="shared" si="4"/>
        <v>1.0736421192935688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>
        <f t="shared" si="2"/>
        <v>0</v>
      </c>
      <c r="F31" s="446"/>
      <c r="G31" s="496">
        <f t="shared" si="3"/>
        <v>0</v>
      </c>
      <c r="H31" s="498">
        <f>SUM($F$8:F31)/A31</f>
        <v>0</v>
      </c>
      <c r="I31" s="499">
        <f>SUM($G$8:G31)/A31</f>
        <v>0</v>
      </c>
      <c r="J31" s="443">
        <f t="shared" si="5"/>
        <v>3222</v>
      </c>
      <c r="K31" s="459">
        <f t="shared" si="5"/>
        <v>3222</v>
      </c>
      <c r="L31" s="338" t="e">
        <f t="shared" si="6"/>
        <v>#DIV/0!</v>
      </c>
      <c r="M31" s="300" t="e">
        <f t="shared" si="6"/>
        <v>#DIV/0!</v>
      </c>
      <c r="N31" s="366"/>
      <c r="O31" s="647">
        <f t="shared" si="4"/>
        <v>1.0736421192935688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>
        <f t="shared" si="2"/>
        <v>0</v>
      </c>
      <c r="F32" s="446"/>
      <c r="G32" s="496">
        <f t="shared" si="3"/>
        <v>0</v>
      </c>
      <c r="H32" s="498">
        <f>SUM($F$8:F32)/A32</f>
        <v>0</v>
      </c>
      <c r="I32" s="499">
        <f>SUM($G$8:G32)/A32</f>
        <v>0</v>
      </c>
      <c r="J32" s="443">
        <f t="shared" si="5"/>
        <v>3222</v>
      </c>
      <c r="K32" s="459">
        <f t="shared" si="5"/>
        <v>3222</v>
      </c>
      <c r="L32" s="338" t="e">
        <f t="shared" si="6"/>
        <v>#DIV/0!</v>
      </c>
      <c r="M32" s="300" t="e">
        <f t="shared" si="6"/>
        <v>#DIV/0!</v>
      </c>
      <c r="N32" s="366"/>
      <c r="O32" s="647">
        <f t="shared" si="4"/>
        <v>1.0736421192935688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>
        <f t="shared" si="2"/>
        <v>0</v>
      </c>
      <c r="F33" s="446"/>
      <c r="G33" s="496">
        <f t="shared" si="3"/>
        <v>0</v>
      </c>
      <c r="H33" s="448">
        <f>SUM($F$8:F33)/A33</f>
        <v>0</v>
      </c>
      <c r="I33" s="499">
        <f>SUM($G$8:G33)/A33</f>
        <v>0</v>
      </c>
      <c r="J33" s="448">
        <f t="shared" si="5"/>
        <v>3222</v>
      </c>
      <c r="K33" s="459">
        <f t="shared" si="5"/>
        <v>3222</v>
      </c>
      <c r="L33" s="369" t="e">
        <f t="shared" si="6"/>
        <v>#DIV/0!</v>
      </c>
      <c r="M33" s="300" t="e">
        <f t="shared" si="6"/>
        <v>#DIV/0!</v>
      </c>
      <c r="N33" s="366"/>
      <c r="O33" s="647">
        <f t="shared" si="4"/>
        <v>1.0736421192935688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>
        <f t="shared" si="2"/>
        <v>0</v>
      </c>
      <c r="F34" s="446"/>
      <c r="G34" s="496">
        <f t="shared" si="3"/>
        <v>0</v>
      </c>
      <c r="H34" s="498">
        <f>SUM($F$8:F34)/A34</f>
        <v>0</v>
      </c>
      <c r="I34" s="499">
        <f>SUM($G$8:G34)/A34</f>
        <v>0</v>
      </c>
      <c r="J34" s="443">
        <f t="shared" si="5"/>
        <v>3222</v>
      </c>
      <c r="K34" s="459">
        <f t="shared" si="5"/>
        <v>3222</v>
      </c>
      <c r="L34" s="338" t="e">
        <f t="shared" si="6"/>
        <v>#DIV/0!</v>
      </c>
      <c r="M34" s="300" t="e">
        <f t="shared" si="6"/>
        <v>#DIV/0!</v>
      </c>
      <c r="N34" s="366"/>
      <c r="O34" s="647">
        <f t="shared" si="4"/>
        <v>1.0736421192935688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>
        <f t="shared" si="2"/>
        <v>0</v>
      </c>
      <c r="F35" s="446"/>
      <c r="G35" s="496">
        <f t="shared" si="3"/>
        <v>0</v>
      </c>
      <c r="H35" s="498">
        <f>SUM($F$8:F35)/A35</f>
        <v>0</v>
      </c>
      <c r="I35" s="499">
        <f>SUM($G$8:G35)/A35</f>
        <v>0</v>
      </c>
      <c r="J35" s="443">
        <f t="shared" si="5"/>
        <v>3222</v>
      </c>
      <c r="K35" s="459">
        <f t="shared" si="5"/>
        <v>3222</v>
      </c>
      <c r="L35" s="338" t="e">
        <f t="shared" si="6"/>
        <v>#DIV/0!</v>
      </c>
      <c r="M35" s="300" t="e">
        <f t="shared" si="6"/>
        <v>#DIV/0!</v>
      </c>
      <c r="N35" s="366"/>
      <c r="O35" s="647">
        <f t="shared" si="4"/>
        <v>1.0736421192935688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>
        <f t="shared" si="2"/>
        <v>0</v>
      </c>
      <c r="F36" s="446"/>
      <c r="G36" s="496">
        <f t="shared" si="3"/>
        <v>0</v>
      </c>
      <c r="H36" s="498">
        <f>SUM($F$8:F36)/A36</f>
        <v>0</v>
      </c>
      <c r="I36" s="499">
        <f>SUM($G$8:G36)/A36</f>
        <v>0</v>
      </c>
      <c r="J36" s="443">
        <f t="shared" si="5"/>
        <v>3222</v>
      </c>
      <c r="K36" s="459">
        <f t="shared" si="5"/>
        <v>3222</v>
      </c>
      <c r="L36" s="338" t="e">
        <f t="shared" si="6"/>
        <v>#DIV/0!</v>
      </c>
      <c r="M36" s="300" t="e">
        <f t="shared" si="6"/>
        <v>#DIV/0!</v>
      </c>
      <c r="N36" s="366"/>
      <c r="O36" s="647">
        <f t="shared" si="4"/>
        <v>1.0736421192935688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>
        <f t="shared" si="2"/>
        <v>0</v>
      </c>
      <c r="F37" s="446"/>
      <c r="G37" s="496">
        <f t="shared" si="3"/>
        <v>0</v>
      </c>
      <c r="H37" s="498">
        <f>SUM($F$8:F37)/A37</f>
        <v>0</v>
      </c>
      <c r="I37" s="499">
        <f>SUM($G$8:G37)/A37</f>
        <v>0</v>
      </c>
      <c r="J37" s="443">
        <f t="shared" si="5"/>
        <v>3222</v>
      </c>
      <c r="K37" s="459">
        <f t="shared" si="5"/>
        <v>3222</v>
      </c>
      <c r="L37" s="338" t="e">
        <f t="shared" si="6"/>
        <v>#DIV/0!</v>
      </c>
      <c r="M37" s="300" t="e">
        <f t="shared" si="6"/>
        <v>#DIV/0!</v>
      </c>
      <c r="N37" s="366"/>
      <c r="O37" s="647">
        <f t="shared" si="4"/>
        <v>1.0736421192935688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>
        <f t="shared" si="2"/>
        <v>0</v>
      </c>
      <c r="F38" s="446"/>
      <c r="G38" s="496">
        <f t="shared" si="3"/>
        <v>0</v>
      </c>
      <c r="H38" s="500">
        <f>SUM($F$8:F38)/A38</f>
        <v>0</v>
      </c>
      <c r="I38" s="499">
        <f>SUM($G$8:G38)/A38</f>
        <v>0</v>
      </c>
      <c r="J38" s="500">
        <f t="shared" si="5"/>
        <v>3222</v>
      </c>
      <c r="K38" s="459">
        <f t="shared" si="5"/>
        <v>3222</v>
      </c>
      <c r="L38" s="368" t="e">
        <f t="shared" si="6"/>
        <v>#DIV/0!</v>
      </c>
      <c r="M38" s="300" t="e">
        <f t="shared" si="6"/>
        <v>#DIV/0!</v>
      </c>
      <c r="N38" s="366"/>
      <c r="O38" s="647">
        <f t="shared" si="4"/>
        <v>1.0736421192935688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>
        <f t="shared" si="2"/>
        <v>0</v>
      </c>
      <c r="F39" s="446"/>
      <c r="G39" s="496">
        <f t="shared" si="3"/>
        <v>0</v>
      </c>
      <c r="H39" s="498">
        <f>SUM($F$8:F39)/A39</f>
        <v>0</v>
      </c>
      <c r="I39" s="499">
        <f>SUM($G$8:G39)/A39</f>
        <v>0</v>
      </c>
      <c r="J39" s="443">
        <f t="shared" si="5"/>
        <v>3222</v>
      </c>
      <c r="K39" s="459">
        <f t="shared" si="5"/>
        <v>3222</v>
      </c>
      <c r="L39" s="338" t="e">
        <f t="shared" si="6"/>
        <v>#DIV/0!</v>
      </c>
      <c r="M39" s="300" t="e">
        <f t="shared" si="6"/>
        <v>#DIV/0!</v>
      </c>
      <c r="N39" s="366"/>
      <c r="O39" s="647">
        <f t="shared" si="4"/>
        <v>1.0736421192935688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3222</v>
      </c>
      <c r="K40" s="461">
        <f>K39</f>
        <v>3222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3222</v>
      </c>
      <c r="E41" s="388">
        <f>E8+E40</f>
        <v>3222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3222</v>
      </c>
      <c r="K41" s="389">
        <f>E41-G41</f>
        <v>3222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8">
    <cfRule type="cellIs" dxfId="2699" priority="163" operator="lessThan">
      <formula>15</formula>
    </cfRule>
    <cfRule type="cellIs" dxfId="2698" priority="164" operator="greaterThan">
      <formula>20</formula>
    </cfRule>
    <cfRule type="cellIs" dxfId="2697" priority="165" operator="between">
      <formula>15</formula>
      <formula>20</formula>
    </cfRule>
    <cfRule type="cellIs" dxfId="2696" priority="166" operator="between">
      <formula>15</formula>
      <formula>20</formula>
    </cfRule>
    <cfRule type="cellIs" dxfId="2695" priority="167" operator="lessThan">
      <formula>15</formula>
    </cfRule>
    <cfRule type="cellIs" dxfId="2694" priority="168" operator="greaterThan">
      <formula>20</formula>
    </cfRule>
    <cfRule type="cellIs" dxfId="2693" priority="169" operator="between">
      <formula>15</formula>
      <formula>21</formula>
    </cfRule>
    <cfRule type="cellIs" dxfId="2692" priority="170" operator="lessThan">
      <formula>15</formula>
    </cfRule>
    <cfRule type="cellIs" dxfId="2691" priority="171" operator="greaterThan">
      <formula>21</formula>
    </cfRule>
  </conditionalFormatting>
  <conditionalFormatting sqref="M23">
    <cfRule type="cellIs" dxfId="2690" priority="154" operator="lessThan">
      <formula>15</formula>
    </cfRule>
    <cfRule type="cellIs" dxfId="2689" priority="155" operator="greaterThan">
      <formula>20</formula>
    </cfRule>
    <cfRule type="cellIs" dxfId="2688" priority="156" operator="between">
      <formula>15</formula>
      <formula>20</formula>
    </cfRule>
    <cfRule type="cellIs" dxfId="2687" priority="157" operator="between">
      <formula>15</formula>
      <formula>20</formula>
    </cfRule>
    <cfRule type="cellIs" dxfId="2686" priority="158" operator="lessThan">
      <formula>15</formula>
    </cfRule>
    <cfRule type="cellIs" dxfId="2685" priority="159" operator="greaterThan">
      <formula>20</formula>
    </cfRule>
    <cfRule type="cellIs" dxfId="2684" priority="160" operator="between">
      <formula>15</formula>
      <formula>21</formula>
    </cfRule>
    <cfRule type="cellIs" dxfId="2683" priority="161" operator="lessThan">
      <formula>15</formula>
    </cfRule>
    <cfRule type="cellIs" dxfId="2682" priority="162" operator="greaterThan">
      <formula>21</formula>
    </cfRule>
  </conditionalFormatting>
  <conditionalFormatting sqref="M18">
    <cfRule type="cellIs" dxfId="2681" priority="145" operator="lessThan">
      <formula>15</formula>
    </cfRule>
    <cfRule type="cellIs" dxfId="2680" priority="146" operator="greaterThan">
      <formula>20</formula>
    </cfRule>
    <cfRule type="cellIs" dxfId="2679" priority="147" operator="between">
      <formula>15</formula>
      <formula>20</formula>
    </cfRule>
    <cfRule type="cellIs" dxfId="2678" priority="148" operator="between">
      <formula>15</formula>
      <formula>20</formula>
    </cfRule>
    <cfRule type="cellIs" dxfId="2677" priority="149" operator="lessThan">
      <formula>15</formula>
    </cfRule>
    <cfRule type="cellIs" dxfId="2676" priority="150" operator="greaterThan">
      <formula>20</formula>
    </cfRule>
    <cfRule type="cellIs" dxfId="2675" priority="151" operator="between">
      <formula>15</formula>
      <formula>21</formula>
    </cfRule>
    <cfRule type="cellIs" dxfId="2674" priority="152" operator="lessThan">
      <formula>15</formula>
    </cfRule>
    <cfRule type="cellIs" dxfId="2673" priority="153" operator="greaterThan">
      <formula>21</formula>
    </cfRule>
  </conditionalFormatting>
  <conditionalFormatting sqref="M35:M37">
    <cfRule type="cellIs" dxfId="2672" priority="172" operator="lessThan">
      <formula>15</formula>
    </cfRule>
    <cfRule type="cellIs" dxfId="2671" priority="173" operator="greaterThan">
      <formula>20</formula>
    </cfRule>
    <cfRule type="cellIs" dxfId="2670" priority="174" operator="between">
      <formula>15</formula>
      <formula>20</formula>
    </cfRule>
    <cfRule type="cellIs" dxfId="2669" priority="175" operator="between">
      <formula>15</formula>
      <formula>20</formula>
    </cfRule>
    <cfRule type="cellIs" dxfId="2668" priority="176" operator="lessThan">
      <formula>15</formula>
    </cfRule>
    <cfRule type="cellIs" dxfId="2667" priority="177" operator="greaterThan">
      <formula>20</formula>
    </cfRule>
    <cfRule type="cellIs" dxfId="2666" priority="178" operator="between">
      <formula>15</formula>
      <formula>21</formula>
    </cfRule>
    <cfRule type="cellIs" dxfId="2665" priority="179" operator="lessThan">
      <formula>15</formula>
    </cfRule>
    <cfRule type="cellIs" dxfId="2664" priority="180" operator="greaterThan">
      <formula>21</formula>
    </cfRule>
  </conditionalFormatting>
  <conditionalFormatting sqref="M13">
    <cfRule type="cellIs" dxfId="2663" priority="136" operator="lessThan">
      <formula>15</formula>
    </cfRule>
    <cfRule type="cellIs" dxfId="2662" priority="137" operator="greaterThan">
      <formula>20</formula>
    </cfRule>
    <cfRule type="cellIs" dxfId="2661" priority="138" operator="between">
      <formula>15</formula>
      <formula>20</formula>
    </cfRule>
    <cfRule type="cellIs" dxfId="2660" priority="139" operator="between">
      <formula>15</formula>
      <formula>20</formula>
    </cfRule>
    <cfRule type="cellIs" dxfId="2659" priority="140" operator="lessThan">
      <formula>15</formula>
    </cfRule>
    <cfRule type="cellIs" dxfId="2658" priority="141" operator="greaterThan">
      <formula>20</formula>
    </cfRule>
    <cfRule type="cellIs" dxfId="2657" priority="142" operator="between">
      <formula>15</formula>
      <formula>21</formula>
    </cfRule>
    <cfRule type="cellIs" dxfId="2656" priority="143" operator="lessThan">
      <formula>15</formula>
    </cfRule>
    <cfRule type="cellIs" dxfId="2655" priority="144" operator="greaterThan">
      <formula>21</formula>
    </cfRule>
  </conditionalFormatting>
  <conditionalFormatting sqref="M33">
    <cfRule type="cellIs" dxfId="2654" priority="127" operator="lessThan">
      <formula>15</formula>
    </cfRule>
    <cfRule type="cellIs" dxfId="2653" priority="128" operator="greaterThan">
      <formula>20</formula>
    </cfRule>
    <cfRule type="cellIs" dxfId="2652" priority="129" operator="between">
      <formula>15</formula>
      <formula>20</formula>
    </cfRule>
    <cfRule type="cellIs" dxfId="2651" priority="130" operator="between">
      <formula>15</formula>
      <formula>20</formula>
    </cfRule>
    <cfRule type="cellIs" dxfId="2650" priority="131" operator="lessThan">
      <formula>15</formula>
    </cfRule>
    <cfRule type="cellIs" dxfId="2649" priority="132" operator="greaterThan">
      <formula>20</formula>
    </cfRule>
    <cfRule type="cellIs" dxfId="2648" priority="133" operator="between">
      <formula>15</formula>
      <formula>21</formula>
    </cfRule>
    <cfRule type="cellIs" dxfId="2647" priority="134" operator="lessThan">
      <formula>15</formula>
    </cfRule>
    <cfRule type="cellIs" dxfId="2646" priority="135" operator="greaterThan">
      <formula>21</formula>
    </cfRule>
  </conditionalFormatting>
  <conditionalFormatting sqref="M38">
    <cfRule type="cellIs" dxfId="2645" priority="118" operator="lessThan">
      <formula>15</formula>
    </cfRule>
    <cfRule type="cellIs" dxfId="2644" priority="119" operator="greaterThan">
      <formula>20</formula>
    </cfRule>
    <cfRule type="cellIs" dxfId="2643" priority="120" operator="between">
      <formula>15</formula>
      <formula>20</formula>
    </cfRule>
    <cfRule type="cellIs" dxfId="2642" priority="121" operator="between">
      <formula>15</formula>
      <formula>20</formula>
    </cfRule>
    <cfRule type="cellIs" dxfId="2641" priority="122" operator="lessThan">
      <formula>15</formula>
    </cfRule>
    <cfRule type="cellIs" dxfId="2640" priority="123" operator="greaterThan">
      <formula>20</formula>
    </cfRule>
    <cfRule type="cellIs" dxfId="2639" priority="124" operator="between">
      <formula>15</formula>
      <formula>21</formula>
    </cfRule>
    <cfRule type="cellIs" dxfId="2638" priority="125" operator="lessThan">
      <formula>15</formula>
    </cfRule>
    <cfRule type="cellIs" dxfId="2637" priority="126" operator="greaterThan">
      <formula>21</formula>
    </cfRule>
  </conditionalFormatting>
  <conditionalFormatting sqref="M20">
    <cfRule type="cellIs" dxfId="2636" priority="217" operator="lessThan">
      <formula>15</formula>
    </cfRule>
    <cfRule type="cellIs" dxfId="2635" priority="218" operator="greaterThan">
      <formula>20</formula>
    </cfRule>
    <cfRule type="cellIs" dxfId="2634" priority="219" operator="between">
      <formula>15</formula>
      <formula>20</formula>
    </cfRule>
    <cfRule type="cellIs" dxfId="2633" priority="220" operator="between">
      <formula>15</formula>
      <formula>20</formula>
    </cfRule>
    <cfRule type="cellIs" dxfId="2632" priority="221" operator="lessThan">
      <formula>15</formula>
    </cfRule>
    <cfRule type="cellIs" dxfId="2631" priority="222" operator="greaterThan">
      <formula>20</formula>
    </cfRule>
    <cfRule type="cellIs" dxfId="2630" priority="223" operator="between">
      <formula>15</formula>
      <formula>21</formula>
    </cfRule>
    <cfRule type="cellIs" dxfId="2629" priority="224" operator="lessThan">
      <formula>15</formula>
    </cfRule>
    <cfRule type="cellIs" dxfId="2628" priority="225" operator="greaterThan">
      <formula>21</formula>
    </cfRule>
  </conditionalFormatting>
  <conditionalFormatting sqref="M27">
    <cfRule type="cellIs" dxfId="2627" priority="208" operator="lessThan">
      <formula>15</formula>
    </cfRule>
    <cfRule type="cellIs" dxfId="2626" priority="209" operator="greaterThan">
      <formula>20</formula>
    </cfRule>
    <cfRule type="cellIs" dxfId="2625" priority="210" operator="between">
      <formula>15</formula>
      <formula>20</formula>
    </cfRule>
    <cfRule type="cellIs" dxfId="2624" priority="211" operator="between">
      <formula>15</formula>
      <formula>20</formula>
    </cfRule>
    <cfRule type="cellIs" dxfId="2623" priority="212" operator="lessThan">
      <formula>15</formula>
    </cfRule>
    <cfRule type="cellIs" dxfId="2622" priority="213" operator="greaterThan">
      <formula>20</formula>
    </cfRule>
    <cfRule type="cellIs" dxfId="2621" priority="214" operator="between">
      <formula>15</formula>
      <formula>21</formula>
    </cfRule>
    <cfRule type="cellIs" dxfId="2620" priority="215" operator="lessThan">
      <formula>15</formula>
    </cfRule>
    <cfRule type="cellIs" dxfId="2619" priority="216" operator="greaterThan">
      <formula>21</formula>
    </cfRule>
  </conditionalFormatting>
  <conditionalFormatting sqref="M34">
    <cfRule type="cellIs" dxfId="2618" priority="199" operator="lessThan">
      <formula>15</formula>
    </cfRule>
    <cfRule type="cellIs" dxfId="2617" priority="200" operator="greaterThan">
      <formula>20</formula>
    </cfRule>
    <cfRule type="cellIs" dxfId="2616" priority="201" operator="between">
      <formula>15</formula>
      <formula>20</formula>
    </cfRule>
    <cfRule type="cellIs" dxfId="2615" priority="202" operator="between">
      <formula>15</formula>
      <formula>20</formula>
    </cfRule>
    <cfRule type="cellIs" dxfId="2614" priority="203" operator="lessThan">
      <formula>15</formula>
    </cfRule>
    <cfRule type="cellIs" dxfId="2613" priority="204" operator="greaterThan">
      <formula>20</formula>
    </cfRule>
    <cfRule type="cellIs" dxfId="2612" priority="205" operator="between">
      <formula>15</formula>
      <formula>21</formula>
    </cfRule>
    <cfRule type="cellIs" dxfId="2611" priority="206" operator="lessThan">
      <formula>15</formula>
    </cfRule>
    <cfRule type="cellIs" dxfId="2610" priority="207" operator="greaterThan">
      <formula>21</formula>
    </cfRule>
  </conditionalFormatting>
  <conditionalFormatting sqref="M14:M17 M39 M21:M22 M24:M26 M19">
    <cfRule type="cellIs" dxfId="2609" priority="226" operator="lessThan">
      <formula>15</formula>
    </cfRule>
    <cfRule type="cellIs" dxfId="2608" priority="227" operator="greaterThan">
      <formula>20</formula>
    </cfRule>
    <cfRule type="cellIs" dxfId="2607" priority="228" operator="between">
      <formula>15</formula>
      <formula>20</formula>
    </cfRule>
    <cfRule type="cellIs" dxfId="2606" priority="229" operator="between">
      <formula>15</formula>
      <formula>20</formula>
    </cfRule>
    <cfRule type="cellIs" dxfId="2605" priority="230" operator="lessThan">
      <formula>15</formula>
    </cfRule>
    <cfRule type="cellIs" dxfId="2604" priority="231" operator="greaterThan">
      <formula>20</formula>
    </cfRule>
    <cfRule type="cellIs" dxfId="2603" priority="232" operator="between">
      <formula>15</formula>
      <formula>21</formula>
    </cfRule>
    <cfRule type="cellIs" dxfId="2602" priority="233" operator="lessThan">
      <formula>15</formula>
    </cfRule>
    <cfRule type="cellIs" dxfId="2601" priority="234" operator="greaterThan">
      <formula>21</formula>
    </cfRule>
  </conditionalFormatting>
  <conditionalFormatting sqref="M9:M12">
    <cfRule type="cellIs" dxfId="2600" priority="190" operator="lessThan">
      <formula>15</formula>
    </cfRule>
    <cfRule type="cellIs" dxfId="2599" priority="191" operator="greaterThan">
      <formula>20</formula>
    </cfRule>
    <cfRule type="cellIs" dxfId="2598" priority="192" operator="between">
      <formula>15</formula>
      <formula>20</formula>
    </cfRule>
    <cfRule type="cellIs" dxfId="2597" priority="193" operator="between">
      <formula>15</formula>
      <formula>20</formula>
    </cfRule>
    <cfRule type="cellIs" dxfId="2596" priority="194" operator="lessThan">
      <formula>15</formula>
    </cfRule>
    <cfRule type="cellIs" dxfId="2595" priority="195" operator="greaterThan">
      <formula>20</formula>
    </cfRule>
    <cfRule type="cellIs" dxfId="2594" priority="196" operator="between">
      <formula>15</formula>
      <formula>21</formula>
    </cfRule>
    <cfRule type="cellIs" dxfId="2593" priority="197" operator="lessThan">
      <formula>15</formula>
    </cfRule>
    <cfRule type="cellIs" dxfId="2592" priority="198" operator="greaterThan">
      <formula>21</formula>
    </cfRule>
  </conditionalFormatting>
  <conditionalFormatting sqref="M29:M32">
    <cfRule type="cellIs" dxfId="2591" priority="181" operator="lessThan">
      <formula>15</formula>
    </cfRule>
    <cfRule type="cellIs" dxfId="2590" priority="182" operator="greaterThan">
      <formula>20</formula>
    </cfRule>
    <cfRule type="cellIs" dxfId="2589" priority="183" operator="between">
      <formula>15</formula>
      <formula>20</formula>
    </cfRule>
    <cfRule type="cellIs" dxfId="2588" priority="184" operator="between">
      <formula>15</formula>
      <formula>20</formula>
    </cfRule>
    <cfRule type="cellIs" dxfId="2587" priority="185" operator="lessThan">
      <formula>15</formula>
    </cfRule>
    <cfRule type="cellIs" dxfId="2586" priority="186" operator="greaterThan">
      <formula>20</formula>
    </cfRule>
    <cfRule type="cellIs" dxfId="2585" priority="187" operator="between">
      <formula>15</formula>
      <formula>21</formula>
    </cfRule>
    <cfRule type="cellIs" dxfId="2584" priority="188" operator="lessThan">
      <formula>15</formula>
    </cfRule>
    <cfRule type="cellIs" dxfId="2583" priority="189" operator="greaterThan">
      <formula>21</formula>
    </cfRule>
  </conditionalFormatting>
  <conditionalFormatting sqref="M38">
    <cfRule type="cellIs" dxfId="2582" priority="109" operator="lessThan">
      <formula>15</formula>
    </cfRule>
    <cfRule type="cellIs" dxfId="2581" priority="110" operator="greaterThan">
      <formula>20</formula>
    </cfRule>
    <cfRule type="cellIs" dxfId="2580" priority="111" operator="between">
      <formula>15</formula>
      <formula>20</formula>
    </cfRule>
    <cfRule type="cellIs" dxfId="2579" priority="112" operator="between">
      <formula>15</formula>
      <formula>20</formula>
    </cfRule>
    <cfRule type="cellIs" dxfId="2578" priority="113" operator="lessThan">
      <formula>15</formula>
    </cfRule>
    <cfRule type="cellIs" dxfId="2577" priority="114" operator="greaterThan">
      <formula>20</formula>
    </cfRule>
    <cfRule type="cellIs" dxfId="2576" priority="115" operator="between">
      <formula>15</formula>
      <formula>21</formula>
    </cfRule>
    <cfRule type="cellIs" dxfId="2575" priority="116" operator="lessThan">
      <formula>15</formula>
    </cfRule>
    <cfRule type="cellIs" dxfId="2574" priority="117" operator="greaterThan">
      <formula>21</formula>
    </cfRule>
  </conditionalFormatting>
  <conditionalFormatting sqref="M33">
    <cfRule type="cellIs" dxfId="2573" priority="100" operator="lessThan">
      <formula>15</formula>
    </cfRule>
    <cfRule type="cellIs" dxfId="2572" priority="101" operator="greaterThan">
      <formula>20</formula>
    </cfRule>
    <cfRule type="cellIs" dxfId="2571" priority="102" operator="between">
      <formula>15</formula>
      <formula>20</formula>
    </cfRule>
    <cfRule type="cellIs" dxfId="2570" priority="103" operator="between">
      <formula>15</formula>
      <formula>20</formula>
    </cfRule>
    <cfRule type="cellIs" dxfId="2569" priority="104" operator="lessThan">
      <formula>15</formula>
    </cfRule>
    <cfRule type="cellIs" dxfId="2568" priority="105" operator="greaterThan">
      <formula>20</formula>
    </cfRule>
    <cfRule type="cellIs" dxfId="2567" priority="106" operator="between">
      <formula>15</formula>
      <formula>21</formula>
    </cfRule>
    <cfRule type="cellIs" dxfId="2566" priority="107" operator="lessThan">
      <formula>15</formula>
    </cfRule>
    <cfRule type="cellIs" dxfId="2565" priority="108" operator="greaterThan">
      <formula>21</formula>
    </cfRule>
  </conditionalFormatting>
  <conditionalFormatting sqref="M28">
    <cfRule type="cellIs" dxfId="2564" priority="91" operator="lessThan">
      <formula>15</formula>
    </cfRule>
    <cfRule type="cellIs" dxfId="2563" priority="92" operator="greaterThan">
      <formula>20</formula>
    </cfRule>
    <cfRule type="cellIs" dxfId="2562" priority="93" operator="between">
      <formula>15</formula>
      <formula>20</formula>
    </cfRule>
    <cfRule type="cellIs" dxfId="2561" priority="94" operator="between">
      <formula>15</formula>
      <formula>20</formula>
    </cfRule>
    <cfRule type="cellIs" dxfId="2560" priority="95" operator="lessThan">
      <formula>15</formula>
    </cfRule>
    <cfRule type="cellIs" dxfId="2559" priority="96" operator="greaterThan">
      <formula>20</formula>
    </cfRule>
    <cfRule type="cellIs" dxfId="2558" priority="97" operator="between">
      <formula>15</formula>
      <formula>21</formula>
    </cfRule>
    <cfRule type="cellIs" dxfId="2557" priority="98" operator="lessThan">
      <formula>15</formula>
    </cfRule>
    <cfRule type="cellIs" dxfId="2556" priority="99" operator="greaterThan">
      <formula>21</formula>
    </cfRule>
  </conditionalFormatting>
  <conditionalFormatting sqref="M23">
    <cfRule type="cellIs" dxfId="2555" priority="82" operator="lessThan">
      <formula>15</formula>
    </cfRule>
    <cfRule type="cellIs" dxfId="2554" priority="83" operator="greaterThan">
      <formula>20</formula>
    </cfRule>
    <cfRule type="cellIs" dxfId="2553" priority="84" operator="between">
      <formula>15</formula>
      <formula>20</formula>
    </cfRule>
    <cfRule type="cellIs" dxfId="2552" priority="85" operator="between">
      <formula>15</formula>
      <formula>20</formula>
    </cfRule>
    <cfRule type="cellIs" dxfId="2551" priority="86" operator="lessThan">
      <formula>15</formula>
    </cfRule>
    <cfRule type="cellIs" dxfId="2550" priority="87" operator="greaterThan">
      <formula>20</formula>
    </cfRule>
    <cfRule type="cellIs" dxfId="2549" priority="88" operator="between">
      <formula>15</formula>
      <formula>21</formula>
    </cfRule>
    <cfRule type="cellIs" dxfId="2548" priority="89" operator="lessThan">
      <formula>15</formula>
    </cfRule>
    <cfRule type="cellIs" dxfId="2547" priority="90" operator="greaterThan">
      <formula>21</formula>
    </cfRule>
  </conditionalFormatting>
  <conditionalFormatting sqref="M18">
    <cfRule type="cellIs" dxfId="2546" priority="73" operator="lessThan">
      <formula>15</formula>
    </cfRule>
    <cfRule type="cellIs" dxfId="2545" priority="74" operator="greaterThan">
      <formula>20</formula>
    </cfRule>
    <cfRule type="cellIs" dxfId="2544" priority="75" operator="between">
      <formula>15</formula>
      <formula>20</formula>
    </cfRule>
    <cfRule type="cellIs" dxfId="2543" priority="76" operator="between">
      <formula>15</formula>
      <formula>20</formula>
    </cfRule>
    <cfRule type="cellIs" dxfId="2542" priority="77" operator="lessThan">
      <formula>15</formula>
    </cfRule>
    <cfRule type="cellIs" dxfId="2541" priority="78" operator="greaterThan">
      <formula>20</formula>
    </cfRule>
    <cfRule type="cellIs" dxfId="2540" priority="79" operator="between">
      <formula>15</formula>
      <formula>21</formula>
    </cfRule>
    <cfRule type="cellIs" dxfId="2539" priority="80" operator="lessThan">
      <formula>15</formula>
    </cfRule>
    <cfRule type="cellIs" dxfId="2538" priority="81" operator="greaterThan">
      <formula>21</formula>
    </cfRule>
  </conditionalFormatting>
  <conditionalFormatting sqref="M35:M37">
    <cfRule type="cellIs" dxfId="2537" priority="64" operator="lessThan">
      <formula>15</formula>
    </cfRule>
    <cfRule type="cellIs" dxfId="2536" priority="65" operator="greaterThan">
      <formula>20</formula>
    </cfRule>
    <cfRule type="cellIs" dxfId="2535" priority="66" operator="between">
      <formula>15</formula>
      <formula>20</formula>
    </cfRule>
    <cfRule type="cellIs" dxfId="2534" priority="67" operator="between">
      <formula>15</formula>
      <formula>20</formula>
    </cfRule>
    <cfRule type="cellIs" dxfId="2533" priority="68" operator="lessThan">
      <formula>15</formula>
    </cfRule>
    <cfRule type="cellIs" dxfId="2532" priority="69" operator="greaterThan">
      <formula>20</formula>
    </cfRule>
    <cfRule type="cellIs" dxfId="2531" priority="70" operator="between">
      <formula>15</formula>
      <formula>21</formula>
    </cfRule>
    <cfRule type="cellIs" dxfId="2530" priority="71" operator="lessThan">
      <formula>15</formula>
    </cfRule>
    <cfRule type="cellIs" dxfId="2529" priority="72" operator="greaterThan">
      <formula>21</formula>
    </cfRule>
  </conditionalFormatting>
  <conditionalFormatting sqref="M13">
    <cfRule type="cellIs" dxfId="2528" priority="55" operator="lessThan">
      <formula>15</formula>
    </cfRule>
    <cfRule type="cellIs" dxfId="2527" priority="56" operator="greaterThan">
      <formula>20</formula>
    </cfRule>
    <cfRule type="cellIs" dxfId="2526" priority="57" operator="between">
      <formula>15</formula>
      <formula>20</formula>
    </cfRule>
    <cfRule type="cellIs" dxfId="2525" priority="58" operator="between">
      <formula>15</formula>
      <formula>20</formula>
    </cfRule>
    <cfRule type="cellIs" dxfId="2524" priority="59" operator="lessThan">
      <formula>15</formula>
    </cfRule>
    <cfRule type="cellIs" dxfId="2523" priority="60" operator="greaterThan">
      <formula>20</formula>
    </cfRule>
    <cfRule type="cellIs" dxfId="2522" priority="61" operator="between">
      <formula>15</formula>
      <formula>21</formula>
    </cfRule>
    <cfRule type="cellIs" dxfId="2521" priority="62" operator="lessThan">
      <formula>15</formula>
    </cfRule>
    <cfRule type="cellIs" dxfId="2520" priority="63" operator="greaterThan">
      <formula>21</formula>
    </cfRule>
  </conditionalFormatting>
  <conditionalFormatting sqref="M20">
    <cfRule type="cellIs" dxfId="2519" priority="46" operator="lessThan">
      <formula>15</formula>
    </cfRule>
    <cfRule type="cellIs" dxfId="2518" priority="47" operator="greaterThan">
      <formula>20</formula>
    </cfRule>
    <cfRule type="cellIs" dxfId="2517" priority="48" operator="between">
      <formula>15</formula>
      <formula>20</formula>
    </cfRule>
    <cfRule type="cellIs" dxfId="2516" priority="49" operator="between">
      <formula>15</formula>
      <formula>20</formula>
    </cfRule>
    <cfRule type="cellIs" dxfId="2515" priority="50" operator="lessThan">
      <formula>15</formula>
    </cfRule>
    <cfRule type="cellIs" dxfId="2514" priority="51" operator="greaterThan">
      <formula>20</formula>
    </cfRule>
    <cfRule type="cellIs" dxfId="2513" priority="52" operator="between">
      <formula>15</formula>
      <formula>21</formula>
    </cfRule>
    <cfRule type="cellIs" dxfId="2512" priority="53" operator="lessThan">
      <formula>15</formula>
    </cfRule>
    <cfRule type="cellIs" dxfId="2511" priority="54" operator="greaterThan">
      <formula>21</formula>
    </cfRule>
  </conditionalFormatting>
  <conditionalFormatting sqref="M27">
    <cfRule type="cellIs" dxfId="2510" priority="37" operator="lessThan">
      <formula>15</formula>
    </cfRule>
    <cfRule type="cellIs" dxfId="2509" priority="38" operator="greaterThan">
      <formula>20</formula>
    </cfRule>
    <cfRule type="cellIs" dxfId="2508" priority="39" operator="between">
      <formula>15</formula>
      <formula>20</formula>
    </cfRule>
    <cfRule type="cellIs" dxfId="2507" priority="40" operator="between">
      <formula>15</formula>
      <formula>20</formula>
    </cfRule>
    <cfRule type="cellIs" dxfId="2506" priority="41" operator="lessThan">
      <formula>15</formula>
    </cfRule>
    <cfRule type="cellIs" dxfId="2505" priority="42" operator="greaterThan">
      <formula>20</formula>
    </cfRule>
    <cfRule type="cellIs" dxfId="2504" priority="43" operator="between">
      <formula>15</formula>
      <formula>21</formula>
    </cfRule>
    <cfRule type="cellIs" dxfId="2503" priority="44" operator="lessThan">
      <formula>15</formula>
    </cfRule>
    <cfRule type="cellIs" dxfId="2502" priority="45" operator="greaterThan">
      <formula>21</formula>
    </cfRule>
  </conditionalFormatting>
  <conditionalFormatting sqref="M34">
    <cfRule type="cellIs" dxfId="2501" priority="28" operator="lessThan">
      <formula>15</formula>
    </cfRule>
    <cfRule type="cellIs" dxfId="2500" priority="29" operator="greaterThan">
      <formula>20</formula>
    </cfRule>
    <cfRule type="cellIs" dxfId="2499" priority="30" operator="between">
      <formula>15</formula>
      <formula>20</formula>
    </cfRule>
    <cfRule type="cellIs" dxfId="2498" priority="31" operator="between">
      <formula>15</formula>
      <formula>20</formula>
    </cfRule>
    <cfRule type="cellIs" dxfId="2497" priority="32" operator="lessThan">
      <formula>15</formula>
    </cfRule>
    <cfRule type="cellIs" dxfId="2496" priority="33" operator="greaterThan">
      <formula>20</formula>
    </cfRule>
    <cfRule type="cellIs" dxfId="2495" priority="34" operator="between">
      <formula>15</formula>
      <formula>21</formula>
    </cfRule>
    <cfRule type="cellIs" dxfId="2494" priority="35" operator="lessThan">
      <formula>15</formula>
    </cfRule>
    <cfRule type="cellIs" dxfId="2493" priority="36" operator="greaterThan">
      <formula>21</formula>
    </cfRule>
  </conditionalFormatting>
  <conditionalFormatting sqref="M14:M17 M39 M21:M22 M24:M26 M19">
    <cfRule type="cellIs" dxfId="2492" priority="19" operator="lessThan">
      <formula>15</formula>
    </cfRule>
    <cfRule type="cellIs" dxfId="2491" priority="20" operator="greaterThan">
      <formula>20</formula>
    </cfRule>
    <cfRule type="cellIs" dxfId="2490" priority="21" operator="between">
      <formula>15</formula>
      <formula>20</formula>
    </cfRule>
    <cfRule type="cellIs" dxfId="2489" priority="22" operator="between">
      <formula>15</formula>
      <formula>20</formula>
    </cfRule>
    <cfRule type="cellIs" dxfId="2488" priority="23" operator="lessThan">
      <formula>15</formula>
    </cfRule>
    <cfRule type="cellIs" dxfId="2487" priority="24" operator="greaterThan">
      <formula>20</formula>
    </cfRule>
    <cfRule type="cellIs" dxfId="2486" priority="25" operator="between">
      <formula>15</formula>
      <formula>21</formula>
    </cfRule>
    <cfRule type="cellIs" dxfId="2485" priority="26" operator="lessThan">
      <formula>15</formula>
    </cfRule>
    <cfRule type="cellIs" dxfId="2484" priority="27" operator="greaterThan">
      <formula>21</formula>
    </cfRule>
  </conditionalFormatting>
  <conditionalFormatting sqref="M9:M12">
    <cfRule type="cellIs" dxfId="2483" priority="10" operator="lessThan">
      <formula>15</formula>
    </cfRule>
    <cfRule type="cellIs" dxfId="2482" priority="11" operator="greaterThan">
      <formula>20</formula>
    </cfRule>
    <cfRule type="cellIs" dxfId="2481" priority="12" operator="between">
      <formula>15</formula>
      <formula>20</formula>
    </cfRule>
    <cfRule type="cellIs" dxfId="2480" priority="13" operator="between">
      <formula>15</formula>
      <formula>20</formula>
    </cfRule>
    <cfRule type="cellIs" dxfId="2479" priority="14" operator="lessThan">
      <formula>15</formula>
    </cfRule>
    <cfRule type="cellIs" dxfId="2478" priority="15" operator="greaterThan">
      <formula>20</formula>
    </cfRule>
    <cfRule type="cellIs" dxfId="2477" priority="16" operator="between">
      <formula>15</formula>
      <formula>21</formula>
    </cfRule>
    <cfRule type="cellIs" dxfId="2476" priority="17" operator="lessThan">
      <formula>15</formula>
    </cfRule>
    <cfRule type="cellIs" dxfId="2475" priority="18" operator="greaterThan">
      <formula>21</formula>
    </cfRule>
  </conditionalFormatting>
  <conditionalFormatting sqref="M29:M32">
    <cfRule type="cellIs" dxfId="2474" priority="1" operator="lessThan">
      <formula>15</formula>
    </cfRule>
    <cfRule type="cellIs" dxfId="2473" priority="2" operator="greaterThan">
      <formula>20</formula>
    </cfRule>
    <cfRule type="cellIs" dxfId="2472" priority="3" operator="between">
      <formula>15</formula>
      <formula>20</formula>
    </cfRule>
    <cfRule type="cellIs" dxfId="2471" priority="4" operator="between">
      <formula>15</formula>
      <formula>20</formula>
    </cfRule>
    <cfRule type="cellIs" dxfId="2470" priority="5" operator="lessThan">
      <formula>15</formula>
    </cfRule>
    <cfRule type="cellIs" dxfId="2469" priority="6" operator="greaterThan">
      <formula>20</formula>
    </cfRule>
    <cfRule type="cellIs" dxfId="2468" priority="7" operator="between">
      <formula>15</formula>
      <formula>21</formula>
    </cfRule>
    <cfRule type="cellIs" dxfId="2467" priority="8" operator="lessThan">
      <formula>15</formula>
    </cfRule>
    <cfRule type="cellIs" dxfId="2466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50"/>
  <sheetViews>
    <sheetView zoomScale="80" zoomScaleNormal="80" workbookViewId="0">
      <pane ySplit="8" topLeftCell="A21" activePane="bottomLeft" state="frozen"/>
      <selection pane="bottomLeft"/>
    </sheetView>
  </sheetViews>
  <sheetFormatPr defaultColWidth="9.28515625" defaultRowHeight="15"/>
  <cols>
    <col min="1" max="1" width="5.42578125" style="143" customWidth="1"/>
    <col min="2" max="2" width="7.7109375" style="143" customWidth="1"/>
    <col min="3" max="3" width="18.5703125" style="143" customWidth="1"/>
    <col min="4" max="11" width="9.42578125" style="142" customWidth="1"/>
    <col min="12" max="12" width="13.140625" style="143" customWidth="1"/>
    <col min="13" max="13" width="11.7109375" style="143" customWidth="1"/>
    <col min="14" max="14" width="5.710937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KL S250</v>
      </c>
      <c r="D4" s="383"/>
      <c r="E4" s="383" t="s">
        <v>228</v>
      </c>
      <c r="F4" s="383" t="s">
        <v>230</v>
      </c>
      <c r="G4" s="383"/>
      <c r="I4" s="383" t="s">
        <v>120</v>
      </c>
      <c r="J4" s="466" t="s">
        <v>314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4330</v>
      </c>
      <c r="E8" s="388">
        <f>K8</f>
        <v>4330</v>
      </c>
      <c r="F8" s="389"/>
      <c r="G8" s="388"/>
      <c r="H8" s="387"/>
      <c r="I8" s="388"/>
      <c r="J8" s="390">
        <f>K8-K8*N8</f>
        <v>4330</v>
      </c>
      <c r="K8" s="389">
        <v>4330</v>
      </c>
      <c r="L8" s="303"/>
      <c r="M8" s="304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/>
      <c r="E9" s="388">
        <f>D9</f>
        <v>0</v>
      </c>
      <c r="F9" s="446"/>
      <c r="G9" s="496">
        <f>F9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4330</v>
      </c>
      <c r="K9" s="459">
        <f t="shared" si="0"/>
        <v>4330</v>
      </c>
      <c r="L9" s="338" t="e">
        <f t="shared" ref="L9:M24" si="1">J9/H9</f>
        <v>#DIV/0!</v>
      </c>
      <c r="M9" s="300" t="e">
        <f t="shared" si="1"/>
        <v>#DIV/0!</v>
      </c>
      <c r="N9" s="366"/>
      <c r="O9" s="647">
        <f>J9/$O$8</f>
        <v>1.4428523825391537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>
        <f t="shared" ref="E10:E39" si="2">D10</f>
        <v>0</v>
      </c>
      <c r="F10" s="446"/>
      <c r="G10" s="496">
        <f t="shared" ref="G10:G39" si="3">F10</f>
        <v>0</v>
      </c>
      <c r="H10" s="498">
        <f>SUM($F$8:F10)/A10</f>
        <v>0</v>
      </c>
      <c r="I10" s="499">
        <f>SUM($G$8:G10)/A10</f>
        <v>0</v>
      </c>
      <c r="J10" s="443">
        <f t="shared" si="0"/>
        <v>4330</v>
      </c>
      <c r="K10" s="459">
        <f t="shared" si="0"/>
        <v>4330</v>
      </c>
      <c r="L10" s="338" t="e">
        <f t="shared" si="1"/>
        <v>#DIV/0!</v>
      </c>
      <c r="M10" s="300" t="e">
        <f t="shared" si="1"/>
        <v>#DIV/0!</v>
      </c>
      <c r="N10" s="366"/>
      <c r="O10" s="647">
        <f t="shared" ref="O10:O39" si="4">J10/$O$8</f>
        <v>1.4428523825391537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>
        <f t="shared" si="2"/>
        <v>0</v>
      </c>
      <c r="F11" s="446"/>
      <c r="G11" s="496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4330</v>
      </c>
      <c r="K11" s="459">
        <f t="shared" si="0"/>
        <v>4330</v>
      </c>
      <c r="L11" s="338" t="e">
        <f t="shared" si="1"/>
        <v>#DIV/0!</v>
      </c>
      <c r="M11" s="300" t="e">
        <f t="shared" si="1"/>
        <v>#DIV/0!</v>
      </c>
      <c r="N11" s="366"/>
      <c r="O11" s="647">
        <f t="shared" si="4"/>
        <v>1.4428523825391537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>
        <f t="shared" si="2"/>
        <v>0</v>
      </c>
      <c r="F12" s="446"/>
      <c r="G12" s="496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4330</v>
      </c>
      <c r="K12" s="459">
        <f t="shared" si="0"/>
        <v>4330</v>
      </c>
      <c r="L12" s="338" t="e">
        <f t="shared" si="1"/>
        <v>#DIV/0!</v>
      </c>
      <c r="M12" s="300" t="e">
        <f t="shared" si="1"/>
        <v>#DIV/0!</v>
      </c>
      <c r="N12" s="366"/>
      <c r="O12" s="647">
        <f t="shared" si="4"/>
        <v>1.4428523825391537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>
        <f t="shared" si="2"/>
        <v>0</v>
      </c>
      <c r="F13" s="446"/>
      <c r="G13" s="496">
        <f t="shared" si="3"/>
        <v>0</v>
      </c>
      <c r="H13" s="500">
        <f>SUM($F$8:F13)/A13</f>
        <v>0</v>
      </c>
      <c r="I13" s="499">
        <f>SUM($G$8:G13)/A13</f>
        <v>0</v>
      </c>
      <c r="J13" s="500">
        <f t="shared" si="0"/>
        <v>4330</v>
      </c>
      <c r="K13" s="459">
        <f t="shared" si="0"/>
        <v>4330</v>
      </c>
      <c r="L13" s="368" t="e">
        <f t="shared" si="1"/>
        <v>#DIV/0!</v>
      </c>
      <c r="M13" s="300" t="e">
        <f t="shared" si="1"/>
        <v>#DIV/0!</v>
      </c>
      <c r="N13" s="366"/>
      <c r="O13" s="647">
        <f t="shared" si="4"/>
        <v>1.4428523825391537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>
        <f t="shared" si="2"/>
        <v>0</v>
      </c>
      <c r="F14" s="446"/>
      <c r="G14" s="496">
        <f t="shared" si="3"/>
        <v>0</v>
      </c>
      <c r="H14" s="498">
        <f>SUM($F$8:F14)/A14</f>
        <v>0</v>
      </c>
      <c r="I14" s="499">
        <f>SUM($G$8:G14)/A14</f>
        <v>0</v>
      </c>
      <c r="J14" s="443">
        <f t="shared" si="0"/>
        <v>4330</v>
      </c>
      <c r="K14" s="459">
        <f t="shared" si="0"/>
        <v>4330</v>
      </c>
      <c r="L14" s="338" t="e">
        <f t="shared" si="1"/>
        <v>#DIV/0!</v>
      </c>
      <c r="M14" s="300" t="e">
        <f t="shared" si="1"/>
        <v>#DIV/0!</v>
      </c>
      <c r="N14" s="366"/>
      <c r="O14" s="647">
        <f t="shared" si="4"/>
        <v>1.4428523825391537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>
        <f t="shared" si="2"/>
        <v>0</v>
      </c>
      <c r="F15" s="446"/>
      <c r="G15" s="496">
        <f t="shared" si="3"/>
        <v>0</v>
      </c>
      <c r="H15" s="498">
        <f>SUM($F$8:F15)/A15</f>
        <v>0</v>
      </c>
      <c r="I15" s="499">
        <f>SUM($G$8:G15)/A15</f>
        <v>0</v>
      </c>
      <c r="J15" s="443">
        <f t="shared" si="0"/>
        <v>4330</v>
      </c>
      <c r="K15" s="459">
        <f t="shared" si="0"/>
        <v>4330</v>
      </c>
      <c r="L15" s="338" t="e">
        <f t="shared" si="1"/>
        <v>#DIV/0!</v>
      </c>
      <c r="M15" s="300" t="e">
        <f t="shared" si="1"/>
        <v>#DIV/0!</v>
      </c>
      <c r="N15" s="366"/>
      <c r="O15" s="647">
        <f t="shared" si="4"/>
        <v>1.4428523825391537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>
        <f t="shared" si="2"/>
        <v>0</v>
      </c>
      <c r="F16" s="446"/>
      <c r="G16" s="496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4330</v>
      </c>
      <c r="K16" s="459">
        <f t="shared" si="0"/>
        <v>4330</v>
      </c>
      <c r="L16" s="338" t="e">
        <f t="shared" si="1"/>
        <v>#DIV/0!</v>
      </c>
      <c r="M16" s="300" t="e">
        <f t="shared" si="1"/>
        <v>#DIV/0!</v>
      </c>
      <c r="N16" s="366"/>
      <c r="O16" s="647">
        <f t="shared" si="4"/>
        <v>1.4428523825391537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>
        <f t="shared" si="2"/>
        <v>0</v>
      </c>
      <c r="F17" s="446"/>
      <c r="G17" s="496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4330</v>
      </c>
      <c r="K17" s="459">
        <f t="shared" si="0"/>
        <v>4330</v>
      </c>
      <c r="L17" s="338" t="e">
        <f t="shared" si="1"/>
        <v>#DIV/0!</v>
      </c>
      <c r="M17" s="300" t="e">
        <f t="shared" si="1"/>
        <v>#DIV/0!</v>
      </c>
      <c r="N17" s="366"/>
      <c r="O17" s="647">
        <f t="shared" si="4"/>
        <v>1.4428523825391537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>
        <f t="shared" si="2"/>
        <v>0</v>
      </c>
      <c r="F18" s="446"/>
      <c r="G18" s="496">
        <f t="shared" si="3"/>
        <v>0</v>
      </c>
      <c r="H18" s="500">
        <f>SUM($F$8:F18)/A18</f>
        <v>0</v>
      </c>
      <c r="I18" s="499">
        <f>SUM($G$8:G18)/A18</f>
        <v>0</v>
      </c>
      <c r="J18" s="500">
        <f t="shared" si="0"/>
        <v>4330</v>
      </c>
      <c r="K18" s="459">
        <f t="shared" si="0"/>
        <v>4330</v>
      </c>
      <c r="L18" s="368" t="e">
        <f t="shared" si="1"/>
        <v>#DIV/0!</v>
      </c>
      <c r="M18" s="300" t="e">
        <f t="shared" si="1"/>
        <v>#DIV/0!</v>
      </c>
      <c r="N18" s="366"/>
      <c r="O18" s="647">
        <f t="shared" si="4"/>
        <v>1.4428523825391537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>
        <f t="shared" si="2"/>
        <v>0</v>
      </c>
      <c r="F19" s="446"/>
      <c r="G19" s="496">
        <f t="shared" si="3"/>
        <v>0</v>
      </c>
      <c r="H19" s="498">
        <f>SUM($F$8:F19)/A19</f>
        <v>0</v>
      </c>
      <c r="I19" s="499">
        <f>SUM($G$8:G19)/A19</f>
        <v>0</v>
      </c>
      <c r="J19" s="443">
        <f t="shared" si="0"/>
        <v>4330</v>
      </c>
      <c r="K19" s="459">
        <f t="shared" si="0"/>
        <v>4330</v>
      </c>
      <c r="L19" s="338" t="e">
        <f t="shared" si="1"/>
        <v>#DIV/0!</v>
      </c>
      <c r="M19" s="300" t="e">
        <f t="shared" si="1"/>
        <v>#DIV/0!</v>
      </c>
      <c r="N19" s="366"/>
      <c r="O19" s="647">
        <f t="shared" si="4"/>
        <v>1.4428523825391537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>
        <f t="shared" si="2"/>
        <v>0</v>
      </c>
      <c r="F20" s="446"/>
      <c r="G20" s="496">
        <f t="shared" si="3"/>
        <v>0</v>
      </c>
      <c r="H20" s="498">
        <f>SUM($F$8:F20)/A20</f>
        <v>0</v>
      </c>
      <c r="I20" s="499">
        <f>SUM($G$8:G20)/A20</f>
        <v>0</v>
      </c>
      <c r="J20" s="443">
        <f t="shared" si="0"/>
        <v>4330</v>
      </c>
      <c r="K20" s="459">
        <f t="shared" si="0"/>
        <v>4330</v>
      </c>
      <c r="L20" s="338" t="e">
        <f t="shared" si="1"/>
        <v>#DIV/0!</v>
      </c>
      <c r="M20" s="300" t="e">
        <f t="shared" si="1"/>
        <v>#DIV/0!</v>
      </c>
      <c r="N20" s="366"/>
      <c r="O20" s="647">
        <f t="shared" si="4"/>
        <v>1.4428523825391537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>
        <f t="shared" si="2"/>
        <v>0</v>
      </c>
      <c r="F21" s="446"/>
      <c r="G21" s="496">
        <f t="shared" si="3"/>
        <v>0</v>
      </c>
      <c r="H21" s="498">
        <f>SUM($F$8:F21)/A21</f>
        <v>0</v>
      </c>
      <c r="I21" s="499">
        <f>SUM($G$8:G21)/A21</f>
        <v>0</v>
      </c>
      <c r="J21" s="443">
        <f t="shared" si="0"/>
        <v>4330</v>
      </c>
      <c r="K21" s="459">
        <f>K20+E21-G21</f>
        <v>4330</v>
      </c>
      <c r="L21" s="338" t="e">
        <f t="shared" si="1"/>
        <v>#DIV/0!</v>
      </c>
      <c r="M21" s="300" t="e">
        <f t="shared" si="1"/>
        <v>#DIV/0!</v>
      </c>
      <c r="N21" s="366"/>
      <c r="O21" s="647">
        <f t="shared" si="4"/>
        <v>1.4428523825391537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>
        <f t="shared" si="2"/>
        <v>0</v>
      </c>
      <c r="F22" s="446"/>
      <c r="G22" s="496">
        <f t="shared" si="3"/>
        <v>0</v>
      </c>
      <c r="H22" s="498">
        <f>SUM($F$8:F22)/A22</f>
        <v>0</v>
      </c>
      <c r="I22" s="499">
        <f>SUM($G$8:G22)/A22</f>
        <v>0</v>
      </c>
      <c r="J22" s="443">
        <f t="shared" si="0"/>
        <v>4330</v>
      </c>
      <c r="K22" s="459">
        <f>K21+E22-G22</f>
        <v>4330</v>
      </c>
      <c r="L22" s="338" t="e">
        <f t="shared" si="1"/>
        <v>#DIV/0!</v>
      </c>
      <c r="M22" s="300" t="e">
        <f t="shared" si="1"/>
        <v>#DIV/0!</v>
      </c>
      <c r="N22" s="366"/>
      <c r="O22" s="647">
        <f t="shared" si="4"/>
        <v>1.4428523825391537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>
        <f t="shared" si="2"/>
        <v>0</v>
      </c>
      <c r="F23" s="446"/>
      <c r="G23" s="496">
        <f t="shared" si="3"/>
        <v>0</v>
      </c>
      <c r="H23" s="500">
        <f>SUM($F$8:F23)/A23</f>
        <v>0</v>
      </c>
      <c r="I23" s="499">
        <f>SUM($G$8:G23)/A23</f>
        <v>0</v>
      </c>
      <c r="J23" s="500">
        <f t="shared" si="0"/>
        <v>4330</v>
      </c>
      <c r="K23" s="459">
        <f t="shared" si="0"/>
        <v>4330</v>
      </c>
      <c r="L23" s="368" t="e">
        <f t="shared" si="1"/>
        <v>#DIV/0!</v>
      </c>
      <c r="M23" s="300" t="e">
        <f t="shared" si="1"/>
        <v>#DIV/0!</v>
      </c>
      <c r="N23" s="366"/>
      <c r="O23" s="647">
        <f t="shared" si="4"/>
        <v>1.4428523825391537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>
        <f t="shared" si="2"/>
        <v>0</v>
      </c>
      <c r="F24" s="446"/>
      <c r="G24" s="496">
        <f t="shared" si="3"/>
        <v>0</v>
      </c>
      <c r="H24" s="498">
        <f>SUM($F$8:F24)/A24</f>
        <v>0</v>
      </c>
      <c r="I24" s="499">
        <f>SUM($G$8:G24)/A24</f>
        <v>0</v>
      </c>
      <c r="J24" s="443">
        <f t="shared" si="0"/>
        <v>4330</v>
      </c>
      <c r="K24" s="459">
        <f>K23+E24-G24</f>
        <v>4330</v>
      </c>
      <c r="L24" s="338" t="e">
        <f t="shared" si="1"/>
        <v>#DIV/0!</v>
      </c>
      <c r="M24" s="300" t="e">
        <f t="shared" si="1"/>
        <v>#DIV/0!</v>
      </c>
      <c r="N24" s="366"/>
      <c r="O24" s="647">
        <f t="shared" si="4"/>
        <v>1.4428523825391537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>
        <f t="shared" si="2"/>
        <v>0</v>
      </c>
      <c r="F25" s="446"/>
      <c r="G25" s="496">
        <f t="shared" si="3"/>
        <v>0</v>
      </c>
      <c r="H25" s="498">
        <f>SUM($F$8:F25)/A25</f>
        <v>0</v>
      </c>
      <c r="I25" s="499">
        <f>SUM($G$8:G25)/A25</f>
        <v>0</v>
      </c>
      <c r="J25" s="443">
        <f t="shared" ref="J25:K39" si="5">J24+D25-F25</f>
        <v>4330</v>
      </c>
      <c r="K25" s="459">
        <f>K24+E25-G25</f>
        <v>4330</v>
      </c>
      <c r="L25" s="338" t="e">
        <f t="shared" ref="L25:M39" si="6">J25/H25</f>
        <v>#DIV/0!</v>
      </c>
      <c r="M25" s="300" t="e">
        <f t="shared" si="6"/>
        <v>#DIV/0!</v>
      </c>
      <c r="N25" s="366"/>
      <c r="O25" s="647">
        <f t="shared" si="4"/>
        <v>1.4428523825391537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>
        <f t="shared" si="2"/>
        <v>0</v>
      </c>
      <c r="F26" s="446"/>
      <c r="G26" s="496">
        <f t="shared" si="3"/>
        <v>0</v>
      </c>
      <c r="H26" s="498">
        <f>SUM($F$8:F26)/A26</f>
        <v>0</v>
      </c>
      <c r="I26" s="499">
        <f>SUM($G$8:G26)/A26</f>
        <v>0</v>
      </c>
      <c r="J26" s="443">
        <f t="shared" si="5"/>
        <v>4330</v>
      </c>
      <c r="K26" s="459">
        <f>K25+E26-G26</f>
        <v>4330</v>
      </c>
      <c r="L26" s="338" t="e">
        <f t="shared" si="6"/>
        <v>#DIV/0!</v>
      </c>
      <c r="M26" s="300" t="e">
        <f t="shared" si="6"/>
        <v>#DIV/0!</v>
      </c>
      <c r="N26" s="366"/>
      <c r="O26" s="647">
        <f t="shared" si="4"/>
        <v>1.4428523825391537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>
        <f t="shared" si="2"/>
        <v>0</v>
      </c>
      <c r="F27" s="446"/>
      <c r="G27" s="496">
        <f t="shared" si="3"/>
        <v>0</v>
      </c>
      <c r="H27" s="498">
        <f>SUM($F$8:F27)/A27</f>
        <v>0</v>
      </c>
      <c r="I27" s="499">
        <f>SUM($G$8:G27)/A27</f>
        <v>0</v>
      </c>
      <c r="J27" s="443">
        <f t="shared" si="5"/>
        <v>4330</v>
      </c>
      <c r="K27" s="459">
        <f>K26+E27-G27</f>
        <v>4330</v>
      </c>
      <c r="L27" s="338" t="e">
        <f t="shared" si="6"/>
        <v>#DIV/0!</v>
      </c>
      <c r="M27" s="300" t="e">
        <f t="shared" si="6"/>
        <v>#DIV/0!</v>
      </c>
      <c r="N27" s="366"/>
      <c r="O27" s="647">
        <f t="shared" si="4"/>
        <v>1.4428523825391537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>
        <f t="shared" si="2"/>
        <v>0</v>
      </c>
      <c r="F28" s="446"/>
      <c r="G28" s="496">
        <f t="shared" si="3"/>
        <v>0</v>
      </c>
      <c r="H28" s="500">
        <f>SUM($F$8:F28)/A28</f>
        <v>0</v>
      </c>
      <c r="I28" s="499">
        <f>SUM($G$8:G28)/A28</f>
        <v>0</v>
      </c>
      <c r="J28" s="500">
        <f t="shared" si="5"/>
        <v>4330</v>
      </c>
      <c r="K28" s="459">
        <f t="shared" si="5"/>
        <v>4330</v>
      </c>
      <c r="L28" s="368" t="e">
        <f t="shared" si="6"/>
        <v>#DIV/0!</v>
      </c>
      <c r="M28" s="300" t="e">
        <f t="shared" si="6"/>
        <v>#DIV/0!</v>
      </c>
      <c r="N28" s="366"/>
      <c r="O28" s="647">
        <f t="shared" si="4"/>
        <v>1.4428523825391537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>
        <f t="shared" si="2"/>
        <v>0</v>
      </c>
      <c r="F29" s="446"/>
      <c r="G29" s="496">
        <f t="shared" si="3"/>
        <v>0</v>
      </c>
      <c r="H29" s="498">
        <f>SUM($F$8:F29)/A29</f>
        <v>0</v>
      </c>
      <c r="I29" s="499">
        <f>SUM($G$8:G29)/A29</f>
        <v>0</v>
      </c>
      <c r="J29" s="443">
        <f t="shared" si="5"/>
        <v>4330</v>
      </c>
      <c r="K29" s="459">
        <f t="shared" si="5"/>
        <v>4330</v>
      </c>
      <c r="L29" s="338" t="e">
        <f t="shared" si="6"/>
        <v>#DIV/0!</v>
      </c>
      <c r="M29" s="300" t="e">
        <f t="shared" si="6"/>
        <v>#DIV/0!</v>
      </c>
      <c r="N29" s="366"/>
      <c r="O29" s="647">
        <f t="shared" si="4"/>
        <v>1.4428523825391537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>
        <f t="shared" si="2"/>
        <v>0</v>
      </c>
      <c r="F30" s="446"/>
      <c r="G30" s="496">
        <f t="shared" si="3"/>
        <v>0</v>
      </c>
      <c r="H30" s="498">
        <f>SUM($F$8:F30)/A30</f>
        <v>0</v>
      </c>
      <c r="I30" s="499">
        <f>SUM($G$8:G30)/A30</f>
        <v>0</v>
      </c>
      <c r="J30" s="443">
        <f t="shared" si="5"/>
        <v>4330</v>
      </c>
      <c r="K30" s="459">
        <f t="shared" si="5"/>
        <v>4330</v>
      </c>
      <c r="L30" s="338" t="e">
        <f t="shared" si="6"/>
        <v>#DIV/0!</v>
      </c>
      <c r="M30" s="300" t="e">
        <f t="shared" si="6"/>
        <v>#DIV/0!</v>
      </c>
      <c r="N30" s="366"/>
      <c r="O30" s="647">
        <f t="shared" si="4"/>
        <v>1.4428523825391537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>
        <f t="shared" si="2"/>
        <v>0</v>
      </c>
      <c r="F31" s="446"/>
      <c r="G31" s="496">
        <f t="shared" si="3"/>
        <v>0</v>
      </c>
      <c r="H31" s="498">
        <f>SUM($F$8:F31)/A31</f>
        <v>0</v>
      </c>
      <c r="I31" s="499">
        <f>SUM($G$8:G31)/A31</f>
        <v>0</v>
      </c>
      <c r="J31" s="443">
        <f t="shared" si="5"/>
        <v>4330</v>
      </c>
      <c r="K31" s="459">
        <f t="shared" si="5"/>
        <v>4330</v>
      </c>
      <c r="L31" s="338" t="e">
        <f t="shared" si="6"/>
        <v>#DIV/0!</v>
      </c>
      <c r="M31" s="300" t="e">
        <f t="shared" si="6"/>
        <v>#DIV/0!</v>
      </c>
      <c r="N31" s="366"/>
      <c r="O31" s="647">
        <f t="shared" si="4"/>
        <v>1.4428523825391537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>
        <f t="shared" si="2"/>
        <v>0</v>
      </c>
      <c r="F32" s="446"/>
      <c r="G32" s="496">
        <f t="shared" si="3"/>
        <v>0</v>
      </c>
      <c r="H32" s="498">
        <f>SUM($F$8:F32)/A32</f>
        <v>0</v>
      </c>
      <c r="I32" s="499">
        <f>SUM($G$8:G32)/A32</f>
        <v>0</v>
      </c>
      <c r="J32" s="443">
        <f t="shared" si="5"/>
        <v>4330</v>
      </c>
      <c r="K32" s="459">
        <f t="shared" si="5"/>
        <v>4330</v>
      </c>
      <c r="L32" s="338" t="e">
        <f t="shared" si="6"/>
        <v>#DIV/0!</v>
      </c>
      <c r="M32" s="300" t="e">
        <f t="shared" si="6"/>
        <v>#DIV/0!</v>
      </c>
      <c r="N32" s="366"/>
      <c r="O32" s="647">
        <f t="shared" si="4"/>
        <v>1.4428523825391537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>
        <f t="shared" si="2"/>
        <v>0</v>
      </c>
      <c r="F33" s="446"/>
      <c r="G33" s="496">
        <f t="shared" si="3"/>
        <v>0</v>
      </c>
      <c r="H33" s="448">
        <f>SUM($F$8:F33)/A33</f>
        <v>0</v>
      </c>
      <c r="I33" s="499">
        <f>SUM($G$8:G33)/A33</f>
        <v>0</v>
      </c>
      <c r="J33" s="448">
        <f t="shared" si="5"/>
        <v>4330</v>
      </c>
      <c r="K33" s="459">
        <f t="shared" si="5"/>
        <v>4330</v>
      </c>
      <c r="L33" s="369" t="e">
        <f t="shared" si="6"/>
        <v>#DIV/0!</v>
      </c>
      <c r="M33" s="300" t="e">
        <f t="shared" si="6"/>
        <v>#DIV/0!</v>
      </c>
      <c r="N33" s="366"/>
      <c r="O33" s="647">
        <f t="shared" si="4"/>
        <v>1.4428523825391537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>
        <f t="shared" si="2"/>
        <v>0</v>
      </c>
      <c r="F34" s="446"/>
      <c r="G34" s="496">
        <f t="shared" si="3"/>
        <v>0</v>
      </c>
      <c r="H34" s="498">
        <f>SUM($F$8:F34)/A34</f>
        <v>0</v>
      </c>
      <c r="I34" s="499">
        <f>SUM($G$8:G34)/A34</f>
        <v>0</v>
      </c>
      <c r="J34" s="443">
        <f t="shared" si="5"/>
        <v>4330</v>
      </c>
      <c r="K34" s="459">
        <f t="shared" si="5"/>
        <v>4330</v>
      </c>
      <c r="L34" s="338" t="e">
        <f t="shared" si="6"/>
        <v>#DIV/0!</v>
      </c>
      <c r="M34" s="300" t="e">
        <f t="shared" si="6"/>
        <v>#DIV/0!</v>
      </c>
      <c r="N34" s="366"/>
      <c r="O34" s="647">
        <f t="shared" si="4"/>
        <v>1.4428523825391537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>
        <f t="shared" si="2"/>
        <v>0</v>
      </c>
      <c r="F35" s="446"/>
      <c r="G35" s="496">
        <f t="shared" si="3"/>
        <v>0</v>
      </c>
      <c r="H35" s="498">
        <f>SUM($F$8:F35)/A35</f>
        <v>0</v>
      </c>
      <c r="I35" s="499">
        <f>SUM($G$8:G35)/A35</f>
        <v>0</v>
      </c>
      <c r="J35" s="443">
        <f t="shared" si="5"/>
        <v>4330</v>
      </c>
      <c r="K35" s="459">
        <f t="shared" si="5"/>
        <v>4330</v>
      </c>
      <c r="L35" s="338" t="e">
        <f t="shared" si="6"/>
        <v>#DIV/0!</v>
      </c>
      <c r="M35" s="300" t="e">
        <f t="shared" si="6"/>
        <v>#DIV/0!</v>
      </c>
      <c r="N35" s="366"/>
      <c r="O35" s="647">
        <f t="shared" si="4"/>
        <v>1.4428523825391537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>
        <f t="shared" si="2"/>
        <v>0</v>
      </c>
      <c r="F36" s="446"/>
      <c r="G36" s="496">
        <f t="shared" si="3"/>
        <v>0</v>
      </c>
      <c r="H36" s="498">
        <f>SUM($F$8:F36)/A36</f>
        <v>0</v>
      </c>
      <c r="I36" s="499">
        <f>SUM($G$8:G36)/A36</f>
        <v>0</v>
      </c>
      <c r="J36" s="443">
        <f t="shared" si="5"/>
        <v>4330</v>
      </c>
      <c r="K36" s="459">
        <f t="shared" si="5"/>
        <v>4330</v>
      </c>
      <c r="L36" s="338" t="e">
        <f t="shared" si="6"/>
        <v>#DIV/0!</v>
      </c>
      <c r="M36" s="300" t="e">
        <f t="shared" si="6"/>
        <v>#DIV/0!</v>
      </c>
      <c r="N36" s="366"/>
      <c r="O36" s="647">
        <f t="shared" si="4"/>
        <v>1.4428523825391537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>
        <f t="shared" si="2"/>
        <v>0</v>
      </c>
      <c r="F37" s="446"/>
      <c r="G37" s="496">
        <f t="shared" si="3"/>
        <v>0</v>
      </c>
      <c r="H37" s="498">
        <f>SUM($F$8:F37)/A37</f>
        <v>0</v>
      </c>
      <c r="I37" s="499">
        <f>SUM($G$8:G37)/A37</f>
        <v>0</v>
      </c>
      <c r="J37" s="443">
        <f t="shared" si="5"/>
        <v>4330</v>
      </c>
      <c r="K37" s="459">
        <f t="shared" si="5"/>
        <v>4330</v>
      </c>
      <c r="L37" s="338" t="e">
        <f t="shared" si="6"/>
        <v>#DIV/0!</v>
      </c>
      <c r="M37" s="300" t="e">
        <f t="shared" si="6"/>
        <v>#DIV/0!</v>
      </c>
      <c r="N37" s="366"/>
      <c r="O37" s="647">
        <f t="shared" si="4"/>
        <v>1.4428523825391537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>
        <f t="shared" si="2"/>
        <v>0</v>
      </c>
      <c r="F38" s="446"/>
      <c r="G38" s="496">
        <f t="shared" si="3"/>
        <v>0</v>
      </c>
      <c r="H38" s="500">
        <f>SUM($F$8:F38)/A38</f>
        <v>0</v>
      </c>
      <c r="I38" s="499">
        <f>SUM($G$8:G38)/A38</f>
        <v>0</v>
      </c>
      <c r="J38" s="500">
        <f t="shared" si="5"/>
        <v>4330</v>
      </c>
      <c r="K38" s="459">
        <f t="shared" si="5"/>
        <v>4330</v>
      </c>
      <c r="L38" s="368" t="e">
        <f t="shared" si="6"/>
        <v>#DIV/0!</v>
      </c>
      <c r="M38" s="300" t="e">
        <f t="shared" si="6"/>
        <v>#DIV/0!</v>
      </c>
      <c r="N38" s="366"/>
      <c r="O38" s="647">
        <f t="shared" si="4"/>
        <v>1.4428523825391537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>
        <f t="shared" si="2"/>
        <v>0</v>
      </c>
      <c r="F39" s="446"/>
      <c r="G39" s="496">
        <f t="shared" si="3"/>
        <v>0</v>
      </c>
      <c r="H39" s="498">
        <f>SUM($F$8:F39)/A39</f>
        <v>0</v>
      </c>
      <c r="I39" s="499">
        <f>SUM($G$8:G39)/A39</f>
        <v>0</v>
      </c>
      <c r="J39" s="443">
        <f t="shared" si="5"/>
        <v>4330</v>
      </c>
      <c r="K39" s="459">
        <f t="shared" si="5"/>
        <v>4330</v>
      </c>
      <c r="L39" s="338" t="e">
        <f t="shared" si="6"/>
        <v>#DIV/0!</v>
      </c>
      <c r="M39" s="300" t="e">
        <f t="shared" si="6"/>
        <v>#DIV/0!</v>
      </c>
      <c r="N39" s="366"/>
      <c r="O39" s="647">
        <f t="shared" si="4"/>
        <v>1.4428523825391537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4330</v>
      </c>
      <c r="K40" s="461">
        <f>K39</f>
        <v>4330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4330</v>
      </c>
      <c r="E41" s="388">
        <f>E8+E40</f>
        <v>4330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4330</v>
      </c>
      <c r="K41" s="389">
        <f>E41-G41</f>
        <v>4330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8">
    <cfRule type="cellIs" dxfId="2465" priority="163" operator="lessThan">
      <formula>15</formula>
    </cfRule>
    <cfRule type="cellIs" dxfId="2464" priority="164" operator="greaterThan">
      <formula>20</formula>
    </cfRule>
    <cfRule type="cellIs" dxfId="2463" priority="165" operator="between">
      <formula>15</formula>
      <formula>20</formula>
    </cfRule>
    <cfRule type="cellIs" dxfId="2462" priority="166" operator="between">
      <formula>15</formula>
      <formula>20</formula>
    </cfRule>
    <cfRule type="cellIs" dxfId="2461" priority="167" operator="lessThan">
      <formula>15</formula>
    </cfRule>
    <cfRule type="cellIs" dxfId="2460" priority="168" operator="greaterThan">
      <formula>20</formula>
    </cfRule>
    <cfRule type="cellIs" dxfId="2459" priority="169" operator="between">
      <formula>15</formula>
      <formula>21</formula>
    </cfRule>
    <cfRule type="cellIs" dxfId="2458" priority="170" operator="lessThan">
      <formula>15</formula>
    </cfRule>
    <cfRule type="cellIs" dxfId="2457" priority="171" operator="greaterThan">
      <formula>21</formula>
    </cfRule>
  </conditionalFormatting>
  <conditionalFormatting sqref="M23">
    <cfRule type="cellIs" dxfId="2456" priority="154" operator="lessThan">
      <formula>15</formula>
    </cfRule>
    <cfRule type="cellIs" dxfId="2455" priority="155" operator="greaterThan">
      <formula>20</formula>
    </cfRule>
    <cfRule type="cellIs" dxfId="2454" priority="156" operator="between">
      <formula>15</formula>
      <formula>20</formula>
    </cfRule>
    <cfRule type="cellIs" dxfId="2453" priority="157" operator="between">
      <formula>15</formula>
      <formula>20</formula>
    </cfRule>
    <cfRule type="cellIs" dxfId="2452" priority="158" operator="lessThan">
      <formula>15</formula>
    </cfRule>
    <cfRule type="cellIs" dxfId="2451" priority="159" operator="greaterThan">
      <formula>20</formula>
    </cfRule>
    <cfRule type="cellIs" dxfId="2450" priority="160" operator="between">
      <formula>15</formula>
      <formula>21</formula>
    </cfRule>
    <cfRule type="cellIs" dxfId="2449" priority="161" operator="lessThan">
      <formula>15</formula>
    </cfRule>
    <cfRule type="cellIs" dxfId="2448" priority="162" operator="greaterThan">
      <formula>21</formula>
    </cfRule>
  </conditionalFormatting>
  <conditionalFormatting sqref="M18">
    <cfRule type="cellIs" dxfId="2447" priority="145" operator="lessThan">
      <formula>15</formula>
    </cfRule>
    <cfRule type="cellIs" dxfId="2446" priority="146" operator="greaterThan">
      <formula>20</formula>
    </cfRule>
    <cfRule type="cellIs" dxfId="2445" priority="147" operator="between">
      <formula>15</formula>
      <formula>20</formula>
    </cfRule>
    <cfRule type="cellIs" dxfId="2444" priority="148" operator="between">
      <formula>15</formula>
      <formula>20</formula>
    </cfRule>
    <cfRule type="cellIs" dxfId="2443" priority="149" operator="lessThan">
      <formula>15</formula>
    </cfRule>
    <cfRule type="cellIs" dxfId="2442" priority="150" operator="greaterThan">
      <formula>20</formula>
    </cfRule>
    <cfRule type="cellIs" dxfId="2441" priority="151" operator="between">
      <formula>15</formula>
      <formula>21</formula>
    </cfRule>
    <cfRule type="cellIs" dxfId="2440" priority="152" operator="lessThan">
      <formula>15</formula>
    </cfRule>
    <cfRule type="cellIs" dxfId="2439" priority="153" operator="greaterThan">
      <formula>21</formula>
    </cfRule>
  </conditionalFormatting>
  <conditionalFormatting sqref="M35:M37">
    <cfRule type="cellIs" dxfId="2438" priority="172" operator="lessThan">
      <formula>15</formula>
    </cfRule>
    <cfRule type="cellIs" dxfId="2437" priority="173" operator="greaterThan">
      <formula>20</formula>
    </cfRule>
    <cfRule type="cellIs" dxfId="2436" priority="174" operator="between">
      <formula>15</formula>
      <formula>20</formula>
    </cfRule>
    <cfRule type="cellIs" dxfId="2435" priority="175" operator="between">
      <formula>15</formula>
      <formula>20</formula>
    </cfRule>
    <cfRule type="cellIs" dxfId="2434" priority="176" operator="lessThan">
      <formula>15</formula>
    </cfRule>
    <cfRule type="cellIs" dxfId="2433" priority="177" operator="greaterThan">
      <formula>20</formula>
    </cfRule>
    <cfRule type="cellIs" dxfId="2432" priority="178" operator="between">
      <formula>15</formula>
      <formula>21</formula>
    </cfRule>
    <cfRule type="cellIs" dxfId="2431" priority="179" operator="lessThan">
      <formula>15</formula>
    </cfRule>
    <cfRule type="cellIs" dxfId="2430" priority="180" operator="greaterThan">
      <formula>21</formula>
    </cfRule>
  </conditionalFormatting>
  <conditionalFormatting sqref="M13">
    <cfRule type="cellIs" dxfId="2429" priority="136" operator="lessThan">
      <formula>15</formula>
    </cfRule>
    <cfRule type="cellIs" dxfId="2428" priority="137" operator="greaterThan">
      <formula>20</formula>
    </cfRule>
    <cfRule type="cellIs" dxfId="2427" priority="138" operator="between">
      <formula>15</formula>
      <formula>20</formula>
    </cfRule>
    <cfRule type="cellIs" dxfId="2426" priority="139" operator="between">
      <formula>15</formula>
      <formula>20</formula>
    </cfRule>
    <cfRule type="cellIs" dxfId="2425" priority="140" operator="lessThan">
      <formula>15</formula>
    </cfRule>
    <cfRule type="cellIs" dxfId="2424" priority="141" operator="greaterThan">
      <formula>20</formula>
    </cfRule>
    <cfRule type="cellIs" dxfId="2423" priority="142" operator="between">
      <formula>15</formula>
      <formula>21</formula>
    </cfRule>
    <cfRule type="cellIs" dxfId="2422" priority="143" operator="lessThan">
      <formula>15</formula>
    </cfRule>
    <cfRule type="cellIs" dxfId="2421" priority="144" operator="greaterThan">
      <formula>21</formula>
    </cfRule>
  </conditionalFormatting>
  <conditionalFormatting sqref="M33">
    <cfRule type="cellIs" dxfId="2420" priority="127" operator="lessThan">
      <formula>15</formula>
    </cfRule>
    <cfRule type="cellIs" dxfId="2419" priority="128" operator="greaterThan">
      <formula>20</formula>
    </cfRule>
    <cfRule type="cellIs" dxfId="2418" priority="129" operator="between">
      <formula>15</formula>
      <formula>20</formula>
    </cfRule>
    <cfRule type="cellIs" dxfId="2417" priority="130" operator="between">
      <formula>15</formula>
      <formula>20</formula>
    </cfRule>
    <cfRule type="cellIs" dxfId="2416" priority="131" operator="lessThan">
      <formula>15</formula>
    </cfRule>
    <cfRule type="cellIs" dxfId="2415" priority="132" operator="greaterThan">
      <formula>20</formula>
    </cfRule>
    <cfRule type="cellIs" dxfId="2414" priority="133" operator="between">
      <formula>15</formula>
      <formula>21</formula>
    </cfRule>
    <cfRule type="cellIs" dxfId="2413" priority="134" operator="lessThan">
      <formula>15</formula>
    </cfRule>
    <cfRule type="cellIs" dxfId="2412" priority="135" operator="greaterThan">
      <formula>21</formula>
    </cfRule>
  </conditionalFormatting>
  <conditionalFormatting sqref="M38">
    <cfRule type="cellIs" dxfId="2411" priority="118" operator="lessThan">
      <formula>15</formula>
    </cfRule>
    <cfRule type="cellIs" dxfId="2410" priority="119" operator="greaterThan">
      <formula>20</formula>
    </cfRule>
    <cfRule type="cellIs" dxfId="2409" priority="120" operator="between">
      <formula>15</formula>
      <formula>20</formula>
    </cfRule>
    <cfRule type="cellIs" dxfId="2408" priority="121" operator="between">
      <formula>15</formula>
      <formula>20</formula>
    </cfRule>
    <cfRule type="cellIs" dxfId="2407" priority="122" operator="lessThan">
      <formula>15</formula>
    </cfRule>
    <cfRule type="cellIs" dxfId="2406" priority="123" operator="greaterThan">
      <formula>20</formula>
    </cfRule>
    <cfRule type="cellIs" dxfId="2405" priority="124" operator="between">
      <formula>15</formula>
      <formula>21</formula>
    </cfRule>
    <cfRule type="cellIs" dxfId="2404" priority="125" operator="lessThan">
      <formula>15</formula>
    </cfRule>
    <cfRule type="cellIs" dxfId="2403" priority="126" operator="greaterThan">
      <formula>21</formula>
    </cfRule>
  </conditionalFormatting>
  <conditionalFormatting sqref="M20">
    <cfRule type="cellIs" dxfId="2402" priority="217" operator="lessThan">
      <formula>15</formula>
    </cfRule>
    <cfRule type="cellIs" dxfId="2401" priority="218" operator="greaterThan">
      <formula>20</formula>
    </cfRule>
    <cfRule type="cellIs" dxfId="2400" priority="219" operator="between">
      <formula>15</formula>
      <formula>20</formula>
    </cfRule>
    <cfRule type="cellIs" dxfId="2399" priority="220" operator="between">
      <formula>15</formula>
      <formula>20</formula>
    </cfRule>
    <cfRule type="cellIs" dxfId="2398" priority="221" operator="lessThan">
      <formula>15</formula>
    </cfRule>
    <cfRule type="cellIs" dxfId="2397" priority="222" operator="greaterThan">
      <formula>20</formula>
    </cfRule>
    <cfRule type="cellIs" dxfId="2396" priority="223" operator="between">
      <formula>15</formula>
      <formula>21</formula>
    </cfRule>
    <cfRule type="cellIs" dxfId="2395" priority="224" operator="lessThan">
      <formula>15</formula>
    </cfRule>
    <cfRule type="cellIs" dxfId="2394" priority="225" operator="greaterThan">
      <formula>21</formula>
    </cfRule>
  </conditionalFormatting>
  <conditionalFormatting sqref="M27">
    <cfRule type="cellIs" dxfId="2393" priority="208" operator="lessThan">
      <formula>15</formula>
    </cfRule>
    <cfRule type="cellIs" dxfId="2392" priority="209" operator="greaterThan">
      <formula>20</formula>
    </cfRule>
    <cfRule type="cellIs" dxfId="2391" priority="210" operator="between">
      <formula>15</formula>
      <formula>20</formula>
    </cfRule>
    <cfRule type="cellIs" dxfId="2390" priority="211" operator="between">
      <formula>15</formula>
      <formula>20</formula>
    </cfRule>
    <cfRule type="cellIs" dxfId="2389" priority="212" operator="lessThan">
      <formula>15</formula>
    </cfRule>
    <cfRule type="cellIs" dxfId="2388" priority="213" operator="greaterThan">
      <formula>20</formula>
    </cfRule>
    <cfRule type="cellIs" dxfId="2387" priority="214" operator="between">
      <formula>15</formula>
      <formula>21</formula>
    </cfRule>
    <cfRule type="cellIs" dxfId="2386" priority="215" operator="lessThan">
      <formula>15</formula>
    </cfRule>
    <cfRule type="cellIs" dxfId="2385" priority="216" operator="greaterThan">
      <formula>21</formula>
    </cfRule>
  </conditionalFormatting>
  <conditionalFormatting sqref="M34">
    <cfRule type="cellIs" dxfId="2384" priority="199" operator="lessThan">
      <formula>15</formula>
    </cfRule>
    <cfRule type="cellIs" dxfId="2383" priority="200" operator="greaterThan">
      <formula>20</formula>
    </cfRule>
    <cfRule type="cellIs" dxfId="2382" priority="201" operator="between">
      <formula>15</formula>
      <formula>20</formula>
    </cfRule>
    <cfRule type="cellIs" dxfId="2381" priority="202" operator="between">
      <formula>15</formula>
      <formula>20</formula>
    </cfRule>
    <cfRule type="cellIs" dxfId="2380" priority="203" operator="lessThan">
      <formula>15</formula>
    </cfRule>
    <cfRule type="cellIs" dxfId="2379" priority="204" operator="greaterThan">
      <formula>20</formula>
    </cfRule>
    <cfRule type="cellIs" dxfId="2378" priority="205" operator="between">
      <formula>15</formula>
      <formula>21</formula>
    </cfRule>
    <cfRule type="cellIs" dxfId="2377" priority="206" operator="lessThan">
      <formula>15</formula>
    </cfRule>
    <cfRule type="cellIs" dxfId="2376" priority="207" operator="greaterThan">
      <formula>21</formula>
    </cfRule>
  </conditionalFormatting>
  <conditionalFormatting sqref="M14:M17 M39 M21:M22 M24:M26 M19">
    <cfRule type="cellIs" dxfId="2375" priority="226" operator="lessThan">
      <formula>15</formula>
    </cfRule>
    <cfRule type="cellIs" dxfId="2374" priority="227" operator="greaterThan">
      <formula>20</formula>
    </cfRule>
    <cfRule type="cellIs" dxfId="2373" priority="228" operator="between">
      <formula>15</formula>
      <formula>20</formula>
    </cfRule>
    <cfRule type="cellIs" dxfId="2372" priority="229" operator="between">
      <formula>15</formula>
      <formula>20</formula>
    </cfRule>
    <cfRule type="cellIs" dxfId="2371" priority="230" operator="lessThan">
      <formula>15</formula>
    </cfRule>
    <cfRule type="cellIs" dxfId="2370" priority="231" operator="greaterThan">
      <formula>20</formula>
    </cfRule>
    <cfRule type="cellIs" dxfId="2369" priority="232" operator="between">
      <formula>15</formula>
      <formula>21</formula>
    </cfRule>
    <cfRule type="cellIs" dxfId="2368" priority="233" operator="lessThan">
      <formula>15</formula>
    </cfRule>
    <cfRule type="cellIs" dxfId="2367" priority="234" operator="greaterThan">
      <formula>21</formula>
    </cfRule>
  </conditionalFormatting>
  <conditionalFormatting sqref="M9:M12">
    <cfRule type="cellIs" dxfId="2366" priority="190" operator="lessThan">
      <formula>15</formula>
    </cfRule>
    <cfRule type="cellIs" dxfId="2365" priority="191" operator="greaterThan">
      <formula>20</formula>
    </cfRule>
    <cfRule type="cellIs" dxfId="2364" priority="192" operator="between">
      <formula>15</formula>
      <formula>20</formula>
    </cfRule>
    <cfRule type="cellIs" dxfId="2363" priority="193" operator="between">
      <formula>15</formula>
      <formula>20</formula>
    </cfRule>
    <cfRule type="cellIs" dxfId="2362" priority="194" operator="lessThan">
      <formula>15</formula>
    </cfRule>
    <cfRule type="cellIs" dxfId="2361" priority="195" operator="greaterThan">
      <formula>20</formula>
    </cfRule>
    <cfRule type="cellIs" dxfId="2360" priority="196" operator="between">
      <formula>15</formula>
      <formula>21</formula>
    </cfRule>
    <cfRule type="cellIs" dxfId="2359" priority="197" operator="lessThan">
      <formula>15</formula>
    </cfRule>
    <cfRule type="cellIs" dxfId="2358" priority="198" operator="greaterThan">
      <formula>21</formula>
    </cfRule>
  </conditionalFormatting>
  <conditionalFormatting sqref="M29:M32">
    <cfRule type="cellIs" dxfId="2357" priority="181" operator="lessThan">
      <formula>15</formula>
    </cfRule>
    <cfRule type="cellIs" dxfId="2356" priority="182" operator="greaterThan">
      <formula>20</formula>
    </cfRule>
    <cfRule type="cellIs" dxfId="2355" priority="183" operator="between">
      <formula>15</formula>
      <formula>20</formula>
    </cfRule>
    <cfRule type="cellIs" dxfId="2354" priority="184" operator="between">
      <formula>15</formula>
      <formula>20</formula>
    </cfRule>
    <cfRule type="cellIs" dxfId="2353" priority="185" operator="lessThan">
      <formula>15</formula>
    </cfRule>
    <cfRule type="cellIs" dxfId="2352" priority="186" operator="greaterThan">
      <formula>20</formula>
    </cfRule>
    <cfRule type="cellIs" dxfId="2351" priority="187" operator="between">
      <formula>15</formula>
      <formula>21</formula>
    </cfRule>
    <cfRule type="cellIs" dxfId="2350" priority="188" operator="lessThan">
      <formula>15</formula>
    </cfRule>
    <cfRule type="cellIs" dxfId="2349" priority="189" operator="greaterThan">
      <formula>21</formula>
    </cfRule>
  </conditionalFormatting>
  <conditionalFormatting sqref="M38">
    <cfRule type="cellIs" dxfId="2348" priority="109" operator="lessThan">
      <formula>15</formula>
    </cfRule>
    <cfRule type="cellIs" dxfId="2347" priority="110" operator="greaterThan">
      <formula>20</formula>
    </cfRule>
    <cfRule type="cellIs" dxfId="2346" priority="111" operator="between">
      <formula>15</formula>
      <formula>20</formula>
    </cfRule>
    <cfRule type="cellIs" dxfId="2345" priority="112" operator="between">
      <formula>15</formula>
      <formula>20</formula>
    </cfRule>
    <cfRule type="cellIs" dxfId="2344" priority="113" operator="lessThan">
      <formula>15</formula>
    </cfRule>
    <cfRule type="cellIs" dxfId="2343" priority="114" operator="greaterThan">
      <formula>20</formula>
    </cfRule>
    <cfRule type="cellIs" dxfId="2342" priority="115" operator="between">
      <formula>15</formula>
      <formula>21</formula>
    </cfRule>
    <cfRule type="cellIs" dxfId="2341" priority="116" operator="lessThan">
      <formula>15</formula>
    </cfRule>
    <cfRule type="cellIs" dxfId="2340" priority="117" operator="greaterThan">
      <formula>21</formula>
    </cfRule>
  </conditionalFormatting>
  <conditionalFormatting sqref="M33">
    <cfRule type="cellIs" dxfId="2339" priority="100" operator="lessThan">
      <formula>15</formula>
    </cfRule>
    <cfRule type="cellIs" dxfId="2338" priority="101" operator="greaterThan">
      <formula>20</formula>
    </cfRule>
    <cfRule type="cellIs" dxfId="2337" priority="102" operator="between">
      <formula>15</formula>
      <formula>20</formula>
    </cfRule>
    <cfRule type="cellIs" dxfId="2336" priority="103" operator="between">
      <formula>15</formula>
      <formula>20</formula>
    </cfRule>
    <cfRule type="cellIs" dxfId="2335" priority="104" operator="lessThan">
      <formula>15</formula>
    </cfRule>
    <cfRule type="cellIs" dxfId="2334" priority="105" operator="greaterThan">
      <formula>20</formula>
    </cfRule>
    <cfRule type="cellIs" dxfId="2333" priority="106" operator="between">
      <formula>15</formula>
      <formula>21</formula>
    </cfRule>
    <cfRule type="cellIs" dxfId="2332" priority="107" operator="lessThan">
      <formula>15</formula>
    </cfRule>
    <cfRule type="cellIs" dxfId="2331" priority="108" operator="greaterThan">
      <formula>21</formula>
    </cfRule>
  </conditionalFormatting>
  <conditionalFormatting sqref="M28">
    <cfRule type="cellIs" dxfId="2330" priority="91" operator="lessThan">
      <formula>15</formula>
    </cfRule>
    <cfRule type="cellIs" dxfId="2329" priority="92" operator="greaterThan">
      <formula>20</formula>
    </cfRule>
    <cfRule type="cellIs" dxfId="2328" priority="93" operator="between">
      <formula>15</formula>
      <formula>20</formula>
    </cfRule>
    <cfRule type="cellIs" dxfId="2327" priority="94" operator="between">
      <formula>15</formula>
      <formula>20</formula>
    </cfRule>
    <cfRule type="cellIs" dxfId="2326" priority="95" operator="lessThan">
      <formula>15</formula>
    </cfRule>
    <cfRule type="cellIs" dxfId="2325" priority="96" operator="greaterThan">
      <formula>20</formula>
    </cfRule>
    <cfRule type="cellIs" dxfId="2324" priority="97" operator="between">
      <formula>15</formula>
      <formula>21</formula>
    </cfRule>
    <cfRule type="cellIs" dxfId="2323" priority="98" operator="lessThan">
      <formula>15</formula>
    </cfRule>
    <cfRule type="cellIs" dxfId="2322" priority="99" operator="greaterThan">
      <formula>21</formula>
    </cfRule>
  </conditionalFormatting>
  <conditionalFormatting sqref="M23">
    <cfRule type="cellIs" dxfId="2321" priority="82" operator="lessThan">
      <formula>15</formula>
    </cfRule>
    <cfRule type="cellIs" dxfId="2320" priority="83" operator="greaterThan">
      <formula>20</formula>
    </cfRule>
    <cfRule type="cellIs" dxfId="2319" priority="84" operator="between">
      <formula>15</formula>
      <formula>20</formula>
    </cfRule>
    <cfRule type="cellIs" dxfId="2318" priority="85" operator="between">
      <formula>15</formula>
      <formula>20</formula>
    </cfRule>
    <cfRule type="cellIs" dxfId="2317" priority="86" operator="lessThan">
      <formula>15</formula>
    </cfRule>
    <cfRule type="cellIs" dxfId="2316" priority="87" operator="greaterThan">
      <formula>20</formula>
    </cfRule>
    <cfRule type="cellIs" dxfId="2315" priority="88" operator="between">
      <formula>15</formula>
      <formula>21</formula>
    </cfRule>
    <cfRule type="cellIs" dxfId="2314" priority="89" operator="lessThan">
      <formula>15</formula>
    </cfRule>
    <cfRule type="cellIs" dxfId="2313" priority="90" operator="greaterThan">
      <formula>21</formula>
    </cfRule>
  </conditionalFormatting>
  <conditionalFormatting sqref="M18">
    <cfRule type="cellIs" dxfId="2312" priority="73" operator="lessThan">
      <formula>15</formula>
    </cfRule>
    <cfRule type="cellIs" dxfId="2311" priority="74" operator="greaterThan">
      <formula>20</formula>
    </cfRule>
    <cfRule type="cellIs" dxfId="2310" priority="75" operator="between">
      <formula>15</formula>
      <formula>20</formula>
    </cfRule>
    <cfRule type="cellIs" dxfId="2309" priority="76" operator="between">
      <formula>15</formula>
      <formula>20</formula>
    </cfRule>
    <cfRule type="cellIs" dxfId="2308" priority="77" operator="lessThan">
      <formula>15</formula>
    </cfRule>
    <cfRule type="cellIs" dxfId="2307" priority="78" operator="greaterThan">
      <formula>20</formula>
    </cfRule>
    <cfRule type="cellIs" dxfId="2306" priority="79" operator="between">
      <formula>15</formula>
      <formula>21</formula>
    </cfRule>
    <cfRule type="cellIs" dxfId="2305" priority="80" operator="lessThan">
      <formula>15</formula>
    </cfRule>
    <cfRule type="cellIs" dxfId="2304" priority="81" operator="greaterThan">
      <formula>21</formula>
    </cfRule>
  </conditionalFormatting>
  <conditionalFormatting sqref="M35:M37">
    <cfRule type="cellIs" dxfId="2303" priority="64" operator="lessThan">
      <formula>15</formula>
    </cfRule>
    <cfRule type="cellIs" dxfId="2302" priority="65" operator="greaterThan">
      <formula>20</formula>
    </cfRule>
    <cfRule type="cellIs" dxfId="2301" priority="66" operator="between">
      <formula>15</formula>
      <formula>20</formula>
    </cfRule>
    <cfRule type="cellIs" dxfId="2300" priority="67" operator="between">
      <formula>15</formula>
      <formula>20</formula>
    </cfRule>
    <cfRule type="cellIs" dxfId="2299" priority="68" operator="lessThan">
      <formula>15</formula>
    </cfRule>
    <cfRule type="cellIs" dxfId="2298" priority="69" operator="greaterThan">
      <formula>20</formula>
    </cfRule>
    <cfRule type="cellIs" dxfId="2297" priority="70" operator="between">
      <formula>15</formula>
      <formula>21</formula>
    </cfRule>
    <cfRule type="cellIs" dxfId="2296" priority="71" operator="lessThan">
      <formula>15</formula>
    </cfRule>
    <cfRule type="cellIs" dxfId="2295" priority="72" operator="greaterThan">
      <formula>21</formula>
    </cfRule>
  </conditionalFormatting>
  <conditionalFormatting sqref="M13">
    <cfRule type="cellIs" dxfId="2294" priority="55" operator="lessThan">
      <formula>15</formula>
    </cfRule>
    <cfRule type="cellIs" dxfId="2293" priority="56" operator="greaterThan">
      <formula>20</formula>
    </cfRule>
    <cfRule type="cellIs" dxfId="2292" priority="57" operator="between">
      <formula>15</formula>
      <formula>20</formula>
    </cfRule>
    <cfRule type="cellIs" dxfId="2291" priority="58" operator="between">
      <formula>15</formula>
      <formula>20</formula>
    </cfRule>
    <cfRule type="cellIs" dxfId="2290" priority="59" operator="lessThan">
      <formula>15</formula>
    </cfRule>
    <cfRule type="cellIs" dxfId="2289" priority="60" operator="greaterThan">
      <formula>20</formula>
    </cfRule>
    <cfRule type="cellIs" dxfId="2288" priority="61" operator="between">
      <formula>15</formula>
      <formula>21</formula>
    </cfRule>
    <cfRule type="cellIs" dxfId="2287" priority="62" operator="lessThan">
      <formula>15</formula>
    </cfRule>
    <cfRule type="cellIs" dxfId="2286" priority="63" operator="greaterThan">
      <formula>21</formula>
    </cfRule>
  </conditionalFormatting>
  <conditionalFormatting sqref="M20">
    <cfRule type="cellIs" dxfId="2285" priority="46" operator="lessThan">
      <formula>15</formula>
    </cfRule>
    <cfRule type="cellIs" dxfId="2284" priority="47" operator="greaterThan">
      <formula>20</formula>
    </cfRule>
    <cfRule type="cellIs" dxfId="2283" priority="48" operator="between">
      <formula>15</formula>
      <formula>20</formula>
    </cfRule>
    <cfRule type="cellIs" dxfId="2282" priority="49" operator="between">
      <formula>15</formula>
      <formula>20</formula>
    </cfRule>
    <cfRule type="cellIs" dxfId="2281" priority="50" operator="lessThan">
      <formula>15</formula>
    </cfRule>
    <cfRule type="cellIs" dxfId="2280" priority="51" operator="greaterThan">
      <formula>20</formula>
    </cfRule>
    <cfRule type="cellIs" dxfId="2279" priority="52" operator="between">
      <formula>15</formula>
      <formula>21</formula>
    </cfRule>
    <cfRule type="cellIs" dxfId="2278" priority="53" operator="lessThan">
      <formula>15</formula>
    </cfRule>
    <cfRule type="cellIs" dxfId="2277" priority="54" operator="greaterThan">
      <formula>21</formula>
    </cfRule>
  </conditionalFormatting>
  <conditionalFormatting sqref="M27">
    <cfRule type="cellIs" dxfId="2276" priority="37" operator="lessThan">
      <formula>15</formula>
    </cfRule>
    <cfRule type="cellIs" dxfId="2275" priority="38" operator="greaterThan">
      <formula>20</formula>
    </cfRule>
    <cfRule type="cellIs" dxfId="2274" priority="39" operator="between">
      <formula>15</formula>
      <formula>20</formula>
    </cfRule>
    <cfRule type="cellIs" dxfId="2273" priority="40" operator="between">
      <formula>15</formula>
      <formula>20</formula>
    </cfRule>
    <cfRule type="cellIs" dxfId="2272" priority="41" operator="lessThan">
      <formula>15</formula>
    </cfRule>
    <cfRule type="cellIs" dxfId="2271" priority="42" operator="greaterThan">
      <formula>20</formula>
    </cfRule>
    <cfRule type="cellIs" dxfId="2270" priority="43" operator="between">
      <formula>15</formula>
      <formula>21</formula>
    </cfRule>
    <cfRule type="cellIs" dxfId="2269" priority="44" operator="lessThan">
      <formula>15</formula>
    </cfRule>
    <cfRule type="cellIs" dxfId="2268" priority="45" operator="greaterThan">
      <formula>21</formula>
    </cfRule>
  </conditionalFormatting>
  <conditionalFormatting sqref="M34">
    <cfRule type="cellIs" dxfId="2267" priority="28" operator="lessThan">
      <formula>15</formula>
    </cfRule>
    <cfRule type="cellIs" dxfId="2266" priority="29" operator="greaterThan">
      <formula>20</formula>
    </cfRule>
    <cfRule type="cellIs" dxfId="2265" priority="30" operator="between">
      <formula>15</formula>
      <formula>20</formula>
    </cfRule>
    <cfRule type="cellIs" dxfId="2264" priority="31" operator="between">
      <formula>15</formula>
      <formula>20</formula>
    </cfRule>
    <cfRule type="cellIs" dxfId="2263" priority="32" operator="lessThan">
      <formula>15</formula>
    </cfRule>
    <cfRule type="cellIs" dxfId="2262" priority="33" operator="greaterThan">
      <formula>20</formula>
    </cfRule>
    <cfRule type="cellIs" dxfId="2261" priority="34" operator="between">
      <formula>15</formula>
      <formula>21</formula>
    </cfRule>
    <cfRule type="cellIs" dxfId="2260" priority="35" operator="lessThan">
      <formula>15</formula>
    </cfRule>
    <cfRule type="cellIs" dxfId="2259" priority="36" operator="greaterThan">
      <formula>21</formula>
    </cfRule>
  </conditionalFormatting>
  <conditionalFormatting sqref="M14:M17 M39 M21:M22 M24:M26 M19">
    <cfRule type="cellIs" dxfId="2258" priority="19" operator="lessThan">
      <formula>15</formula>
    </cfRule>
    <cfRule type="cellIs" dxfId="2257" priority="20" operator="greaterThan">
      <formula>20</formula>
    </cfRule>
    <cfRule type="cellIs" dxfId="2256" priority="21" operator="between">
      <formula>15</formula>
      <formula>20</formula>
    </cfRule>
    <cfRule type="cellIs" dxfId="2255" priority="22" operator="between">
      <formula>15</formula>
      <formula>20</formula>
    </cfRule>
    <cfRule type="cellIs" dxfId="2254" priority="23" operator="lessThan">
      <formula>15</formula>
    </cfRule>
    <cfRule type="cellIs" dxfId="2253" priority="24" operator="greaterThan">
      <formula>20</formula>
    </cfRule>
    <cfRule type="cellIs" dxfId="2252" priority="25" operator="between">
      <formula>15</formula>
      <formula>21</formula>
    </cfRule>
    <cfRule type="cellIs" dxfId="2251" priority="26" operator="lessThan">
      <formula>15</formula>
    </cfRule>
    <cfRule type="cellIs" dxfId="2250" priority="27" operator="greaterThan">
      <formula>21</formula>
    </cfRule>
  </conditionalFormatting>
  <conditionalFormatting sqref="M9:M12">
    <cfRule type="cellIs" dxfId="2249" priority="10" operator="lessThan">
      <formula>15</formula>
    </cfRule>
    <cfRule type="cellIs" dxfId="2248" priority="11" operator="greaterThan">
      <formula>20</formula>
    </cfRule>
    <cfRule type="cellIs" dxfId="2247" priority="12" operator="between">
      <formula>15</formula>
      <formula>20</formula>
    </cfRule>
    <cfRule type="cellIs" dxfId="2246" priority="13" operator="between">
      <formula>15</formula>
      <formula>20</formula>
    </cfRule>
    <cfRule type="cellIs" dxfId="2245" priority="14" operator="lessThan">
      <formula>15</formula>
    </cfRule>
    <cfRule type="cellIs" dxfId="2244" priority="15" operator="greaterThan">
      <formula>20</formula>
    </cfRule>
    <cfRule type="cellIs" dxfId="2243" priority="16" operator="between">
      <formula>15</formula>
      <formula>21</formula>
    </cfRule>
    <cfRule type="cellIs" dxfId="2242" priority="17" operator="lessThan">
      <formula>15</formula>
    </cfRule>
    <cfRule type="cellIs" dxfId="2241" priority="18" operator="greaterThan">
      <formula>21</formula>
    </cfRule>
  </conditionalFormatting>
  <conditionalFormatting sqref="M29:M32">
    <cfRule type="cellIs" dxfId="2240" priority="1" operator="lessThan">
      <formula>15</formula>
    </cfRule>
    <cfRule type="cellIs" dxfId="2239" priority="2" operator="greaterThan">
      <formula>20</formula>
    </cfRule>
    <cfRule type="cellIs" dxfId="2238" priority="3" operator="between">
      <formula>15</formula>
      <formula>20</formula>
    </cfRule>
    <cfRule type="cellIs" dxfId="2237" priority="4" operator="between">
      <formula>15</formula>
      <formula>20</formula>
    </cfRule>
    <cfRule type="cellIs" dxfId="2236" priority="5" operator="lessThan">
      <formula>15</formula>
    </cfRule>
    <cfRule type="cellIs" dxfId="2235" priority="6" operator="greaterThan">
      <formula>20</formula>
    </cfRule>
    <cfRule type="cellIs" dxfId="2234" priority="7" operator="between">
      <formula>15</formula>
      <formula>21</formula>
    </cfRule>
    <cfRule type="cellIs" dxfId="2233" priority="8" operator="lessThan">
      <formula>15</formula>
    </cfRule>
    <cfRule type="cellIs" dxfId="2232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50"/>
  <sheetViews>
    <sheetView zoomScale="80" zoomScaleNormal="80" workbookViewId="0">
      <pane ySplit="8" topLeftCell="A9" activePane="bottomLeft" state="frozen"/>
      <selection activeCell="D10" sqref="D10"/>
      <selection pane="bottomLeft" activeCell="K9" sqref="K9"/>
    </sheetView>
  </sheetViews>
  <sheetFormatPr defaultColWidth="9.28515625" defaultRowHeight="15"/>
  <cols>
    <col min="1" max="1" width="6.140625" style="143" customWidth="1"/>
    <col min="2" max="2" width="7.7109375" style="143" customWidth="1"/>
    <col min="3" max="3" width="16.5703125" style="143" customWidth="1"/>
    <col min="4" max="11" width="9.5703125" style="142" customWidth="1"/>
    <col min="12" max="13" width="11.42578125" style="143" customWidth="1"/>
    <col min="14" max="14" width="6.8554687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M004</v>
      </c>
      <c r="D4" s="383"/>
      <c r="E4" s="383" t="s">
        <v>228</v>
      </c>
      <c r="F4" s="383" t="s">
        <v>230</v>
      </c>
      <c r="G4" s="383"/>
      <c r="I4" s="383" t="s">
        <v>120</v>
      </c>
      <c r="J4" s="466" t="s">
        <v>164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/>
      <c r="G8" s="388"/>
      <c r="H8" s="387"/>
      <c r="I8" s="388"/>
      <c r="J8" s="390">
        <f>K8-K8*N8</f>
        <v>0</v>
      </c>
      <c r="K8" s="389">
        <v>0</v>
      </c>
      <c r="L8" s="303"/>
      <c r="M8" s="304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>
        <v>0</v>
      </c>
      <c r="E9" s="388">
        <f>D9</f>
        <v>0</v>
      </c>
      <c r="F9" s="446"/>
      <c r="G9" s="496">
        <f>F9</f>
        <v>0</v>
      </c>
      <c r="H9" s="498">
        <f>SUM($F$8:F9)/A9</f>
        <v>0</v>
      </c>
      <c r="I9" s="499">
        <f>SUM($G$8:G9)/A9</f>
        <v>0</v>
      </c>
      <c r="J9" s="443">
        <f t="shared" ref="J9:K24" si="0">J8+D9-F9</f>
        <v>0</v>
      </c>
      <c r="K9" s="459">
        <f t="shared" si="0"/>
        <v>0</v>
      </c>
      <c r="L9" s="338" t="e">
        <f t="shared" ref="L9:M24" si="1">J9/H9</f>
        <v>#DIV/0!</v>
      </c>
      <c r="M9" s="300" t="e">
        <f t="shared" si="1"/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>
        <f t="shared" ref="E10:E39" si="2">D10</f>
        <v>0</v>
      </c>
      <c r="F10" s="446"/>
      <c r="G10" s="496">
        <f t="shared" ref="G10:G39" si="3">F10</f>
        <v>0</v>
      </c>
      <c r="H10" s="498">
        <f>SUM($F$8:F10)/A10</f>
        <v>0</v>
      </c>
      <c r="I10" s="499">
        <f>SUM($G$8:G10)/A10</f>
        <v>0</v>
      </c>
      <c r="J10" s="443">
        <f t="shared" si="0"/>
        <v>0</v>
      </c>
      <c r="K10" s="459">
        <f t="shared" si="0"/>
        <v>0</v>
      </c>
      <c r="L10" s="338" t="e">
        <f t="shared" si="1"/>
        <v>#DIV/0!</v>
      </c>
      <c r="M10" s="300" t="e">
        <f t="shared" si="1"/>
        <v>#DIV/0!</v>
      </c>
      <c r="N10" s="366"/>
      <c r="O10" s="647">
        <f t="shared" ref="O10:O39" si="4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>
        <f t="shared" si="2"/>
        <v>0</v>
      </c>
      <c r="F11" s="446"/>
      <c r="G11" s="496">
        <f t="shared" si="3"/>
        <v>0</v>
      </c>
      <c r="H11" s="498">
        <f>SUM($F$8:F11)/A11</f>
        <v>0</v>
      </c>
      <c r="I11" s="499">
        <f>SUM($G$8:G11)/A11</f>
        <v>0</v>
      </c>
      <c r="J11" s="443">
        <f t="shared" si="0"/>
        <v>0</v>
      </c>
      <c r="K11" s="459">
        <f t="shared" si="0"/>
        <v>0</v>
      </c>
      <c r="L11" s="338" t="e">
        <f t="shared" si="1"/>
        <v>#DIV/0!</v>
      </c>
      <c r="M11" s="300" t="e">
        <f t="shared" si="1"/>
        <v>#DIV/0!</v>
      </c>
      <c r="N11" s="366"/>
      <c r="O11" s="647">
        <f t="shared" si="4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>
        <f t="shared" si="2"/>
        <v>0</v>
      </c>
      <c r="F12" s="446"/>
      <c r="G12" s="496">
        <f t="shared" si="3"/>
        <v>0</v>
      </c>
      <c r="H12" s="498">
        <f>SUM($F$8:F12)/A12</f>
        <v>0</v>
      </c>
      <c r="I12" s="499">
        <f>SUM($G$8:G12)/A12</f>
        <v>0</v>
      </c>
      <c r="J12" s="443">
        <f t="shared" si="0"/>
        <v>0</v>
      </c>
      <c r="K12" s="459">
        <f t="shared" si="0"/>
        <v>0</v>
      </c>
      <c r="L12" s="338" t="e">
        <f t="shared" si="1"/>
        <v>#DIV/0!</v>
      </c>
      <c r="M12" s="300" t="e">
        <f t="shared" si="1"/>
        <v>#DIV/0!</v>
      </c>
      <c r="N12" s="366"/>
      <c r="O12" s="647">
        <f t="shared" si="4"/>
        <v>0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>
        <f t="shared" si="2"/>
        <v>0</v>
      </c>
      <c r="F13" s="446"/>
      <c r="G13" s="496">
        <f t="shared" si="3"/>
        <v>0</v>
      </c>
      <c r="H13" s="500">
        <f>SUM($F$8:F13)/A13</f>
        <v>0</v>
      </c>
      <c r="I13" s="499">
        <f>SUM($G$8:G13)/A13</f>
        <v>0</v>
      </c>
      <c r="J13" s="500">
        <f t="shared" si="0"/>
        <v>0</v>
      </c>
      <c r="K13" s="459">
        <f t="shared" si="0"/>
        <v>0</v>
      </c>
      <c r="L13" s="368" t="e">
        <f t="shared" si="1"/>
        <v>#DIV/0!</v>
      </c>
      <c r="M13" s="300" t="e">
        <f t="shared" si="1"/>
        <v>#DIV/0!</v>
      </c>
      <c r="N13" s="366"/>
      <c r="O13" s="647">
        <f t="shared" si="4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>
        <f t="shared" si="2"/>
        <v>0</v>
      </c>
      <c r="F14" s="446"/>
      <c r="G14" s="496">
        <f t="shared" si="3"/>
        <v>0</v>
      </c>
      <c r="H14" s="498">
        <f>SUM($F$8:F14)/A14</f>
        <v>0</v>
      </c>
      <c r="I14" s="499">
        <f>SUM($G$8:G14)/A14</f>
        <v>0</v>
      </c>
      <c r="J14" s="443">
        <f t="shared" si="0"/>
        <v>0</v>
      </c>
      <c r="K14" s="459">
        <f t="shared" si="0"/>
        <v>0</v>
      </c>
      <c r="L14" s="338" t="e">
        <f t="shared" si="1"/>
        <v>#DIV/0!</v>
      </c>
      <c r="M14" s="300" t="e">
        <f t="shared" si="1"/>
        <v>#DIV/0!</v>
      </c>
      <c r="N14" s="366"/>
      <c r="O14" s="647">
        <f t="shared" si="4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>
        <f t="shared" si="2"/>
        <v>0</v>
      </c>
      <c r="F15" s="446"/>
      <c r="G15" s="496">
        <f t="shared" si="3"/>
        <v>0</v>
      </c>
      <c r="H15" s="498">
        <f>SUM($F$8:F15)/A15</f>
        <v>0</v>
      </c>
      <c r="I15" s="499">
        <f>SUM($G$8:G15)/A15</f>
        <v>0</v>
      </c>
      <c r="J15" s="443">
        <f t="shared" si="0"/>
        <v>0</v>
      </c>
      <c r="K15" s="459">
        <f t="shared" si="0"/>
        <v>0</v>
      </c>
      <c r="L15" s="338" t="e">
        <f t="shared" si="1"/>
        <v>#DIV/0!</v>
      </c>
      <c r="M15" s="300" t="e">
        <f t="shared" si="1"/>
        <v>#DIV/0!</v>
      </c>
      <c r="N15" s="366"/>
      <c r="O15" s="647">
        <f t="shared" si="4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>
        <f t="shared" si="2"/>
        <v>0</v>
      </c>
      <c r="F16" s="446"/>
      <c r="G16" s="496">
        <f t="shared" si="3"/>
        <v>0</v>
      </c>
      <c r="H16" s="498">
        <f>SUM($F$8:F16)/A16</f>
        <v>0</v>
      </c>
      <c r="I16" s="499">
        <f>SUM($G$8:G16)/A16</f>
        <v>0</v>
      </c>
      <c r="J16" s="443">
        <f t="shared" si="0"/>
        <v>0</v>
      </c>
      <c r="K16" s="459">
        <f t="shared" si="0"/>
        <v>0</v>
      </c>
      <c r="L16" s="338" t="e">
        <f t="shared" si="1"/>
        <v>#DIV/0!</v>
      </c>
      <c r="M16" s="300" t="e">
        <f t="shared" si="1"/>
        <v>#DIV/0!</v>
      </c>
      <c r="N16" s="366"/>
      <c r="O16" s="647">
        <f t="shared" si="4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>
        <f t="shared" si="2"/>
        <v>0</v>
      </c>
      <c r="F17" s="446"/>
      <c r="G17" s="496">
        <f t="shared" si="3"/>
        <v>0</v>
      </c>
      <c r="H17" s="498">
        <f>SUM($F$8:F17)/A17</f>
        <v>0</v>
      </c>
      <c r="I17" s="499">
        <f>SUM($G$8:G17)/A17</f>
        <v>0</v>
      </c>
      <c r="J17" s="443">
        <f t="shared" si="0"/>
        <v>0</v>
      </c>
      <c r="K17" s="459">
        <f t="shared" si="0"/>
        <v>0</v>
      </c>
      <c r="L17" s="338" t="e">
        <f t="shared" si="1"/>
        <v>#DIV/0!</v>
      </c>
      <c r="M17" s="300" t="e">
        <f t="shared" si="1"/>
        <v>#DIV/0!</v>
      </c>
      <c r="N17" s="366"/>
      <c r="O17" s="647">
        <f t="shared" si="4"/>
        <v>0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>
        <f t="shared" si="2"/>
        <v>0</v>
      </c>
      <c r="F18" s="446"/>
      <c r="G18" s="496">
        <f t="shared" si="3"/>
        <v>0</v>
      </c>
      <c r="H18" s="500">
        <f>SUM($F$8:F18)/A18</f>
        <v>0</v>
      </c>
      <c r="I18" s="499">
        <f>SUM($G$8:G18)/A18</f>
        <v>0</v>
      </c>
      <c r="J18" s="500">
        <f t="shared" si="0"/>
        <v>0</v>
      </c>
      <c r="K18" s="459">
        <f t="shared" si="0"/>
        <v>0</v>
      </c>
      <c r="L18" s="368" t="e">
        <f t="shared" si="1"/>
        <v>#DIV/0!</v>
      </c>
      <c r="M18" s="300" t="e">
        <f t="shared" si="1"/>
        <v>#DIV/0!</v>
      </c>
      <c r="N18" s="366"/>
      <c r="O18" s="647">
        <f t="shared" si="4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>
        <f t="shared" si="2"/>
        <v>0</v>
      </c>
      <c r="F19" s="446"/>
      <c r="G19" s="496">
        <f t="shared" si="3"/>
        <v>0</v>
      </c>
      <c r="H19" s="498">
        <f>SUM($F$8:F19)/A19</f>
        <v>0</v>
      </c>
      <c r="I19" s="499">
        <f>SUM($G$8:G19)/A19</f>
        <v>0</v>
      </c>
      <c r="J19" s="443">
        <f t="shared" si="0"/>
        <v>0</v>
      </c>
      <c r="K19" s="459">
        <f t="shared" si="0"/>
        <v>0</v>
      </c>
      <c r="L19" s="338" t="e">
        <f t="shared" si="1"/>
        <v>#DIV/0!</v>
      </c>
      <c r="M19" s="300" t="e">
        <f t="shared" si="1"/>
        <v>#DIV/0!</v>
      </c>
      <c r="N19" s="366"/>
      <c r="O19" s="647">
        <f t="shared" si="4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>
        <f t="shared" si="2"/>
        <v>0</v>
      </c>
      <c r="F20" s="446"/>
      <c r="G20" s="496">
        <f t="shared" si="3"/>
        <v>0</v>
      </c>
      <c r="H20" s="498">
        <f>SUM($F$8:F20)/A20</f>
        <v>0</v>
      </c>
      <c r="I20" s="499">
        <f>SUM($G$8:G20)/A20</f>
        <v>0</v>
      </c>
      <c r="J20" s="443">
        <f t="shared" si="0"/>
        <v>0</v>
      </c>
      <c r="K20" s="459">
        <f t="shared" si="0"/>
        <v>0</v>
      </c>
      <c r="L20" s="338" t="e">
        <f t="shared" si="1"/>
        <v>#DIV/0!</v>
      </c>
      <c r="M20" s="300" t="e">
        <f t="shared" si="1"/>
        <v>#DIV/0!</v>
      </c>
      <c r="N20" s="366"/>
      <c r="O20" s="647">
        <f t="shared" si="4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>
        <f t="shared" si="2"/>
        <v>0</v>
      </c>
      <c r="F21" s="446"/>
      <c r="G21" s="496">
        <f t="shared" si="3"/>
        <v>0</v>
      </c>
      <c r="H21" s="498">
        <f>SUM($F$8:F21)/A21</f>
        <v>0</v>
      </c>
      <c r="I21" s="499">
        <f>SUM($G$8:G21)/A21</f>
        <v>0</v>
      </c>
      <c r="J21" s="443">
        <f t="shared" si="0"/>
        <v>0</v>
      </c>
      <c r="K21" s="459">
        <f>K20+E21-G21</f>
        <v>0</v>
      </c>
      <c r="L21" s="338" t="e">
        <f t="shared" si="1"/>
        <v>#DIV/0!</v>
      </c>
      <c r="M21" s="300" t="e">
        <f t="shared" si="1"/>
        <v>#DIV/0!</v>
      </c>
      <c r="N21" s="366"/>
      <c r="O21" s="647">
        <f t="shared" si="4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>
        <f t="shared" si="2"/>
        <v>0</v>
      </c>
      <c r="F22" s="446"/>
      <c r="G22" s="496">
        <f t="shared" si="3"/>
        <v>0</v>
      </c>
      <c r="H22" s="498">
        <f>SUM($F$8:F22)/A22</f>
        <v>0</v>
      </c>
      <c r="I22" s="499">
        <f>SUM($G$8:G22)/A22</f>
        <v>0</v>
      </c>
      <c r="J22" s="443">
        <f t="shared" si="0"/>
        <v>0</v>
      </c>
      <c r="K22" s="459">
        <f>K21+E22-G22</f>
        <v>0</v>
      </c>
      <c r="L22" s="338" t="e">
        <f t="shared" si="1"/>
        <v>#DIV/0!</v>
      </c>
      <c r="M22" s="300" t="e">
        <f t="shared" si="1"/>
        <v>#DIV/0!</v>
      </c>
      <c r="N22" s="366"/>
      <c r="O22" s="647">
        <f t="shared" si="4"/>
        <v>0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>
        <f t="shared" si="2"/>
        <v>0</v>
      </c>
      <c r="F23" s="446"/>
      <c r="G23" s="496">
        <f t="shared" si="3"/>
        <v>0</v>
      </c>
      <c r="H23" s="500">
        <f>SUM($F$8:F23)/A23</f>
        <v>0</v>
      </c>
      <c r="I23" s="499">
        <f>SUM($G$8:G23)/A23</f>
        <v>0</v>
      </c>
      <c r="J23" s="500">
        <f t="shared" si="0"/>
        <v>0</v>
      </c>
      <c r="K23" s="459">
        <f t="shared" si="0"/>
        <v>0</v>
      </c>
      <c r="L23" s="368" t="e">
        <f t="shared" si="1"/>
        <v>#DIV/0!</v>
      </c>
      <c r="M23" s="300" t="e">
        <f t="shared" si="1"/>
        <v>#DIV/0!</v>
      </c>
      <c r="N23" s="366"/>
      <c r="O23" s="647">
        <f t="shared" si="4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>
        <f t="shared" si="2"/>
        <v>0</v>
      </c>
      <c r="F24" s="446"/>
      <c r="G24" s="496">
        <f t="shared" si="3"/>
        <v>0</v>
      </c>
      <c r="H24" s="498">
        <f>SUM($F$8:F24)/A24</f>
        <v>0</v>
      </c>
      <c r="I24" s="499">
        <f>SUM($G$8:G24)/A24</f>
        <v>0</v>
      </c>
      <c r="J24" s="443">
        <f t="shared" si="0"/>
        <v>0</v>
      </c>
      <c r="K24" s="459">
        <f>K23+E24-G24</f>
        <v>0</v>
      </c>
      <c r="L24" s="338" t="e">
        <f t="shared" si="1"/>
        <v>#DIV/0!</v>
      </c>
      <c r="M24" s="300" t="e">
        <f t="shared" si="1"/>
        <v>#DIV/0!</v>
      </c>
      <c r="N24" s="366"/>
      <c r="O24" s="647">
        <f t="shared" si="4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>
        <f t="shared" si="2"/>
        <v>0</v>
      </c>
      <c r="F25" s="446"/>
      <c r="G25" s="496">
        <f t="shared" si="3"/>
        <v>0</v>
      </c>
      <c r="H25" s="498">
        <f>SUM($F$8:F25)/A25</f>
        <v>0</v>
      </c>
      <c r="I25" s="499">
        <f>SUM($G$8:G25)/A25</f>
        <v>0</v>
      </c>
      <c r="J25" s="443">
        <f t="shared" ref="J25:K39" si="5">J24+D25-F25</f>
        <v>0</v>
      </c>
      <c r="K25" s="459">
        <f>K24+E25-G25</f>
        <v>0</v>
      </c>
      <c r="L25" s="338" t="e">
        <f t="shared" ref="L25:M39" si="6">J25/H25</f>
        <v>#DIV/0!</v>
      </c>
      <c r="M25" s="300" t="e">
        <f t="shared" si="6"/>
        <v>#DIV/0!</v>
      </c>
      <c r="N25" s="366"/>
      <c r="O25" s="647">
        <f t="shared" si="4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>
        <f t="shared" si="2"/>
        <v>0</v>
      </c>
      <c r="F26" s="446"/>
      <c r="G26" s="496">
        <f t="shared" si="3"/>
        <v>0</v>
      </c>
      <c r="H26" s="498">
        <f>SUM($F$8:F26)/A26</f>
        <v>0</v>
      </c>
      <c r="I26" s="499">
        <f>SUM($G$8:G26)/A26</f>
        <v>0</v>
      </c>
      <c r="J26" s="443">
        <f t="shared" si="5"/>
        <v>0</v>
      </c>
      <c r="K26" s="459">
        <f>K25+E26-G26</f>
        <v>0</v>
      </c>
      <c r="L26" s="338" t="e">
        <f t="shared" si="6"/>
        <v>#DIV/0!</v>
      </c>
      <c r="M26" s="300" t="e">
        <f t="shared" si="6"/>
        <v>#DIV/0!</v>
      </c>
      <c r="N26" s="366"/>
      <c r="O26" s="647">
        <f t="shared" si="4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>
        <f t="shared" si="2"/>
        <v>0</v>
      </c>
      <c r="F27" s="446"/>
      <c r="G27" s="496">
        <f t="shared" si="3"/>
        <v>0</v>
      </c>
      <c r="H27" s="498">
        <f>SUM($F$8:F27)/A27</f>
        <v>0</v>
      </c>
      <c r="I27" s="499">
        <f>SUM($G$8:G27)/A27</f>
        <v>0</v>
      </c>
      <c r="J27" s="443">
        <f t="shared" si="5"/>
        <v>0</v>
      </c>
      <c r="K27" s="459">
        <f>K26+E27-G27</f>
        <v>0</v>
      </c>
      <c r="L27" s="338" t="e">
        <f t="shared" si="6"/>
        <v>#DIV/0!</v>
      </c>
      <c r="M27" s="300" t="e">
        <f t="shared" si="6"/>
        <v>#DIV/0!</v>
      </c>
      <c r="N27" s="366"/>
      <c r="O27" s="647">
        <f t="shared" si="4"/>
        <v>0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>
        <f t="shared" si="2"/>
        <v>0</v>
      </c>
      <c r="F28" s="446"/>
      <c r="G28" s="496">
        <f t="shared" si="3"/>
        <v>0</v>
      </c>
      <c r="H28" s="500">
        <f>SUM($F$8:F28)/A28</f>
        <v>0</v>
      </c>
      <c r="I28" s="499">
        <f>SUM($G$8:G28)/A28</f>
        <v>0</v>
      </c>
      <c r="J28" s="500">
        <f t="shared" si="5"/>
        <v>0</v>
      </c>
      <c r="K28" s="459">
        <f t="shared" si="5"/>
        <v>0</v>
      </c>
      <c r="L28" s="368" t="e">
        <f t="shared" si="6"/>
        <v>#DIV/0!</v>
      </c>
      <c r="M28" s="300" t="e">
        <f t="shared" si="6"/>
        <v>#DIV/0!</v>
      </c>
      <c r="N28" s="366"/>
      <c r="O28" s="647">
        <f t="shared" si="4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>
        <f t="shared" si="2"/>
        <v>0</v>
      </c>
      <c r="F29" s="446"/>
      <c r="G29" s="496">
        <f t="shared" si="3"/>
        <v>0</v>
      </c>
      <c r="H29" s="498">
        <f>SUM($F$8:F29)/A29</f>
        <v>0</v>
      </c>
      <c r="I29" s="499">
        <f>SUM($G$8:G29)/A29</f>
        <v>0</v>
      </c>
      <c r="J29" s="443">
        <f t="shared" si="5"/>
        <v>0</v>
      </c>
      <c r="K29" s="459">
        <f t="shared" si="5"/>
        <v>0</v>
      </c>
      <c r="L29" s="338" t="e">
        <f t="shared" si="6"/>
        <v>#DIV/0!</v>
      </c>
      <c r="M29" s="300" t="e">
        <f t="shared" si="6"/>
        <v>#DIV/0!</v>
      </c>
      <c r="N29" s="366"/>
      <c r="O29" s="647">
        <f t="shared" si="4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>
        <f t="shared" si="2"/>
        <v>0</v>
      </c>
      <c r="F30" s="446"/>
      <c r="G30" s="496">
        <f t="shared" si="3"/>
        <v>0</v>
      </c>
      <c r="H30" s="498">
        <f>SUM($F$8:F30)/A30</f>
        <v>0</v>
      </c>
      <c r="I30" s="499">
        <f>SUM($G$8:G30)/A30</f>
        <v>0</v>
      </c>
      <c r="J30" s="443">
        <f t="shared" si="5"/>
        <v>0</v>
      </c>
      <c r="K30" s="459">
        <f t="shared" si="5"/>
        <v>0</v>
      </c>
      <c r="L30" s="338" t="e">
        <f t="shared" si="6"/>
        <v>#DIV/0!</v>
      </c>
      <c r="M30" s="300" t="e">
        <f t="shared" si="6"/>
        <v>#DIV/0!</v>
      </c>
      <c r="N30" s="366"/>
      <c r="O30" s="647">
        <f t="shared" si="4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>
        <f t="shared" si="2"/>
        <v>0</v>
      </c>
      <c r="F31" s="446"/>
      <c r="G31" s="496">
        <f t="shared" si="3"/>
        <v>0</v>
      </c>
      <c r="H31" s="498">
        <f>SUM($F$8:F31)/A31</f>
        <v>0</v>
      </c>
      <c r="I31" s="499">
        <f>SUM($G$8:G31)/A31</f>
        <v>0</v>
      </c>
      <c r="J31" s="443">
        <f t="shared" si="5"/>
        <v>0</v>
      </c>
      <c r="K31" s="459">
        <f t="shared" si="5"/>
        <v>0</v>
      </c>
      <c r="L31" s="338" t="e">
        <f t="shared" si="6"/>
        <v>#DIV/0!</v>
      </c>
      <c r="M31" s="300" t="e">
        <f t="shared" si="6"/>
        <v>#DIV/0!</v>
      </c>
      <c r="N31" s="366"/>
      <c r="O31" s="647">
        <f t="shared" si="4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>
        <f t="shared" si="2"/>
        <v>0</v>
      </c>
      <c r="F32" s="446"/>
      <c r="G32" s="496">
        <f t="shared" si="3"/>
        <v>0</v>
      </c>
      <c r="H32" s="498">
        <f>SUM($F$8:F32)/A32</f>
        <v>0</v>
      </c>
      <c r="I32" s="499">
        <f>SUM($G$8:G32)/A32</f>
        <v>0</v>
      </c>
      <c r="J32" s="443">
        <f t="shared" si="5"/>
        <v>0</v>
      </c>
      <c r="K32" s="459">
        <f t="shared" si="5"/>
        <v>0</v>
      </c>
      <c r="L32" s="338" t="e">
        <f t="shared" si="6"/>
        <v>#DIV/0!</v>
      </c>
      <c r="M32" s="300" t="e">
        <f t="shared" si="6"/>
        <v>#DIV/0!</v>
      </c>
      <c r="N32" s="366"/>
      <c r="O32" s="647">
        <f t="shared" si="4"/>
        <v>0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>
        <f t="shared" si="2"/>
        <v>0</v>
      </c>
      <c r="F33" s="446"/>
      <c r="G33" s="496">
        <f t="shared" si="3"/>
        <v>0</v>
      </c>
      <c r="H33" s="448">
        <f>SUM($F$8:F33)/A33</f>
        <v>0</v>
      </c>
      <c r="I33" s="499">
        <f>SUM($G$8:G33)/A33</f>
        <v>0</v>
      </c>
      <c r="J33" s="448">
        <f t="shared" si="5"/>
        <v>0</v>
      </c>
      <c r="K33" s="459">
        <f t="shared" si="5"/>
        <v>0</v>
      </c>
      <c r="L33" s="369" t="e">
        <f t="shared" si="6"/>
        <v>#DIV/0!</v>
      </c>
      <c r="M33" s="300" t="e">
        <f t="shared" si="6"/>
        <v>#DIV/0!</v>
      </c>
      <c r="N33" s="366"/>
      <c r="O33" s="647">
        <f t="shared" si="4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>
        <f t="shared" si="2"/>
        <v>0</v>
      </c>
      <c r="F34" s="446"/>
      <c r="G34" s="496">
        <f t="shared" si="3"/>
        <v>0</v>
      </c>
      <c r="H34" s="498">
        <f>SUM($F$8:F34)/A34</f>
        <v>0</v>
      </c>
      <c r="I34" s="499">
        <f>SUM($G$8:G34)/A34</f>
        <v>0</v>
      </c>
      <c r="J34" s="443">
        <f t="shared" si="5"/>
        <v>0</v>
      </c>
      <c r="K34" s="459">
        <f t="shared" si="5"/>
        <v>0</v>
      </c>
      <c r="L34" s="338" t="e">
        <f t="shared" si="6"/>
        <v>#DIV/0!</v>
      </c>
      <c r="M34" s="300" t="e">
        <f t="shared" si="6"/>
        <v>#DIV/0!</v>
      </c>
      <c r="N34" s="366"/>
      <c r="O34" s="647">
        <f t="shared" si="4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>
        <f t="shared" si="2"/>
        <v>0</v>
      </c>
      <c r="F35" s="446"/>
      <c r="G35" s="496">
        <f t="shared" si="3"/>
        <v>0</v>
      </c>
      <c r="H35" s="498">
        <f>SUM($F$8:F35)/A35</f>
        <v>0</v>
      </c>
      <c r="I35" s="499">
        <f>SUM($G$8:G35)/A35</f>
        <v>0</v>
      </c>
      <c r="J35" s="443">
        <f t="shared" si="5"/>
        <v>0</v>
      </c>
      <c r="K35" s="459">
        <f t="shared" si="5"/>
        <v>0</v>
      </c>
      <c r="L35" s="338" t="e">
        <f t="shared" si="6"/>
        <v>#DIV/0!</v>
      </c>
      <c r="M35" s="300" t="e">
        <f t="shared" si="6"/>
        <v>#DIV/0!</v>
      </c>
      <c r="N35" s="366"/>
      <c r="O35" s="647">
        <f t="shared" si="4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>
        <f t="shared" si="2"/>
        <v>0</v>
      </c>
      <c r="F36" s="446"/>
      <c r="G36" s="496">
        <f t="shared" si="3"/>
        <v>0</v>
      </c>
      <c r="H36" s="498">
        <f>SUM($F$8:F36)/A36</f>
        <v>0</v>
      </c>
      <c r="I36" s="499">
        <f>SUM($G$8:G36)/A36</f>
        <v>0</v>
      </c>
      <c r="J36" s="443">
        <f t="shared" si="5"/>
        <v>0</v>
      </c>
      <c r="K36" s="459">
        <f t="shared" si="5"/>
        <v>0</v>
      </c>
      <c r="L36" s="338" t="e">
        <f t="shared" si="6"/>
        <v>#DIV/0!</v>
      </c>
      <c r="M36" s="300" t="e">
        <f t="shared" si="6"/>
        <v>#DIV/0!</v>
      </c>
      <c r="N36" s="366"/>
      <c r="O36" s="647">
        <f t="shared" si="4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>
        <f t="shared" si="2"/>
        <v>0</v>
      </c>
      <c r="F37" s="446"/>
      <c r="G37" s="496">
        <f t="shared" si="3"/>
        <v>0</v>
      </c>
      <c r="H37" s="498">
        <f>SUM($F$8:F37)/A37</f>
        <v>0</v>
      </c>
      <c r="I37" s="499">
        <f>SUM($G$8:G37)/A37</f>
        <v>0</v>
      </c>
      <c r="J37" s="443">
        <f t="shared" si="5"/>
        <v>0</v>
      </c>
      <c r="K37" s="459">
        <f t="shared" si="5"/>
        <v>0</v>
      </c>
      <c r="L37" s="338" t="e">
        <f t="shared" si="6"/>
        <v>#DIV/0!</v>
      </c>
      <c r="M37" s="300" t="e">
        <f t="shared" si="6"/>
        <v>#DIV/0!</v>
      </c>
      <c r="N37" s="366"/>
      <c r="O37" s="647">
        <f t="shared" si="4"/>
        <v>0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>
        <f t="shared" si="2"/>
        <v>0</v>
      </c>
      <c r="F38" s="446"/>
      <c r="G38" s="496">
        <f t="shared" si="3"/>
        <v>0</v>
      </c>
      <c r="H38" s="500">
        <f>SUM($F$8:F38)/A38</f>
        <v>0</v>
      </c>
      <c r="I38" s="499">
        <f>SUM($G$8:G38)/A38</f>
        <v>0</v>
      </c>
      <c r="J38" s="500">
        <f t="shared" si="5"/>
        <v>0</v>
      </c>
      <c r="K38" s="459">
        <f t="shared" si="5"/>
        <v>0</v>
      </c>
      <c r="L38" s="368" t="e">
        <f t="shared" si="6"/>
        <v>#DIV/0!</v>
      </c>
      <c r="M38" s="300" t="e">
        <f t="shared" si="6"/>
        <v>#DIV/0!</v>
      </c>
      <c r="N38" s="366"/>
      <c r="O38" s="647">
        <f t="shared" si="4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>
        <f t="shared" si="2"/>
        <v>0</v>
      </c>
      <c r="F39" s="446"/>
      <c r="G39" s="496">
        <f t="shared" si="3"/>
        <v>0</v>
      </c>
      <c r="H39" s="498">
        <f>SUM($F$8:F39)/A39</f>
        <v>0</v>
      </c>
      <c r="I39" s="499">
        <f>SUM($G$8:G39)/A39</f>
        <v>0</v>
      </c>
      <c r="J39" s="443">
        <f t="shared" si="5"/>
        <v>0</v>
      </c>
      <c r="K39" s="459">
        <f t="shared" si="5"/>
        <v>0</v>
      </c>
      <c r="L39" s="338" t="e">
        <f t="shared" si="6"/>
        <v>#DIV/0!</v>
      </c>
      <c r="M39" s="300" t="e">
        <f t="shared" si="6"/>
        <v>#DIV/0!</v>
      </c>
      <c r="N39" s="366"/>
      <c r="O39" s="647">
        <f t="shared" si="4"/>
        <v>0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0</v>
      </c>
      <c r="K41" s="389">
        <f>E41-G41</f>
        <v>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8">
    <cfRule type="cellIs" dxfId="2231" priority="163" operator="lessThan">
      <formula>15</formula>
    </cfRule>
    <cfRule type="cellIs" dxfId="2230" priority="164" operator="greaterThan">
      <formula>20</formula>
    </cfRule>
    <cfRule type="cellIs" dxfId="2229" priority="165" operator="between">
      <formula>15</formula>
      <formula>20</formula>
    </cfRule>
    <cfRule type="cellIs" dxfId="2228" priority="166" operator="between">
      <formula>15</formula>
      <formula>20</formula>
    </cfRule>
    <cfRule type="cellIs" dxfId="2227" priority="167" operator="lessThan">
      <formula>15</formula>
    </cfRule>
    <cfRule type="cellIs" dxfId="2226" priority="168" operator="greaterThan">
      <formula>20</formula>
    </cfRule>
    <cfRule type="cellIs" dxfId="2225" priority="169" operator="between">
      <formula>15</formula>
      <formula>21</formula>
    </cfRule>
    <cfRule type="cellIs" dxfId="2224" priority="170" operator="lessThan">
      <formula>15</formula>
    </cfRule>
    <cfRule type="cellIs" dxfId="2223" priority="171" operator="greaterThan">
      <formula>21</formula>
    </cfRule>
  </conditionalFormatting>
  <conditionalFormatting sqref="M23">
    <cfRule type="cellIs" dxfId="2222" priority="154" operator="lessThan">
      <formula>15</formula>
    </cfRule>
    <cfRule type="cellIs" dxfId="2221" priority="155" operator="greaterThan">
      <formula>20</formula>
    </cfRule>
    <cfRule type="cellIs" dxfId="2220" priority="156" operator="between">
      <formula>15</formula>
      <formula>20</formula>
    </cfRule>
    <cfRule type="cellIs" dxfId="2219" priority="157" operator="between">
      <formula>15</formula>
      <formula>20</formula>
    </cfRule>
    <cfRule type="cellIs" dxfId="2218" priority="158" operator="lessThan">
      <formula>15</formula>
    </cfRule>
    <cfRule type="cellIs" dxfId="2217" priority="159" operator="greaterThan">
      <formula>20</formula>
    </cfRule>
    <cfRule type="cellIs" dxfId="2216" priority="160" operator="between">
      <formula>15</formula>
      <formula>21</formula>
    </cfRule>
    <cfRule type="cellIs" dxfId="2215" priority="161" operator="lessThan">
      <formula>15</formula>
    </cfRule>
    <cfRule type="cellIs" dxfId="2214" priority="162" operator="greaterThan">
      <formula>21</formula>
    </cfRule>
  </conditionalFormatting>
  <conditionalFormatting sqref="M18">
    <cfRule type="cellIs" dxfId="2213" priority="145" operator="lessThan">
      <formula>15</formula>
    </cfRule>
    <cfRule type="cellIs" dxfId="2212" priority="146" operator="greaterThan">
      <formula>20</formula>
    </cfRule>
    <cfRule type="cellIs" dxfId="2211" priority="147" operator="between">
      <formula>15</formula>
      <formula>20</formula>
    </cfRule>
    <cfRule type="cellIs" dxfId="2210" priority="148" operator="between">
      <formula>15</formula>
      <formula>20</formula>
    </cfRule>
    <cfRule type="cellIs" dxfId="2209" priority="149" operator="lessThan">
      <formula>15</formula>
    </cfRule>
    <cfRule type="cellIs" dxfId="2208" priority="150" operator="greaterThan">
      <formula>20</formula>
    </cfRule>
    <cfRule type="cellIs" dxfId="2207" priority="151" operator="between">
      <formula>15</formula>
      <formula>21</formula>
    </cfRule>
    <cfRule type="cellIs" dxfId="2206" priority="152" operator="lessThan">
      <formula>15</formula>
    </cfRule>
    <cfRule type="cellIs" dxfId="2205" priority="153" operator="greaterThan">
      <formula>21</formula>
    </cfRule>
  </conditionalFormatting>
  <conditionalFormatting sqref="M35:M37">
    <cfRule type="cellIs" dxfId="2204" priority="172" operator="lessThan">
      <formula>15</formula>
    </cfRule>
    <cfRule type="cellIs" dxfId="2203" priority="173" operator="greaterThan">
      <formula>20</formula>
    </cfRule>
    <cfRule type="cellIs" dxfId="2202" priority="174" operator="between">
      <formula>15</formula>
      <formula>20</formula>
    </cfRule>
    <cfRule type="cellIs" dxfId="2201" priority="175" operator="between">
      <formula>15</formula>
      <formula>20</formula>
    </cfRule>
    <cfRule type="cellIs" dxfId="2200" priority="176" operator="lessThan">
      <formula>15</formula>
    </cfRule>
    <cfRule type="cellIs" dxfId="2199" priority="177" operator="greaterThan">
      <formula>20</formula>
    </cfRule>
    <cfRule type="cellIs" dxfId="2198" priority="178" operator="between">
      <formula>15</formula>
      <formula>21</formula>
    </cfRule>
    <cfRule type="cellIs" dxfId="2197" priority="179" operator="lessThan">
      <formula>15</formula>
    </cfRule>
    <cfRule type="cellIs" dxfId="2196" priority="180" operator="greaterThan">
      <formula>21</formula>
    </cfRule>
  </conditionalFormatting>
  <conditionalFormatting sqref="M13">
    <cfRule type="cellIs" dxfId="2195" priority="136" operator="lessThan">
      <formula>15</formula>
    </cfRule>
    <cfRule type="cellIs" dxfId="2194" priority="137" operator="greaterThan">
      <formula>20</formula>
    </cfRule>
    <cfRule type="cellIs" dxfId="2193" priority="138" operator="between">
      <formula>15</formula>
      <formula>20</formula>
    </cfRule>
    <cfRule type="cellIs" dxfId="2192" priority="139" operator="between">
      <formula>15</formula>
      <formula>20</formula>
    </cfRule>
    <cfRule type="cellIs" dxfId="2191" priority="140" operator="lessThan">
      <formula>15</formula>
    </cfRule>
    <cfRule type="cellIs" dxfId="2190" priority="141" operator="greaterThan">
      <formula>20</formula>
    </cfRule>
    <cfRule type="cellIs" dxfId="2189" priority="142" operator="between">
      <formula>15</formula>
      <formula>21</formula>
    </cfRule>
    <cfRule type="cellIs" dxfId="2188" priority="143" operator="lessThan">
      <formula>15</formula>
    </cfRule>
    <cfRule type="cellIs" dxfId="2187" priority="144" operator="greaterThan">
      <formula>21</formula>
    </cfRule>
  </conditionalFormatting>
  <conditionalFormatting sqref="M33">
    <cfRule type="cellIs" dxfId="2186" priority="127" operator="lessThan">
      <formula>15</formula>
    </cfRule>
    <cfRule type="cellIs" dxfId="2185" priority="128" operator="greaterThan">
      <formula>20</formula>
    </cfRule>
    <cfRule type="cellIs" dxfId="2184" priority="129" operator="between">
      <formula>15</formula>
      <formula>20</formula>
    </cfRule>
    <cfRule type="cellIs" dxfId="2183" priority="130" operator="between">
      <formula>15</formula>
      <formula>20</formula>
    </cfRule>
    <cfRule type="cellIs" dxfId="2182" priority="131" operator="lessThan">
      <formula>15</formula>
    </cfRule>
    <cfRule type="cellIs" dxfId="2181" priority="132" operator="greaterThan">
      <formula>20</formula>
    </cfRule>
    <cfRule type="cellIs" dxfId="2180" priority="133" operator="between">
      <formula>15</formula>
      <formula>21</formula>
    </cfRule>
    <cfRule type="cellIs" dxfId="2179" priority="134" operator="lessThan">
      <formula>15</formula>
    </cfRule>
    <cfRule type="cellIs" dxfId="2178" priority="135" operator="greaterThan">
      <formula>21</formula>
    </cfRule>
  </conditionalFormatting>
  <conditionalFormatting sqref="M38">
    <cfRule type="cellIs" dxfId="2177" priority="118" operator="lessThan">
      <formula>15</formula>
    </cfRule>
    <cfRule type="cellIs" dxfId="2176" priority="119" operator="greaterThan">
      <formula>20</formula>
    </cfRule>
    <cfRule type="cellIs" dxfId="2175" priority="120" operator="between">
      <formula>15</formula>
      <formula>20</formula>
    </cfRule>
    <cfRule type="cellIs" dxfId="2174" priority="121" operator="between">
      <formula>15</formula>
      <formula>20</formula>
    </cfRule>
    <cfRule type="cellIs" dxfId="2173" priority="122" operator="lessThan">
      <formula>15</formula>
    </cfRule>
    <cfRule type="cellIs" dxfId="2172" priority="123" operator="greaterThan">
      <formula>20</formula>
    </cfRule>
    <cfRule type="cellIs" dxfId="2171" priority="124" operator="between">
      <formula>15</formula>
      <formula>21</formula>
    </cfRule>
    <cfRule type="cellIs" dxfId="2170" priority="125" operator="lessThan">
      <formula>15</formula>
    </cfRule>
    <cfRule type="cellIs" dxfId="2169" priority="126" operator="greaterThan">
      <formula>21</formula>
    </cfRule>
  </conditionalFormatting>
  <conditionalFormatting sqref="M20">
    <cfRule type="cellIs" dxfId="2168" priority="217" operator="lessThan">
      <formula>15</formula>
    </cfRule>
    <cfRule type="cellIs" dxfId="2167" priority="218" operator="greaterThan">
      <formula>20</formula>
    </cfRule>
    <cfRule type="cellIs" dxfId="2166" priority="219" operator="between">
      <formula>15</formula>
      <formula>20</formula>
    </cfRule>
    <cfRule type="cellIs" dxfId="2165" priority="220" operator="between">
      <formula>15</formula>
      <formula>20</formula>
    </cfRule>
    <cfRule type="cellIs" dxfId="2164" priority="221" operator="lessThan">
      <formula>15</formula>
    </cfRule>
    <cfRule type="cellIs" dxfId="2163" priority="222" operator="greaterThan">
      <formula>20</formula>
    </cfRule>
    <cfRule type="cellIs" dxfId="2162" priority="223" operator="between">
      <formula>15</formula>
      <formula>21</formula>
    </cfRule>
    <cfRule type="cellIs" dxfId="2161" priority="224" operator="lessThan">
      <formula>15</formula>
    </cfRule>
    <cfRule type="cellIs" dxfId="2160" priority="225" operator="greaterThan">
      <formula>21</formula>
    </cfRule>
  </conditionalFormatting>
  <conditionalFormatting sqref="M27">
    <cfRule type="cellIs" dxfId="2159" priority="208" operator="lessThan">
      <formula>15</formula>
    </cfRule>
    <cfRule type="cellIs" dxfId="2158" priority="209" operator="greaterThan">
      <formula>20</formula>
    </cfRule>
    <cfRule type="cellIs" dxfId="2157" priority="210" operator="between">
      <formula>15</formula>
      <formula>20</formula>
    </cfRule>
    <cfRule type="cellIs" dxfId="2156" priority="211" operator="between">
      <formula>15</formula>
      <formula>20</formula>
    </cfRule>
    <cfRule type="cellIs" dxfId="2155" priority="212" operator="lessThan">
      <formula>15</formula>
    </cfRule>
    <cfRule type="cellIs" dxfId="2154" priority="213" operator="greaterThan">
      <formula>20</formula>
    </cfRule>
    <cfRule type="cellIs" dxfId="2153" priority="214" operator="between">
      <formula>15</formula>
      <formula>21</formula>
    </cfRule>
    <cfRule type="cellIs" dxfId="2152" priority="215" operator="lessThan">
      <formula>15</formula>
    </cfRule>
    <cfRule type="cellIs" dxfId="2151" priority="216" operator="greaterThan">
      <formula>21</formula>
    </cfRule>
  </conditionalFormatting>
  <conditionalFormatting sqref="M34">
    <cfRule type="cellIs" dxfId="2150" priority="199" operator="lessThan">
      <formula>15</formula>
    </cfRule>
    <cfRule type="cellIs" dxfId="2149" priority="200" operator="greaterThan">
      <formula>20</formula>
    </cfRule>
    <cfRule type="cellIs" dxfId="2148" priority="201" operator="between">
      <formula>15</formula>
      <formula>20</formula>
    </cfRule>
    <cfRule type="cellIs" dxfId="2147" priority="202" operator="between">
      <formula>15</formula>
      <formula>20</formula>
    </cfRule>
    <cfRule type="cellIs" dxfId="2146" priority="203" operator="lessThan">
      <formula>15</formula>
    </cfRule>
    <cfRule type="cellIs" dxfId="2145" priority="204" operator="greaterThan">
      <formula>20</formula>
    </cfRule>
    <cfRule type="cellIs" dxfId="2144" priority="205" operator="between">
      <formula>15</formula>
      <formula>21</formula>
    </cfRule>
    <cfRule type="cellIs" dxfId="2143" priority="206" operator="lessThan">
      <formula>15</formula>
    </cfRule>
    <cfRule type="cellIs" dxfId="2142" priority="207" operator="greaterThan">
      <formula>21</formula>
    </cfRule>
  </conditionalFormatting>
  <conditionalFormatting sqref="M14:M17 M39 M21:M22 M24:M26 M19">
    <cfRule type="cellIs" dxfId="2141" priority="226" operator="lessThan">
      <formula>15</formula>
    </cfRule>
    <cfRule type="cellIs" dxfId="2140" priority="227" operator="greaterThan">
      <formula>20</formula>
    </cfRule>
    <cfRule type="cellIs" dxfId="2139" priority="228" operator="between">
      <formula>15</formula>
      <formula>20</formula>
    </cfRule>
    <cfRule type="cellIs" dxfId="2138" priority="229" operator="between">
      <formula>15</formula>
      <formula>20</formula>
    </cfRule>
    <cfRule type="cellIs" dxfId="2137" priority="230" operator="lessThan">
      <formula>15</formula>
    </cfRule>
    <cfRule type="cellIs" dxfId="2136" priority="231" operator="greaterThan">
      <formula>20</formula>
    </cfRule>
    <cfRule type="cellIs" dxfId="2135" priority="232" operator="between">
      <formula>15</formula>
      <formula>21</formula>
    </cfRule>
    <cfRule type="cellIs" dxfId="2134" priority="233" operator="lessThan">
      <formula>15</formula>
    </cfRule>
    <cfRule type="cellIs" dxfId="2133" priority="234" operator="greaterThan">
      <formula>21</formula>
    </cfRule>
  </conditionalFormatting>
  <conditionalFormatting sqref="M9:M12">
    <cfRule type="cellIs" dxfId="2132" priority="190" operator="lessThan">
      <formula>15</formula>
    </cfRule>
    <cfRule type="cellIs" dxfId="2131" priority="191" operator="greaterThan">
      <formula>20</formula>
    </cfRule>
    <cfRule type="cellIs" dxfId="2130" priority="192" operator="between">
      <formula>15</formula>
      <formula>20</formula>
    </cfRule>
    <cfRule type="cellIs" dxfId="2129" priority="193" operator="between">
      <formula>15</formula>
      <formula>20</formula>
    </cfRule>
    <cfRule type="cellIs" dxfId="2128" priority="194" operator="lessThan">
      <formula>15</formula>
    </cfRule>
    <cfRule type="cellIs" dxfId="2127" priority="195" operator="greaterThan">
      <formula>20</formula>
    </cfRule>
    <cfRule type="cellIs" dxfId="2126" priority="196" operator="between">
      <formula>15</formula>
      <formula>21</formula>
    </cfRule>
    <cfRule type="cellIs" dxfId="2125" priority="197" operator="lessThan">
      <formula>15</formula>
    </cfRule>
    <cfRule type="cellIs" dxfId="2124" priority="198" operator="greaterThan">
      <formula>21</formula>
    </cfRule>
  </conditionalFormatting>
  <conditionalFormatting sqref="M29:M32">
    <cfRule type="cellIs" dxfId="2123" priority="181" operator="lessThan">
      <formula>15</formula>
    </cfRule>
    <cfRule type="cellIs" dxfId="2122" priority="182" operator="greaterThan">
      <formula>20</formula>
    </cfRule>
    <cfRule type="cellIs" dxfId="2121" priority="183" operator="between">
      <formula>15</formula>
      <formula>20</formula>
    </cfRule>
    <cfRule type="cellIs" dxfId="2120" priority="184" operator="between">
      <formula>15</formula>
      <formula>20</formula>
    </cfRule>
    <cfRule type="cellIs" dxfId="2119" priority="185" operator="lessThan">
      <formula>15</formula>
    </cfRule>
    <cfRule type="cellIs" dxfId="2118" priority="186" operator="greaterThan">
      <formula>20</formula>
    </cfRule>
    <cfRule type="cellIs" dxfId="2117" priority="187" operator="between">
      <formula>15</formula>
      <formula>21</formula>
    </cfRule>
    <cfRule type="cellIs" dxfId="2116" priority="188" operator="lessThan">
      <formula>15</formula>
    </cfRule>
    <cfRule type="cellIs" dxfId="2115" priority="189" operator="greaterThan">
      <formula>21</formula>
    </cfRule>
  </conditionalFormatting>
  <conditionalFormatting sqref="M38">
    <cfRule type="cellIs" dxfId="2114" priority="109" operator="lessThan">
      <formula>15</formula>
    </cfRule>
    <cfRule type="cellIs" dxfId="2113" priority="110" operator="greaterThan">
      <formula>20</formula>
    </cfRule>
    <cfRule type="cellIs" dxfId="2112" priority="111" operator="between">
      <formula>15</formula>
      <formula>20</formula>
    </cfRule>
    <cfRule type="cellIs" dxfId="2111" priority="112" operator="between">
      <formula>15</formula>
      <formula>20</formula>
    </cfRule>
    <cfRule type="cellIs" dxfId="2110" priority="113" operator="lessThan">
      <formula>15</formula>
    </cfRule>
    <cfRule type="cellIs" dxfId="2109" priority="114" operator="greaterThan">
      <formula>20</formula>
    </cfRule>
    <cfRule type="cellIs" dxfId="2108" priority="115" operator="between">
      <formula>15</formula>
      <formula>21</formula>
    </cfRule>
    <cfRule type="cellIs" dxfId="2107" priority="116" operator="lessThan">
      <formula>15</formula>
    </cfRule>
    <cfRule type="cellIs" dxfId="2106" priority="117" operator="greaterThan">
      <formula>21</formula>
    </cfRule>
  </conditionalFormatting>
  <conditionalFormatting sqref="M33">
    <cfRule type="cellIs" dxfId="2105" priority="100" operator="lessThan">
      <formula>15</formula>
    </cfRule>
    <cfRule type="cellIs" dxfId="2104" priority="101" operator="greaterThan">
      <formula>20</formula>
    </cfRule>
    <cfRule type="cellIs" dxfId="2103" priority="102" operator="between">
      <formula>15</formula>
      <formula>20</formula>
    </cfRule>
    <cfRule type="cellIs" dxfId="2102" priority="103" operator="between">
      <formula>15</formula>
      <formula>20</formula>
    </cfRule>
    <cfRule type="cellIs" dxfId="2101" priority="104" operator="lessThan">
      <formula>15</formula>
    </cfRule>
    <cfRule type="cellIs" dxfId="2100" priority="105" operator="greaterThan">
      <formula>20</formula>
    </cfRule>
    <cfRule type="cellIs" dxfId="2099" priority="106" operator="between">
      <formula>15</formula>
      <formula>21</formula>
    </cfRule>
    <cfRule type="cellIs" dxfId="2098" priority="107" operator="lessThan">
      <formula>15</formula>
    </cfRule>
    <cfRule type="cellIs" dxfId="2097" priority="108" operator="greaterThan">
      <formula>21</formula>
    </cfRule>
  </conditionalFormatting>
  <conditionalFormatting sqref="M28">
    <cfRule type="cellIs" dxfId="2096" priority="91" operator="lessThan">
      <formula>15</formula>
    </cfRule>
    <cfRule type="cellIs" dxfId="2095" priority="92" operator="greaterThan">
      <formula>20</formula>
    </cfRule>
    <cfRule type="cellIs" dxfId="2094" priority="93" operator="between">
      <formula>15</formula>
      <formula>20</formula>
    </cfRule>
    <cfRule type="cellIs" dxfId="2093" priority="94" operator="between">
      <formula>15</formula>
      <formula>20</formula>
    </cfRule>
    <cfRule type="cellIs" dxfId="2092" priority="95" operator="lessThan">
      <formula>15</formula>
    </cfRule>
    <cfRule type="cellIs" dxfId="2091" priority="96" operator="greaterThan">
      <formula>20</formula>
    </cfRule>
    <cfRule type="cellIs" dxfId="2090" priority="97" operator="between">
      <formula>15</formula>
      <formula>21</formula>
    </cfRule>
    <cfRule type="cellIs" dxfId="2089" priority="98" operator="lessThan">
      <formula>15</formula>
    </cfRule>
    <cfRule type="cellIs" dxfId="2088" priority="99" operator="greaterThan">
      <formula>21</formula>
    </cfRule>
  </conditionalFormatting>
  <conditionalFormatting sqref="M23">
    <cfRule type="cellIs" dxfId="2087" priority="82" operator="lessThan">
      <formula>15</formula>
    </cfRule>
    <cfRule type="cellIs" dxfId="2086" priority="83" operator="greaterThan">
      <formula>20</formula>
    </cfRule>
    <cfRule type="cellIs" dxfId="2085" priority="84" operator="between">
      <formula>15</formula>
      <formula>20</formula>
    </cfRule>
    <cfRule type="cellIs" dxfId="2084" priority="85" operator="between">
      <formula>15</formula>
      <formula>20</formula>
    </cfRule>
    <cfRule type="cellIs" dxfId="2083" priority="86" operator="lessThan">
      <formula>15</formula>
    </cfRule>
    <cfRule type="cellIs" dxfId="2082" priority="87" operator="greaterThan">
      <formula>20</formula>
    </cfRule>
    <cfRule type="cellIs" dxfId="2081" priority="88" operator="between">
      <formula>15</formula>
      <formula>21</formula>
    </cfRule>
    <cfRule type="cellIs" dxfId="2080" priority="89" operator="lessThan">
      <formula>15</formula>
    </cfRule>
    <cfRule type="cellIs" dxfId="2079" priority="90" operator="greaterThan">
      <formula>21</formula>
    </cfRule>
  </conditionalFormatting>
  <conditionalFormatting sqref="M18">
    <cfRule type="cellIs" dxfId="2078" priority="73" operator="lessThan">
      <formula>15</formula>
    </cfRule>
    <cfRule type="cellIs" dxfId="2077" priority="74" operator="greaterThan">
      <formula>20</formula>
    </cfRule>
    <cfRule type="cellIs" dxfId="2076" priority="75" operator="between">
      <formula>15</formula>
      <formula>20</formula>
    </cfRule>
    <cfRule type="cellIs" dxfId="2075" priority="76" operator="between">
      <formula>15</formula>
      <formula>20</formula>
    </cfRule>
    <cfRule type="cellIs" dxfId="2074" priority="77" operator="lessThan">
      <formula>15</formula>
    </cfRule>
    <cfRule type="cellIs" dxfId="2073" priority="78" operator="greaterThan">
      <formula>20</formula>
    </cfRule>
    <cfRule type="cellIs" dxfId="2072" priority="79" operator="between">
      <formula>15</formula>
      <formula>21</formula>
    </cfRule>
    <cfRule type="cellIs" dxfId="2071" priority="80" operator="lessThan">
      <formula>15</formula>
    </cfRule>
    <cfRule type="cellIs" dxfId="2070" priority="81" operator="greaterThan">
      <formula>21</formula>
    </cfRule>
  </conditionalFormatting>
  <conditionalFormatting sqref="M35:M37">
    <cfRule type="cellIs" dxfId="2069" priority="64" operator="lessThan">
      <formula>15</formula>
    </cfRule>
    <cfRule type="cellIs" dxfId="2068" priority="65" operator="greaterThan">
      <formula>20</formula>
    </cfRule>
    <cfRule type="cellIs" dxfId="2067" priority="66" operator="between">
      <formula>15</formula>
      <formula>20</formula>
    </cfRule>
    <cfRule type="cellIs" dxfId="2066" priority="67" operator="between">
      <formula>15</formula>
      <formula>20</formula>
    </cfRule>
    <cfRule type="cellIs" dxfId="2065" priority="68" operator="lessThan">
      <formula>15</formula>
    </cfRule>
    <cfRule type="cellIs" dxfId="2064" priority="69" operator="greaterThan">
      <formula>20</formula>
    </cfRule>
    <cfRule type="cellIs" dxfId="2063" priority="70" operator="between">
      <formula>15</formula>
      <formula>21</formula>
    </cfRule>
    <cfRule type="cellIs" dxfId="2062" priority="71" operator="lessThan">
      <formula>15</formula>
    </cfRule>
    <cfRule type="cellIs" dxfId="2061" priority="72" operator="greaterThan">
      <formula>21</formula>
    </cfRule>
  </conditionalFormatting>
  <conditionalFormatting sqref="M13">
    <cfRule type="cellIs" dxfId="2060" priority="55" operator="lessThan">
      <formula>15</formula>
    </cfRule>
    <cfRule type="cellIs" dxfId="2059" priority="56" operator="greaterThan">
      <formula>20</formula>
    </cfRule>
    <cfRule type="cellIs" dxfId="2058" priority="57" operator="between">
      <formula>15</formula>
      <formula>20</formula>
    </cfRule>
    <cfRule type="cellIs" dxfId="2057" priority="58" operator="between">
      <formula>15</formula>
      <formula>20</formula>
    </cfRule>
    <cfRule type="cellIs" dxfId="2056" priority="59" operator="lessThan">
      <formula>15</formula>
    </cfRule>
    <cfRule type="cellIs" dxfId="2055" priority="60" operator="greaterThan">
      <formula>20</formula>
    </cfRule>
    <cfRule type="cellIs" dxfId="2054" priority="61" operator="between">
      <formula>15</formula>
      <formula>21</formula>
    </cfRule>
    <cfRule type="cellIs" dxfId="2053" priority="62" operator="lessThan">
      <formula>15</formula>
    </cfRule>
    <cfRule type="cellIs" dxfId="2052" priority="63" operator="greaterThan">
      <formula>21</formula>
    </cfRule>
  </conditionalFormatting>
  <conditionalFormatting sqref="M20">
    <cfRule type="cellIs" dxfId="2051" priority="46" operator="lessThan">
      <formula>15</formula>
    </cfRule>
    <cfRule type="cellIs" dxfId="2050" priority="47" operator="greaterThan">
      <formula>20</formula>
    </cfRule>
    <cfRule type="cellIs" dxfId="2049" priority="48" operator="between">
      <formula>15</formula>
      <formula>20</formula>
    </cfRule>
    <cfRule type="cellIs" dxfId="2048" priority="49" operator="between">
      <formula>15</formula>
      <formula>20</formula>
    </cfRule>
    <cfRule type="cellIs" dxfId="2047" priority="50" operator="lessThan">
      <formula>15</formula>
    </cfRule>
    <cfRule type="cellIs" dxfId="2046" priority="51" operator="greaterThan">
      <formula>20</formula>
    </cfRule>
    <cfRule type="cellIs" dxfId="2045" priority="52" operator="between">
      <formula>15</formula>
      <formula>21</formula>
    </cfRule>
    <cfRule type="cellIs" dxfId="2044" priority="53" operator="lessThan">
      <formula>15</formula>
    </cfRule>
    <cfRule type="cellIs" dxfId="2043" priority="54" operator="greaterThan">
      <formula>21</formula>
    </cfRule>
  </conditionalFormatting>
  <conditionalFormatting sqref="M27">
    <cfRule type="cellIs" dxfId="2042" priority="37" operator="lessThan">
      <formula>15</formula>
    </cfRule>
    <cfRule type="cellIs" dxfId="2041" priority="38" operator="greaterThan">
      <formula>20</formula>
    </cfRule>
    <cfRule type="cellIs" dxfId="2040" priority="39" operator="between">
      <formula>15</formula>
      <formula>20</formula>
    </cfRule>
    <cfRule type="cellIs" dxfId="2039" priority="40" operator="between">
      <formula>15</formula>
      <formula>20</formula>
    </cfRule>
    <cfRule type="cellIs" dxfId="2038" priority="41" operator="lessThan">
      <formula>15</formula>
    </cfRule>
    <cfRule type="cellIs" dxfId="2037" priority="42" operator="greaterThan">
      <formula>20</formula>
    </cfRule>
    <cfRule type="cellIs" dxfId="2036" priority="43" operator="between">
      <formula>15</formula>
      <formula>21</formula>
    </cfRule>
    <cfRule type="cellIs" dxfId="2035" priority="44" operator="lessThan">
      <formula>15</formula>
    </cfRule>
    <cfRule type="cellIs" dxfId="2034" priority="45" operator="greaterThan">
      <formula>21</formula>
    </cfRule>
  </conditionalFormatting>
  <conditionalFormatting sqref="M34">
    <cfRule type="cellIs" dxfId="2033" priority="28" operator="lessThan">
      <formula>15</formula>
    </cfRule>
    <cfRule type="cellIs" dxfId="2032" priority="29" operator="greaterThan">
      <formula>20</formula>
    </cfRule>
    <cfRule type="cellIs" dxfId="2031" priority="30" operator="between">
      <formula>15</formula>
      <formula>20</formula>
    </cfRule>
    <cfRule type="cellIs" dxfId="2030" priority="31" operator="between">
      <formula>15</formula>
      <formula>20</formula>
    </cfRule>
    <cfRule type="cellIs" dxfId="2029" priority="32" operator="lessThan">
      <formula>15</formula>
    </cfRule>
    <cfRule type="cellIs" dxfId="2028" priority="33" operator="greaterThan">
      <formula>20</formula>
    </cfRule>
    <cfRule type="cellIs" dxfId="2027" priority="34" operator="between">
      <formula>15</formula>
      <formula>21</formula>
    </cfRule>
    <cfRule type="cellIs" dxfId="2026" priority="35" operator="lessThan">
      <formula>15</formula>
    </cfRule>
    <cfRule type="cellIs" dxfId="2025" priority="36" operator="greaterThan">
      <formula>21</formula>
    </cfRule>
  </conditionalFormatting>
  <conditionalFormatting sqref="M14:M17 M39 M21:M22 M24:M26 M19">
    <cfRule type="cellIs" dxfId="2024" priority="19" operator="lessThan">
      <formula>15</formula>
    </cfRule>
    <cfRule type="cellIs" dxfId="2023" priority="20" operator="greaterThan">
      <formula>20</formula>
    </cfRule>
    <cfRule type="cellIs" dxfId="2022" priority="21" operator="between">
      <formula>15</formula>
      <formula>20</formula>
    </cfRule>
    <cfRule type="cellIs" dxfId="2021" priority="22" operator="between">
      <formula>15</formula>
      <formula>20</formula>
    </cfRule>
    <cfRule type="cellIs" dxfId="2020" priority="23" operator="lessThan">
      <formula>15</formula>
    </cfRule>
    <cfRule type="cellIs" dxfId="2019" priority="24" operator="greaterThan">
      <formula>20</formula>
    </cfRule>
    <cfRule type="cellIs" dxfId="2018" priority="25" operator="between">
      <formula>15</formula>
      <formula>21</formula>
    </cfRule>
    <cfRule type="cellIs" dxfId="2017" priority="26" operator="lessThan">
      <formula>15</formula>
    </cfRule>
    <cfRule type="cellIs" dxfId="2016" priority="27" operator="greaterThan">
      <formula>21</formula>
    </cfRule>
  </conditionalFormatting>
  <conditionalFormatting sqref="M9:M12">
    <cfRule type="cellIs" dxfId="2015" priority="10" operator="lessThan">
      <formula>15</formula>
    </cfRule>
    <cfRule type="cellIs" dxfId="2014" priority="11" operator="greaterThan">
      <formula>20</formula>
    </cfRule>
    <cfRule type="cellIs" dxfId="2013" priority="12" operator="between">
      <formula>15</formula>
      <formula>20</formula>
    </cfRule>
    <cfRule type="cellIs" dxfId="2012" priority="13" operator="between">
      <formula>15</formula>
      <formula>20</formula>
    </cfRule>
    <cfRule type="cellIs" dxfId="2011" priority="14" operator="lessThan">
      <formula>15</formula>
    </cfRule>
    <cfRule type="cellIs" dxfId="2010" priority="15" operator="greaterThan">
      <formula>20</formula>
    </cfRule>
    <cfRule type="cellIs" dxfId="2009" priority="16" operator="between">
      <formula>15</formula>
      <formula>21</formula>
    </cfRule>
    <cfRule type="cellIs" dxfId="2008" priority="17" operator="lessThan">
      <formula>15</formula>
    </cfRule>
    <cfRule type="cellIs" dxfId="2007" priority="18" operator="greaterThan">
      <formula>21</formula>
    </cfRule>
  </conditionalFormatting>
  <conditionalFormatting sqref="M29:M32">
    <cfRule type="cellIs" dxfId="2006" priority="1" operator="lessThan">
      <formula>15</formula>
    </cfRule>
    <cfRule type="cellIs" dxfId="2005" priority="2" operator="greaterThan">
      <formula>20</formula>
    </cfRule>
    <cfRule type="cellIs" dxfId="2004" priority="3" operator="between">
      <formula>15</formula>
      <formula>20</formula>
    </cfRule>
    <cfRule type="cellIs" dxfId="2003" priority="4" operator="between">
      <formula>15</formula>
      <formula>20</formula>
    </cfRule>
    <cfRule type="cellIs" dxfId="2002" priority="5" operator="lessThan">
      <formula>15</formula>
    </cfRule>
    <cfRule type="cellIs" dxfId="2001" priority="6" operator="greaterThan">
      <formula>20</formula>
    </cfRule>
    <cfRule type="cellIs" dxfId="2000" priority="7" operator="between">
      <formula>15</formula>
      <formula>21</formula>
    </cfRule>
    <cfRule type="cellIs" dxfId="1999" priority="8" operator="lessThan">
      <formula>15</formula>
    </cfRule>
    <cfRule type="cellIs" dxfId="1998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50"/>
  <sheetViews>
    <sheetView zoomScale="80" zoomScaleNormal="80" workbookViewId="0">
      <pane ySplit="8" topLeftCell="A24" activePane="bottomLeft" state="frozen"/>
      <selection pane="bottomLeft" activeCell="M5" sqref="M5"/>
    </sheetView>
  </sheetViews>
  <sheetFormatPr defaultColWidth="9.28515625" defaultRowHeight="15"/>
  <cols>
    <col min="1" max="1" width="5.28515625" style="143" customWidth="1"/>
    <col min="2" max="2" width="7.85546875" style="143" customWidth="1"/>
    <col min="3" max="3" width="16.7109375" style="143" customWidth="1"/>
    <col min="4" max="11" width="9.7109375" style="142" customWidth="1"/>
    <col min="12" max="13" width="11.85546875" style="143" customWidth="1"/>
    <col min="14" max="14" width="6.1406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GB1660</v>
      </c>
      <c r="D4" s="383"/>
      <c r="E4" s="383" t="s">
        <v>228</v>
      </c>
      <c r="F4" s="383" t="s">
        <v>230</v>
      </c>
      <c r="G4" s="383"/>
      <c r="I4" s="383" t="s">
        <v>120</v>
      </c>
      <c r="J4" s="466" t="s">
        <v>165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200</v>
      </c>
      <c r="E8" s="388">
        <f>K8</f>
        <v>200</v>
      </c>
      <c r="F8" s="389"/>
      <c r="G8" s="388"/>
      <c r="H8" s="387"/>
      <c r="I8" s="388"/>
      <c r="J8" s="390">
        <f>K8-K8*N8</f>
        <v>200</v>
      </c>
      <c r="K8" s="389">
        <v>200</v>
      </c>
      <c r="L8" s="303"/>
      <c r="M8" s="304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/>
      <c r="E9" s="388"/>
      <c r="F9" s="446"/>
      <c r="G9" s="496"/>
      <c r="H9" s="498">
        <f>SUM($F$8:F9)/A9</f>
        <v>0</v>
      </c>
      <c r="I9" s="499">
        <f>SUM($G$8:G9)/A9</f>
        <v>0</v>
      </c>
      <c r="J9" s="443">
        <f t="shared" ref="J9:K24" si="0">J8+D9-F9</f>
        <v>200</v>
      </c>
      <c r="K9" s="459">
        <f t="shared" si="0"/>
        <v>200</v>
      </c>
      <c r="L9" s="338" t="e">
        <f t="shared" ref="L9:M24" si="1">J9/H9</f>
        <v>#DIV/0!</v>
      </c>
      <c r="M9" s="300" t="e">
        <f t="shared" si="1"/>
        <v>#DIV/0!</v>
      </c>
      <c r="N9" s="366"/>
      <c r="O9" s="647">
        <f>J9/$O$8</f>
        <v>6.6644451849383543E-2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/>
      <c r="F10" s="446"/>
      <c r="G10" s="496"/>
      <c r="H10" s="498">
        <f>SUM($F$8:F10)/A10</f>
        <v>0</v>
      </c>
      <c r="I10" s="499">
        <f>SUM($G$8:G10)/A10</f>
        <v>0</v>
      </c>
      <c r="J10" s="443">
        <f t="shared" si="0"/>
        <v>200</v>
      </c>
      <c r="K10" s="459">
        <f t="shared" si="0"/>
        <v>200</v>
      </c>
      <c r="L10" s="338" t="e">
        <f t="shared" si="1"/>
        <v>#DIV/0!</v>
      </c>
      <c r="M10" s="300" t="e">
        <f t="shared" si="1"/>
        <v>#DIV/0!</v>
      </c>
      <c r="N10" s="366"/>
      <c r="O10" s="647">
        <f t="shared" ref="O10:O39" si="2">J10/$O$8</f>
        <v>6.6644451849383543E-2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/>
      <c r="F11" s="446"/>
      <c r="G11" s="496"/>
      <c r="H11" s="498">
        <f>SUM($F$8:F11)/A11</f>
        <v>0</v>
      </c>
      <c r="I11" s="499">
        <f>SUM($G$8:G11)/A11</f>
        <v>0</v>
      </c>
      <c r="J11" s="443">
        <f t="shared" si="0"/>
        <v>200</v>
      </c>
      <c r="K11" s="459">
        <f t="shared" si="0"/>
        <v>200</v>
      </c>
      <c r="L11" s="338" t="e">
        <f t="shared" si="1"/>
        <v>#DIV/0!</v>
      </c>
      <c r="M11" s="300" t="e">
        <f t="shared" si="1"/>
        <v>#DIV/0!</v>
      </c>
      <c r="N11" s="366"/>
      <c r="O11" s="647">
        <f t="shared" si="2"/>
        <v>6.6644451849383543E-2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/>
      <c r="F12" s="446"/>
      <c r="G12" s="496"/>
      <c r="H12" s="498">
        <f>SUM($F$8:F12)/A12</f>
        <v>0</v>
      </c>
      <c r="I12" s="499">
        <f>SUM($G$8:G12)/A12</f>
        <v>0</v>
      </c>
      <c r="J12" s="443">
        <f t="shared" si="0"/>
        <v>200</v>
      </c>
      <c r="K12" s="459">
        <f t="shared" si="0"/>
        <v>200</v>
      </c>
      <c r="L12" s="338" t="e">
        <f t="shared" si="1"/>
        <v>#DIV/0!</v>
      </c>
      <c r="M12" s="300" t="e">
        <f t="shared" si="1"/>
        <v>#DIV/0!</v>
      </c>
      <c r="N12" s="366"/>
      <c r="O12" s="647">
        <f t="shared" si="2"/>
        <v>6.6644451849383543E-2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/>
      <c r="F13" s="446"/>
      <c r="G13" s="496"/>
      <c r="H13" s="500">
        <f>SUM($F$8:F13)/A13</f>
        <v>0</v>
      </c>
      <c r="I13" s="499">
        <f>SUM($G$8:G13)/A13</f>
        <v>0</v>
      </c>
      <c r="J13" s="500">
        <f t="shared" si="0"/>
        <v>200</v>
      </c>
      <c r="K13" s="459">
        <f t="shared" si="0"/>
        <v>200</v>
      </c>
      <c r="L13" s="368" t="e">
        <f t="shared" si="1"/>
        <v>#DIV/0!</v>
      </c>
      <c r="M13" s="300" t="e">
        <f t="shared" si="1"/>
        <v>#DIV/0!</v>
      </c>
      <c r="N13" s="366"/>
      <c r="O13" s="647">
        <f t="shared" si="2"/>
        <v>6.6644451849383543E-2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/>
      <c r="F14" s="446"/>
      <c r="G14" s="496"/>
      <c r="H14" s="498">
        <f>SUM($F$8:F14)/A14</f>
        <v>0</v>
      </c>
      <c r="I14" s="499">
        <f>SUM($G$8:G14)/A14</f>
        <v>0</v>
      </c>
      <c r="J14" s="443">
        <f t="shared" si="0"/>
        <v>200</v>
      </c>
      <c r="K14" s="459">
        <f t="shared" si="0"/>
        <v>200</v>
      </c>
      <c r="L14" s="338" t="e">
        <f t="shared" si="1"/>
        <v>#DIV/0!</v>
      </c>
      <c r="M14" s="300" t="e">
        <f t="shared" si="1"/>
        <v>#DIV/0!</v>
      </c>
      <c r="N14" s="366"/>
      <c r="O14" s="647">
        <f t="shared" si="2"/>
        <v>6.6644451849383543E-2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/>
      <c r="F15" s="446"/>
      <c r="G15" s="496"/>
      <c r="H15" s="498">
        <f>SUM($F$8:F15)/A15</f>
        <v>0</v>
      </c>
      <c r="I15" s="499">
        <f>SUM($G$8:G15)/A15</f>
        <v>0</v>
      </c>
      <c r="J15" s="443">
        <f t="shared" si="0"/>
        <v>200</v>
      </c>
      <c r="K15" s="459">
        <f t="shared" si="0"/>
        <v>200</v>
      </c>
      <c r="L15" s="338" t="e">
        <f t="shared" si="1"/>
        <v>#DIV/0!</v>
      </c>
      <c r="M15" s="300" t="e">
        <f t="shared" si="1"/>
        <v>#DIV/0!</v>
      </c>
      <c r="N15" s="366"/>
      <c r="O15" s="647">
        <f t="shared" si="2"/>
        <v>6.6644451849383543E-2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/>
      <c r="F16" s="446"/>
      <c r="G16" s="496"/>
      <c r="H16" s="498">
        <f>SUM($F$8:F16)/A16</f>
        <v>0</v>
      </c>
      <c r="I16" s="499">
        <f>SUM($G$8:G16)/A16</f>
        <v>0</v>
      </c>
      <c r="J16" s="443">
        <f t="shared" si="0"/>
        <v>200</v>
      </c>
      <c r="K16" s="459">
        <f t="shared" si="0"/>
        <v>200</v>
      </c>
      <c r="L16" s="338" t="e">
        <f t="shared" si="1"/>
        <v>#DIV/0!</v>
      </c>
      <c r="M16" s="300" t="e">
        <f t="shared" si="1"/>
        <v>#DIV/0!</v>
      </c>
      <c r="N16" s="366"/>
      <c r="O16" s="647">
        <f t="shared" si="2"/>
        <v>6.6644451849383543E-2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/>
      <c r="F17" s="446"/>
      <c r="G17" s="496"/>
      <c r="H17" s="498">
        <f>SUM($F$8:F17)/A17</f>
        <v>0</v>
      </c>
      <c r="I17" s="499">
        <f>SUM($G$8:G17)/A17</f>
        <v>0</v>
      </c>
      <c r="J17" s="443">
        <f t="shared" si="0"/>
        <v>200</v>
      </c>
      <c r="K17" s="459">
        <f t="shared" si="0"/>
        <v>200</v>
      </c>
      <c r="L17" s="338" t="e">
        <f t="shared" si="1"/>
        <v>#DIV/0!</v>
      </c>
      <c r="M17" s="300" t="e">
        <f t="shared" si="1"/>
        <v>#DIV/0!</v>
      </c>
      <c r="N17" s="366"/>
      <c r="O17" s="647">
        <f t="shared" si="2"/>
        <v>6.6644451849383543E-2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/>
      <c r="F18" s="446"/>
      <c r="G18" s="496"/>
      <c r="H18" s="500">
        <f>SUM($F$8:F18)/A18</f>
        <v>0</v>
      </c>
      <c r="I18" s="499">
        <f>SUM($G$8:G18)/A18</f>
        <v>0</v>
      </c>
      <c r="J18" s="500">
        <f t="shared" si="0"/>
        <v>200</v>
      </c>
      <c r="K18" s="459">
        <f t="shared" si="0"/>
        <v>200</v>
      </c>
      <c r="L18" s="368" t="e">
        <f t="shared" si="1"/>
        <v>#DIV/0!</v>
      </c>
      <c r="M18" s="300" t="e">
        <f t="shared" si="1"/>
        <v>#DIV/0!</v>
      </c>
      <c r="N18" s="366"/>
      <c r="O18" s="647">
        <f t="shared" si="2"/>
        <v>6.6644451849383543E-2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/>
      <c r="F19" s="446"/>
      <c r="G19" s="496"/>
      <c r="H19" s="498">
        <f>SUM($F$8:F19)/A19</f>
        <v>0</v>
      </c>
      <c r="I19" s="499">
        <f>SUM($G$8:G19)/A19</f>
        <v>0</v>
      </c>
      <c r="J19" s="443">
        <f t="shared" si="0"/>
        <v>200</v>
      </c>
      <c r="K19" s="459">
        <f t="shared" si="0"/>
        <v>200</v>
      </c>
      <c r="L19" s="338" t="e">
        <f t="shared" si="1"/>
        <v>#DIV/0!</v>
      </c>
      <c r="M19" s="300" t="e">
        <f t="shared" si="1"/>
        <v>#DIV/0!</v>
      </c>
      <c r="N19" s="366"/>
      <c r="O19" s="647">
        <f t="shared" si="2"/>
        <v>6.6644451849383543E-2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/>
      <c r="F20" s="446"/>
      <c r="G20" s="496"/>
      <c r="H20" s="498">
        <f>SUM($F$8:F20)/A20</f>
        <v>0</v>
      </c>
      <c r="I20" s="499">
        <f>SUM($G$8:G20)/A20</f>
        <v>0</v>
      </c>
      <c r="J20" s="443">
        <f t="shared" si="0"/>
        <v>200</v>
      </c>
      <c r="K20" s="459">
        <f t="shared" si="0"/>
        <v>200</v>
      </c>
      <c r="L20" s="338" t="e">
        <f t="shared" si="1"/>
        <v>#DIV/0!</v>
      </c>
      <c r="M20" s="300" t="e">
        <f t="shared" si="1"/>
        <v>#DIV/0!</v>
      </c>
      <c r="N20" s="366"/>
      <c r="O20" s="647">
        <f t="shared" si="2"/>
        <v>6.6644451849383543E-2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/>
      <c r="F21" s="446"/>
      <c r="G21" s="496"/>
      <c r="H21" s="498">
        <f>SUM($F$8:F21)/A21</f>
        <v>0</v>
      </c>
      <c r="I21" s="499">
        <f>SUM($G$8:G21)/A21</f>
        <v>0</v>
      </c>
      <c r="J21" s="443">
        <f t="shared" si="0"/>
        <v>200</v>
      </c>
      <c r="K21" s="459">
        <f>K20+E21-G21</f>
        <v>200</v>
      </c>
      <c r="L21" s="338" t="e">
        <f t="shared" si="1"/>
        <v>#DIV/0!</v>
      </c>
      <c r="M21" s="300" t="e">
        <f t="shared" si="1"/>
        <v>#DIV/0!</v>
      </c>
      <c r="N21" s="366"/>
      <c r="O21" s="647">
        <f t="shared" si="2"/>
        <v>6.6644451849383543E-2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/>
      <c r="F22" s="446"/>
      <c r="G22" s="496"/>
      <c r="H22" s="498">
        <f>SUM($F$8:F22)/A22</f>
        <v>0</v>
      </c>
      <c r="I22" s="499">
        <f>SUM($G$8:G22)/A22</f>
        <v>0</v>
      </c>
      <c r="J22" s="443">
        <f t="shared" si="0"/>
        <v>200</v>
      </c>
      <c r="K22" s="459">
        <f>K21+E22-G22</f>
        <v>200</v>
      </c>
      <c r="L22" s="338" t="e">
        <f t="shared" si="1"/>
        <v>#DIV/0!</v>
      </c>
      <c r="M22" s="300" t="e">
        <f t="shared" si="1"/>
        <v>#DIV/0!</v>
      </c>
      <c r="N22" s="366"/>
      <c r="O22" s="647">
        <f t="shared" si="2"/>
        <v>6.6644451849383543E-2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/>
      <c r="F23" s="446"/>
      <c r="G23" s="496"/>
      <c r="H23" s="500">
        <f>SUM($F$8:F23)/A23</f>
        <v>0</v>
      </c>
      <c r="I23" s="499">
        <f>SUM($G$8:G23)/A23</f>
        <v>0</v>
      </c>
      <c r="J23" s="500">
        <f t="shared" si="0"/>
        <v>200</v>
      </c>
      <c r="K23" s="459">
        <f t="shared" si="0"/>
        <v>200</v>
      </c>
      <c r="L23" s="368" t="e">
        <f t="shared" si="1"/>
        <v>#DIV/0!</v>
      </c>
      <c r="M23" s="300" t="e">
        <f t="shared" si="1"/>
        <v>#DIV/0!</v>
      </c>
      <c r="N23" s="366"/>
      <c r="O23" s="647">
        <f t="shared" si="2"/>
        <v>6.6644451849383543E-2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/>
      <c r="F24" s="446"/>
      <c r="G24" s="496"/>
      <c r="H24" s="498">
        <f>SUM($F$8:F24)/A24</f>
        <v>0</v>
      </c>
      <c r="I24" s="499">
        <f>SUM($G$8:G24)/A24</f>
        <v>0</v>
      </c>
      <c r="J24" s="443">
        <f t="shared" si="0"/>
        <v>200</v>
      </c>
      <c r="K24" s="459">
        <f>K23+E24-G24</f>
        <v>200</v>
      </c>
      <c r="L24" s="338" t="e">
        <f t="shared" si="1"/>
        <v>#DIV/0!</v>
      </c>
      <c r="M24" s="300" t="e">
        <f t="shared" si="1"/>
        <v>#DIV/0!</v>
      </c>
      <c r="N24" s="366"/>
      <c r="O24" s="647">
        <f t="shared" si="2"/>
        <v>6.6644451849383543E-2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/>
      <c r="F25" s="446"/>
      <c r="G25" s="496"/>
      <c r="H25" s="498">
        <f>SUM($F$8:F25)/A25</f>
        <v>0</v>
      </c>
      <c r="I25" s="499">
        <f>SUM($G$8:G25)/A25</f>
        <v>0</v>
      </c>
      <c r="J25" s="443">
        <f t="shared" ref="J25:K39" si="3">J24+D25-F25</f>
        <v>200</v>
      </c>
      <c r="K25" s="459">
        <f>K24+E25-G25</f>
        <v>200</v>
      </c>
      <c r="L25" s="338" t="e">
        <f t="shared" ref="L25:M39" si="4">J25/H25</f>
        <v>#DIV/0!</v>
      </c>
      <c r="M25" s="300" t="e">
        <f t="shared" si="4"/>
        <v>#DIV/0!</v>
      </c>
      <c r="N25" s="366"/>
      <c r="O25" s="647">
        <f t="shared" si="2"/>
        <v>6.6644451849383543E-2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/>
      <c r="F26" s="446"/>
      <c r="G26" s="496"/>
      <c r="H26" s="498">
        <f>SUM($F$8:F26)/A26</f>
        <v>0</v>
      </c>
      <c r="I26" s="499">
        <f>SUM($G$8:G26)/A26</f>
        <v>0</v>
      </c>
      <c r="J26" s="443">
        <f t="shared" si="3"/>
        <v>200</v>
      </c>
      <c r="K26" s="459">
        <f>K25+E26-G26</f>
        <v>200</v>
      </c>
      <c r="L26" s="338" t="e">
        <f t="shared" si="4"/>
        <v>#DIV/0!</v>
      </c>
      <c r="M26" s="300" t="e">
        <f t="shared" si="4"/>
        <v>#DIV/0!</v>
      </c>
      <c r="N26" s="366"/>
      <c r="O26" s="647">
        <f t="shared" si="2"/>
        <v>6.6644451849383543E-2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/>
      <c r="F27" s="446"/>
      <c r="G27" s="496"/>
      <c r="H27" s="498">
        <f>SUM($F$8:F27)/A27</f>
        <v>0</v>
      </c>
      <c r="I27" s="499">
        <f>SUM($G$8:G27)/A27</f>
        <v>0</v>
      </c>
      <c r="J27" s="443">
        <f t="shared" si="3"/>
        <v>200</v>
      </c>
      <c r="K27" s="459">
        <f>K26+E27-G27</f>
        <v>200</v>
      </c>
      <c r="L27" s="338" t="e">
        <f t="shared" si="4"/>
        <v>#DIV/0!</v>
      </c>
      <c r="M27" s="300" t="e">
        <f t="shared" si="4"/>
        <v>#DIV/0!</v>
      </c>
      <c r="N27" s="366"/>
      <c r="O27" s="647">
        <f t="shared" si="2"/>
        <v>6.6644451849383543E-2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/>
      <c r="F28" s="446"/>
      <c r="G28" s="496"/>
      <c r="H28" s="500">
        <f>SUM($F$8:F28)/A28</f>
        <v>0</v>
      </c>
      <c r="I28" s="499">
        <f>SUM($G$8:G28)/A28</f>
        <v>0</v>
      </c>
      <c r="J28" s="500">
        <f t="shared" si="3"/>
        <v>200</v>
      </c>
      <c r="K28" s="459">
        <f t="shared" si="3"/>
        <v>200</v>
      </c>
      <c r="L28" s="368" t="e">
        <f t="shared" si="4"/>
        <v>#DIV/0!</v>
      </c>
      <c r="M28" s="300" t="e">
        <f t="shared" si="4"/>
        <v>#DIV/0!</v>
      </c>
      <c r="N28" s="366"/>
      <c r="O28" s="647">
        <f t="shared" si="2"/>
        <v>6.6644451849383543E-2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/>
      <c r="F29" s="446"/>
      <c r="G29" s="496"/>
      <c r="H29" s="498">
        <f>SUM($F$8:F29)/A29</f>
        <v>0</v>
      </c>
      <c r="I29" s="499">
        <f>SUM($G$8:G29)/A29</f>
        <v>0</v>
      </c>
      <c r="J29" s="443">
        <f t="shared" si="3"/>
        <v>200</v>
      </c>
      <c r="K29" s="459">
        <f t="shared" si="3"/>
        <v>200</v>
      </c>
      <c r="L29" s="338" t="e">
        <f t="shared" si="4"/>
        <v>#DIV/0!</v>
      </c>
      <c r="M29" s="300" t="e">
        <f t="shared" si="4"/>
        <v>#DIV/0!</v>
      </c>
      <c r="N29" s="366"/>
      <c r="O29" s="647">
        <f t="shared" si="2"/>
        <v>6.6644451849383543E-2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/>
      <c r="F30" s="446"/>
      <c r="G30" s="496"/>
      <c r="H30" s="498">
        <f>SUM($F$8:F30)/A30</f>
        <v>0</v>
      </c>
      <c r="I30" s="499">
        <f>SUM($G$8:G30)/A30</f>
        <v>0</v>
      </c>
      <c r="J30" s="443">
        <f t="shared" si="3"/>
        <v>200</v>
      </c>
      <c r="K30" s="459">
        <f t="shared" si="3"/>
        <v>200</v>
      </c>
      <c r="L30" s="338" t="e">
        <f t="shared" si="4"/>
        <v>#DIV/0!</v>
      </c>
      <c r="M30" s="300" t="e">
        <f t="shared" si="4"/>
        <v>#DIV/0!</v>
      </c>
      <c r="N30" s="366"/>
      <c r="O30" s="647">
        <f t="shared" si="2"/>
        <v>6.6644451849383543E-2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/>
      <c r="F31" s="446"/>
      <c r="G31" s="496"/>
      <c r="H31" s="498">
        <f>SUM($F$8:F31)/A31</f>
        <v>0</v>
      </c>
      <c r="I31" s="499">
        <f>SUM($G$8:G31)/A31</f>
        <v>0</v>
      </c>
      <c r="J31" s="443">
        <f t="shared" si="3"/>
        <v>200</v>
      </c>
      <c r="K31" s="459">
        <f t="shared" si="3"/>
        <v>200</v>
      </c>
      <c r="L31" s="338" t="e">
        <f t="shared" si="4"/>
        <v>#DIV/0!</v>
      </c>
      <c r="M31" s="300" t="e">
        <f t="shared" si="4"/>
        <v>#DIV/0!</v>
      </c>
      <c r="N31" s="366"/>
      <c r="O31" s="647">
        <f t="shared" si="2"/>
        <v>6.6644451849383543E-2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/>
      <c r="F32" s="446"/>
      <c r="G32" s="496"/>
      <c r="H32" s="498">
        <f>SUM($F$8:F32)/A32</f>
        <v>0</v>
      </c>
      <c r="I32" s="499">
        <f>SUM($G$8:G32)/A32</f>
        <v>0</v>
      </c>
      <c r="J32" s="443">
        <f t="shared" si="3"/>
        <v>200</v>
      </c>
      <c r="K32" s="459">
        <f t="shared" si="3"/>
        <v>200</v>
      </c>
      <c r="L32" s="338" t="e">
        <f t="shared" si="4"/>
        <v>#DIV/0!</v>
      </c>
      <c r="M32" s="300" t="e">
        <f t="shared" si="4"/>
        <v>#DIV/0!</v>
      </c>
      <c r="N32" s="366"/>
      <c r="O32" s="647">
        <f t="shared" si="2"/>
        <v>6.6644451849383543E-2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/>
      <c r="F33" s="446"/>
      <c r="G33" s="496"/>
      <c r="H33" s="448">
        <f>SUM($F$8:F33)/A33</f>
        <v>0</v>
      </c>
      <c r="I33" s="499">
        <f>SUM($G$8:G33)/A33</f>
        <v>0</v>
      </c>
      <c r="J33" s="448">
        <f t="shared" si="3"/>
        <v>200</v>
      </c>
      <c r="K33" s="459">
        <f t="shared" si="3"/>
        <v>200</v>
      </c>
      <c r="L33" s="369" t="e">
        <f t="shared" si="4"/>
        <v>#DIV/0!</v>
      </c>
      <c r="M33" s="300" t="e">
        <f t="shared" si="4"/>
        <v>#DIV/0!</v>
      </c>
      <c r="N33" s="366"/>
      <c r="O33" s="647">
        <f t="shared" si="2"/>
        <v>6.6644451849383543E-2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/>
      <c r="F34" s="446"/>
      <c r="G34" s="496"/>
      <c r="H34" s="498">
        <f>SUM($F$8:F34)/A34</f>
        <v>0</v>
      </c>
      <c r="I34" s="499">
        <f>SUM($G$8:G34)/A34</f>
        <v>0</v>
      </c>
      <c r="J34" s="443">
        <f t="shared" si="3"/>
        <v>200</v>
      </c>
      <c r="K34" s="459">
        <f t="shared" si="3"/>
        <v>200</v>
      </c>
      <c r="L34" s="338" t="e">
        <f t="shared" si="4"/>
        <v>#DIV/0!</v>
      </c>
      <c r="M34" s="300" t="e">
        <f t="shared" si="4"/>
        <v>#DIV/0!</v>
      </c>
      <c r="N34" s="366"/>
      <c r="O34" s="647">
        <f t="shared" si="2"/>
        <v>6.6644451849383543E-2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/>
      <c r="F35" s="446"/>
      <c r="G35" s="496"/>
      <c r="H35" s="498">
        <f>SUM($F$8:F35)/A35</f>
        <v>0</v>
      </c>
      <c r="I35" s="499">
        <f>SUM($G$8:G35)/A35</f>
        <v>0</v>
      </c>
      <c r="J35" s="443">
        <f t="shared" si="3"/>
        <v>200</v>
      </c>
      <c r="K35" s="459">
        <f t="shared" si="3"/>
        <v>200</v>
      </c>
      <c r="L35" s="338" t="e">
        <f t="shared" si="4"/>
        <v>#DIV/0!</v>
      </c>
      <c r="M35" s="300" t="e">
        <f t="shared" si="4"/>
        <v>#DIV/0!</v>
      </c>
      <c r="N35" s="366"/>
      <c r="O35" s="647">
        <f t="shared" si="2"/>
        <v>6.6644451849383543E-2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/>
      <c r="F36" s="446"/>
      <c r="G36" s="496"/>
      <c r="H36" s="498">
        <f>SUM($F$8:F36)/A36</f>
        <v>0</v>
      </c>
      <c r="I36" s="499">
        <f>SUM($G$8:G36)/A36</f>
        <v>0</v>
      </c>
      <c r="J36" s="443">
        <f t="shared" si="3"/>
        <v>200</v>
      </c>
      <c r="K36" s="459">
        <f t="shared" si="3"/>
        <v>200</v>
      </c>
      <c r="L36" s="338" t="e">
        <f t="shared" si="4"/>
        <v>#DIV/0!</v>
      </c>
      <c r="M36" s="300" t="e">
        <f t="shared" si="4"/>
        <v>#DIV/0!</v>
      </c>
      <c r="N36" s="366"/>
      <c r="O36" s="647">
        <f t="shared" si="2"/>
        <v>6.6644451849383543E-2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/>
      <c r="F37" s="446"/>
      <c r="G37" s="496"/>
      <c r="H37" s="498">
        <f>SUM($F$8:F37)/A37</f>
        <v>0</v>
      </c>
      <c r="I37" s="499">
        <f>SUM($G$8:G37)/A37</f>
        <v>0</v>
      </c>
      <c r="J37" s="443">
        <f t="shared" si="3"/>
        <v>200</v>
      </c>
      <c r="K37" s="459">
        <f t="shared" si="3"/>
        <v>200</v>
      </c>
      <c r="L37" s="338" t="e">
        <f t="shared" si="4"/>
        <v>#DIV/0!</v>
      </c>
      <c r="M37" s="300" t="e">
        <f t="shared" si="4"/>
        <v>#DIV/0!</v>
      </c>
      <c r="N37" s="366"/>
      <c r="O37" s="647">
        <f t="shared" si="2"/>
        <v>6.6644451849383543E-2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/>
      <c r="F38" s="446"/>
      <c r="G38" s="496"/>
      <c r="H38" s="500">
        <f>SUM($F$8:F38)/A38</f>
        <v>0</v>
      </c>
      <c r="I38" s="499">
        <f>SUM($G$8:G38)/A38</f>
        <v>0</v>
      </c>
      <c r="J38" s="500">
        <f t="shared" si="3"/>
        <v>200</v>
      </c>
      <c r="K38" s="459">
        <f t="shared" si="3"/>
        <v>200</v>
      </c>
      <c r="L38" s="368" t="e">
        <f t="shared" si="4"/>
        <v>#DIV/0!</v>
      </c>
      <c r="M38" s="300" t="e">
        <f t="shared" si="4"/>
        <v>#DIV/0!</v>
      </c>
      <c r="N38" s="366"/>
      <c r="O38" s="647">
        <f t="shared" si="2"/>
        <v>6.6644451849383543E-2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/>
      <c r="F39" s="446"/>
      <c r="G39" s="496"/>
      <c r="H39" s="498">
        <f>SUM($F$8:F39)/A39</f>
        <v>0</v>
      </c>
      <c r="I39" s="499">
        <f>SUM($G$8:G39)/A39</f>
        <v>0</v>
      </c>
      <c r="J39" s="443">
        <f t="shared" si="3"/>
        <v>200</v>
      </c>
      <c r="K39" s="459">
        <f t="shared" si="3"/>
        <v>200</v>
      </c>
      <c r="L39" s="338" t="e">
        <f t="shared" si="4"/>
        <v>#DIV/0!</v>
      </c>
      <c r="M39" s="300" t="e">
        <f t="shared" si="4"/>
        <v>#DIV/0!</v>
      </c>
      <c r="N39" s="366"/>
      <c r="O39" s="647">
        <f t="shared" si="2"/>
        <v>6.6644451849383543E-2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200</v>
      </c>
      <c r="K40" s="461">
        <f>K39</f>
        <v>200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200</v>
      </c>
      <c r="E41" s="388">
        <f>E8+E40</f>
        <v>200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200</v>
      </c>
      <c r="K41" s="389">
        <f>E41-G41</f>
        <v>200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8">
    <cfRule type="cellIs" dxfId="1997" priority="163" operator="lessThan">
      <formula>15</formula>
    </cfRule>
    <cfRule type="cellIs" dxfId="1996" priority="164" operator="greaterThan">
      <formula>20</formula>
    </cfRule>
    <cfRule type="cellIs" dxfId="1995" priority="165" operator="between">
      <formula>15</formula>
      <formula>20</formula>
    </cfRule>
    <cfRule type="cellIs" dxfId="1994" priority="166" operator="between">
      <formula>15</formula>
      <formula>20</formula>
    </cfRule>
    <cfRule type="cellIs" dxfId="1993" priority="167" operator="lessThan">
      <formula>15</formula>
    </cfRule>
    <cfRule type="cellIs" dxfId="1992" priority="168" operator="greaterThan">
      <formula>20</formula>
    </cfRule>
    <cfRule type="cellIs" dxfId="1991" priority="169" operator="between">
      <formula>15</formula>
      <formula>21</formula>
    </cfRule>
    <cfRule type="cellIs" dxfId="1990" priority="170" operator="lessThan">
      <formula>15</formula>
    </cfRule>
    <cfRule type="cellIs" dxfId="1989" priority="171" operator="greaterThan">
      <formula>21</formula>
    </cfRule>
  </conditionalFormatting>
  <conditionalFormatting sqref="M23">
    <cfRule type="cellIs" dxfId="1988" priority="154" operator="lessThan">
      <formula>15</formula>
    </cfRule>
    <cfRule type="cellIs" dxfId="1987" priority="155" operator="greaterThan">
      <formula>20</formula>
    </cfRule>
    <cfRule type="cellIs" dxfId="1986" priority="156" operator="between">
      <formula>15</formula>
      <formula>20</formula>
    </cfRule>
    <cfRule type="cellIs" dxfId="1985" priority="157" operator="between">
      <formula>15</formula>
      <formula>20</formula>
    </cfRule>
    <cfRule type="cellIs" dxfId="1984" priority="158" operator="lessThan">
      <formula>15</formula>
    </cfRule>
    <cfRule type="cellIs" dxfId="1983" priority="159" operator="greaterThan">
      <formula>20</formula>
    </cfRule>
    <cfRule type="cellIs" dxfId="1982" priority="160" operator="between">
      <formula>15</formula>
      <formula>21</formula>
    </cfRule>
    <cfRule type="cellIs" dxfId="1981" priority="161" operator="lessThan">
      <formula>15</formula>
    </cfRule>
    <cfRule type="cellIs" dxfId="1980" priority="162" operator="greaterThan">
      <formula>21</formula>
    </cfRule>
  </conditionalFormatting>
  <conditionalFormatting sqref="M18">
    <cfRule type="cellIs" dxfId="1979" priority="145" operator="lessThan">
      <formula>15</formula>
    </cfRule>
    <cfRule type="cellIs" dxfId="1978" priority="146" operator="greaterThan">
      <formula>20</formula>
    </cfRule>
    <cfRule type="cellIs" dxfId="1977" priority="147" operator="between">
      <formula>15</formula>
      <formula>20</formula>
    </cfRule>
    <cfRule type="cellIs" dxfId="1976" priority="148" operator="between">
      <formula>15</formula>
      <formula>20</formula>
    </cfRule>
    <cfRule type="cellIs" dxfId="1975" priority="149" operator="lessThan">
      <formula>15</formula>
    </cfRule>
    <cfRule type="cellIs" dxfId="1974" priority="150" operator="greaterThan">
      <formula>20</formula>
    </cfRule>
    <cfRule type="cellIs" dxfId="1973" priority="151" operator="between">
      <formula>15</formula>
      <formula>21</formula>
    </cfRule>
    <cfRule type="cellIs" dxfId="1972" priority="152" operator="lessThan">
      <formula>15</formula>
    </cfRule>
    <cfRule type="cellIs" dxfId="1971" priority="153" operator="greaterThan">
      <formula>21</formula>
    </cfRule>
  </conditionalFormatting>
  <conditionalFormatting sqref="M35:M37">
    <cfRule type="cellIs" dxfId="1970" priority="172" operator="lessThan">
      <formula>15</formula>
    </cfRule>
    <cfRule type="cellIs" dxfId="1969" priority="173" operator="greaterThan">
      <formula>20</formula>
    </cfRule>
    <cfRule type="cellIs" dxfId="1968" priority="174" operator="between">
      <formula>15</formula>
      <formula>20</formula>
    </cfRule>
    <cfRule type="cellIs" dxfId="1967" priority="175" operator="between">
      <formula>15</formula>
      <formula>20</formula>
    </cfRule>
    <cfRule type="cellIs" dxfId="1966" priority="176" operator="lessThan">
      <formula>15</formula>
    </cfRule>
    <cfRule type="cellIs" dxfId="1965" priority="177" operator="greaterThan">
      <formula>20</formula>
    </cfRule>
    <cfRule type="cellIs" dxfId="1964" priority="178" operator="between">
      <formula>15</formula>
      <formula>21</formula>
    </cfRule>
    <cfRule type="cellIs" dxfId="1963" priority="179" operator="lessThan">
      <formula>15</formula>
    </cfRule>
    <cfRule type="cellIs" dxfId="1962" priority="180" operator="greaterThan">
      <formula>21</formula>
    </cfRule>
  </conditionalFormatting>
  <conditionalFormatting sqref="M13">
    <cfRule type="cellIs" dxfId="1961" priority="136" operator="lessThan">
      <formula>15</formula>
    </cfRule>
    <cfRule type="cellIs" dxfId="1960" priority="137" operator="greaterThan">
      <formula>20</formula>
    </cfRule>
    <cfRule type="cellIs" dxfId="1959" priority="138" operator="between">
      <formula>15</formula>
      <formula>20</formula>
    </cfRule>
    <cfRule type="cellIs" dxfId="1958" priority="139" operator="between">
      <formula>15</formula>
      <formula>20</formula>
    </cfRule>
    <cfRule type="cellIs" dxfId="1957" priority="140" operator="lessThan">
      <formula>15</formula>
    </cfRule>
    <cfRule type="cellIs" dxfId="1956" priority="141" operator="greaterThan">
      <formula>20</formula>
    </cfRule>
    <cfRule type="cellIs" dxfId="1955" priority="142" operator="between">
      <formula>15</formula>
      <formula>21</formula>
    </cfRule>
    <cfRule type="cellIs" dxfId="1954" priority="143" operator="lessThan">
      <formula>15</formula>
    </cfRule>
    <cfRule type="cellIs" dxfId="1953" priority="144" operator="greaterThan">
      <formula>21</formula>
    </cfRule>
  </conditionalFormatting>
  <conditionalFormatting sqref="M33">
    <cfRule type="cellIs" dxfId="1952" priority="127" operator="lessThan">
      <formula>15</formula>
    </cfRule>
    <cfRule type="cellIs" dxfId="1951" priority="128" operator="greaterThan">
      <formula>20</formula>
    </cfRule>
    <cfRule type="cellIs" dxfId="1950" priority="129" operator="between">
      <formula>15</formula>
      <formula>20</formula>
    </cfRule>
    <cfRule type="cellIs" dxfId="1949" priority="130" operator="between">
      <formula>15</formula>
      <formula>20</formula>
    </cfRule>
    <cfRule type="cellIs" dxfId="1948" priority="131" operator="lessThan">
      <formula>15</formula>
    </cfRule>
    <cfRule type="cellIs" dxfId="1947" priority="132" operator="greaterThan">
      <formula>20</formula>
    </cfRule>
    <cfRule type="cellIs" dxfId="1946" priority="133" operator="between">
      <formula>15</formula>
      <formula>21</formula>
    </cfRule>
    <cfRule type="cellIs" dxfId="1945" priority="134" operator="lessThan">
      <formula>15</formula>
    </cfRule>
    <cfRule type="cellIs" dxfId="1944" priority="135" operator="greaterThan">
      <formula>21</formula>
    </cfRule>
  </conditionalFormatting>
  <conditionalFormatting sqref="M38">
    <cfRule type="cellIs" dxfId="1943" priority="118" operator="lessThan">
      <formula>15</formula>
    </cfRule>
    <cfRule type="cellIs" dxfId="1942" priority="119" operator="greaterThan">
      <formula>20</formula>
    </cfRule>
    <cfRule type="cellIs" dxfId="1941" priority="120" operator="between">
      <formula>15</formula>
      <formula>20</formula>
    </cfRule>
    <cfRule type="cellIs" dxfId="1940" priority="121" operator="between">
      <formula>15</formula>
      <formula>20</formula>
    </cfRule>
    <cfRule type="cellIs" dxfId="1939" priority="122" operator="lessThan">
      <formula>15</formula>
    </cfRule>
    <cfRule type="cellIs" dxfId="1938" priority="123" operator="greaterThan">
      <formula>20</formula>
    </cfRule>
    <cfRule type="cellIs" dxfId="1937" priority="124" operator="between">
      <formula>15</formula>
      <formula>21</formula>
    </cfRule>
    <cfRule type="cellIs" dxfId="1936" priority="125" operator="lessThan">
      <formula>15</formula>
    </cfRule>
    <cfRule type="cellIs" dxfId="1935" priority="126" operator="greaterThan">
      <formula>21</formula>
    </cfRule>
  </conditionalFormatting>
  <conditionalFormatting sqref="M20">
    <cfRule type="cellIs" dxfId="1934" priority="217" operator="lessThan">
      <formula>15</formula>
    </cfRule>
    <cfRule type="cellIs" dxfId="1933" priority="218" operator="greaterThan">
      <formula>20</formula>
    </cfRule>
    <cfRule type="cellIs" dxfId="1932" priority="219" operator="between">
      <formula>15</formula>
      <formula>20</formula>
    </cfRule>
    <cfRule type="cellIs" dxfId="1931" priority="220" operator="between">
      <formula>15</formula>
      <formula>20</formula>
    </cfRule>
    <cfRule type="cellIs" dxfId="1930" priority="221" operator="lessThan">
      <formula>15</formula>
    </cfRule>
    <cfRule type="cellIs" dxfId="1929" priority="222" operator="greaterThan">
      <formula>20</formula>
    </cfRule>
    <cfRule type="cellIs" dxfId="1928" priority="223" operator="between">
      <formula>15</formula>
      <formula>21</formula>
    </cfRule>
    <cfRule type="cellIs" dxfId="1927" priority="224" operator="lessThan">
      <formula>15</formula>
    </cfRule>
    <cfRule type="cellIs" dxfId="1926" priority="225" operator="greaterThan">
      <formula>21</formula>
    </cfRule>
  </conditionalFormatting>
  <conditionalFormatting sqref="M27">
    <cfRule type="cellIs" dxfId="1925" priority="208" operator="lessThan">
      <formula>15</formula>
    </cfRule>
    <cfRule type="cellIs" dxfId="1924" priority="209" operator="greaterThan">
      <formula>20</formula>
    </cfRule>
    <cfRule type="cellIs" dxfId="1923" priority="210" operator="between">
      <formula>15</formula>
      <formula>20</formula>
    </cfRule>
    <cfRule type="cellIs" dxfId="1922" priority="211" operator="between">
      <formula>15</formula>
      <formula>20</formula>
    </cfRule>
    <cfRule type="cellIs" dxfId="1921" priority="212" operator="lessThan">
      <formula>15</formula>
    </cfRule>
    <cfRule type="cellIs" dxfId="1920" priority="213" operator="greaterThan">
      <formula>20</formula>
    </cfRule>
    <cfRule type="cellIs" dxfId="1919" priority="214" operator="between">
      <formula>15</formula>
      <formula>21</formula>
    </cfRule>
    <cfRule type="cellIs" dxfId="1918" priority="215" operator="lessThan">
      <formula>15</formula>
    </cfRule>
    <cfRule type="cellIs" dxfId="1917" priority="216" operator="greaterThan">
      <formula>21</formula>
    </cfRule>
  </conditionalFormatting>
  <conditionalFormatting sqref="M34">
    <cfRule type="cellIs" dxfId="1916" priority="199" operator="lessThan">
      <formula>15</formula>
    </cfRule>
    <cfRule type="cellIs" dxfId="1915" priority="200" operator="greaterThan">
      <formula>20</formula>
    </cfRule>
    <cfRule type="cellIs" dxfId="1914" priority="201" operator="between">
      <formula>15</formula>
      <formula>20</formula>
    </cfRule>
    <cfRule type="cellIs" dxfId="1913" priority="202" operator="between">
      <formula>15</formula>
      <formula>20</formula>
    </cfRule>
    <cfRule type="cellIs" dxfId="1912" priority="203" operator="lessThan">
      <formula>15</formula>
    </cfRule>
    <cfRule type="cellIs" dxfId="1911" priority="204" operator="greaterThan">
      <formula>20</formula>
    </cfRule>
    <cfRule type="cellIs" dxfId="1910" priority="205" operator="between">
      <formula>15</formula>
      <formula>21</formula>
    </cfRule>
    <cfRule type="cellIs" dxfId="1909" priority="206" operator="lessThan">
      <formula>15</formula>
    </cfRule>
    <cfRule type="cellIs" dxfId="1908" priority="207" operator="greaterThan">
      <formula>21</formula>
    </cfRule>
  </conditionalFormatting>
  <conditionalFormatting sqref="M14:M17 M39 M21:M22 M24:M26 M19">
    <cfRule type="cellIs" dxfId="1907" priority="226" operator="lessThan">
      <formula>15</formula>
    </cfRule>
    <cfRule type="cellIs" dxfId="1906" priority="227" operator="greaterThan">
      <formula>20</formula>
    </cfRule>
    <cfRule type="cellIs" dxfId="1905" priority="228" operator="between">
      <formula>15</formula>
      <formula>20</formula>
    </cfRule>
    <cfRule type="cellIs" dxfId="1904" priority="229" operator="between">
      <formula>15</formula>
      <formula>20</formula>
    </cfRule>
    <cfRule type="cellIs" dxfId="1903" priority="230" operator="lessThan">
      <formula>15</formula>
    </cfRule>
    <cfRule type="cellIs" dxfId="1902" priority="231" operator="greaterThan">
      <formula>20</formula>
    </cfRule>
    <cfRule type="cellIs" dxfId="1901" priority="232" operator="between">
      <formula>15</formula>
      <formula>21</formula>
    </cfRule>
    <cfRule type="cellIs" dxfId="1900" priority="233" operator="lessThan">
      <formula>15</formula>
    </cfRule>
    <cfRule type="cellIs" dxfId="1899" priority="234" operator="greaterThan">
      <formula>21</formula>
    </cfRule>
  </conditionalFormatting>
  <conditionalFormatting sqref="M9:M12">
    <cfRule type="cellIs" dxfId="1898" priority="190" operator="lessThan">
      <formula>15</formula>
    </cfRule>
    <cfRule type="cellIs" dxfId="1897" priority="191" operator="greaterThan">
      <formula>20</formula>
    </cfRule>
    <cfRule type="cellIs" dxfId="1896" priority="192" operator="between">
      <formula>15</formula>
      <formula>20</formula>
    </cfRule>
    <cfRule type="cellIs" dxfId="1895" priority="193" operator="between">
      <formula>15</formula>
      <formula>20</formula>
    </cfRule>
    <cfRule type="cellIs" dxfId="1894" priority="194" operator="lessThan">
      <formula>15</formula>
    </cfRule>
    <cfRule type="cellIs" dxfId="1893" priority="195" operator="greaterThan">
      <formula>20</formula>
    </cfRule>
    <cfRule type="cellIs" dxfId="1892" priority="196" operator="between">
      <formula>15</formula>
      <formula>21</formula>
    </cfRule>
    <cfRule type="cellIs" dxfId="1891" priority="197" operator="lessThan">
      <formula>15</formula>
    </cfRule>
    <cfRule type="cellIs" dxfId="1890" priority="198" operator="greaterThan">
      <formula>21</formula>
    </cfRule>
  </conditionalFormatting>
  <conditionalFormatting sqref="M29:M32">
    <cfRule type="cellIs" dxfId="1889" priority="181" operator="lessThan">
      <formula>15</formula>
    </cfRule>
    <cfRule type="cellIs" dxfId="1888" priority="182" operator="greaterThan">
      <formula>20</formula>
    </cfRule>
    <cfRule type="cellIs" dxfId="1887" priority="183" operator="between">
      <formula>15</formula>
      <formula>20</formula>
    </cfRule>
    <cfRule type="cellIs" dxfId="1886" priority="184" operator="between">
      <formula>15</formula>
      <formula>20</formula>
    </cfRule>
    <cfRule type="cellIs" dxfId="1885" priority="185" operator="lessThan">
      <formula>15</formula>
    </cfRule>
    <cfRule type="cellIs" dxfId="1884" priority="186" operator="greaterThan">
      <formula>20</formula>
    </cfRule>
    <cfRule type="cellIs" dxfId="1883" priority="187" operator="between">
      <formula>15</formula>
      <formula>21</formula>
    </cfRule>
    <cfRule type="cellIs" dxfId="1882" priority="188" operator="lessThan">
      <formula>15</formula>
    </cfRule>
    <cfRule type="cellIs" dxfId="1881" priority="189" operator="greaterThan">
      <formula>21</formula>
    </cfRule>
  </conditionalFormatting>
  <conditionalFormatting sqref="M38">
    <cfRule type="cellIs" dxfId="1880" priority="109" operator="lessThan">
      <formula>15</formula>
    </cfRule>
    <cfRule type="cellIs" dxfId="1879" priority="110" operator="greaterThan">
      <formula>20</formula>
    </cfRule>
    <cfRule type="cellIs" dxfId="1878" priority="111" operator="between">
      <formula>15</formula>
      <formula>20</formula>
    </cfRule>
    <cfRule type="cellIs" dxfId="1877" priority="112" operator="between">
      <formula>15</formula>
      <formula>20</formula>
    </cfRule>
    <cfRule type="cellIs" dxfId="1876" priority="113" operator="lessThan">
      <formula>15</formula>
    </cfRule>
    <cfRule type="cellIs" dxfId="1875" priority="114" operator="greaterThan">
      <formula>20</formula>
    </cfRule>
    <cfRule type="cellIs" dxfId="1874" priority="115" operator="between">
      <formula>15</formula>
      <formula>21</formula>
    </cfRule>
    <cfRule type="cellIs" dxfId="1873" priority="116" operator="lessThan">
      <formula>15</formula>
    </cfRule>
    <cfRule type="cellIs" dxfId="1872" priority="117" operator="greaterThan">
      <formula>21</formula>
    </cfRule>
  </conditionalFormatting>
  <conditionalFormatting sqref="M33">
    <cfRule type="cellIs" dxfId="1871" priority="100" operator="lessThan">
      <formula>15</formula>
    </cfRule>
    <cfRule type="cellIs" dxfId="1870" priority="101" operator="greaterThan">
      <formula>20</formula>
    </cfRule>
    <cfRule type="cellIs" dxfId="1869" priority="102" operator="between">
      <formula>15</formula>
      <formula>20</formula>
    </cfRule>
    <cfRule type="cellIs" dxfId="1868" priority="103" operator="between">
      <formula>15</formula>
      <formula>20</formula>
    </cfRule>
    <cfRule type="cellIs" dxfId="1867" priority="104" operator="lessThan">
      <formula>15</formula>
    </cfRule>
    <cfRule type="cellIs" dxfId="1866" priority="105" operator="greaterThan">
      <formula>20</formula>
    </cfRule>
    <cfRule type="cellIs" dxfId="1865" priority="106" operator="between">
      <formula>15</formula>
      <formula>21</formula>
    </cfRule>
    <cfRule type="cellIs" dxfId="1864" priority="107" operator="lessThan">
      <formula>15</formula>
    </cfRule>
    <cfRule type="cellIs" dxfId="1863" priority="108" operator="greaterThan">
      <formula>21</formula>
    </cfRule>
  </conditionalFormatting>
  <conditionalFormatting sqref="M28">
    <cfRule type="cellIs" dxfId="1862" priority="91" operator="lessThan">
      <formula>15</formula>
    </cfRule>
    <cfRule type="cellIs" dxfId="1861" priority="92" operator="greaterThan">
      <formula>20</formula>
    </cfRule>
    <cfRule type="cellIs" dxfId="1860" priority="93" operator="between">
      <formula>15</formula>
      <formula>20</formula>
    </cfRule>
    <cfRule type="cellIs" dxfId="1859" priority="94" operator="between">
      <formula>15</formula>
      <formula>20</formula>
    </cfRule>
    <cfRule type="cellIs" dxfId="1858" priority="95" operator="lessThan">
      <formula>15</formula>
    </cfRule>
    <cfRule type="cellIs" dxfId="1857" priority="96" operator="greaterThan">
      <formula>20</formula>
    </cfRule>
    <cfRule type="cellIs" dxfId="1856" priority="97" operator="between">
      <formula>15</formula>
      <formula>21</formula>
    </cfRule>
    <cfRule type="cellIs" dxfId="1855" priority="98" operator="lessThan">
      <formula>15</formula>
    </cfRule>
    <cfRule type="cellIs" dxfId="1854" priority="99" operator="greaterThan">
      <formula>21</formula>
    </cfRule>
  </conditionalFormatting>
  <conditionalFormatting sqref="M23">
    <cfRule type="cellIs" dxfId="1853" priority="82" operator="lessThan">
      <formula>15</formula>
    </cfRule>
    <cfRule type="cellIs" dxfId="1852" priority="83" operator="greaterThan">
      <formula>20</formula>
    </cfRule>
    <cfRule type="cellIs" dxfId="1851" priority="84" operator="between">
      <formula>15</formula>
      <formula>20</formula>
    </cfRule>
    <cfRule type="cellIs" dxfId="1850" priority="85" operator="between">
      <formula>15</formula>
      <formula>20</formula>
    </cfRule>
    <cfRule type="cellIs" dxfId="1849" priority="86" operator="lessThan">
      <formula>15</formula>
    </cfRule>
    <cfRule type="cellIs" dxfId="1848" priority="87" operator="greaterThan">
      <formula>20</formula>
    </cfRule>
    <cfRule type="cellIs" dxfId="1847" priority="88" operator="between">
      <formula>15</formula>
      <formula>21</formula>
    </cfRule>
    <cfRule type="cellIs" dxfId="1846" priority="89" operator="lessThan">
      <formula>15</formula>
    </cfRule>
    <cfRule type="cellIs" dxfId="1845" priority="90" operator="greaterThan">
      <formula>21</formula>
    </cfRule>
  </conditionalFormatting>
  <conditionalFormatting sqref="M18">
    <cfRule type="cellIs" dxfId="1844" priority="73" operator="lessThan">
      <formula>15</formula>
    </cfRule>
    <cfRule type="cellIs" dxfId="1843" priority="74" operator="greaterThan">
      <formula>20</formula>
    </cfRule>
    <cfRule type="cellIs" dxfId="1842" priority="75" operator="between">
      <formula>15</formula>
      <formula>20</formula>
    </cfRule>
    <cfRule type="cellIs" dxfId="1841" priority="76" operator="between">
      <formula>15</formula>
      <formula>20</formula>
    </cfRule>
    <cfRule type="cellIs" dxfId="1840" priority="77" operator="lessThan">
      <formula>15</formula>
    </cfRule>
    <cfRule type="cellIs" dxfId="1839" priority="78" operator="greaterThan">
      <formula>20</formula>
    </cfRule>
    <cfRule type="cellIs" dxfId="1838" priority="79" operator="between">
      <formula>15</formula>
      <formula>21</formula>
    </cfRule>
    <cfRule type="cellIs" dxfId="1837" priority="80" operator="lessThan">
      <formula>15</formula>
    </cfRule>
    <cfRule type="cellIs" dxfId="1836" priority="81" operator="greaterThan">
      <formula>21</formula>
    </cfRule>
  </conditionalFormatting>
  <conditionalFormatting sqref="M35:M37">
    <cfRule type="cellIs" dxfId="1835" priority="64" operator="lessThan">
      <formula>15</formula>
    </cfRule>
    <cfRule type="cellIs" dxfId="1834" priority="65" operator="greaterThan">
      <formula>20</formula>
    </cfRule>
    <cfRule type="cellIs" dxfId="1833" priority="66" operator="between">
      <formula>15</formula>
      <formula>20</formula>
    </cfRule>
    <cfRule type="cellIs" dxfId="1832" priority="67" operator="between">
      <formula>15</formula>
      <formula>20</formula>
    </cfRule>
    <cfRule type="cellIs" dxfId="1831" priority="68" operator="lessThan">
      <formula>15</formula>
    </cfRule>
    <cfRule type="cellIs" dxfId="1830" priority="69" operator="greaterThan">
      <formula>20</formula>
    </cfRule>
    <cfRule type="cellIs" dxfId="1829" priority="70" operator="between">
      <formula>15</formula>
      <formula>21</formula>
    </cfRule>
    <cfRule type="cellIs" dxfId="1828" priority="71" operator="lessThan">
      <formula>15</formula>
    </cfRule>
    <cfRule type="cellIs" dxfId="1827" priority="72" operator="greaterThan">
      <formula>21</formula>
    </cfRule>
  </conditionalFormatting>
  <conditionalFormatting sqref="M13">
    <cfRule type="cellIs" dxfId="1826" priority="55" operator="lessThan">
      <formula>15</formula>
    </cfRule>
    <cfRule type="cellIs" dxfId="1825" priority="56" operator="greaterThan">
      <formula>20</formula>
    </cfRule>
    <cfRule type="cellIs" dxfId="1824" priority="57" operator="between">
      <formula>15</formula>
      <formula>20</formula>
    </cfRule>
    <cfRule type="cellIs" dxfId="1823" priority="58" operator="between">
      <formula>15</formula>
      <formula>20</formula>
    </cfRule>
    <cfRule type="cellIs" dxfId="1822" priority="59" operator="lessThan">
      <formula>15</formula>
    </cfRule>
    <cfRule type="cellIs" dxfId="1821" priority="60" operator="greaterThan">
      <formula>20</formula>
    </cfRule>
    <cfRule type="cellIs" dxfId="1820" priority="61" operator="between">
      <formula>15</formula>
      <formula>21</formula>
    </cfRule>
    <cfRule type="cellIs" dxfId="1819" priority="62" operator="lessThan">
      <formula>15</formula>
    </cfRule>
    <cfRule type="cellIs" dxfId="1818" priority="63" operator="greaterThan">
      <formula>21</formula>
    </cfRule>
  </conditionalFormatting>
  <conditionalFormatting sqref="M20">
    <cfRule type="cellIs" dxfId="1817" priority="46" operator="lessThan">
      <formula>15</formula>
    </cfRule>
    <cfRule type="cellIs" dxfId="1816" priority="47" operator="greaterThan">
      <formula>20</formula>
    </cfRule>
    <cfRule type="cellIs" dxfId="1815" priority="48" operator="between">
      <formula>15</formula>
      <formula>20</formula>
    </cfRule>
    <cfRule type="cellIs" dxfId="1814" priority="49" operator="between">
      <formula>15</formula>
      <formula>20</formula>
    </cfRule>
    <cfRule type="cellIs" dxfId="1813" priority="50" operator="lessThan">
      <formula>15</formula>
    </cfRule>
    <cfRule type="cellIs" dxfId="1812" priority="51" operator="greaterThan">
      <formula>20</formula>
    </cfRule>
    <cfRule type="cellIs" dxfId="1811" priority="52" operator="between">
      <formula>15</formula>
      <formula>21</formula>
    </cfRule>
    <cfRule type="cellIs" dxfId="1810" priority="53" operator="lessThan">
      <formula>15</formula>
    </cfRule>
    <cfRule type="cellIs" dxfId="1809" priority="54" operator="greaterThan">
      <formula>21</formula>
    </cfRule>
  </conditionalFormatting>
  <conditionalFormatting sqref="M27">
    <cfRule type="cellIs" dxfId="1808" priority="37" operator="lessThan">
      <formula>15</formula>
    </cfRule>
    <cfRule type="cellIs" dxfId="1807" priority="38" operator="greaterThan">
      <formula>20</formula>
    </cfRule>
    <cfRule type="cellIs" dxfId="1806" priority="39" operator="between">
      <formula>15</formula>
      <formula>20</formula>
    </cfRule>
    <cfRule type="cellIs" dxfId="1805" priority="40" operator="between">
      <formula>15</formula>
      <formula>20</formula>
    </cfRule>
    <cfRule type="cellIs" dxfId="1804" priority="41" operator="lessThan">
      <formula>15</formula>
    </cfRule>
    <cfRule type="cellIs" dxfId="1803" priority="42" operator="greaterThan">
      <formula>20</formula>
    </cfRule>
    <cfRule type="cellIs" dxfId="1802" priority="43" operator="between">
      <formula>15</formula>
      <formula>21</formula>
    </cfRule>
    <cfRule type="cellIs" dxfId="1801" priority="44" operator="lessThan">
      <formula>15</formula>
    </cfRule>
    <cfRule type="cellIs" dxfId="1800" priority="45" operator="greaterThan">
      <formula>21</formula>
    </cfRule>
  </conditionalFormatting>
  <conditionalFormatting sqref="M34">
    <cfRule type="cellIs" dxfId="1799" priority="28" operator="lessThan">
      <formula>15</formula>
    </cfRule>
    <cfRule type="cellIs" dxfId="1798" priority="29" operator="greaterThan">
      <formula>20</formula>
    </cfRule>
    <cfRule type="cellIs" dxfId="1797" priority="30" operator="between">
      <formula>15</formula>
      <formula>20</formula>
    </cfRule>
    <cfRule type="cellIs" dxfId="1796" priority="31" operator="between">
      <formula>15</formula>
      <formula>20</formula>
    </cfRule>
    <cfRule type="cellIs" dxfId="1795" priority="32" operator="lessThan">
      <formula>15</formula>
    </cfRule>
    <cfRule type="cellIs" dxfId="1794" priority="33" operator="greaterThan">
      <formula>20</formula>
    </cfRule>
    <cfRule type="cellIs" dxfId="1793" priority="34" operator="between">
      <formula>15</formula>
      <formula>21</formula>
    </cfRule>
    <cfRule type="cellIs" dxfId="1792" priority="35" operator="lessThan">
      <formula>15</formula>
    </cfRule>
    <cfRule type="cellIs" dxfId="1791" priority="36" operator="greaterThan">
      <formula>21</formula>
    </cfRule>
  </conditionalFormatting>
  <conditionalFormatting sqref="M14:M17 M39 M21:M22 M24:M26 M19">
    <cfRule type="cellIs" dxfId="1790" priority="19" operator="lessThan">
      <formula>15</formula>
    </cfRule>
    <cfRule type="cellIs" dxfId="1789" priority="20" operator="greaterThan">
      <formula>20</formula>
    </cfRule>
    <cfRule type="cellIs" dxfId="1788" priority="21" operator="between">
      <formula>15</formula>
      <formula>20</formula>
    </cfRule>
    <cfRule type="cellIs" dxfId="1787" priority="22" operator="between">
      <formula>15</formula>
      <formula>20</formula>
    </cfRule>
    <cfRule type="cellIs" dxfId="1786" priority="23" operator="lessThan">
      <formula>15</formula>
    </cfRule>
    <cfRule type="cellIs" dxfId="1785" priority="24" operator="greaterThan">
      <formula>20</formula>
    </cfRule>
    <cfRule type="cellIs" dxfId="1784" priority="25" operator="between">
      <formula>15</formula>
      <formula>21</formula>
    </cfRule>
    <cfRule type="cellIs" dxfId="1783" priority="26" operator="lessThan">
      <formula>15</formula>
    </cfRule>
    <cfRule type="cellIs" dxfId="1782" priority="27" operator="greaterThan">
      <formula>21</formula>
    </cfRule>
  </conditionalFormatting>
  <conditionalFormatting sqref="M9:M12">
    <cfRule type="cellIs" dxfId="1781" priority="10" operator="lessThan">
      <formula>15</formula>
    </cfRule>
    <cfRule type="cellIs" dxfId="1780" priority="11" operator="greaterThan">
      <formula>20</formula>
    </cfRule>
    <cfRule type="cellIs" dxfId="1779" priority="12" operator="between">
      <formula>15</formula>
      <formula>20</formula>
    </cfRule>
    <cfRule type="cellIs" dxfId="1778" priority="13" operator="between">
      <formula>15</formula>
      <formula>20</formula>
    </cfRule>
    <cfRule type="cellIs" dxfId="1777" priority="14" operator="lessThan">
      <formula>15</formula>
    </cfRule>
    <cfRule type="cellIs" dxfId="1776" priority="15" operator="greaterThan">
      <formula>20</formula>
    </cfRule>
    <cfRule type="cellIs" dxfId="1775" priority="16" operator="between">
      <formula>15</formula>
      <formula>21</formula>
    </cfRule>
    <cfRule type="cellIs" dxfId="1774" priority="17" operator="lessThan">
      <formula>15</formula>
    </cfRule>
    <cfRule type="cellIs" dxfId="1773" priority="18" operator="greaterThan">
      <formula>21</formula>
    </cfRule>
  </conditionalFormatting>
  <conditionalFormatting sqref="M29:M32">
    <cfRule type="cellIs" dxfId="1772" priority="1" operator="lessThan">
      <formula>15</formula>
    </cfRule>
    <cfRule type="cellIs" dxfId="1771" priority="2" operator="greaterThan">
      <formula>20</formula>
    </cfRule>
    <cfRule type="cellIs" dxfId="1770" priority="3" operator="between">
      <formula>15</formula>
      <formula>20</formula>
    </cfRule>
    <cfRule type="cellIs" dxfId="1769" priority="4" operator="between">
      <formula>15</formula>
      <formula>20</formula>
    </cfRule>
    <cfRule type="cellIs" dxfId="1768" priority="5" operator="lessThan">
      <formula>15</formula>
    </cfRule>
    <cfRule type="cellIs" dxfId="1767" priority="6" operator="greaterThan">
      <formula>20</formula>
    </cfRule>
    <cfRule type="cellIs" dxfId="1766" priority="7" operator="between">
      <formula>15</formula>
      <formula>21</formula>
    </cfRule>
    <cfRule type="cellIs" dxfId="1765" priority="8" operator="lessThan">
      <formula>15</formula>
    </cfRule>
    <cfRule type="cellIs" dxfId="1764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50"/>
  <sheetViews>
    <sheetView zoomScale="80" zoomScaleNormal="80" workbookViewId="0">
      <pane ySplit="8" topLeftCell="A24" activePane="bottomLeft" state="frozen"/>
      <selection pane="bottomLeft"/>
    </sheetView>
  </sheetViews>
  <sheetFormatPr defaultColWidth="9.28515625" defaultRowHeight="15"/>
  <cols>
    <col min="1" max="1" width="5.5703125" style="143" customWidth="1"/>
    <col min="2" max="2" width="8.140625" style="143" customWidth="1"/>
    <col min="3" max="3" width="16.42578125" style="143" customWidth="1"/>
    <col min="4" max="11" width="10" style="142" customWidth="1"/>
    <col min="12" max="13" width="11.42578125" style="143" customWidth="1"/>
    <col min="14" max="14" width="5.57031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TB4139</v>
      </c>
      <c r="D4" s="383"/>
      <c r="E4" s="383" t="s">
        <v>228</v>
      </c>
      <c r="F4" s="383" t="s">
        <v>230</v>
      </c>
      <c r="G4" s="383"/>
      <c r="I4" s="383" t="s">
        <v>120</v>
      </c>
      <c r="J4" s="466" t="s">
        <v>161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600</v>
      </c>
      <c r="E8" s="388">
        <f>K8</f>
        <v>600</v>
      </c>
      <c r="F8" s="389"/>
      <c r="G8" s="388"/>
      <c r="H8" s="387"/>
      <c r="I8" s="388"/>
      <c r="J8" s="390">
        <f>K8-K8*N8</f>
        <v>600</v>
      </c>
      <c r="K8" s="389">
        <v>600</v>
      </c>
      <c r="L8" s="303"/>
      <c r="M8" s="304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/>
      <c r="E9" s="388"/>
      <c r="F9" s="446"/>
      <c r="G9" s="496"/>
      <c r="H9" s="498">
        <f>SUM($F$8:F9)/A9</f>
        <v>0</v>
      </c>
      <c r="I9" s="499">
        <f>SUM($G$8:G9)/A9</f>
        <v>0</v>
      </c>
      <c r="J9" s="443">
        <f t="shared" ref="J9:K24" si="0">J8+D9-F9</f>
        <v>600</v>
      </c>
      <c r="K9" s="459">
        <f t="shared" si="0"/>
        <v>600</v>
      </c>
      <c r="L9" s="338" t="e">
        <f t="shared" ref="L9:M24" si="1">J9/H9</f>
        <v>#DIV/0!</v>
      </c>
      <c r="M9" s="300" t="e">
        <f t="shared" si="1"/>
        <v>#DIV/0!</v>
      </c>
      <c r="N9" s="366"/>
      <c r="O9" s="647">
        <f>J9/$O$8</f>
        <v>0.19993335554815062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/>
      <c r="F10" s="446"/>
      <c r="G10" s="496"/>
      <c r="H10" s="498">
        <f>SUM($F$8:F10)/A10</f>
        <v>0</v>
      </c>
      <c r="I10" s="499">
        <f>SUM($G$8:G10)/A10</f>
        <v>0</v>
      </c>
      <c r="J10" s="443">
        <f t="shared" si="0"/>
        <v>600</v>
      </c>
      <c r="K10" s="459">
        <f t="shared" si="0"/>
        <v>600</v>
      </c>
      <c r="L10" s="338" t="e">
        <f t="shared" si="1"/>
        <v>#DIV/0!</v>
      </c>
      <c r="M10" s="300" t="e">
        <f t="shared" si="1"/>
        <v>#DIV/0!</v>
      </c>
      <c r="N10" s="366"/>
      <c r="O10" s="647">
        <f t="shared" ref="O10:O39" si="2">J10/$O$8</f>
        <v>0.19993335554815062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/>
      <c r="F11" s="446"/>
      <c r="G11" s="496"/>
      <c r="H11" s="498">
        <f>SUM($F$8:F11)/A11</f>
        <v>0</v>
      </c>
      <c r="I11" s="499">
        <f>SUM($G$8:G11)/A11</f>
        <v>0</v>
      </c>
      <c r="J11" s="443">
        <f t="shared" si="0"/>
        <v>600</v>
      </c>
      <c r="K11" s="459">
        <f t="shared" si="0"/>
        <v>600</v>
      </c>
      <c r="L11" s="338" t="e">
        <f t="shared" si="1"/>
        <v>#DIV/0!</v>
      </c>
      <c r="M11" s="300" t="e">
        <f t="shared" si="1"/>
        <v>#DIV/0!</v>
      </c>
      <c r="N11" s="366"/>
      <c r="O11" s="647">
        <f t="shared" si="2"/>
        <v>0.19993335554815062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/>
      <c r="F12" s="446"/>
      <c r="G12" s="496"/>
      <c r="H12" s="498">
        <f>SUM($F$8:F12)/A12</f>
        <v>0</v>
      </c>
      <c r="I12" s="499">
        <f>SUM($G$8:G12)/A12</f>
        <v>0</v>
      </c>
      <c r="J12" s="443">
        <f t="shared" si="0"/>
        <v>600</v>
      </c>
      <c r="K12" s="459">
        <f t="shared" si="0"/>
        <v>600</v>
      </c>
      <c r="L12" s="338" t="e">
        <f t="shared" si="1"/>
        <v>#DIV/0!</v>
      </c>
      <c r="M12" s="300" t="e">
        <f t="shared" si="1"/>
        <v>#DIV/0!</v>
      </c>
      <c r="N12" s="366"/>
      <c r="O12" s="647">
        <f t="shared" si="2"/>
        <v>0.19993335554815062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/>
      <c r="F13" s="446"/>
      <c r="G13" s="496"/>
      <c r="H13" s="500">
        <f>SUM($F$8:F13)/A13</f>
        <v>0</v>
      </c>
      <c r="I13" s="499">
        <f>SUM($G$8:G13)/A13</f>
        <v>0</v>
      </c>
      <c r="J13" s="500">
        <f t="shared" si="0"/>
        <v>600</v>
      </c>
      <c r="K13" s="459">
        <f t="shared" si="0"/>
        <v>600</v>
      </c>
      <c r="L13" s="368" t="e">
        <f t="shared" si="1"/>
        <v>#DIV/0!</v>
      </c>
      <c r="M13" s="300" t="e">
        <f t="shared" si="1"/>
        <v>#DIV/0!</v>
      </c>
      <c r="N13" s="366"/>
      <c r="O13" s="647">
        <f t="shared" si="2"/>
        <v>0.19993335554815062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/>
      <c r="F14" s="446"/>
      <c r="G14" s="496"/>
      <c r="H14" s="498">
        <f>SUM($F$8:F14)/A14</f>
        <v>0</v>
      </c>
      <c r="I14" s="499">
        <f>SUM($G$8:G14)/A14</f>
        <v>0</v>
      </c>
      <c r="J14" s="443">
        <f t="shared" si="0"/>
        <v>600</v>
      </c>
      <c r="K14" s="459">
        <f t="shared" si="0"/>
        <v>600</v>
      </c>
      <c r="L14" s="338" t="e">
        <f t="shared" si="1"/>
        <v>#DIV/0!</v>
      </c>
      <c r="M14" s="300" t="e">
        <f t="shared" si="1"/>
        <v>#DIV/0!</v>
      </c>
      <c r="N14" s="366"/>
      <c r="O14" s="647">
        <f t="shared" si="2"/>
        <v>0.19993335554815062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/>
      <c r="F15" s="446"/>
      <c r="G15" s="496"/>
      <c r="H15" s="498">
        <f>SUM($F$8:F15)/A15</f>
        <v>0</v>
      </c>
      <c r="I15" s="499">
        <f>SUM($G$8:G15)/A15</f>
        <v>0</v>
      </c>
      <c r="J15" s="443">
        <f t="shared" si="0"/>
        <v>600</v>
      </c>
      <c r="K15" s="459">
        <f t="shared" si="0"/>
        <v>600</v>
      </c>
      <c r="L15" s="338" t="e">
        <f t="shared" si="1"/>
        <v>#DIV/0!</v>
      </c>
      <c r="M15" s="300" t="e">
        <f t="shared" si="1"/>
        <v>#DIV/0!</v>
      </c>
      <c r="N15" s="366"/>
      <c r="O15" s="647">
        <f t="shared" si="2"/>
        <v>0.19993335554815062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/>
      <c r="F16" s="446"/>
      <c r="G16" s="496"/>
      <c r="H16" s="498">
        <f>SUM($F$8:F16)/A16</f>
        <v>0</v>
      </c>
      <c r="I16" s="499">
        <f>SUM($G$8:G16)/A16</f>
        <v>0</v>
      </c>
      <c r="J16" s="443">
        <f t="shared" si="0"/>
        <v>600</v>
      </c>
      <c r="K16" s="459">
        <f t="shared" si="0"/>
        <v>600</v>
      </c>
      <c r="L16" s="338" t="e">
        <f t="shared" si="1"/>
        <v>#DIV/0!</v>
      </c>
      <c r="M16" s="300" t="e">
        <f t="shared" si="1"/>
        <v>#DIV/0!</v>
      </c>
      <c r="N16" s="366"/>
      <c r="O16" s="647">
        <f t="shared" si="2"/>
        <v>0.19993335554815062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/>
      <c r="F17" s="446"/>
      <c r="G17" s="496"/>
      <c r="H17" s="498">
        <f>SUM($F$8:F17)/A17</f>
        <v>0</v>
      </c>
      <c r="I17" s="499">
        <f>SUM($G$8:G17)/A17</f>
        <v>0</v>
      </c>
      <c r="J17" s="443">
        <f t="shared" si="0"/>
        <v>600</v>
      </c>
      <c r="K17" s="459">
        <f t="shared" si="0"/>
        <v>600</v>
      </c>
      <c r="L17" s="338" t="e">
        <f t="shared" si="1"/>
        <v>#DIV/0!</v>
      </c>
      <c r="M17" s="300" t="e">
        <f t="shared" si="1"/>
        <v>#DIV/0!</v>
      </c>
      <c r="N17" s="366"/>
      <c r="O17" s="647">
        <f t="shared" si="2"/>
        <v>0.19993335554815062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/>
      <c r="F18" s="446"/>
      <c r="G18" s="496"/>
      <c r="H18" s="500">
        <f>SUM($F$8:F18)/A18</f>
        <v>0</v>
      </c>
      <c r="I18" s="499">
        <f>SUM($G$8:G18)/A18</f>
        <v>0</v>
      </c>
      <c r="J18" s="500">
        <f t="shared" si="0"/>
        <v>600</v>
      </c>
      <c r="K18" s="459">
        <f t="shared" si="0"/>
        <v>600</v>
      </c>
      <c r="L18" s="368" t="e">
        <f t="shared" si="1"/>
        <v>#DIV/0!</v>
      </c>
      <c r="M18" s="300" t="e">
        <f t="shared" si="1"/>
        <v>#DIV/0!</v>
      </c>
      <c r="N18" s="366"/>
      <c r="O18" s="647">
        <f t="shared" si="2"/>
        <v>0.19993335554815062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/>
      <c r="F19" s="446"/>
      <c r="G19" s="496"/>
      <c r="H19" s="498">
        <f>SUM($F$8:F19)/A19</f>
        <v>0</v>
      </c>
      <c r="I19" s="499">
        <f>SUM($G$8:G19)/A19</f>
        <v>0</v>
      </c>
      <c r="J19" s="443">
        <f t="shared" si="0"/>
        <v>600</v>
      </c>
      <c r="K19" s="459">
        <f t="shared" si="0"/>
        <v>600</v>
      </c>
      <c r="L19" s="338" t="e">
        <f t="shared" si="1"/>
        <v>#DIV/0!</v>
      </c>
      <c r="M19" s="300" t="e">
        <f t="shared" si="1"/>
        <v>#DIV/0!</v>
      </c>
      <c r="N19" s="366"/>
      <c r="O19" s="647">
        <f t="shared" si="2"/>
        <v>0.19993335554815062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/>
      <c r="F20" s="446"/>
      <c r="G20" s="496"/>
      <c r="H20" s="498">
        <f>SUM($F$8:F20)/A20</f>
        <v>0</v>
      </c>
      <c r="I20" s="499">
        <f>SUM($G$8:G20)/A20</f>
        <v>0</v>
      </c>
      <c r="J20" s="443">
        <f t="shared" si="0"/>
        <v>600</v>
      </c>
      <c r="K20" s="459">
        <f t="shared" si="0"/>
        <v>600</v>
      </c>
      <c r="L20" s="338" t="e">
        <f t="shared" si="1"/>
        <v>#DIV/0!</v>
      </c>
      <c r="M20" s="300" t="e">
        <f t="shared" si="1"/>
        <v>#DIV/0!</v>
      </c>
      <c r="N20" s="366"/>
      <c r="O20" s="647">
        <f t="shared" si="2"/>
        <v>0.19993335554815062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/>
      <c r="F21" s="446"/>
      <c r="G21" s="496"/>
      <c r="H21" s="498">
        <f>SUM($F$8:F21)/A21</f>
        <v>0</v>
      </c>
      <c r="I21" s="499">
        <f>SUM($G$8:G21)/A21</f>
        <v>0</v>
      </c>
      <c r="J21" s="443">
        <f t="shared" si="0"/>
        <v>600</v>
      </c>
      <c r="K21" s="459">
        <f>K20+E21-G21</f>
        <v>600</v>
      </c>
      <c r="L21" s="338" t="e">
        <f t="shared" si="1"/>
        <v>#DIV/0!</v>
      </c>
      <c r="M21" s="300" t="e">
        <f t="shared" si="1"/>
        <v>#DIV/0!</v>
      </c>
      <c r="N21" s="366"/>
      <c r="O21" s="647">
        <f t="shared" si="2"/>
        <v>0.19993335554815062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/>
      <c r="F22" s="446"/>
      <c r="G22" s="496"/>
      <c r="H22" s="498">
        <f>SUM($F$8:F22)/A22</f>
        <v>0</v>
      </c>
      <c r="I22" s="499">
        <f>SUM($G$8:G22)/A22</f>
        <v>0</v>
      </c>
      <c r="J22" s="443">
        <f t="shared" si="0"/>
        <v>600</v>
      </c>
      <c r="K22" s="459">
        <f>K21+E22-G22</f>
        <v>600</v>
      </c>
      <c r="L22" s="338" t="e">
        <f t="shared" si="1"/>
        <v>#DIV/0!</v>
      </c>
      <c r="M22" s="300" t="e">
        <f t="shared" si="1"/>
        <v>#DIV/0!</v>
      </c>
      <c r="N22" s="366"/>
      <c r="O22" s="647">
        <f t="shared" si="2"/>
        <v>0.19993335554815062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/>
      <c r="F23" s="446"/>
      <c r="G23" s="496"/>
      <c r="H23" s="500">
        <f>SUM($F$8:F23)/A23</f>
        <v>0</v>
      </c>
      <c r="I23" s="499">
        <f>SUM($G$8:G23)/A23</f>
        <v>0</v>
      </c>
      <c r="J23" s="500">
        <f t="shared" si="0"/>
        <v>600</v>
      </c>
      <c r="K23" s="459">
        <f t="shared" si="0"/>
        <v>600</v>
      </c>
      <c r="L23" s="368" t="e">
        <f t="shared" si="1"/>
        <v>#DIV/0!</v>
      </c>
      <c r="M23" s="300" t="e">
        <f t="shared" si="1"/>
        <v>#DIV/0!</v>
      </c>
      <c r="N23" s="366"/>
      <c r="O23" s="647">
        <f t="shared" si="2"/>
        <v>0.19993335554815062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/>
      <c r="F24" s="446"/>
      <c r="G24" s="496"/>
      <c r="H24" s="498">
        <f>SUM($F$8:F24)/A24</f>
        <v>0</v>
      </c>
      <c r="I24" s="499">
        <f>SUM($G$8:G24)/A24</f>
        <v>0</v>
      </c>
      <c r="J24" s="443">
        <f t="shared" si="0"/>
        <v>600</v>
      </c>
      <c r="K24" s="459">
        <f>K23+E24-G24</f>
        <v>600</v>
      </c>
      <c r="L24" s="338" t="e">
        <f t="shared" si="1"/>
        <v>#DIV/0!</v>
      </c>
      <c r="M24" s="300" t="e">
        <f t="shared" si="1"/>
        <v>#DIV/0!</v>
      </c>
      <c r="N24" s="366"/>
      <c r="O24" s="647">
        <f t="shared" si="2"/>
        <v>0.19993335554815062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/>
      <c r="F25" s="446"/>
      <c r="G25" s="496"/>
      <c r="H25" s="498">
        <f>SUM($F$8:F25)/A25</f>
        <v>0</v>
      </c>
      <c r="I25" s="499">
        <f>SUM($G$8:G25)/A25</f>
        <v>0</v>
      </c>
      <c r="J25" s="443">
        <f t="shared" ref="J25:K39" si="3">J24+D25-F25</f>
        <v>600</v>
      </c>
      <c r="K25" s="459">
        <f>K24+E25-G25</f>
        <v>600</v>
      </c>
      <c r="L25" s="338" t="e">
        <f t="shared" ref="L25:M39" si="4">J25/H25</f>
        <v>#DIV/0!</v>
      </c>
      <c r="M25" s="300" t="e">
        <f t="shared" si="4"/>
        <v>#DIV/0!</v>
      </c>
      <c r="N25" s="366"/>
      <c r="O25" s="647">
        <f t="shared" si="2"/>
        <v>0.19993335554815062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/>
      <c r="F26" s="446"/>
      <c r="G26" s="496"/>
      <c r="H26" s="498">
        <f>SUM($F$8:F26)/A26</f>
        <v>0</v>
      </c>
      <c r="I26" s="499">
        <f>SUM($G$8:G26)/A26</f>
        <v>0</v>
      </c>
      <c r="J26" s="443">
        <f t="shared" si="3"/>
        <v>600</v>
      </c>
      <c r="K26" s="459">
        <f>K25+E26-G26</f>
        <v>600</v>
      </c>
      <c r="L26" s="338" t="e">
        <f t="shared" si="4"/>
        <v>#DIV/0!</v>
      </c>
      <c r="M26" s="300" t="e">
        <f t="shared" si="4"/>
        <v>#DIV/0!</v>
      </c>
      <c r="N26" s="366"/>
      <c r="O26" s="647">
        <f t="shared" si="2"/>
        <v>0.19993335554815062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/>
      <c r="F27" s="446"/>
      <c r="G27" s="496"/>
      <c r="H27" s="498">
        <f>SUM($F$8:F27)/A27</f>
        <v>0</v>
      </c>
      <c r="I27" s="499">
        <f>SUM($G$8:G27)/A27</f>
        <v>0</v>
      </c>
      <c r="J27" s="443">
        <f t="shared" si="3"/>
        <v>600</v>
      </c>
      <c r="K27" s="459">
        <f>K26+E27-G27</f>
        <v>600</v>
      </c>
      <c r="L27" s="338" t="e">
        <f t="shared" si="4"/>
        <v>#DIV/0!</v>
      </c>
      <c r="M27" s="300" t="e">
        <f t="shared" si="4"/>
        <v>#DIV/0!</v>
      </c>
      <c r="N27" s="366"/>
      <c r="O27" s="647">
        <f t="shared" si="2"/>
        <v>0.19993335554815062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/>
      <c r="F28" s="446"/>
      <c r="G28" s="496"/>
      <c r="H28" s="500">
        <f>SUM($F$8:F28)/A28</f>
        <v>0</v>
      </c>
      <c r="I28" s="499">
        <f>SUM($G$8:G28)/A28</f>
        <v>0</v>
      </c>
      <c r="J28" s="500">
        <f t="shared" si="3"/>
        <v>600</v>
      </c>
      <c r="K28" s="459">
        <f t="shared" si="3"/>
        <v>600</v>
      </c>
      <c r="L28" s="368" t="e">
        <f t="shared" si="4"/>
        <v>#DIV/0!</v>
      </c>
      <c r="M28" s="300" t="e">
        <f t="shared" si="4"/>
        <v>#DIV/0!</v>
      </c>
      <c r="N28" s="366"/>
      <c r="O28" s="647">
        <f t="shared" si="2"/>
        <v>0.19993335554815062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/>
      <c r="F29" s="446"/>
      <c r="G29" s="496"/>
      <c r="H29" s="498">
        <f>SUM($F$8:F29)/A29</f>
        <v>0</v>
      </c>
      <c r="I29" s="499">
        <f>SUM($G$8:G29)/A29</f>
        <v>0</v>
      </c>
      <c r="J29" s="443">
        <f t="shared" si="3"/>
        <v>600</v>
      </c>
      <c r="K29" s="459">
        <f t="shared" si="3"/>
        <v>600</v>
      </c>
      <c r="L29" s="338" t="e">
        <f t="shared" si="4"/>
        <v>#DIV/0!</v>
      </c>
      <c r="M29" s="300" t="e">
        <f t="shared" si="4"/>
        <v>#DIV/0!</v>
      </c>
      <c r="N29" s="366"/>
      <c r="O29" s="647">
        <f t="shared" si="2"/>
        <v>0.19993335554815062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/>
      <c r="F30" s="446"/>
      <c r="G30" s="496"/>
      <c r="H30" s="498">
        <f>SUM($F$8:F30)/A30</f>
        <v>0</v>
      </c>
      <c r="I30" s="499">
        <f>SUM($G$8:G30)/A30</f>
        <v>0</v>
      </c>
      <c r="J30" s="443">
        <f t="shared" si="3"/>
        <v>600</v>
      </c>
      <c r="K30" s="459">
        <f t="shared" si="3"/>
        <v>600</v>
      </c>
      <c r="L30" s="338" t="e">
        <f t="shared" si="4"/>
        <v>#DIV/0!</v>
      </c>
      <c r="M30" s="300" t="e">
        <f t="shared" si="4"/>
        <v>#DIV/0!</v>
      </c>
      <c r="N30" s="366"/>
      <c r="O30" s="647">
        <f t="shared" si="2"/>
        <v>0.19993335554815062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/>
      <c r="F31" s="446"/>
      <c r="G31" s="496"/>
      <c r="H31" s="498">
        <f>SUM($F$8:F31)/A31</f>
        <v>0</v>
      </c>
      <c r="I31" s="499">
        <f>SUM($G$8:G31)/A31</f>
        <v>0</v>
      </c>
      <c r="J31" s="443">
        <f t="shared" si="3"/>
        <v>600</v>
      </c>
      <c r="K31" s="459">
        <f t="shared" si="3"/>
        <v>600</v>
      </c>
      <c r="L31" s="338" t="e">
        <f t="shared" si="4"/>
        <v>#DIV/0!</v>
      </c>
      <c r="M31" s="300" t="e">
        <f t="shared" si="4"/>
        <v>#DIV/0!</v>
      </c>
      <c r="N31" s="366"/>
      <c r="O31" s="647">
        <f t="shared" si="2"/>
        <v>0.19993335554815062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/>
      <c r="F32" s="446"/>
      <c r="G32" s="496"/>
      <c r="H32" s="498">
        <f>SUM($F$8:F32)/A32</f>
        <v>0</v>
      </c>
      <c r="I32" s="499">
        <f>SUM($G$8:G32)/A32</f>
        <v>0</v>
      </c>
      <c r="J32" s="443">
        <f t="shared" si="3"/>
        <v>600</v>
      </c>
      <c r="K32" s="459">
        <f t="shared" si="3"/>
        <v>600</v>
      </c>
      <c r="L32" s="338" t="e">
        <f t="shared" si="4"/>
        <v>#DIV/0!</v>
      </c>
      <c r="M32" s="300" t="e">
        <f t="shared" si="4"/>
        <v>#DIV/0!</v>
      </c>
      <c r="N32" s="366"/>
      <c r="O32" s="647">
        <f t="shared" si="2"/>
        <v>0.19993335554815062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/>
      <c r="F33" s="446"/>
      <c r="G33" s="496"/>
      <c r="H33" s="448">
        <f>SUM($F$8:F33)/A33</f>
        <v>0</v>
      </c>
      <c r="I33" s="499">
        <f>SUM($G$8:G33)/A33</f>
        <v>0</v>
      </c>
      <c r="J33" s="448">
        <f t="shared" si="3"/>
        <v>600</v>
      </c>
      <c r="K33" s="459">
        <f t="shared" si="3"/>
        <v>600</v>
      </c>
      <c r="L33" s="369" t="e">
        <f t="shared" si="4"/>
        <v>#DIV/0!</v>
      </c>
      <c r="M33" s="300" t="e">
        <f t="shared" si="4"/>
        <v>#DIV/0!</v>
      </c>
      <c r="N33" s="366"/>
      <c r="O33" s="647">
        <f t="shared" si="2"/>
        <v>0.19993335554815062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/>
      <c r="F34" s="446"/>
      <c r="G34" s="496"/>
      <c r="H34" s="498">
        <f>SUM($F$8:F34)/A34</f>
        <v>0</v>
      </c>
      <c r="I34" s="499">
        <f>SUM($G$8:G34)/A34</f>
        <v>0</v>
      </c>
      <c r="J34" s="443">
        <f t="shared" si="3"/>
        <v>600</v>
      </c>
      <c r="K34" s="459">
        <f t="shared" si="3"/>
        <v>600</v>
      </c>
      <c r="L34" s="338" t="e">
        <f t="shared" si="4"/>
        <v>#DIV/0!</v>
      </c>
      <c r="M34" s="300" t="e">
        <f t="shared" si="4"/>
        <v>#DIV/0!</v>
      </c>
      <c r="N34" s="366"/>
      <c r="O34" s="647">
        <f t="shared" si="2"/>
        <v>0.19993335554815062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/>
      <c r="F35" s="446"/>
      <c r="G35" s="496"/>
      <c r="H35" s="498">
        <f>SUM($F$8:F35)/A35</f>
        <v>0</v>
      </c>
      <c r="I35" s="499">
        <f>SUM($G$8:G35)/A35</f>
        <v>0</v>
      </c>
      <c r="J35" s="443">
        <f t="shared" si="3"/>
        <v>600</v>
      </c>
      <c r="K35" s="459">
        <f t="shared" si="3"/>
        <v>600</v>
      </c>
      <c r="L35" s="338" t="e">
        <f t="shared" si="4"/>
        <v>#DIV/0!</v>
      </c>
      <c r="M35" s="300" t="e">
        <f t="shared" si="4"/>
        <v>#DIV/0!</v>
      </c>
      <c r="N35" s="366"/>
      <c r="O35" s="647">
        <f t="shared" si="2"/>
        <v>0.19993335554815062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/>
      <c r="F36" s="446"/>
      <c r="G36" s="496"/>
      <c r="H36" s="498">
        <f>SUM($F$8:F36)/A36</f>
        <v>0</v>
      </c>
      <c r="I36" s="499">
        <f>SUM($G$8:G36)/A36</f>
        <v>0</v>
      </c>
      <c r="J36" s="443">
        <f t="shared" si="3"/>
        <v>600</v>
      </c>
      <c r="K36" s="459">
        <f t="shared" si="3"/>
        <v>600</v>
      </c>
      <c r="L36" s="338" t="e">
        <f t="shared" si="4"/>
        <v>#DIV/0!</v>
      </c>
      <c r="M36" s="300" t="e">
        <f t="shared" si="4"/>
        <v>#DIV/0!</v>
      </c>
      <c r="N36" s="366"/>
      <c r="O36" s="647">
        <f t="shared" si="2"/>
        <v>0.19993335554815062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/>
      <c r="F37" s="446"/>
      <c r="G37" s="496"/>
      <c r="H37" s="498">
        <f>SUM($F$8:F37)/A37</f>
        <v>0</v>
      </c>
      <c r="I37" s="499">
        <f>SUM($G$8:G37)/A37</f>
        <v>0</v>
      </c>
      <c r="J37" s="443">
        <f t="shared" si="3"/>
        <v>600</v>
      </c>
      <c r="K37" s="459">
        <f t="shared" si="3"/>
        <v>600</v>
      </c>
      <c r="L37" s="338" t="e">
        <f t="shared" si="4"/>
        <v>#DIV/0!</v>
      </c>
      <c r="M37" s="300" t="e">
        <f t="shared" si="4"/>
        <v>#DIV/0!</v>
      </c>
      <c r="N37" s="366"/>
      <c r="O37" s="647">
        <f t="shared" si="2"/>
        <v>0.19993335554815062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/>
      <c r="F38" s="446"/>
      <c r="G38" s="496"/>
      <c r="H38" s="500">
        <f>SUM($F$8:F38)/A38</f>
        <v>0</v>
      </c>
      <c r="I38" s="499">
        <f>SUM($G$8:G38)/A38</f>
        <v>0</v>
      </c>
      <c r="J38" s="500">
        <f t="shared" si="3"/>
        <v>600</v>
      </c>
      <c r="K38" s="459">
        <f t="shared" si="3"/>
        <v>600</v>
      </c>
      <c r="L38" s="368" t="e">
        <f t="shared" si="4"/>
        <v>#DIV/0!</v>
      </c>
      <c r="M38" s="300" t="e">
        <f t="shared" si="4"/>
        <v>#DIV/0!</v>
      </c>
      <c r="N38" s="366"/>
      <c r="O38" s="647">
        <f t="shared" si="2"/>
        <v>0.19993335554815062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/>
      <c r="F39" s="446"/>
      <c r="G39" s="496"/>
      <c r="H39" s="498">
        <f>SUM($F$8:F39)/A39</f>
        <v>0</v>
      </c>
      <c r="I39" s="499">
        <f>SUM($G$8:G39)/A39</f>
        <v>0</v>
      </c>
      <c r="J39" s="443">
        <f t="shared" si="3"/>
        <v>600</v>
      </c>
      <c r="K39" s="459">
        <f t="shared" si="3"/>
        <v>600</v>
      </c>
      <c r="L39" s="338" t="e">
        <f t="shared" si="4"/>
        <v>#DIV/0!</v>
      </c>
      <c r="M39" s="300" t="e">
        <f t="shared" si="4"/>
        <v>#DIV/0!</v>
      </c>
      <c r="N39" s="366"/>
      <c r="O39" s="647">
        <f t="shared" si="2"/>
        <v>0.19993335554815062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600</v>
      </c>
      <c r="K40" s="461">
        <f>K39</f>
        <v>600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600</v>
      </c>
      <c r="E41" s="388">
        <f>E8+E40</f>
        <v>600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600</v>
      </c>
      <c r="K41" s="389">
        <f>E41-G41</f>
        <v>600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8">
    <cfRule type="cellIs" dxfId="1763" priority="163" operator="lessThan">
      <formula>15</formula>
    </cfRule>
    <cfRule type="cellIs" dxfId="1762" priority="164" operator="greaterThan">
      <formula>20</formula>
    </cfRule>
    <cfRule type="cellIs" dxfId="1761" priority="165" operator="between">
      <formula>15</formula>
      <formula>20</formula>
    </cfRule>
    <cfRule type="cellIs" dxfId="1760" priority="166" operator="between">
      <formula>15</formula>
      <formula>20</formula>
    </cfRule>
    <cfRule type="cellIs" dxfId="1759" priority="167" operator="lessThan">
      <formula>15</formula>
    </cfRule>
    <cfRule type="cellIs" dxfId="1758" priority="168" operator="greaterThan">
      <formula>20</formula>
    </cfRule>
    <cfRule type="cellIs" dxfId="1757" priority="169" operator="between">
      <formula>15</formula>
      <formula>21</formula>
    </cfRule>
    <cfRule type="cellIs" dxfId="1756" priority="170" operator="lessThan">
      <formula>15</formula>
    </cfRule>
    <cfRule type="cellIs" dxfId="1755" priority="171" operator="greaterThan">
      <formula>21</formula>
    </cfRule>
  </conditionalFormatting>
  <conditionalFormatting sqref="M23">
    <cfRule type="cellIs" dxfId="1754" priority="154" operator="lessThan">
      <formula>15</formula>
    </cfRule>
    <cfRule type="cellIs" dxfId="1753" priority="155" operator="greaterThan">
      <formula>20</formula>
    </cfRule>
    <cfRule type="cellIs" dxfId="1752" priority="156" operator="between">
      <formula>15</formula>
      <formula>20</formula>
    </cfRule>
    <cfRule type="cellIs" dxfId="1751" priority="157" operator="between">
      <formula>15</formula>
      <formula>20</formula>
    </cfRule>
    <cfRule type="cellIs" dxfId="1750" priority="158" operator="lessThan">
      <formula>15</formula>
    </cfRule>
    <cfRule type="cellIs" dxfId="1749" priority="159" operator="greaterThan">
      <formula>20</formula>
    </cfRule>
    <cfRule type="cellIs" dxfId="1748" priority="160" operator="between">
      <formula>15</formula>
      <formula>21</formula>
    </cfRule>
    <cfRule type="cellIs" dxfId="1747" priority="161" operator="lessThan">
      <formula>15</formula>
    </cfRule>
    <cfRule type="cellIs" dxfId="1746" priority="162" operator="greaterThan">
      <formula>21</formula>
    </cfRule>
  </conditionalFormatting>
  <conditionalFormatting sqref="M18">
    <cfRule type="cellIs" dxfId="1745" priority="145" operator="lessThan">
      <formula>15</formula>
    </cfRule>
    <cfRule type="cellIs" dxfId="1744" priority="146" operator="greaterThan">
      <formula>20</formula>
    </cfRule>
    <cfRule type="cellIs" dxfId="1743" priority="147" operator="between">
      <formula>15</formula>
      <formula>20</formula>
    </cfRule>
    <cfRule type="cellIs" dxfId="1742" priority="148" operator="between">
      <formula>15</formula>
      <formula>20</formula>
    </cfRule>
    <cfRule type="cellIs" dxfId="1741" priority="149" operator="lessThan">
      <formula>15</formula>
    </cfRule>
    <cfRule type="cellIs" dxfId="1740" priority="150" operator="greaterThan">
      <formula>20</formula>
    </cfRule>
    <cfRule type="cellIs" dxfId="1739" priority="151" operator="between">
      <formula>15</formula>
      <formula>21</formula>
    </cfRule>
    <cfRule type="cellIs" dxfId="1738" priority="152" operator="lessThan">
      <formula>15</formula>
    </cfRule>
    <cfRule type="cellIs" dxfId="1737" priority="153" operator="greaterThan">
      <formula>21</formula>
    </cfRule>
  </conditionalFormatting>
  <conditionalFormatting sqref="M35:M37">
    <cfRule type="cellIs" dxfId="1736" priority="172" operator="lessThan">
      <formula>15</formula>
    </cfRule>
    <cfRule type="cellIs" dxfId="1735" priority="173" operator="greaterThan">
      <formula>20</formula>
    </cfRule>
    <cfRule type="cellIs" dxfId="1734" priority="174" operator="between">
      <formula>15</formula>
      <formula>20</formula>
    </cfRule>
    <cfRule type="cellIs" dxfId="1733" priority="175" operator="between">
      <formula>15</formula>
      <formula>20</formula>
    </cfRule>
    <cfRule type="cellIs" dxfId="1732" priority="176" operator="lessThan">
      <formula>15</formula>
    </cfRule>
    <cfRule type="cellIs" dxfId="1731" priority="177" operator="greaterThan">
      <formula>20</formula>
    </cfRule>
    <cfRule type="cellIs" dxfId="1730" priority="178" operator="between">
      <formula>15</formula>
      <formula>21</formula>
    </cfRule>
    <cfRule type="cellIs" dxfId="1729" priority="179" operator="lessThan">
      <formula>15</formula>
    </cfRule>
    <cfRule type="cellIs" dxfId="1728" priority="180" operator="greaterThan">
      <formula>21</formula>
    </cfRule>
  </conditionalFormatting>
  <conditionalFormatting sqref="M13">
    <cfRule type="cellIs" dxfId="1727" priority="136" operator="lessThan">
      <formula>15</formula>
    </cfRule>
    <cfRule type="cellIs" dxfId="1726" priority="137" operator="greaterThan">
      <formula>20</formula>
    </cfRule>
    <cfRule type="cellIs" dxfId="1725" priority="138" operator="between">
      <formula>15</formula>
      <formula>20</formula>
    </cfRule>
    <cfRule type="cellIs" dxfId="1724" priority="139" operator="between">
      <formula>15</formula>
      <formula>20</formula>
    </cfRule>
    <cfRule type="cellIs" dxfId="1723" priority="140" operator="lessThan">
      <formula>15</formula>
    </cfRule>
    <cfRule type="cellIs" dxfId="1722" priority="141" operator="greaterThan">
      <formula>20</formula>
    </cfRule>
    <cfRule type="cellIs" dxfId="1721" priority="142" operator="between">
      <formula>15</formula>
      <formula>21</formula>
    </cfRule>
    <cfRule type="cellIs" dxfId="1720" priority="143" operator="lessThan">
      <formula>15</formula>
    </cfRule>
    <cfRule type="cellIs" dxfId="1719" priority="144" operator="greaterThan">
      <formula>21</formula>
    </cfRule>
  </conditionalFormatting>
  <conditionalFormatting sqref="M33">
    <cfRule type="cellIs" dxfId="1718" priority="127" operator="lessThan">
      <formula>15</formula>
    </cfRule>
    <cfRule type="cellIs" dxfId="1717" priority="128" operator="greaterThan">
      <formula>20</formula>
    </cfRule>
    <cfRule type="cellIs" dxfId="1716" priority="129" operator="between">
      <formula>15</formula>
      <formula>20</formula>
    </cfRule>
    <cfRule type="cellIs" dxfId="1715" priority="130" operator="between">
      <formula>15</formula>
      <formula>20</formula>
    </cfRule>
    <cfRule type="cellIs" dxfId="1714" priority="131" operator="lessThan">
      <formula>15</formula>
    </cfRule>
    <cfRule type="cellIs" dxfId="1713" priority="132" operator="greaterThan">
      <formula>20</formula>
    </cfRule>
    <cfRule type="cellIs" dxfId="1712" priority="133" operator="between">
      <formula>15</formula>
      <formula>21</formula>
    </cfRule>
    <cfRule type="cellIs" dxfId="1711" priority="134" operator="lessThan">
      <formula>15</formula>
    </cfRule>
    <cfRule type="cellIs" dxfId="1710" priority="135" operator="greaterThan">
      <formula>21</formula>
    </cfRule>
  </conditionalFormatting>
  <conditionalFormatting sqref="M38">
    <cfRule type="cellIs" dxfId="1709" priority="118" operator="lessThan">
      <formula>15</formula>
    </cfRule>
    <cfRule type="cellIs" dxfId="1708" priority="119" operator="greaterThan">
      <formula>20</formula>
    </cfRule>
    <cfRule type="cellIs" dxfId="1707" priority="120" operator="between">
      <formula>15</formula>
      <formula>20</formula>
    </cfRule>
    <cfRule type="cellIs" dxfId="1706" priority="121" operator="between">
      <formula>15</formula>
      <formula>20</formula>
    </cfRule>
    <cfRule type="cellIs" dxfId="1705" priority="122" operator="lessThan">
      <formula>15</formula>
    </cfRule>
    <cfRule type="cellIs" dxfId="1704" priority="123" operator="greaterThan">
      <formula>20</formula>
    </cfRule>
    <cfRule type="cellIs" dxfId="1703" priority="124" operator="between">
      <formula>15</formula>
      <formula>21</formula>
    </cfRule>
    <cfRule type="cellIs" dxfId="1702" priority="125" operator="lessThan">
      <formula>15</formula>
    </cfRule>
    <cfRule type="cellIs" dxfId="1701" priority="126" operator="greaterThan">
      <formula>21</formula>
    </cfRule>
  </conditionalFormatting>
  <conditionalFormatting sqref="M20">
    <cfRule type="cellIs" dxfId="1700" priority="217" operator="lessThan">
      <formula>15</formula>
    </cfRule>
    <cfRule type="cellIs" dxfId="1699" priority="218" operator="greaterThan">
      <formula>20</formula>
    </cfRule>
    <cfRule type="cellIs" dxfId="1698" priority="219" operator="between">
      <formula>15</formula>
      <formula>20</formula>
    </cfRule>
    <cfRule type="cellIs" dxfId="1697" priority="220" operator="between">
      <formula>15</formula>
      <formula>20</formula>
    </cfRule>
    <cfRule type="cellIs" dxfId="1696" priority="221" operator="lessThan">
      <formula>15</formula>
    </cfRule>
    <cfRule type="cellIs" dxfId="1695" priority="222" operator="greaterThan">
      <formula>20</formula>
    </cfRule>
    <cfRule type="cellIs" dxfId="1694" priority="223" operator="between">
      <formula>15</formula>
      <formula>21</formula>
    </cfRule>
    <cfRule type="cellIs" dxfId="1693" priority="224" operator="lessThan">
      <formula>15</formula>
    </cfRule>
    <cfRule type="cellIs" dxfId="1692" priority="225" operator="greaterThan">
      <formula>21</formula>
    </cfRule>
  </conditionalFormatting>
  <conditionalFormatting sqref="M27">
    <cfRule type="cellIs" dxfId="1691" priority="208" operator="lessThan">
      <formula>15</formula>
    </cfRule>
    <cfRule type="cellIs" dxfId="1690" priority="209" operator="greaterThan">
      <formula>20</formula>
    </cfRule>
    <cfRule type="cellIs" dxfId="1689" priority="210" operator="between">
      <formula>15</formula>
      <formula>20</formula>
    </cfRule>
    <cfRule type="cellIs" dxfId="1688" priority="211" operator="between">
      <formula>15</formula>
      <formula>20</formula>
    </cfRule>
    <cfRule type="cellIs" dxfId="1687" priority="212" operator="lessThan">
      <formula>15</formula>
    </cfRule>
    <cfRule type="cellIs" dxfId="1686" priority="213" operator="greaterThan">
      <formula>20</formula>
    </cfRule>
    <cfRule type="cellIs" dxfId="1685" priority="214" operator="between">
      <formula>15</formula>
      <formula>21</formula>
    </cfRule>
    <cfRule type="cellIs" dxfId="1684" priority="215" operator="lessThan">
      <formula>15</formula>
    </cfRule>
    <cfRule type="cellIs" dxfId="1683" priority="216" operator="greaterThan">
      <formula>21</formula>
    </cfRule>
  </conditionalFormatting>
  <conditionalFormatting sqref="M34">
    <cfRule type="cellIs" dxfId="1682" priority="199" operator="lessThan">
      <formula>15</formula>
    </cfRule>
    <cfRule type="cellIs" dxfId="1681" priority="200" operator="greaterThan">
      <formula>20</formula>
    </cfRule>
    <cfRule type="cellIs" dxfId="1680" priority="201" operator="between">
      <formula>15</formula>
      <formula>20</formula>
    </cfRule>
    <cfRule type="cellIs" dxfId="1679" priority="202" operator="between">
      <formula>15</formula>
      <formula>20</formula>
    </cfRule>
    <cfRule type="cellIs" dxfId="1678" priority="203" operator="lessThan">
      <formula>15</formula>
    </cfRule>
    <cfRule type="cellIs" dxfId="1677" priority="204" operator="greaterThan">
      <formula>20</formula>
    </cfRule>
    <cfRule type="cellIs" dxfId="1676" priority="205" operator="between">
      <formula>15</formula>
      <formula>21</formula>
    </cfRule>
    <cfRule type="cellIs" dxfId="1675" priority="206" operator="lessThan">
      <formula>15</formula>
    </cfRule>
    <cfRule type="cellIs" dxfId="1674" priority="207" operator="greaterThan">
      <formula>21</formula>
    </cfRule>
  </conditionalFormatting>
  <conditionalFormatting sqref="M14:M17 M39 M21:M22 M24:M26 M19">
    <cfRule type="cellIs" dxfId="1673" priority="226" operator="lessThan">
      <formula>15</formula>
    </cfRule>
    <cfRule type="cellIs" dxfId="1672" priority="227" operator="greaterThan">
      <formula>20</formula>
    </cfRule>
    <cfRule type="cellIs" dxfId="1671" priority="228" operator="between">
      <formula>15</formula>
      <formula>20</formula>
    </cfRule>
    <cfRule type="cellIs" dxfId="1670" priority="229" operator="between">
      <formula>15</formula>
      <formula>20</formula>
    </cfRule>
    <cfRule type="cellIs" dxfId="1669" priority="230" operator="lessThan">
      <formula>15</formula>
    </cfRule>
    <cfRule type="cellIs" dxfId="1668" priority="231" operator="greaterThan">
      <formula>20</formula>
    </cfRule>
    <cfRule type="cellIs" dxfId="1667" priority="232" operator="between">
      <formula>15</formula>
      <formula>21</formula>
    </cfRule>
    <cfRule type="cellIs" dxfId="1666" priority="233" operator="lessThan">
      <formula>15</formula>
    </cfRule>
    <cfRule type="cellIs" dxfId="1665" priority="234" operator="greaterThan">
      <formula>21</formula>
    </cfRule>
  </conditionalFormatting>
  <conditionalFormatting sqref="M9:M12">
    <cfRule type="cellIs" dxfId="1664" priority="190" operator="lessThan">
      <formula>15</formula>
    </cfRule>
    <cfRule type="cellIs" dxfId="1663" priority="191" operator="greaterThan">
      <formula>20</formula>
    </cfRule>
    <cfRule type="cellIs" dxfId="1662" priority="192" operator="between">
      <formula>15</formula>
      <formula>20</formula>
    </cfRule>
    <cfRule type="cellIs" dxfId="1661" priority="193" operator="between">
      <formula>15</formula>
      <formula>20</formula>
    </cfRule>
    <cfRule type="cellIs" dxfId="1660" priority="194" operator="lessThan">
      <formula>15</formula>
    </cfRule>
    <cfRule type="cellIs" dxfId="1659" priority="195" operator="greaterThan">
      <formula>20</formula>
    </cfRule>
    <cfRule type="cellIs" dxfId="1658" priority="196" operator="between">
      <formula>15</formula>
      <formula>21</formula>
    </cfRule>
    <cfRule type="cellIs" dxfId="1657" priority="197" operator="lessThan">
      <formula>15</formula>
    </cfRule>
    <cfRule type="cellIs" dxfId="1656" priority="198" operator="greaterThan">
      <formula>21</formula>
    </cfRule>
  </conditionalFormatting>
  <conditionalFormatting sqref="M29:M32">
    <cfRule type="cellIs" dxfId="1655" priority="181" operator="lessThan">
      <formula>15</formula>
    </cfRule>
    <cfRule type="cellIs" dxfId="1654" priority="182" operator="greaterThan">
      <formula>20</formula>
    </cfRule>
    <cfRule type="cellIs" dxfId="1653" priority="183" operator="between">
      <formula>15</formula>
      <formula>20</formula>
    </cfRule>
    <cfRule type="cellIs" dxfId="1652" priority="184" operator="between">
      <formula>15</formula>
      <formula>20</formula>
    </cfRule>
    <cfRule type="cellIs" dxfId="1651" priority="185" operator="lessThan">
      <formula>15</formula>
    </cfRule>
    <cfRule type="cellIs" dxfId="1650" priority="186" operator="greaterThan">
      <formula>20</formula>
    </cfRule>
    <cfRule type="cellIs" dxfId="1649" priority="187" operator="between">
      <formula>15</formula>
      <formula>21</formula>
    </cfRule>
    <cfRule type="cellIs" dxfId="1648" priority="188" operator="lessThan">
      <formula>15</formula>
    </cfRule>
    <cfRule type="cellIs" dxfId="1647" priority="189" operator="greaterThan">
      <formula>21</formula>
    </cfRule>
  </conditionalFormatting>
  <conditionalFormatting sqref="M38">
    <cfRule type="cellIs" dxfId="1646" priority="109" operator="lessThan">
      <formula>15</formula>
    </cfRule>
    <cfRule type="cellIs" dxfId="1645" priority="110" operator="greaterThan">
      <formula>20</formula>
    </cfRule>
    <cfRule type="cellIs" dxfId="1644" priority="111" operator="between">
      <formula>15</formula>
      <formula>20</formula>
    </cfRule>
    <cfRule type="cellIs" dxfId="1643" priority="112" operator="between">
      <formula>15</formula>
      <formula>20</formula>
    </cfRule>
    <cfRule type="cellIs" dxfId="1642" priority="113" operator="lessThan">
      <formula>15</formula>
    </cfRule>
    <cfRule type="cellIs" dxfId="1641" priority="114" operator="greaterThan">
      <formula>20</formula>
    </cfRule>
    <cfRule type="cellIs" dxfId="1640" priority="115" operator="between">
      <formula>15</formula>
      <formula>21</formula>
    </cfRule>
    <cfRule type="cellIs" dxfId="1639" priority="116" operator="lessThan">
      <formula>15</formula>
    </cfRule>
    <cfRule type="cellIs" dxfId="1638" priority="117" operator="greaterThan">
      <formula>21</formula>
    </cfRule>
  </conditionalFormatting>
  <conditionalFormatting sqref="M33">
    <cfRule type="cellIs" dxfId="1637" priority="100" operator="lessThan">
      <formula>15</formula>
    </cfRule>
    <cfRule type="cellIs" dxfId="1636" priority="101" operator="greaterThan">
      <formula>20</formula>
    </cfRule>
    <cfRule type="cellIs" dxfId="1635" priority="102" operator="between">
      <formula>15</formula>
      <formula>20</formula>
    </cfRule>
    <cfRule type="cellIs" dxfId="1634" priority="103" operator="between">
      <formula>15</formula>
      <formula>20</formula>
    </cfRule>
    <cfRule type="cellIs" dxfId="1633" priority="104" operator="lessThan">
      <formula>15</formula>
    </cfRule>
    <cfRule type="cellIs" dxfId="1632" priority="105" operator="greaterThan">
      <formula>20</formula>
    </cfRule>
    <cfRule type="cellIs" dxfId="1631" priority="106" operator="between">
      <formula>15</formula>
      <formula>21</formula>
    </cfRule>
    <cfRule type="cellIs" dxfId="1630" priority="107" operator="lessThan">
      <formula>15</formula>
    </cfRule>
    <cfRule type="cellIs" dxfId="1629" priority="108" operator="greaterThan">
      <formula>21</formula>
    </cfRule>
  </conditionalFormatting>
  <conditionalFormatting sqref="M28">
    <cfRule type="cellIs" dxfId="1628" priority="91" operator="lessThan">
      <formula>15</formula>
    </cfRule>
    <cfRule type="cellIs" dxfId="1627" priority="92" operator="greaterThan">
      <formula>20</formula>
    </cfRule>
    <cfRule type="cellIs" dxfId="1626" priority="93" operator="between">
      <formula>15</formula>
      <formula>20</formula>
    </cfRule>
    <cfRule type="cellIs" dxfId="1625" priority="94" operator="between">
      <formula>15</formula>
      <formula>20</formula>
    </cfRule>
    <cfRule type="cellIs" dxfId="1624" priority="95" operator="lessThan">
      <formula>15</formula>
    </cfRule>
    <cfRule type="cellIs" dxfId="1623" priority="96" operator="greaterThan">
      <formula>20</formula>
    </cfRule>
    <cfRule type="cellIs" dxfId="1622" priority="97" operator="between">
      <formula>15</formula>
      <formula>21</formula>
    </cfRule>
    <cfRule type="cellIs" dxfId="1621" priority="98" operator="lessThan">
      <formula>15</formula>
    </cfRule>
    <cfRule type="cellIs" dxfId="1620" priority="99" operator="greaterThan">
      <formula>21</formula>
    </cfRule>
  </conditionalFormatting>
  <conditionalFormatting sqref="M23">
    <cfRule type="cellIs" dxfId="1619" priority="82" operator="lessThan">
      <formula>15</formula>
    </cfRule>
    <cfRule type="cellIs" dxfId="1618" priority="83" operator="greaterThan">
      <formula>20</formula>
    </cfRule>
    <cfRule type="cellIs" dxfId="1617" priority="84" operator="between">
      <formula>15</formula>
      <formula>20</formula>
    </cfRule>
    <cfRule type="cellIs" dxfId="1616" priority="85" operator="between">
      <formula>15</formula>
      <formula>20</formula>
    </cfRule>
    <cfRule type="cellIs" dxfId="1615" priority="86" operator="lessThan">
      <formula>15</formula>
    </cfRule>
    <cfRule type="cellIs" dxfId="1614" priority="87" operator="greaterThan">
      <formula>20</formula>
    </cfRule>
    <cfRule type="cellIs" dxfId="1613" priority="88" operator="between">
      <formula>15</formula>
      <formula>21</formula>
    </cfRule>
    <cfRule type="cellIs" dxfId="1612" priority="89" operator="lessThan">
      <formula>15</formula>
    </cfRule>
    <cfRule type="cellIs" dxfId="1611" priority="90" operator="greaterThan">
      <formula>21</formula>
    </cfRule>
  </conditionalFormatting>
  <conditionalFormatting sqref="M18">
    <cfRule type="cellIs" dxfId="1610" priority="73" operator="lessThan">
      <formula>15</formula>
    </cfRule>
    <cfRule type="cellIs" dxfId="1609" priority="74" operator="greaterThan">
      <formula>20</formula>
    </cfRule>
    <cfRule type="cellIs" dxfId="1608" priority="75" operator="between">
      <formula>15</formula>
      <formula>20</formula>
    </cfRule>
    <cfRule type="cellIs" dxfId="1607" priority="76" operator="between">
      <formula>15</formula>
      <formula>20</formula>
    </cfRule>
    <cfRule type="cellIs" dxfId="1606" priority="77" operator="lessThan">
      <formula>15</formula>
    </cfRule>
    <cfRule type="cellIs" dxfId="1605" priority="78" operator="greaterThan">
      <formula>20</formula>
    </cfRule>
    <cfRule type="cellIs" dxfId="1604" priority="79" operator="between">
      <formula>15</formula>
      <formula>21</formula>
    </cfRule>
    <cfRule type="cellIs" dxfId="1603" priority="80" operator="lessThan">
      <formula>15</formula>
    </cfRule>
    <cfRule type="cellIs" dxfId="1602" priority="81" operator="greaterThan">
      <formula>21</formula>
    </cfRule>
  </conditionalFormatting>
  <conditionalFormatting sqref="M35:M37">
    <cfRule type="cellIs" dxfId="1601" priority="64" operator="lessThan">
      <formula>15</formula>
    </cfRule>
    <cfRule type="cellIs" dxfId="1600" priority="65" operator="greaterThan">
      <formula>20</formula>
    </cfRule>
    <cfRule type="cellIs" dxfId="1599" priority="66" operator="between">
      <formula>15</formula>
      <formula>20</formula>
    </cfRule>
    <cfRule type="cellIs" dxfId="1598" priority="67" operator="between">
      <formula>15</formula>
      <formula>20</formula>
    </cfRule>
    <cfRule type="cellIs" dxfId="1597" priority="68" operator="lessThan">
      <formula>15</formula>
    </cfRule>
    <cfRule type="cellIs" dxfId="1596" priority="69" operator="greaterThan">
      <formula>20</formula>
    </cfRule>
    <cfRule type="cellIs" dxfId="1595" priority="70" operator="between">
      <formula>15</formula>
      <formula>21</formula>
    </cfRule>
    <cfRule type="cellIs" dxfId="1594" priority="71" operator="lessThan">
      <formula>15</formula>
    </cfRule>
    <cfRule type="cellIs" dxfId="1593" priority="72" operator="greaterThan">
      <formula>21</formula>
    </cfRule>
  </conditionalFormatting>
  <conditionalFormatting sqref="M13">
    <cfRule type="cellIs" dxfId="1592" priority="55" operator="lessThan">
      <formula>15</formula>
    </cfRule>
    <cfRule type="cellIs" dxfId="1591" priority="56" operator="greaterThan">
      <formula>20</formula>
    </cfRule>
    <cfRule type="cellIs" dxfId="1590" priority="57" operator="between">
      <formula>15</formula>
      <formula>20</formula>
    </cfRule>
    <cfRule type="cellIs" dxfId="1589" priority="58" operator="between">
      <formula>15</formula>
      <formula>20</formula>
    </cfRule>
    <cfRule type="cellIs" dxfId="1588" priority="59" operator="lessThan">
      <formula>15</formula>
    </cfRule>
    <cfRule type="cellIs" dxfId="1587" priority="60" operator="greaterThan">
      <formula>20</formula>
    </cfRule>
    <cfRule type="cellIs" dxfId="1586" priority="61" operator="between">
      <formula>15</formula>
      <formula>21</formula>
    </cfRule>
    <cfRule type="cellIs" dxfId="1585" priority="62" operator="lessThan">
      <formula>15</formula>
    </cfRule>
    <cfRule type="cellIs" dxfId="1584" priority="63" operator="greaterThan">
      <formula>21</formula>
    </cfRule>
  </conditionalFormatting>
  <conditionalFormatting sqref="M20">
    <cfRule type="cellIs" dxfId="1583" priority="46" operator="lessThan">
      <formula>15</formula>
    </cfRule>
    <cfRule type="cellIs" dxfId="1582" priority="47" operator="greaterThan">
      <formula>20</formula>
    </cfRule>
    <cfRule type="cellIs" dxfId="1581" priority="48" operator="between">
      <formula>15</formula>
      <formula>20</formula>
    </cfRule>
    <cfRule type="cellIs" dxfId="1580" priority="49" operator="between">
      <formula>15</formula>
      <formula>20</formula>
    </cfRule>
    <cfRule type="cellIs" dxfId="1579" priority="50" operator="lessThan">
      <formula>15</formula>
    </cfRule>
    <cfRule type="cellIs" dxfId="1578" priority="51" operator="greaterThan">
      <formula>20</formula>
    </cfRule>
    <cfRule type="cellIs" dxfId="1577" priority="52" operator="between">
      <formula>15</formula>
      <formula>21</formula>
    </cfRule>
    <cfRule type="cellIs" dxfId="1576" priority="53" operator="lessThan">
      <formula>15</formula>
    </cfRule>
    <cfRule type="cellIs" dxfId="1575" priority="54" operator="greaterThan">
      <formula>21</formula>
    </cfRule>
  </conditionalFormatting>
  <conditionalFormatting sqref="M27">
    <cfRule type="cellIs" dxfId="1574" priority="37" operator="lessThan">
      <formula>15</formula>
    </cfRule>
    <cfRule type="cellIs" dxfId="1573" priority="38" operator="greaterThan">
      <formula>20</formula>
    </cfRule>
    <cfRule type="cellIs" dxfId="1572" priority="39" operator="between">
      <formula>15</formula>
      <formula>20</formula>
    </cfRule>
    <cfRule type="cellIs" dxfId="1571" priority="40" operator="between">
      <formula>15</formula>
      <formula>20</formula>
    </cfRule>
    <cfRule type="cellIs" dxfId="1570" priority="41" operator="lessThan">
      <formula>15</formula>
    </cfRule>
    <cfRule type="cellIs" dxfId="1569" priority="42" operator="greaterThan">
      <formula>20</formula>
    </cfRule>
    <cfRule type="cellIs" dxfId="1568" priority="43" operator="between">
      <formula>15</formula>
      <formula>21</formula>
    </cfRule>
    <cfRule type="cellIs" dxfId="1567" priority="44" operator="lessThan">
      <formula>15</formula>
    </cfRule>
    <cfRule type="cellIs" dxfId="1566" priority="45" operator="greaterThan">
      <formula>21</formula>
    </cfRule>
  </conditionalFormatting>
  <conditionalFormatting sqref="M34">
    <cfRule type="cellIs" dxfId="1565" priority="28" operator="lessThan">
      <formula>15</formula>
    </cfRule>
    <cfRule type="cellIs" dxfId="1564" priority="29" operator="greaterThan">
      <formula>20</formula>
    </cfRule>
    <cfRule type="cellIs" dxfId="1563" priority="30" operator="between">
      <formula>15</formula>
      <formula>20</formula>
    </cfRule>
    <cfRule type="cellIs" dxfId="1562" priority="31" operator="between">
      <formula>15</formula>
      <formula>20</formula>
    </cfRule>
    <cfRule type="cellIs" dxfId="1561" priority="32" operator="lessThan">
      <formula>15</formula>
    </cfRule>
    <cfRule type="cellIs" dxfId="1560" priority="33" operator="greaterThan">
      <formula>20</formula>
    </cfRule>
    <cfRule type="cellIs" dxfId="1559" priority="34" operator="between">
      <formula>15</formula>
      <formula>21</formula>
    </cfRule>
    <cfRule type="cellIs" dxfId="1558" priority="35" operator="lessThan">
      <formula>15</formula>
    </cfRule>
    <cfRule type="cellIs" dxfId="1557" priority="36" operator="greaterThan">
      <formula>21</formula>
    </cfRule>
  </conditionalFormatting>
  <conditionalFormatting sqref="M14:M17 M39 M21:M22 M24:M26 M19">
    <cfRule type="cellIs" dxfId="1556" priority="19" operator="lessThan">
      <formula>15</formula>
    </cfRule>
    <cfRule type="cellIs" dxfId="1555" priority="20" operator="greaterThan">
      <formula>20</formula>
    </cfRule>
    <cfRule type="cellIs" dxfId="1554" priority="21" operator="between">
      <formula>15</formula>
      <formula>20</formula>
    </cfRule>
    <cfRule type="cellIs" dxfId="1553" priority="22" operator="between">
      <formula>15</formula>
      <formula>20</formula>
    </cfRule>
    <cfRule type="cellIs" dxfId="1552" priority="23" operator="lessThan">
      <formula>15</formula>
    </cfRule>
    <cfRule type="cellIs" dxfId="1551" priority="24" operator="greaterThan">
      <formula>20</formula>
    </cfRule>
    <cfRule type="cellIs" dxfId="1550" priority="25" operator="between">
      <formula>15</formula>
      <formula>21</formula>
    </cfRule>
    <cfRule type="cellIs" dxfId="1549" priority="26" operator="lessThan">
      <formula>15</formula>
    </cfRule>
    <cfRule type="cellIs" dxfId="1548" priority="27" operator="greaterThan">
      <formula>21</formula>
    </cfRule>
  </conditionalFormatting>
  <conditionalFormatting sqref="M9:M12">
    <cfRule type="cellIs" dxfId="1547" priority="10" operator="lessThan">
      <formula>15</formula>
    </cfRule>
    <cfRule type="cellIs" dxfId="1546" priority="11" operator="greaterThan">
      <formula>20</formula>
    </cfRule>
    <cfRule type="cellIs" dxfId="1545" priority="12" operator="between">
      <formula>15</formula>
      <formula>20</formula>
    </cfRule>
    <cfRule type="cellIs" dxfId="1544" priority="13" operator="between">
      <formula>15</formula>
      <formula>20</formula>
    </cfRule>
    <cfRule type="cellIs" dxfId="1543" priority="14" operator="lessThan">
      <formula>15</formula>
    </cfRule>
    <cfRule type="cellIs" dxfId="1542" priority="15" operator="greaterThan">
      <formula>20</formula>
    </cfRule>
    <cfRule type="cellIs" dxfId="1541" priority="16" operator="between">
      <formula>15</formula>
      <formula>21</formula>
    </cfRule>
    <cfRule type="cellIs" dxfId="1540" priority="17" operator="lessThan">
      <formula>15</formula>
    </cfRule>
    <cfRule type="cellIs" dxfId="1539" priority="18" operator="greaterThan">
      <formula>21</formula>
    </cfRule>
  </conditionalFormatting>
  <conditionalFormatting sqref="M29:M32">
    <cfRule type="cellIs" dxfId="1538" priority="1" operator="lessThan">
      <formula>15</formula>
    </cfRule>
    <cfRule type="cellIs" dxfId="1537" priority="2" operator="greaterThan">
      <formula>20</formula>
    </cfRule>
    <cfRule type="cellIs" dxfId="1536" priority="3" operator="between">
      <formula>15</formula>
      <formula>20</formula>
    </cfRule>
    <cfRule type="cellIs" dxfId="1535" priority="4" operator="between">
      <formula>15</formula>
      <formula>20</formula>
    </cfRule>
    <cfRule type="cellIs" dxfId="1534" priority="5" operator="lessThan">
      <formula>15</formula>
    </cfRule>
    <cfRule type="cellIs" dxfId="1533" priority="6" operator="greaterThan">
      <formula>20</formula>
    </cfRule>
    <cfRule type="cellIs" dxfId="1532" priority="7" operator="between">
      <formula>15</formula>
      <formula>21</formula>
    </cfRule>
    <cfRule type="cellIs" dxfId="1531" priority="8" operator="lessThan">
      <formula>15</formula>
    </cfRule>
    <cfRule type="cellIs" dxfId="1530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50"/>
  <sheetViews>
    <sheetView zoomScale="80" zoomScaleNormal="80" workbookViewId="0">
      <pane ySplit="8" topLeftCell="A21" activePane="bottomLeft" state="frozen"/>
      <selection pane="bottomLeft"/>
    </sheetView>
  </sheetViews>
  <sheetFormatPr defaultColWidth="9.28515625" defaultRowHeight="15"/>
  <cols>
    <col min="1" max="1" width="5.5703125" style="143" customWidth="1"/>
    <col min="2" max="2" width="7.7109375" style="143" customWidth="1"/>
    <col min="3" max="3" width="16.7109375" style="143" customWidth="1"/>
    <col min="4" max="11" width="9.42578125" style="142" customWidth="1"/>
    <col min="12" max="13" width="11.85546875" style="143" customWidth="1"/>
    <col min="14" max="14" width="5.425781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TB3007</v>
      </c>
      <c r="D4" s="383"/>
      <c r="E4" s="383" t="s">
        <v>228</v>
      </c>
      <c r="F4" s="383" t="s">
        <v>230</v>
      </c>
      <c r="G4" s="383"/>
      <c r="I4" s="383" t="s">
        <v>120</v>
      </c>
      <c r="J4" s="466" t="s">
        <v>162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300</v>
      </c>
      <c r="E8" s="388">
        <f>K8</f>
        <v>300</v>
      </c>
      <c r="F8" s="389"/>
      <c r="G8" s="388"/>
      <c r="H8" s="387"/>
      <c r="I8" s="388"/>
      <c r="J8" s="390">
        <f>K8-K8*N8</f>
        <v>300</v>
      </c>
      <c r="K8" s="389">
        <v>300</v>
      </c>
      <c r="L8" s="303"/>
      <c r="M8" s="304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/>
      <c r="E9" s="388"/>
      <c r="F9" s="446"/>
      <c r="G9" s="496"/>
      <c r="H9" s="498">
        <f>SUM($F$8:F9)/A9</f>
        <v>0</v>
      </c>
      <c r="I9" s="499">
        <f>SUM($G$8:G9)/A9</f>
        <v>0</v>
      </c>
      <c r="J9" s="443">
        <f t="shared" ref="J9:K24" si="0">J8+D9-F9</f>
        <v>300</v>
      </c>
      <c r="K9" s="459">
        <f t="shared" si="0"/>
        <v>300</v>
      </c>
      <c r="L9" s="338" t="e">
        <f t="shared" ref="L9:M24" si="1">J9/H9</f>
        <v>#DIV/0!</v>
      </c>
      <c r="M9" s="300" t="e">
        <f t="shared" si="1"/>
        <v>#DIV/0!</v>
      </c>
      <c r="N9" s="366"/>
      <c r="O9" s="647">
        <f>J9/$O$8</f>
        <v>9.9966677774075308E-2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/>
      <c r="F10" s="446"/>
      <c r="G10" s="496"/>
      <c r="H10" s="498">
        <f>SUM($F$8:F10)/A10</f>
        <v>0</v>
      </c>
      <c r="I10" s="499">
        <f>SUM($G$8:G10)/A10</f>
        <v>0</v>
      </c>
      <c r="J10" s="443">
        <f t="shared" si="0"/>
        <v>300</v>
      </c>
      <c r="K10" s="459">
        <f t="shared" si="0"/>
        <v>300</v>
      </c>
      <c r="L10" s="338" t="e">
        <f t="shared" si="1"/>
        <v>#DIV/0!</v>
      </c>
      <c r="M10" s="300" t="e">
        <f t="shared" si="1"/>
        <v>#DIV/0!</v>
      </c>
      <c r="N10" s="366"/>
      <c r="O10" s="647">
        <f t="shared" ref="O10:O39" si="2">J10/$O$8</f>
        <v>9.9966677774075308E-2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/>
      <c r="F11" s="446"/>
      <c r="G11" s="496"/>
      <c r="H11" s="498">
        <f>SUM($F$8:F11)/A11</f>
        <v>0</v>
      </c>
      <c r="I11" s="499">
        <f>SUM($G$8:G11)/A11</f>
        <v>0</v>
      </c>
      <c r="J11" s="443">
        <f t="shared" si="0"/>
        <v>300</v>
      </c>
      <c r="K11" s="459">
        <f t="shared" si="0"/>
        <v>300</v>
      </c>
      <c r="L11" s="338" t="e">
        <f t="shared" si="1"/>
        <v>#DIV/0!</v>
      </c>
      <c r="M11" s="300" t="e">
        <f t="shared" si="1"/>
        <v>#DIV/0!</v>
      </c>
      <c r="N11" s="366"/>
      <c r="O11" s="647">
        <f t="shared" si="2"/>
        <v>9.9966677774075308E-2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/>
      <c r="F12" s="446"/>
      <c r="G12" s="496"/>
      <c r="H12" s="498">
        <f>SUM($F$8:F12)/A12</f>
        <v>0</v>
      </c>
      <c r="I12" s="499">
        <f>SUM($G$8:G12)/A12</f>
        <v>0</v>
      </c>
      <c r="J12" s="443">
        <f t="shared" si="0"/>
        <v>300</v>
      </c>
      <c r="K12" s="459">
        <f t="shared" si="0"/>
        <v>300</v>
      </c>
      <c r="L12" s="338" t="e">
        <f t="shared" si="1"/>
        <v>#DIV/0!</v>
      </c>
      <c r="M12" s="300" t="e">
        <f t="shared" si="1"/>
        <v>#DIV/0!</v>
      </c>
      <c r="N12" s="366"/>
      <c r="O12" s="647">
        <f t="shared" si="2"/>
        <v>9.9966677774075308E-2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/>
      <c r="F13" s="446"/>
      <c r="G13" s="496"/>
      <c r="H13" s="500">
        <f>SUM($F$8:F13)/A13</f>
        <v>0</v>
      </c>
      <c r="I13" s="499">
        <f>SUM($G$8:G13)/A13</f>
        <v>0</v>
      </c>
      <c r="J13" s="500">
        <f t="shared" si="0"/>
        <v>300</v>
      </c>
      <c r="K13" s="459">
        <f t="shared" si="0"/>
        <v>300</v>
      </c>
      <c r="L13" s="368" t="e">
        <f t="shared" si="1"/>
        <v>#DIV/0!</v>
      </c>
      <c r="M13" s="300" t="e">
        <f t="shared" si="1"/>
        <v>#DIV/0!</v>
      </c>
      <c r="N13" s="366"/>
      <c r="O13" s="647">
        <f t="shared" si="2"/>
        <v>9.9966677774075308E-2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/>
      <c r="F14" s="446"/>
      <c r="G14" s="496"/>
      <c r="H14" s="498">
        <f>SUM($F$8:F14)/A14</f>
        <v>0</v>
      </c>
      <c r="I14" s="499">
        <f>SUM($G$8:G14)/A14</f>
        <v>0</v>
      </c>
      <c r="J14" s="443">
        <f t="shared" si="0"/>
        <v>300</v>
      </c>
      <c r="K14" s="459">
        <f t="shared" si="0"/>
        <v>300</v>
      </c>
      <c r="L14" s="338" t="e">
        <f t="shared" si="1"/>
        <v>#DIV/0!</v>
      </c>
      <c r="M14" s="300" t="e">
        <f t="shared" si="1"/>
        <v>#DIV/0!</v>
      </c>
      <c r="N14" s="366"/>
      <c r="O14" s="647">
        <f t="shared" si="2"/>
        <v>9.9966677774075308E-2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/>
      <c r="F15" s="446"/>
      <c r="G15" s="496"/>
      <c r="H15" s="498">
        <f>SUM($F$8:F15)/A15</f>
        <v>0</v>
      </c>
      <c r="I15" s="499">
        <f>SUM($G$8:G15)/A15</f>
        <v>0</v>
      </c>
      <c r="J15" s="443">
        <f t="shared" si="0"/>
        <v>300</v>
      </c>
      <c r="K15" s="459">
        <f t="shared" si="0"/>
        <v>300</v>
      </c>
      <c r="L15" s="338" t="e">
        <f t="shared" si="1"/>
        <v>#DIV/0!</v>
      </c>
      <c r="M15" s="300" t="e">
        <f t="shared" si="1"/>
        <v>#DIV/0!</v>
      </c>
      <c r="N15" s="366"/>
      <c r="O15" s="647">
        <f t="shared" si="2"/>
        <v>9.9966677774075308E-2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/>
      <c r="F16" s="446"/>
      <c r="G16" s="496"/>
      <c r="H16" s="498">
        <f>SUM($F$8:F16)/A16</f>
        <v>0</v>
      </c>
      <c r="I16" s="499">
        <f>SUM($G$8:G16)/A16</f>
        <v>0</v>
      </c>
      <c r="J16" s="443">
        <f t="shared" si="0"/>
        <v>300</v>
      </c>
      <c r="K16" s="459">
        <f t="shared" si="0"/>
        <v>300</v>
      </c>
      <c r="L16" s="338" t="e">
        <f t="shared" si="1"/>
        <v>#DIV/0!</v>
      </c>
      <c r="M16" s="300" t="e">
        <f t="shared" si="1"/>
        <v>#DIV/0!</v>
      </c>
      <c r="N16" s="366"/>
      <c r="O16" s="647">
        <f t="shared" si="2"/>
        <v>9.9966677774075308E-2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/>
      <c r="F17" s="446"/>
      <c r="G17" s="496"/>
      <c r="H17" s="498">
        <f>SUM($F$8:F17)/A17</f>
        <v>0</v>
      </c>
      <c r="I17" s="499">
        <f>SUM($G$8:G17)/A17</f>
        <v>0</v>
      </c>
      <c r="J17" s="443">
        <f t="shared" si="0"/>
        <v>300</v>
      </c>
      <c r="K17" s="459">
        <f t="shared" si="0"/>
        <v>300</v>
      </c>
      <c r="L17" s="338" t="e">
        <f t="shared" si="1"/>
        <v>#DIV/0!</v>
      </c>
      <c r="M17" s="300" t="e">
        <f t="shared" si="1"/>
        <v>#DIV/0!</v>
      </c>
      <c r="N17" s="366"/>
      <c r="O17" s="647">
        <f t="shared" si="2"/>
        <v>9.9966677774075308E-2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/>
      <c r="F18" s="446"/>
      <c r="G18" s="496"/>
      <c r="H18" s="500">
        <f>SUM($F$8:F18)/A18</f>
        <v>0</v>
      </c>
      <c r="I18" s="499">
        <f>SUM($G$8:G18)/A18</f>
        <v>0</v>
      </c>
      <c r="J18" s="500">
        <f t="shared" si="0"/>
        <v>300</v>
      </c>
      <c r="K18" s="459">
        <f t="shared" si="0"/>
        <v>300</v>
      </c>
      <c r="L18" s="368" t="e">
        <f t="shared" si="1"/>
        <v>#DIV/0!</v>
      </c>
      <c r="M18" s="300" t="e">
        <f t="shared" si="1"/>
        <v>#DIV/0!</v>
      </c>
      <c r="N18" s="366"/>
      <c r="O18" s="647">
        <f t="shared" si="2"/>
        <v>9.9966677774075308E-2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/>
      <c r="F19" s="446"/>
      <c r="G19" s="496"/>
      <c r="H19" s="498">
        <f>SUM($F$8:F19)/A19</f>
        <v>0</v>
      </c>
      <c r="I19" s="499">
        <f>SUM($G$8:G19)/A19</f>
        <v>0</v>
      </c>
      <c r="J19" s="443">
        <f t="shared" si="0"/>
        <v>300</v>
      </c>
      <c r="K19" s="459">
        <f t="shared" si="0"/>
        <v>300</v>
      </c>
      <c r="L19" s="338" t="e">
        <f t="shared" si="1"/>
        <v>#DIV/0!</v>
      </c>
      <c r="M19" s="300" t="e">
        <f t="shared" si="1"/>
        <v>#DIV/0!</v>
      </c>
      <c r="N19" s="366"/>
      <c r="O19" s="647">
        <f t="shared" si="2"/>
        <v>9.9966677774075308E-2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/>
      <c r="F20" s="446"/>
      <c r="G20" s="496"/>
      <c r="H20" s="498">
        <f>SUM($F$8:F20)/A20</f>
        <v>0</v>
      </c>
      <c r="I20" s="499">
        <f>SUM($G$8:G20)/A20</f>
        <v>0</v>
      </c>
      <c r="J20" s="443">
        <f t="shared" si="0"/>
        <v>300</v>
      </c>
      <c r="K20" s="459">
        <f t="shared" si="0"/>
        <v>300</v>
      </c>
      <c r="L20" s="338" t="e">
        <f t="shared" si="1"/>
        <v>#DIV/0!</v>
      </c>
      <c r="M20" s="300" t="e">
        <f t="shared" si="1"/>
        <v>#DIV/0!</v>
      </c>
      <c r="N20" s="366"/>
      <c r="O20" s="647">
        <f t="shared" si="2"/>
        <v>9.9966677774075308E-2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/>
      <c r="F21" s="446"/>
      <c r="G21" s="496"/>
      <c r="H21" s="498">
        <f>SUM($F$8:F21)/A21</f>
        <v>0</v>
      </c>
      <c r="I21" s="499">
        <f>SUM($G$8:G21)/A21</f>
        <v>0</v>
      </c>
      <c r="J21" s="443">
        <f t="shared" si="0"/>
        <v>300</v>
      </c>
      <c r="K21" s="459">
        <f>K20+E21-G21</f>
        <v>300</v>
      </c>
      <c r="L21" s="338" t="e">
        <f t="shared" si="1"/>
        <v>#DIV/0!</v>
      </c>
      <c r="M21" s="300" t="e">
        <f t="shared" si="1"/>
        <v>#DIV/0!</v>
      </c>
      <c r="N21" s="366"/>
      <c r="O21" s="647">
        <f t="shared" si="2"/>
        <v>9.9966677774075308E-2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/>
      <c r="F22" s="446"/>
      <c r="G22" s="496"/>
      <c r="H22" s="498">
        <f>SUM($F$8:F22)/A22</f>
        <v>0</v>
      </c>
      <c r="I22" s="499">
        <f>SUM($G$8:G22)/A22</f>
        <v>0</v>
      </c>
      <c r="J22" s="443">
        <f t="shared" si="0"/>
        <v>300</v>
      </c>
      <c r="K22" s="459">
        <f>K21+E22-G22</f>
        <v>300</v>
      </c>
      <c r="L22" s="338" t="e">
        <f t="shared" si="1"/>
        <v>#DIV/0!</v>
      </c>
      <c r="M22" s="300" t="e">
        <f t="shared" si="1"/>
        <v>#DIV/0!</v>
      </c>
      <c r="N22" s="366"/>
      <c r="O22" s="647">
        <f t="shared" si="2"/>
        <v>9.9966677774075308E-2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/>
      <c r="F23" s="446"/>
      <c r="G23" s="496"/>
      <c r="H23" s="500">
        <f>SUM($F$8:F23)/A23</f>
        <v>0</v>
      </c>
      <c r="I23" s="499">
        <f>SUM($G$8:G23)/A23</f>
        <v>0</v>
      </c>
      <c r="J23" s="500">
        <f t="shared" si="0"/>
        <v>300</v>
      </c>
      <c r="K23" s="459">
        <f t="shared" si="0"/>
        <v>300</v>
      </c>
      <c r="L23" s="368" t="e">
        <f t="shared" si="1"/>
        <v>#DIV/0!</v>
      </c>
      <c r="M23" s="300" t="e">
        <f t="shared" si="1"/>
        <v>#DIV/0!</v>
      </c>
      <c r="N23" s="366"/>
      <c r="O23" s="647">
        <f t="shared" si="2"/>
        <v>9.9966677774075308E-2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/>
      <c r="F24" s="446"/>
      <c r="G24" s="496"/>
      <c r="H24" s="498">
        <f>SUM($F$8:F24)/A24</f>
        <v>0</v>
      </c>
      <c r="I24" s="499">
        <f>SUM($G$8:G24)/A24</f>
        <v>0</v>
      </c>
      <c r="J24" s="443">
        <f t="shared" si="0"/>
        <v>300</v>
      </c>
      <c r="K24" s="459">
        <f>K23+E24-G24</f>
        <v>300</v>
      </c>
      <c r="L24" s="338" t="e">
        <f t="shared" si="1"/>
        <v>#DIV/0!</v>
      </c>
      <c r="M24" s="300" t="e">
        <f t="shared" si="1"/>
        <v>#DIV/0!</v>
      </c>
      <c r="N24" s="366"/>
      <c r="O24" s="647">
        <f t="shared" si="2"/>
        <v>9.9966677774075308E-2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/>
      <c r="F25" s="446"/>
      <c r="G25" s="496"/>
      <c r="H25" s="498">
        <f>SUM($F$8:F25)/A25</f>
        <v>0</v>
      </c>
      <c r="I25" s="499">
        <f>SUM($G$8:G25)/A25</f>
        <v>0</v>
      </c>
      <c r="J25" s="443">
        <f t="shared" ref="J25:K39" si="3">J24+D25-F25</f>
        <v>300</v>
      </c>
      <c r="K25" s="459">
        <f>K24+E25-G25</f>
        <v>300</v>
      </c>
      <c r="L25" s="338" t="e">
        <f t="shared" ref="L25:M39" si="4">J25/H25</f>
        <v>#DIV/0!</v>
      </c>
      <c r="M25" s="300" t="e">
        <f t="shared" si="4"/>
        <v>#DIV/0!</v>
      </c>
      <c r="N25" s="366"/>
      <c r="O25" s="647">
        <f t="shared" si="2"/>
        <v>9.9966677774075308E-2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/>
      <c r="F26" s="446"/>
      <c r="G26" s="496"/>
      <c r="H26" s="498">
        <f>SUM($F$8:F26)/A26</f>
        <v>0</v>
      </c>
      <c r="I26" s="499">
        <f>SUM($G$8:G26)/A26</f>
        <v>0</v>
      </c>
      <c r="J26" s="443">
        <f t="shared" si="3"/>
        <v>300</v>
      </c>
      <c r="K26" s="459">
        <f>K25+E26-G26</f>
        <v>300</v>
      </c>
      <c r="L26" s="338" t="e">
        <f t="shared" si="4"/>
        <v>#DIV/0!</v>
      </c>
      <c r="M26" s="300" t="e">
        <f t="shared" si="4"/>
        <v>#DIV/0!</v>
      </c>
      <c r="N26" s="366"/>
      <c r="O26" s="647">
        <f t="shared" si="2"/>
        <v>9.9966677774075308E-2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/>
      <c r="F27" s="446"/>
      <c r="G27" s="496"/>
      <c r="H27" s="498">
        <f>SUM($F$8:F27)/A27</f>
        <v>0</v>
      </c>
      <c r="I27" s="499">
        <f>SUM($G$8:G27)/A27</f>
        <v>0</v>
      </c>
      <c r="J27" s="443">
        <f t="shared" si="3"/>
        <v>300</v>
      </c>
      <c r="K27" s="459">
        <f>K26+E27-G27</f>
        <v>300</v>
      </c>
      <c r="L27" s="338" t="e">
        <f t="shared" si="4"/>
        <v>#DIV/0!</v>
      </c>
      <c r="M27" s="300" t="e">
        <f t="shared" si="4"/>
        <v>#DIV/0!</v>
      </c>
      <c r="N27" s="366"/>
      <c r="O27" s="647">
        <f t="shared" si="2"/>
        <v>9.9966677774075308E-2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/>
      <c r="F28" s="446"/>
      <c r="G28" s="496"/>
      <c r="H28" s="500">
        <f>SUM($F$8:F28)/A28</f>
        <v>0</v>
      </c>
      <c r="I28" s="499">
        <f>SUM($G$8:G28)/A28</f>
        <v>0</v>
      </c>
      <c r="J28" s="500">
        <f t="shared" si="3"/>
        <v>300</v>
      </c>
      <c r="K28" s="459">
        <f t="shared" si="3"/>
        <v>300</v>
      </c>
      <c r="L28" s="368" t="e">
        <f t="shared" si="4"/>
        <v>#DIV/0!</v>
      </c>
      <c r="M28" s="300" t="e">
        <f t="shared" si="4"/>
        <v>#DIV/0!</v>
      </c>
      <c r="N28" s="366"/>
      <c r="O28" s="647">
        <f t="shared" si="2"/>
        <v>9.9966677774075308E-2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/>
      <c r="F29" s="446"/>
      <c r="G29" s="496"/>
      <c r="H29" s="498">
        <f>SUM($F$8:F29)/A29</f>
        <v>0</v>
      </c>
      <c r="I29" s="499">
        <f>SUM($G$8:G29)/A29</f>
        <v>0</v>
      </c>
      <c r="J29" s="443">
        <f t="shared" si="3"/>
        <v>300</v>
      </c>
      <c r="K29" s="459">
        <f t="shared" si="3"/>
        <v>300</v>
      </c>
      <c r="L29" s="338" t="e">
        <f t="shared" si="4"/>
        <v>#DIV/0!</v>
      </c>
      <c r="M29" s="300" t="e">
        <f t="shared" si="4"/>
        <v>#DIV/0!</v>
      </c>
      <c r="N29" s="366"/>
      <c r="O29" s="647">
        <f t="shared" si="2"/>
        <v>9.9966677774075308E-2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/>
      <c r="F30" s="446"/>
      <c r="G30" s="496"/>
      <c r="H30" s="498">
        <f>SUM($F$8:F30)/A30</f>
        <v>0</v>
      </c>
      <c r="I30" s="499">
        <f>SUM($G$8:G30)/A30</f>
        <v>0</v>
      </c>
      <c r="J30" s="443">
        <f t="shared" si="3"/>
        <v>300</v>
      </c>
      <c r="K30" s="459">
        <f t="shared" si="3"/>
        <v>300</v>
      </c>
      <c r="L30" s="338" t="e">
        <f t="shared" si="4"/>
        <v>#DIV/0!</v>
      </c>
      <c r="M30" s="300" t="e">
        <f t="shared" si="4"/>
        <v>#DIV/0!</v>
      </c>
      <c r="N30" s="366"/>
      <c r="O30" s="647">
        <f t="shared" si="2"/>
        <v>9.9966677774075308E-2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/>
      <c r="F31" s="446"/>
      <c r="G31" s="496"/>
      <c r="H31" s="498">
        <f>SUM($F$8:F31)/A31</f>
        <v>0</v>
      </c>
      <c r="I31" s="499">
        <f>SUM($G$8:G31)/A31</f>
        <v>0</v>
      </c>
      <c r="J31" s="443">
        <f t="shared" si="3"/>
        <v>300</v>
      </c>
      <c r="K31" s="459">
        <f t="shared" si="3"/>
        <v>300</v>
      </c>
      <c r="L31" s="338" t="e">
        <f t="shared" si="4"/>
        <v>#DIV/0!</v>
      </c>
      <c r="M31" s="300" t="e">
        <f t="shared" si="4"/>
        <v>#DIV/0!</v>
      </c>
      <c r="N31" s="366"/>
      <c r="O31" s="647">
        <f t="shared" si="2"/>
        <v>9.9966677774075308E-2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/>
      <c r="F32" s="446"/>
      <c r="G32" s="496"/>
      <c r="H32" s="498">
        <f>SUM($F$8:F32)/A32</f>
        <v>0</v>
      </c>
      <c r="I32" s="499">
        <f>SUM($G$8:G32)/A32</f>
        <v>0</v>
      </c>
      <c r="J32" s="443">
        <f t="shared" si="3"/>
        <v>300</v>
      </c>
      <c r="K32" s="459">
        <f t="shared" si="3"/>
        <v>300</v>
      </c>
      <c r="L32" s="338" t="e">
        <f t="shared" si="4"/>
        <v>#DIV/0!</v>
      </c>
      <c r="M32" s="300" t="e">
        <f t="shared" si="4"/>
        <v>#DIV/0!</v>
      </c>
      <c r="N32" s="366"/>
      <c r="O32" s="647">
        <f t="shared" si="2"/>
        <v>9.9966677774075308E-2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/>
      <c r="F33" s="446"/>
      <c r="G33" s="496"/>
      <c r="H33" s="448">
        <f>SUM($F$8:F33)/A33</f>
        <v>0</v>
      </c>
      <c r="I33" s="499">
        <f>SUM($G$8:G33)/A33</f>
        <v>0</v>
      </c>
      <c r="J33" s="448">
        <f t="shared" si="3"/>
        <v>300</v>
      </c>
      <c r="K33" s="459">
        <f t="shared" si="3"/>
        <v>300</v>
      </c>
      <c r="L33" s="369" t="e">
        <f t="shared" si="4"/>
        <v>#DIV/0!</v>
      </c>
      <c r="M33" s="300" t="e">
        <f t="shared" si="4"/>
        <v>#DIV/0!</v>
      </c>
      <c r="N33" s="366"/>
      <c r="O33" s="647">
        <f t="shared" si="2"/>
        <v>9.9966677774075308E-2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/>
      <c r="F34" s="446"/>
      <c r="G34" s="496"/>
      <c r="H34" s="498">
        <f>SUM($F$8:F34)/A34</f>
        <v>0</v>
      </c>
      <c r="I34" s="499">
        <f>SUM($G$8:G34)/A34</f>
        <v>0</v>
      </c>
      <c r="J34" s="443">
        <f t="shared" si="3"/>
        <v>300</v>
      </c>
      <c r="K34" s="459">
        <f t="shared" si="3"/>
        <v>300</v>
      </c>
      <c r="L34" s="338" t="e">
        <f t="shared" si="4"/>
        <v>#DIV/0!</v>
      </c>
      <c r="M34" s="300" t="e">
        <f t="shared" si="4"/>
        <v>#DIV/0!</v>
      </c>
      <c r="N34" s="366"/>
      <c r="O34" s="647">
        <f t="shared" si="2"/>
        <v>9.9966677774075308E-2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/>
      <c r="F35" s="446"/>
      <c r="G35" s="496"/>
      <c r="H35" s="498">
        <f>SUM($F$8:F35)/A35</f>
        <v>0</v>
      </c>
      <c r="I35" s="499">
        <f>SUM($G$8:G35)/A35</f>
        <v>0</v>
      </c>
      <c r="J35" s="443">
        <f t="shared" si="3"/>
        <v>300</v>
      </c>
      <c r="K35" s="459">
        <f t="shared" si="3"/>
        <v>300</v>
      </c>
      <c r="L35" s="338" t="e">
        <f t="shared" si="4"/>
        <v>#DIV/0!</v>
      </c>
      <c r="M35" s="300" t="e">
        <f t="shared" si="4"/>
        <v>#DIV/0!</v>
      </c>
      <c r="N35" s="366"/>
      <c r="O35" s="647">
        <f t="shared" si="2"/>
        <v>9.9966677774075308E-2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/>
      <c r="F36" s="446"/>
      <c r="G36" s="496"/>
      <c r="H36" s="498">
        <f>SUM($F$8:F36)/A36</f>
        <v>0</v>
      </c>
      <c r="I36" s="499">
        <f>SUM($G$8:G36)/A36</f>
        <v>0</v>
      </c>
      <c r="J36" s="443">
        <f t="shared" si="3"/>
        <v>300</v>
      </c>
      <c r="K36" s="459">
        <f t="shared" si="3"/>
        <v>300</v>
      </c>
      <c r="L36" s="338" t="e">
        <f t="shared" si="4"/>
        <v>#DIV/0!</v>
      </c>
      <c r="M36" s="300" t="e">
        <f t="shared" si="4"/>
        <v>#DIV/0!</v>
      </c>
      <c r="N36" s="366"/>
      <c r="O36" s="647">
        <f t="shared" si="2"/>
        <v>9.9966677774075308E-2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/>
      <c r="F37" s="446"/>
      <c r="G37" s="496"/>
      <c r="H37" s="498">
        <f>SUM($F$8:F37)/A37</f>
        <v>0</v>
      </c>
      <c r="I37" s="499">
        <f>SUM($G$8:G37)/A37</f>
        <v>0</v>
      </c>
      <c r="J37" s="443">
        <f t="shared" si="3"/>
        <v>300</v>
      </c>
      <c r="K37" s="459">
        <f t="shared" si="3"/>
        <v>300</v>
      </c>
      <c r="L37" s="338" t="e">
        <f t="shared" si="4"/>
        <v>#DIV/0!</v>
      </c>
      <c r="M37" s="300" t="e">
        <f t="shared" si="4"/>
        <v>#DIV/0!</v>
      </c>
      <c r="N37" s="366"/>
      <c r="O37" s="647">
        <f t="shared" si="2"/>
        <v>9.9966677774075308E-2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/>
      <c r="F38" s="446"/>
      <c r="G38" s="496"/>
      <c r="H38" s="500">
        <f>SUM($F$8:F38)/A38</f>
        <v>0</v>
      </c>
      <c r="I38" s="499">
        <f>SUM($G$8:G38)/A38</f>
        <v>0</v>
      </c>
      <c r="J38" s="500">
        <f t="shared" si="3"/>
        <v>300</v>
      </c>
      <c r="K38" s="459">
        <f t="shared" si="3"/>
        <v>300</v>
      </c>
      <c r="L38" s="368" t="e">
        <f t="shared" si="4"/>
        <v>#DIV/0!</v>
      </c>
      <c r="M38" s="300" t="e">
        <f t="shared" si="4"/>
        <v>#DIV/0!</v>
      </c>
      <c r="N38" s="366"/>
      <c r="O38" s="647">
        <f t="shared" si="2"/>
        <v>9.9966677774075308E-2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/>
      <c r="F39" s="446"/>
      <c r="G39" s="496"/>
      <c r="H39" s="498">
        <f>SUM($F$8:F39)/A39</f>
        <v>0</v>
      </c>
      <c r="I39" s="499">
        <f>SUM($G$8:G39)/A39</f>
        <v>0</v>
      </c>
      <c r="J39" s="443">
        <f t="shared" si="3"/>
        <v>300</v>
      </c>
      <c r="K39" s="459">
        <f t="shared" si="3"/>
        <v>300</v>
      </c>
      <c r="L39" s="338" t="e">
        <f t="shared" si="4"/>
        <v>#DIV/0!</v>
      </c>
      <c r="M39" s="300" t="e">
        <f t="shared" si="4"/>
        <v>#DIV/0!</v>
      </c>
      <c r="N39" s="366"/>
      <c r="O39" s="647">
        <f t="shared" si="2"/>
        <v>9.9966677774075308E-2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300</v>
      </c>
      <c r="K40" s="461">
        <f>K39</f>
        <v>300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300</v>
      </c>
      <c r="E41" s="388">
        <f>E8+E40</f>
        <v>300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300</v>
      </c>
      <c r="K41" s="389">
        <f>E41-G41</f>
        <v>300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8">
    <cfRule type="cellIs" dxfId="1529" priority="163" operator="lessThan">
      <formula>15</formula>
    </cfRule>
    <cfRule type="cellIs" dxfId="1528" priority="164" operator="greaterThan">
      <formula>20</formula>
    </cfRule>
    <cfRule type="cellIs" dxfId="1527" priority="165" operator="between">
      <formula>15</formula>
      <formula>20</formula>
    </cfRule>
    <cfRule type="cellIs" dxfId="1526" priority="166" operator="between">
      <formula>15</formula>
      <formula>20</formula>
    </cfRule>
    <cfRule type="cellIs" dxfId="1525" priority="167" operator="lessThan">
      <formula>15</formula>
    </cfRule>
    <cfRule type="cellIs" dxfId="1524" priority="168" operator="greaterThan">
      <formula>20</formula>
    </cfRule>
    <cfRule type="cellIs" dxfId="1523" priority="169" operator="between">
      <formula>15</formula>
      <formula>21</formula>
    </cfRule>
    <cfRule type="cellIs" dxfId="1522" priority="170" operator="lessThan">
      <formula>15</formula>
    </cfRule>
    <cfRule type="cellIs" dxfId="1521" priority="171" operator="greaterThan">
      <formula>21</formula>
    </cfRule>
  </conditionalFormatting>
  <conditionalFormatting sqref="M23">
    <cfRule type="cellIs" dxfId="1520" priority="154" operator="lessThan">
      <formula>15</formula>
    </cfRule>
    <cfRule type="cellIs" dxfId="1519" priority="155" operator="greaterThan">
      <formula>20</formula>
    </cfRule>
    <cfRule type="cellIs" dxfId="1518" priority="156" operator="between">
      <formula>15</formula>
      <formula>20</formula>
    </cfRule>
    <cfRule type="cellIs" dxfId="1517" priority="157" operator="between">
      <formula>15</formula>
      <formula>20</formula>
    </cfRule>
    <cfRule type="cellIs" dxfId="1516" priority="158" operator="lessThan">
      <formula>15</formula>
    </cfRule>
    <cfRule type="cellIs" dxfId="1515" priority="159" operator="greaterThan">
      <formula>20</formula>
    </cfRule>
    <cfRule type="cellIs" dxfId="1514" priority="160" operator="between">
      <formula>15</formula>
      <formula>21</formula>
    </cfRule>
    <cfRule type="cellIs" dxfId="1513" priority="161" operator="lessThan">
      <formula>15</formula>
    </cfRule>
    <cfRule type="cellIs" dxfId="1512" priority="162" operator="greaterThan">
      <formula>21</formula>
    </cfRule>
  </conditionalFormatting>
  <conditionalFormatting sqref="M18">
    <cfRule type="cellIs" dxfId="1511" priority="145" operator="lessThan">
      <formula>15</formula>
    </cfRule>
    <cfRule type="cellIs" dxfId="1510" priority="146" operator="greaterThan">
      <formula>20</formula>
    </cfRule>
    <cfRule type="cellIs" dxfId="1509" priority="147" operator="between">
      <formula>15</formula>
      <formula>20</formula>
    </cfRule>
    <cfRule type="cellIs" dxfId="1508" priority="148" operator="between">
      <formula>15</formula>
      <formula>20</formula>
    </cfRule>
    <cfRule type="cellIs" dxfId="1507" priority="149" operator="lessThan">
      <formula>15</formula>
    </cfRule>
    <cfRule type="cellIs" dxfId="1506" priority="150" operator="greaterThan">
      <formula>20</formula>
    </cfRule>
    <cfRule type="cellIs" dxfId="1505" priority="151" operator="between">
      <formula>15</formula>
      <formula>21</formula>
    </cfRule>
    <cfRule type="cellIs" dxfId="1504" priority="152" operator="lessThan">
      <formula>15</formula>
    </cfRule>
    <cfRule type="cellIs" dxfId="1503" priority="153" operator="greaterThan">
      <formula>21</formula>
    </cfRule>
  </conditionalFormatting>
  <conditionalFormatting sqref="M35:M37">
    <cfRule type="cellIs" dxfId="1502" priority="172" operator="lessThan">
      <formula>15</formula>
    </cfRule>
    <cfRule type="cellIs" dxfId="1501" priority="173" operator="greaterThan">
      <formula>20</formula>
    </cfRule>
    <cfRule type="cellIs" dxfId="1500" priority="174" operator="between">
      <formula>15</formula>
      <formula>20</formula>
    </cfRule>
    <cfRule type="cellIs" dxfId="1499" priority="175" operator="between">
      <formula>15</formula>
      <formula>20</formula>
    </cfRule>
    <cfRule type="cellIs" dxfId="1498" priority="176" operator="lessThan">
      <formula>15</formula>
    </cfRule>
    <cfRule type="cellIs" dxfId="1497" priority="177" operator="greaterThan">
      <formula>20</formula>
    </cfRule>
    <cfRule type="cellIs" dxfId="1496" priority="178" operator="between">
      <formula>15</formula>
      <formula>21</formula>
    </cfRule>
    <cfRule type="cellIs" dxfId="1495" priority="179" operator="lessThan">
      <formula>15</formula>
    </cfRule>
    <cfRule type="cellIs" dxfId="1494" priority="180" operator="greaterThan">
      <formula>21</formula>
    </cfRule>
  </conditionalFormatting>
  <conditionalFormatting sqref="M13">
    <cfRule type="cellIs" dxfId="1493" priority="136" operator="lessThan">
      <formula>15</formula>
    </cfRule>
    <cfRule type="cellIs" dxfId="1492" priority="137" operator="greaterThan">
      <formula>20</formula>
    </cfRule>
    <cfRule type="cellIs" dxfId="1491" priority="138" operator="between">
      <formula>15</formula>
      <formula>20</formula>
    </cfRule>
    <cfRule type="cellIs" dxfId="1490" priority="139" operator="between">
      <formula>15</formula>
      <formula>20</formula>
    </cfRule>
    <cfRule type="cellIs" dxfId="1489" priority="140" operator="lessThan">
      <formula>15</formula>
    </cfRule>
    <cfRule type="cellIs" dxfId="1488" priority="141" operator="greaterThan">
      <formula>20</formula>
    </cfRule>
    <cfRule type="cellIs" dxfId="1487" priority="142" operator="between">
      <formula>15</formula>
      <formula>21</formula>
    </cfRule>
    <cfRule type="cellIs" dxfId="1486" priority="143" operator="lessThan">
      <formula>15</formula>
    </cfRule>
    <cfRule type="cellIs" dxfId="1485" priority="144" operator="greaterThan">
      <formula>21</formula>
    </cfRule>
  </conditionalFormatting>
  <conditionalFormatting sqref="M33">
    <cfRule type="cellIs" dxfId="1484" priority="127" operator="lessThan">
      <formula>15</formula>
    </cfRule>
    <cfRule type="cellIs" dxfId="1483" priority="128" operator="greaterThan">
      <formula>20</formula>
    </cfRule>
    <cfRule type="cellIs" dxfId="1482" priority="129" operator="between">
      <formula>15</formula>
      <formula>20</formula>
    </cfRule>
    <cfRule type="cellIs" dxfId="1481" priority="130" operator="between">
      <formula>15</formula>
      <formula>20</formula>
    </cfRule>
    <cfRule type="cellIs" dxfId="1480" priority="131" operator="lessThan">
      <formula>15</formula>
    </cfRule>
    <cfRule type="cellIs" dxfId="1479" priority="132" operator="greaterThan">
      <formula>20</formula>
    </cfRule>
    <cfRule type="cellIs" dxfId="1478" priority="133" operator="between">
      <formula>15</formula>
      <formula>21</formula>
    </cfRule>
    <cfRule type="cellIs" dxfId="1477" priority="134" operator="lessThan">
      <formula>15</formula>
    </cfRule>
    <cfRule type="cellIs" dxfId="1476" priority="135" operator="greaterThan">
      <formula>21</formula>
    </cfRule>
  </conditionalFormatting>
  <conditionalFormatting sqref="M38">
    <cfRule type="cellIs" dxfId="1475" priority="118" operator="lessThan">
      <formula>15</formula>
    </cfRule>
    <cfRule type="cellIs" dxfId="1474" priority="119" operator="greaterThan">
      <formula>20</formula>
    </cfRule>
    <cfRule type="cellIs" dxfId="1473" priority="120" operator="between">
      <formula>15</formula>
      <formula>20</formula>
    </cfRule>
    <cfRule type="cellIs" dxfId="1472" priority="121" operator="between">
      <formula>15</formula>
      <formula>20</formula>
    </cfRule>
    <cfRule type="cellIs" dxfId="1471" priority="122" operator="lessThan">
      <formula>15</formula>
    </cfRule>
    <cfRule type="cellIs" dxfId="1470" priority="123" operator="greaterThan">
      <formula>20</formula>
    </cfRule>
    <cfRule type="cellIs" dxfId="1469" priority="124" operator="between">
      <formula>15</formula>
      <formula>21</formula>
    </cfRule>
    <cfRule type="cellIs" dxfId="1468" priority="125" operator="lessThan">
      <formula>15</formula>
    </cfRule>
    <cfRule type="cellIs" dxfId="1467" priority="126" operator="greaterThan">
      <formula>21</formula>
    </cfRule>
  </conditionalFormatting>
  <conditionalFormatting sqref="M20">
    <cfRule type="cellIs" dxfId="1466" priority="217" operator="lessThan">
      <formula>15</formula>
    </cfRule>
    <cfRule type="cellIs" dxfId="1465" priority="218" operator="greaterThan">
      <formula>20</formula>
    </cfRule>
    <cfRule type="cellIs" dxfId="1464" priority="219" operator="between">
      <formula>15</formula>
      <formula>20</formula>
    </cfRule>
    <cfRule type="cellIs" dxfId="1463" priority="220" operator="between">
      <formula>15</formula>
      <formula>20</formula>
    </cfRule>
    <cfRule type="cellIs" dxfId="1462" priority="221" operator="lessThan">
      <formula>15</formula>
    </cfRule>
    <cfRule type="cellIs" dxfId="1461" priority="222" operator="greaterThan">
      <formula>20</formula>
    </cfRule>
    <cfRule type="cellIs" dxfId="1460" priority="223" operator="between">
      <formula>15</formula>
      <formula>21</formula>
    </cfRule>
    <cfRule type="cellIs" dxfId="1459" priority="224" operator="lessThan">
      <formula>15</formula>
    </cfRule>
    <cfRule type="cellIs" dxfId="1458" priority="225" operator="greaterThan">
      <formula>21</formula>
    </cfRule>
  </conditionalFormatting>
  <conditionalFormatting sqref="M27">
    <cfRule type="cellIs" dxfId="1457" priority="208" operator="lessThan">
      <formula>15</formula>
    </cfRule>
    <cfRule type="cellIs" dxfId="1456" priority="209" operator="greaterThan">
      <formula>20</formula>
    </cfRule>
    <cfRule type="cellIs" dxfId="1455" priority="210" operator="between">
      <formula>15</formula>
      <formula>20</formula>
    </cfRule>
    <cfRule type="cellIs" dxfId="1454" priority="211" operator="between">
      <formula>15</formula>
      <formula>20</formula>
    </cfRule>
    <cfRule type="cellIs" dxfId="1453" priority="212" operator="lessThan">
      <formula>15</formula>
    </cfRule>
    <cfRule type="cellIs" dxfId="1452" priority="213" operator="greaterThan">
      <formula>20</formula>
    </cfRule>
    <cfRule type="cellIs" dxfId="1451" priority="214" operator="between">
      <formula>15</formula>
      <formula>21</formula>
    </cfRule>
    <cfRule type="cellIs" dxfId="1450" priority="215" operator="lessThan">
      <formula>15</formula>
    </cfRule>
    <cfRule type="cellIs" dxfId="1449" priority="216" operator="greaterThan">
      <formula>21</formula>
    </cfRule>
  </conditionalFormatting>
  <conditionalFormatting sqref="M34">
    <cfRule type="cellIs" dxfId="1448" priority="199" operator="lessThan">
      <formula>15</formula>
    </cfRule>
    <cfRule type="cellIs" dxfId="1447" priority="200" operator="greaterThan">
      <formula>20</formula>
    </cfRule>
    <cfRule type="cellIs" dxfId="1446" priority="201" operator="between">
      <formula>15</formula>
      <formula>20</formula>
    </cfRule>
    <cfRule type="cellIs" dxfId="1445" priority="202" operator="between">
      <formula>15</formula>
      <formula>20</formula>
    </cfRule>
    <cfRule type="cellIs" dxfId="1444" priority="203" operator="lessThan">
      <formula>15</formula>
    </cfRule>
    <cfRule type="cellIs" dxfId="1443" priority="204" operator="greaterThan">
      <formula>20</formula>
    </cfRule>
    <cfRule type="cellIs" dxfId="1442" priority="205" operator="between">
      <formula>15</formula>
      <formula>21</formula>
    </cfRule>
    <cfRule type="cellIs" dxfId="1441" priority="206" operator="lessThan">
      <formula>15</formula>
    </cfRule>
    <cfRule type="cellIs" dxfId="1440" priority="207" operator="greaterThan">
      <formula>21</formula>
    </cfRule>
  </conditionalFormatting>
  <conditionalFormatting sqref="M14:M17 M39 M21:M22 M24:M26 M19">
    <cfRule type="cellIs" dxfId="1439" priority="226" operator="lessThan">
      <formula>15</formula>
    </cfRule>
    <cfRule type="cellIs" dxfId="1438" priority="227" operator="greaterThan">
      <formula>20</formula>
    </cfRule>
    <cfRule type="cellIs" dxfId="1437" priority="228" operator="between">
      <formula>15</formula>
      <formula>20</formula>
    </cfRule>
    <cfRule type="cellIs" dxfId="1436" priority="229" operator="between">
      <formula>15</formula>
      <formula>20</formula>
    </cfRule>
    <cfRule type="cellIs" dxfId="1435" priority="230" operator="lessThan">
      <formula>15</formula>
    </cfRule>
    <cfRule type="cellIs" dxfId="1434" priority="231" operator="greaterThan">
      <formula>20</formula>
    </cfRule>
    <cfRule type="cellIs" dxfId="1433" priority="232" operator="between">
      <formula>15</formula>
      <formula>21</formula>
    </cfRule>
    <cfRule type="cellIs" dxfId="1432" priority="233" operator="lessThan">
      <formula>15</formula>
    </cfRule>
    <cfRule type="cellIs" dxfId="1431" priority="234" operator="greaterThan">
      <formula>21</formula>
    </cfRule>
  </conditionalFormatting>
  <conditionalFormatting sqref="M9:M12">
    <cfRule type="cellIs" dxfId="1430" priority="190" operator="lessThan">
      <formula>15</formula>
    </cfRule>
    <cfRule type="cellIs" dxfId="1429" priority="191" operator="greaterThan">
      <formula>20</formula>
    </cfRule>
    <cfRule type="cellIs" dxfId="1428" priority="192" operator="between">
      <formula>15</formula>
      <formula>20</formula>
    </cfRule>
    <cfRule type="cellIs" dxfId="1427" priority="193" operator="between">
      <formula>15</formula>
      <formula>20</formula>
    </cfRule>
    <cfRule type="cellIs" dxfId="1426" priority="194" operator="lessThan">
      <formula>15</formula>
    </cfRule>
    <cfRule type="cellIs" dxfId="1425" priority="195" operator="greaterThan">
      <formula>20</formula>
    </cfRule>
    <cfRule type="cellIs" dxfId="1424" priority="196" operator="between">
      <formula>15</formula>
      <formula>21</formula>
    </cfRule>
    <cfRule type="cellIs" dxfId="1423" priority="197" operator="lessThan">
      <formula>15</formula>
    </cfRule>
    <cfRule type="cellIs" dxfId="1422" priority="198" operator="greaterThan">
      <formula>21</formula>
    </cfRule>
  </conditionalFormatting>
  <conditionalFormatting sqref="M29:M32">
    <cfRule type="cellIs" dxfId="1421" priority="181" operator="lessThan">
      <formula>15</formula>
    </cfRule>
    <cfRule type="cellIs" dxfId="1420" priority="182" operator="greaterThan">
      <formula>20</formula>
    </cfRule>
    <cfRule type="cellIs" dxfId="1419" priority="183" operator="between">
      <formula>15</formula>
      <formula>20</formula>
    </cfRule>
    <cfRule type="cellIs" dxfId="1418" priority="184" operator="between">
      <formula>15</formula>
      <formula>20</formula>
    </cfRule>
    <cfRule type="cellIs" dxfId="1417" priority="185" operator="lessThan">
      <formula>15</formula>
    </cfRule>
    <cfRule type="cellIs" dxfId="1416" priority="186" operator="greaterThan">
      <formula>20</formula>
    </cfRule>
    <cfRule type="cellIs" dxfId="1415" priority="187" operator="between">
      <formula>15</formula>
      <formula>21</formula>
    </cfRule>
    <cfRule type="cellIs" dxfId="1414" priority="188" operator="lessThan">
      <formula>15</formula>
    </cfRule>
    <cfRule type="cellIs" dxfId="1413" priority="189" operator="greaterThan">
      <formula>21</formula>
    </cfRule>
  </conditionalFormatting>
  <conditionalFormatting sqref="M38">
    <cfRule type="cellIs" dxfId="1412" priority="109" operator="lessThan">
      <formula>15</formula>
    </cfRule>
    <cfRule type="cellIs" dxfId="1411" priority="110" operator="greaterThan">
      <formula>20</formula>
    </cfRule>
    <cfRule type="cellIs" dxfId="1410" priority="111" operator="between">
      <formula>15</formula>
      <formula>20</formula>
    </cfRule>
    <cfRule type="cellIs" dxfId="1409" priority="112" operator="between">
      <formula>15</formula>
      <formula>20</formula>
    </cfRule>
    <cfRule type="cellIs" dxfId="1408" priority="113" operator="lessThan">
      <formula>15</formula>
    </cfRule>
    <cfRule type="cellIs" dxfId="1407" priority="114" operator="greaterThan">
      <formula>20</formula>
    </cfRule>
    <cfRule type="cellIs" dxfId="1406" priority="115" operator="between">
      <formula>15</formula>
      <formula>21</formula>
    </cfRule>
    <cfRule type="cellIs" dxfId="1405" priority="116" operator="lessThan">
      <formula>15</formula>
    </cfRule>
    <cfRule type="cellIs" dxfId="1404" priority="117" operator="greaterThan">
      <formula>21</formula>
    </cfRule>
  </conditionalFormatting>
  <conditionalFormatting sqref="M33">
    <cfRule type="cellIs" dxfId="1403" priority="100" operator="lessThan">
      <formula>15</formula>
    </cfRule>
    <cfRule type="cellIs" dxfId="1402" priority="101" operator="greaterThan">
      <formula>20</formula>
    </cfRule>
    <cfRule type="cellIs" dxfId="1401" priority="102" operator="between">
      <formula>15</formula>
      <formula>20</formula>
    </cfRule>
    <cfRule type="cellIs" dxfId="1400" priority="103" operator="between">
      <formula>15</formula>
      <formula>20</formula>
    </cfRule>
    <cfRule type="cellIs" dxfId="1399" priority="104" operator="lessThan">
      <formula>15</formula>
    </cfRule>
    <cfRule type="cellIs" dxfId="1398" priority="105" operator="greaterThan">
      <formula>20</formula>
    </cfRule>
    <cfRule type="cellIs" dxfId="1397" priority="106" operator="between">
      <formula>15</formula>
      <formula>21</formula>
    </cfRule>
    <cfRule type="cellIs" dxfId="1396" priority="107" operator="lessThan">
      <formula>15</formula>
    </cfRule>
    <cfRule type="cellIs" dxfId="1395" priority="108" operator="greaterThan">
      <formula>21</formula>
    </cfRule>
  </conditionalFormatting>
  <conditionalFormatting sqref="M28">
    <cfRule type="cellIs" dxfId="1394" priority="91" operator="lessThan">
      <formula>15</formula>
    </cfRule>
    <cfRule type="cellIs" dxfId="1393" priority="92" operator="greaterThan">
      <formula>20</formula>
    </cfRule>
    <cfRule type="cellIs" dxfId="1392" priority="93" operator="between">
      <formula>15</formula>
      <formula>20</formula>
    </cfRule>
    <cfRule type="cellIs" dxfId="1391" priority="94" operator="between">
      <formula>15</formula>
      <formula>20</formula>
    </cfRule>
    <cfRule type="cellIs" dxfId="1390" priority="95" operator="lessThan">
      <formula>15</formula>
    </cfRule>
    <cfRule type="cellIs" dxfId="1389" priority="96" operator="greaterThan">
      <formula>20</formula>
    </cfRule>
    <cfRule type="cellIs" dxfId="1388" priority="97" operator="between">
      <formula>15</formula>
      <formula>21</formula>
    </cfRule>
    <cfRule type="cellIs" dxfId="1387" priority="98" operator="lessThan">
      <formula>15</formula>
    </cfRule>
    <cfRule type="cellIs" dxfId="1386" priority="99" operator="greaterThan">
      <formula>21</formula>
    </cfRule>
  </conditionalFormatting>
  <conditionalFormatting sqref="M23">
    <cfRule type="cellIs" dxfId="1385" priority="82" operator="lessThan">
      <formula>15</formula>
    </cfRule>
    <cfRule type="cellIs" dxfId="1384" priority="83" operator="greaterThan">
      <formula>20</formula>
    </cfRule>
    <cfRule type="cellIs" dxfId="1383" priority="84" operator="between">
      <formula>15</formula>
      <formula>20</formula>
    </cfRule>
    <cfRule type="cellIs" dxfId="1382" priority="85" operator="between">
      <formula>15</formula>
      <formula>20</formula>
    </cfRule>
    <cfRule type="cellIs" dxfId="1381" priority="86" operator="lessThan">
      <formula>15</formula>
    </cfRule>
    <cfRule type="cellIs" dxfId="1380" priority="87" operator="greaterThan">
      <formula>20</formula>
    </cfRule>
    <cfRule type="cellIs" dxfId="1379" priority="88" operator="between">
      <formula>15</formula>
      <formula>21</formula>
    </cfRule>
    <cfRule type="cellIs" dxfId="1378" priority="89" operator="lessThan">
      <formula>15</formula>
    </cfRule>
    <cfRule type="cellIs" dxfId="1377" priority="90" operator="greaterThan">
      <formula>21</formula>
    </cfRule>
  </conditionalFormatting>
  <conditionalFormatting sqref="M18">
    <cfRule type="cellIs" dxfId="1376" priority="73" operator="lessThan">
      <formula>15</formula>
    </cfRule>
    <cfRule type="cellIs" dxfId="1375" priority="74" operator="greaterThan">
      <formula>20</formula>
    </cfRule>
    <cfRule type="cellIs" dxfId="1374" priority="75" operator="between">
      <formula>15</formula>
      <formula>20</formula>
    </cfRule>
    <cfRule type="cellIs" dxfId="1373" priority="76" operator="between">
      <formula>15</formula>
      <formula>20</formula>
    </cfRule>
    <cfRule type="cellIs" dxfId="1372" priority="77" operator="lessThan">
      <formula>15</formula>
    </cfRule>
    <cfRule type="cellIs" dxfId="1371" priority="78" operator="greaterThan">
      <formula>20</formula>
    </cfRule>
    <cfRule type="cellIs" dxfId="1370" priority="79" operator="between">
      <formula>15</formula>
      <formula>21</formula>
    </cfRule>
    <cfRule type="cellIs" dxfId="1369" priority="80" operator="lessThan">
      <formula>15</formula>
    </cfRule>
    <cfRule type="cellIs" dxfId="1368" priority="81" operator="greaterThan">
      <formula>21</formula>
    </cfRule>
  </conditionalFormatting>
  <conditionalFormatting sqref="M35:M37">
    <cfRule type="cellIs" dxfId="1367" priority="64" operator="lessThan">
      <formula>15</formula>
    </cfRule>
    <cfRule type="cellIs" dxfId="1366" priority="65" operator="greaterThan">
      <formula>20</formula>
    </cfRule>
    <cfRule type="cellIs" dxfId="1365" priority="66" operator="between">
      <formula>15</formula>
      <formula>20</formula>
    </cfRule>
    <cfRule type="cellIs" dxfId="1364" priority="67" operator="between">
      <formula>15</formula>
      <formula>20</formula>
    </cfRule>
    <cfRule type="cellIs" dxfId="1363" priority="68" operator="lessThan">
      <formula>15</formula>
    </cfRule>
    <cfRule type="cellIs" dxfId="1362" priority="69" operator="greaterThan">
      <formula>20</formula>
    </cfRule>
    <cfRule type="cellIs" dxfId="1361" priority="70" operator="between">
      <formula>15</formula>
      <formula>21</formula>
    </cfRule>
    <cfRule type="cellIs" dxfId="1360" priority="71" operator="lessThan">
      <formula>15</formula>
    </cfRule>
    <cfRule type="cellIs" dxfId="1359" priority="72" operator="greaterThan">
      <formula>21</formula>
    </cfRule>
  </conditionalFormatting>
  <conditionalFormatting sqref="M13">
    <cfRule type="cellIs" dxfId="1358" priority="55" operator="lessThan">
      <formula>15</formula>
    </cfRule>
    <cfRule type="cellIs" dxfId="1357" priority="56" operator="greaterThan">
      <formula>20</formula>
    </cfRule>
    <cfRule type="cellIs" dxfId="1356" priority="57" operator="between">
      <formula>15</formula>
      <formula>20</formula>
    </cfRule>
    <cfRule type="cellIs" dxfId="1355" priority="58" operator="between">
      <formula>15</formula>
      <formula>20</formula>
    </cfRule>
    <cfRule type="cellIs" dxfId="1354" priority="59" operator="lessThan">
      <formula>15</formula>
    </cfRule>
    <cfRule type="cellIs" dxfId="1353" priority="60" operator="greaterThan">
      <formula>20</formula>
    </cfRule>
    <cfRule type="cellIs" dxfId="1352" priority="61" operator="between">
      <formula>15</formula>
      <formula>21</formula>
    </cfRule>
    <cfRule type="cellIs" dxfId="1351" priority="62" operator="lessThan">
      <formula>15</formula>
    </cfRule>
    <cfRule type="cellIs" dxfId="1350" priority="63" operator="greaterThan">
      <formula>21</formula>
    </cfRule>
  </conditionalFormatting>
  <conditionalFormatting sqref="M20">
    <cfRule type="cellIs" dxfId="1349" priority="46" operator="lessThan">
      <formula>15</formula>
    </cfRule>
    <cfRule type="cellIs" dxfId="1348" priority="47" operator="greaterThan">
      <formula>20</formula>
    </cfRule>
    <cfRule type="cellIs" dxfId="1347" priority="48" operator="between">
      <formula>15</formula>
      <formula>20</formula>
    </cfRule>
    <cfRule type="cellIs" dxfId="1346" priority="49" operator="between">
      <formula>15</formula>
      <formula>20</formula>
    </cfRule>
    <cfRule type="cellIs" dxfId="1345" priority="50" operator="lessThan">
      <formula>15</formula>
    </cfRule>
    <cfRule type="cellIs" dxfId="1344" priority="51" operator="greaterThan">
      <formula>20</formula>
    </cfRule>
    <cfRule type="cellIs" dxfId="1343" priority="52" operator="between">
      <formula>15</formula>
      <formula>21</formula>
    </cfRule>
    <cfRule type="cellIs" dxfId="1342" priority="53" operator="lessThan">
      <formula>15</formula>
    </cfRule>
    <cfRule type="cellIs" dxfId="1341" priority="54" operator="greaterThan">
      <formula>21</formula>
    </cfRule>
  </conditionalFormatting>
  <conditionalFormatting sqref="M27">
    <cfRule type="cellIs" dxfId="1340" priority="37" operator="lessThan">
      <formula>15</formula>
    </cfRule>
    <cfRule type="cellIs" dxfId="1339" priority="38" operator="greaterThan">
      <formula>20</formula>
    </cfRule>
    <cfRule type="cellIs" dxfId="1338" priority="39" operator="between">
      <formula>15</formula>
      <formula>20</formula>
    </cfRule>
    <cfRule type="cellIs" dxfId="1337" priority="40" operator="between">
      <formula>15</formula>
      <formula>20</formula>
    </cfRule>
    <cfRule type="cellIs" dxfId="1336" priority="41" operator="lessThan">
      <formula>15</formula>
    </cfRule>
    <cfRule type="cellIs" dxfId="1335" priority="42" operator="greaterThan">
      <formula>20</formula>
    </cfRule>
    <cfRule type="cellIs" dxfId="1334" priority="43" operator="between">
      <formula>15</formula>
      <formula>21</formula>
    </cfRule>
    <cfRule type="cellIs" dxfId="1333" priority="44" operator="lessThan">
      <formula>15</formula>
    </cfRule>
    <cfRule type="cellIs" dxfId="1332" priority="45" operator="greaterThan">
      <formula>21</formula>
    </cfRule>
  </conditionalFormatting>
  <conditionalFormatting sqref="M34">
    <cfRule type="cellIs" dxfId="1331" priority="28" operator="lessThan">
      <formula>15</formula>
    </cfRule>
    <cfRule type="cellIs" dxfId="1330" priority="29" operator="greaterThan">
      <formula>20</formula>
    </cfRule>
    <cfRule type="cellIs" dxfId="1329" priority="30" operator="between">
      <formula>15</formula>
      <formula>20</formula>
    </cfRule>
    <cfRule type="cellIs" dxfId="1328" priority="31" operator="between">
      <formula>15</formula>
      <formula>20</formula>
    </cfRule>
    <cfRule type="cellIs" dxfId="1327" priority="32" operator="lessThan">
      <formula>15</formula>
    </cfRule>
    <cfRule type="cellIs" dxfId="1326" priority="33" operator="greaterThan">
      <formula>20</formula>
    </cfRule>
    <cfRule type="cellIs" dxfId="1325" priority="34" operator="between">
      <formula>15</formula>
      <formula>21</formula>
    </cfRule>
    <cfRule type="cellIs" dxfId="1324" priority="35" operator="lessThan">
      <formula>15</formula>
    </cfRule>
    <cfRule type="cellIs" dxfId="1323" priority="36" operator="greaterThan">
      <formula>21</formula>
    </cfRule>
  </conditionalFormatting>
  <conditionalFormatting sqref="M14:M17 M39 M21:M22 M24:M26 M19">
    <cfRule type="cellIs" dxfId="1322" priority="19" operator="lessThan">
      <formula>15</formula>
    </cfRule>
    <cfRule type="cellIs" dxfId="1321" priority="20" operator="greaterThan">
      <formula>20</formula>
    </cfRule>
    <cfRule type="cellIs" dxfId="1320" priority="21" operator="between">
      <formula>15</formula>
      <formula>20</formula>
    </cfRule>
    <cfRule type="cellIs" dxfId="1319" priority="22" operator="between">
      <formula>15</formula>
      <formula>20</formula>
    </cfRule>
    <cfRule type="cellIs" dxfId="1318" priority="23" operator="lessThan">
      <formula>15</formula>
    </cfRule>
    <cfRule type="cellIs" dxfId="1317" priority="24" operator="greaterThan">
      <formula>20</formula>
    </cfRule>
    <cfRule type="cellIs" dxfId="1316" priority="25" operator="between">
      <formula>15</formula>
      <formula>21</formula>
    </cfRule>
    <cfRule type="cellIs" dxfId="1315" priority="26" operator="lessThan">
      <formula>15</formula>
    </cfRule>
    <cfRule type="cellIs" dxfId="1314" priority="27" operator="greaterThan">
      <formula>21</formula>
    </cfRule>
  </conditionalFormatting>
  <conditionalFormatting sqref="M9:M12">
    <cfRule type="cellIs" dxfId="1313" priority="10" operator="lessThan">
      <formula>15</formula>
    </cfRule>
    <cfRule type="cellIs" dxfId="1312" priority="11" operator="greaterThan">
      <formula>20</formula>
    </cfRule>
    <cfRule type="cellIs" dxfId="1311" priority="12" operator="between">
      <formula>15</formula>
      <formula>20</formula>
    </cfRule>
    <cfRule type="cellIs" dxfId="1310" priority="13" operator="between">
      <formula>15</formula>
      <formula>20</formula>
    </cfRule>
    <cfRule type="cellIs" dxfId="1309" priority="14" operator="lessThan">
      <formula>15</formula>
    </cfRule>
    <cfRule type="cellIs" dxfId="1308" priority="15" operator="greaterThan">
      <formula>20</formula>
    </cfRule>
    <cfRule type="cellIs" dxfId="1307" priority="16" operator="between">
      <formula>15</formula>
      <formula>21</formula>
    </cfRule>
    <cfRule type="cellIs" dxfId="1306" priority="17" operator="lessThan">
      <formula>15</formula>
    </cfRule>
    <cfRule type="cellIs" dxfId="1305" priority="18" operator="greaterThan">
      <formula>21</formula>
    </cfRule>
  </conditionalFormatting>
  <conditionalFormatting sqref="M29:M32">
    <cfRule type="cellIs" dxfId="1304" priority="1" operator="lessThan">
      <formula>15</formula>
    </cfRule>
    <cfRule type="cellIs" dxfId="1303" priority="2" operator="greaterThan">
      <formula>20</formula>
    </cfRule>
    <cfRule type="cellIs" dxfId="1302" priority="3" operator="between">
      <formula>15</formula>
      <formula>20</formula>
    </cfRule>
    <cfRule type="cellIs" dxfId="1301" priority="4" operator="between">
      <formula>15</formula>
      <formula>20</formula>
    </cfRule>
    <cfRule type="cellIs" dxfId="1300" priority="5" operator="lessThan">
      <formula>15</formula>
    </cfRule>
    <cfRule type="cellIs" dxfId="1299" priority="6" operator="greaterThan">
      <formula>20</formula>
    </cfRule>
    <cfRule type="cellIs" dxfId="1298" priority="7" operator="between">
      <formula>15</formula>
      <formula>21</formula>
    </cfRule>
    <cfRule type="cellIs" dxfId="1297" priority="8" operator="lessThan">
      <formula>15</formula>
    </cfRule>
    <cfRule type="cellIs" dxfId="1296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Y50"/>
  <sheetViews>
    <sheetView zoomScale="80" zoomScaleNormal="80" workbookViewId="0">
      <pane ySplit="8" topLeftCell="A30" activePane="bottomLeft" state="frozen"/>
      <selection pane="bottomLeft" activeCell="M5" sqref="M5"/>
    </sheetView>
  </sheetViews>
  <sheetFormatPr defaultColWidth="9.28515625" defaultRowHeight="15"/>
  <cols>
    <col min="1" max="1" width="5.42578125" style="143" customWidth="1"/>
    <col min="2" max="2" width="7.5703125" style="143" customWidth="1"/>
    <col min="3" max="3" width="16.42578125" style="143" customWidth="1"/>
    <col min="4" max="11" width="9.85546875" style="142" customWidth="1"/>
    <col min="12" max="13" width="11.7109375" style="143" customWidth="1"/>
    <col min="14" max="14" width="5.425781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S130</v>
      </c>
      <c r="D4" s="383"/>
      <c r="E4" s="383" t="s">
        <v>228</v>
      </c>
      <c r="F4" s="383" t="s">
        <v>230</v>
      </c>
      <c r="G4" s="383"/>
      <c r="I4" s="383" t="s">
        <v>120</v>
      </c>
      <c r="J4" s="466" t="s">
        <v>163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300</v>
      </c>
      <c r="E8" s="388">
        <f>K8</f>
        <v>300</v>
      </c>
      <c r="F8" s="389"/>
      <c r="G8" s="388"/>
      <c r="H8" s="387"/>
      <c r="I8" s="388"/>
      <c r="J8" s="390">
        <f>K8-K8*N8</f>
        <v>300</v>
      </c>
      <c r="K8" s="389">
        <v>300</v>
      </c>
      <c r="L8" s="303"/>
      <c r="M8" s="304"/>
      <c r="N8" s="366"/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/>
      <c r="E9" s="388"/>
      <c r="F9" s="446"/>
      <c r="G9" s="496"/>
      <c r="H9" s="498">
        <f>SUM($F$8:F9)/A9</f>
        <v>0</v>
      </c>
      <c r="I9" s="499">
        <f>SUM($G$8:G9)/A9</f>
        <v>0</v>
      </c>
      <c r="J9" s="443">
        <f t="shared" ref="J9:K24" si="0">J8+D9-F9</f>
        <v>300</v>
      </c>
      <c r="K9" s="459">
        <f t="shared" si="0"/>
        <v>300</v>
      </c>
      <c r="L9" s="338" t="e">
        <f t="shared" ref="L9:M24" si="1">J9/H9</f>
        <v>#DIV/0!</v>
      </c>
      <c r="M9" s="300" t="e">
        <f t="shared" si="1"/>
        <v>#DIV/0!</v>
      </c>
      <c r="N9" s="366"/>
      <c r="O9" s="647">
        <f>J9/$O$8</f>
        <v>9.9966677774075308E-2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/>
      <c r="F10" s="446"/>
      <c r="G10" s="496"/>
      <c r="H10" s="498">
        <f>SUM($F$8:F10)/A10</f>
        <v>0</v>
      </c>
      <c r="I10" s="499">
        <f>SUM($G$8:G10)/A10</f>
        <v>0</v>
      </c>
      <c r="J10" s="443">
        <f t="shared" si="0"/>
        <v>300</v>
      </c>
      <c r="K10" s="459">
        <f t="shared" si="0"/>
        <v>300</v>
      </c>
      <c r="L10" s="338" t="e">
        <f t="shared" si="1"/>
        <v>#DIV/0!</v>
      </c>
      <c r="M10" s="300" t="e">
        <f t="shared" si="1"/>
        <v>#DIV/0!</v>
      </c>
      <c r="N10" s="366"/>
      <c r="O10" s="647">
        <f t="shared" ref="O10:O39" si="2">J10/$O$8</f>
        <v>9.9966677774075308E-2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/>
      <c r="F11" s="446"/>
      <c r="G11" s="496"/>
      <c r="H11" s="498">
        <f>SUM($F$8:F11)/A11</f>
        <v>0</v>
      </c>
      <c r="I11" s="499">
        <f>SUM($G$8:G11)/A11</f>
        <v>0</v>
      </c>
      <c r="J11" s="443">
        <f t="shared" si="0"/>
        <v>300</v>
      </c>
      <c r="K11" s="459">
        <f t="shared" si="0"/>
        <v>300</v>
      </c>
      <c r="L11" s="338" t="e">
        <f t="shared" si="1"/>
        <v>#DIV/0!</v>
      </c>
      <c r="M11" s="300" t="e">
        <f t="shared" si="1"/>
        <v>#DIV/0!</v>
      </c>
      <c r="N11" s="366"/>
      <c r="O11" s="647">
        <f t="shared" si="2"/>
        <v>9.9966677774075308E-2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/>
      <c r="F12" s="446"/>
      <c r="G12" s="496"/>
      <c r="H12" s="498">
        <f>SUM($F$8:F12)/A12</f>
        <v>0</v>
      </c>
      <c r="I12" s="499">
        <f>SUM($G$8:G12)/A12</f>
        <v>0</v>
      </c>
      <c r="J12" s="443">
        <f t="shared" si="0"/>
        <v>300</v>
      </c>
      <c r="K12" s="459">
        <f t="shared" si="0"/>
        <v>300</v>
      </c>
      <c r="L12" s="338" t="e">
        <f t="shared" si="1"/>
        <v>#DIV/0!</v>
      </c>
      <c r="M12" s="300" t="e">
        <f t="shared" si="1"/>
        <v>#DIV/0!</v>
      </c>
      <c r="N12" s="366"/>
      <c r="O12" s="647">
        <f t="shared" si="2"/>
        <v>9.9966677774075308E-2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/>
      <c r="F13" s="446"/>
      <c r="G13" s="496"/>
      <c r="H13" s="500">
        <f>SUM($F$8:F13)/A13</f>
        <v>0</v>
      </c>
      <c r="I13" s="499">
        <f>SUM($G$8:G13)/A13</f>
        <v>0</v>
      </c>
      <c r="J13" s="500">
        <f t="shared" si="0"/>
        <v>300</v>
      </c>
      <c r="K13" s="459">
        <f t="shared" si="0"/>
        <v>300</v>
      </c>
      <c r="L13" s="368" t="e">
        <f t="shared" si="1"/>
        <v>#DIV/0!</v>
      </c>
      <c r="M13" s="300" t="e">
        <f t="shared" si="1"/>
        <v>#DIV/0!</v>
      </c>
      <c r="N13" s="366"/>
      <c r="O13" s="647">
        <f t="shared" si="2"/>
        <v>9.9966677774075308E-2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/>
      <c r="F14" s="446"/>
      <c r="G14" s="496"/>
      <c r="H14" s="498">
        <f>SUM($F$8:F14)/A14</f>
        <v>0</v>
      </c>
      <c r="I14" s="499">
        <f>SUM($G$8:G14)/A14</f>
        <v>0</v>
      </c>
      <c r="J14" s="443">
        <f t="shared" si="0"/>
        <v>300</v>
      </c>
      <c r="K14" s="459">
        <f t="shared" si="0"/>
        <v>300</v>
      </c>
      <c r="L14" s="338" t="e">
        <f t="shared" si="1"/>
        <v>#DIV/0!</v>
      </c>
      <c r="M14" s="300" t="e">
        <f t="shared" si="1"/>
        <v>#DIV/0!</v>
      </c>
      <c r="N14" s="366"/>
      <c r="O14" s="647">
        <f t="shared" si="2"/>
        <v>9.9966677774075308E-2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/>
      <c r="F15" s="446"/>
      <c r="G15" s="496"/>
      <c r="H15" s="498">
        <f>SUM($F$8:F15)/A15</f>
        <v>0</v>
      </c>
      <c r="I15" s="499">
        <f>SUM($G$8:G15)/A15</f>
        <v>0</v>
      </c>
      <c r="J15" s="443">
        <f t="shared" si="0"/>
        <v>300</v>
      </c>
      <c r="K15" s="459">
        <f t="shared" si="0"/>
        <v>300</v>
      </c>
      <c r="L15" s="338" t="e">
        <f t="shared" si="1"/>
        <v>#DIV/0!</v>
      </c>
      <c r="M15" s="300" t="e">
        <f t="shared" si="1"/>
        <v>#DIV/0!</v>
      </c>
      <c r="N15" s="366"/>
      <c r="O15" s="647">
        <f t="shared" si="2"/>
        <v>9.9966677774075308E-2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/>
      <c r="F16" s="446"/>
      <c r="G16" s="496"/>
      <c r="H16" s="498">
        <f>SUM($F$8:F16)/A16</f>
        <v>0</v>
      </c>
      <c r="I16" s="499">
        <f>SUM($G$8:G16)/A16</f>
        <v>0</v>
      </c>
      <c r="J16" s="443">
        <f t="shared" si="0"/>
        <v>300</v>
      </c>
      <c r="K16" s="459">
        <f t="shared" si="0"/>
        <v>300</v>
      </c>
      <c r="L16" s="338" t="e">
        <f t="shared" si="1"/>
        <v>#DIV/0!</v>
      </c>
      <c r="M16" s="300" t="e">
        <f t="shared" si="1"/>
        <v>#DIV/0!</v>
      </c>
      <c r="N16" s="366"/>
      <c r="O16" s="647">
        <f t="shared" si="2"/>
        <v>9.9966677774075308E-2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/>
      <c r="F17" s="446"/>
      <c r="G17" s="496"/>
      <c r="H17" s="498">
        <f>SUM($F$8:F17)/A17</f>
        <v>0</v>
      </c>
      <c r="I17" s="499">
        <f>SUM($G$8:G17)/A17</f>
        <v>0</v>
      </c>
      <c r="J17" s="443">
        <f t="shared" si="0"/>
        <v>300</v>
      </c>
      <c r="K17" s="459">
        <f t="shared" si="0"/>
        <v>300</v>
      </c>
      <c r="L17" s="338" t="e">
        <f t="shared" si="1"/>
        <v>#DIV/0!</v>
      </c>
      <c r="M17" s="300" t="e">
        <f t="shared" si="1"/>
        <v>#DIV/0!</v>
      </c>
      <c r="N17" s="366"/>
      <c r="O17" s="647">
        <f t="shared" si="2"/>
        <v>9.9966677774075308E-2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/>
      <c r="F18" s="446"/>
      <c r="G18" s="496"/>
      <c r="H18" s="500">
        <f>SUM($F$8:F18)/A18</f>
        <v>0</v>
      </c>
      <c r="I18" s="499">
        <f>SUM($G$8:G18)/A18</f>
        <v>0</v>
      </c>
      <c r="J18" s="500">
        <f t="shared" si="0"/>
        <v>300</v>
      </c>
      <c r="K18" s="459">
        <f t="shared" si="0"/>
        <v>300</v>
      </c>
      <c r="L18" s="368" t="e">
        <f t="shared" si="1"/>
        <v>#DIV/0!</v>
      </c>
      <c r="M18" s="300" t="e">
        <f t="shared" si="1"/>
        <v>#DIV/0!</v>
      </c>
      <c r="N18" s="366"/>
      <c r="O18" s="647">
        <f t="shared" si="2"/>
        <v>9.9966677774075308E-2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/>
      <c r="F19" s="446"/>
      <c r="G19" s="496"/>
      <c r="H19" s="498">
        <f>SUM($F$8:F19)/A19</f>
        <v>0</v>
      </c>
      <c r="I19" s="499">
        <f>SUM($G$8:G19)/A19</f>
        <v>0</v>
      </c>
      <c r="J19" s="443">
        <f t="shared" si="0"/>
        <v>300</v>
      </c>
      <c r="K19" s="459">
        <f t="shared" si="0"/>
        <v>300</v>
      </c>
      <c r="L19" s="338" t="e">
        <f t="shared" si="1"/>
        <v>#DIV/0!</v>
      </c>
      <c r="M19" s="300" t="e">
        <f t="shared" si="1"/>
        <v>#DIV/0!</v>
      </c>
      <c r="N19" s="366"/>
      <c r="O19" s="647">
        <f t="shared" si="2"/>
        <v>9.9966677774075308E-2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/>
      <c r="F20" s="446"/>
      <c r="G20" s="496"/>
      <c r="H20" s="498">
        <f>SUM($F$8:F20)/A20</f>
        <v>0</v>
      </c>
      <c r="I20" s="499">
        <f>SUM($G$8:G20)/A20</f>
        <v>0</v>
      </c>
      <c r="J20" s="443">
        <f t="shared" si="0"/>
        <v>300</v>
      </c>
      <c r="K20" s="459">
        <f t="shared" si="0"/>
        <v>300</v>
      </c>
      <c r="L20" s="338" t="e">
        <f t="shared" si="1"/>
        <v>#DIV/0!</v>
      </c>
      <c r="M20" s="300" t="e">
        <f t="shared" si="1"/>
        <v>#DIV/0!</v>
      </c>
      <c r="N20" s="366"/>
      <c r="O20" s="647">
        <f t="shared" si="2"/>
        <v>9.9966677774075308E-2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/>
      <c r="F21" s="446"/>
      <c r="G21" s="496"/>
      <c r="H21" s="498">
        <f>SUM($F$8:F21)/A21</f>
        <v>0</v>
      </c>
      <c r="I21" s="499">
        <f>SUM($G$8:G21)/A21</f>
        <v>0</v>
      </c>
      <c r="J21" s="443">
        <f t="shared" si="0"/>
        <v>300</v>
      </c>
      <c r="K21" s="459">
        <f>K20+E21-G21</f>
        <v>300</v>
      </c>
      <c r="L21" s="338" t="e">
        <f t="shared" si="1"/>
        <v>#DIV/0!</v>
      </c>
      <c r="M21" s="300" t="e">
        <f t="shared" si="1"/>
        <v>#DIV/0!</v>
      </c>
      <c r="N21" s="366"/>
      <c r="O21" s="647">
        <f t="shared" si="2"/>
        <v>9.9966677774075308E-2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/>
      <c r="F22" s="446"/>
      <c r="G22" s="496"/>
      <c r="H22" s="498">
        <f>SUM($F$8:F22)/A22</f>
        <v>0</v>
      </c>
      <c r="I22" s="499">
        <f>SUM($G$8:G22)/A22</f>
        <v>0</v>
      </c>
      <c r="J22" s="443">
        <f t="shared" si="0"/>
        <v>300</v>
      </c>
      <c r="K22" s="459">
        <f>K21+E22-G22</f>
        <v>300</v>
      </c>
      <c r="L22" s="338" t="e">
        <f t="shared" si="1"/>
        <v>#DIV/0!</v>
      </c>
      <c r="M22" s="300" t="e">
        <f t="shared" si="1"/>
        <v>#DIV/0!</v>
      </c>
      <c r="N22" s="366"/>
      <c r="O22" s="647">
        <f t="shared" si="2"/>
        <v>9.9966677774075308E-2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/>
      <c r="F23" s="446"/>
      <c r="G23" s="496"/>
      <c r="H23" s="500">
        <f>SUM($F$8:F23)/A23</f>
        <v>0</v>
      </c>
      <c r="I23" s="499">
        <f>SUM($G$8:G23)/A23</f>
        <v>0</v>
      </c>
      <c r="J23" s="500">
        <f t="shared" si="0"/>
        <v>300</v>
      </c>
      <c r="K23" s="459">
        <f t="shared" si="0"/>
        <v>300</v>
      </c>
      <c r="L23" s="368" t="e">
        <f t="shared" si="1"/>
        <v>#DIV/0!</v>
      </c>
      <c r="M23" s="300" t="e">
        <f t="shared" si="1"/>
        <v>#DIV/0!</v>
      </c>
      <c r="N23" s="366"/>
      <c r="O23" s="647">
        <f t="shared" si="2"/>
        <v>9.9966677774075308E-2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/>
      <c r="F24" s="446"/>
      <c r="G24" s="496"/>
      <c r="H24" s="498">
        <f>SUM($F$8:F24)/A24</f>
        <v>0</v>
      </c>
      <c r="I24" s="499">
        <f>SUM($G$8:G24)/A24</f>
        <v>0</v>
      </c>
      <c r="J24" s="443">
        <f t="shared" si="0"/>
        <v>300</v>
      </c>
      <c r="K24" s="459">
        <f>K23+E24-G24</f>
        <v>300</v>
      </c>
      <c r="L24" s="338" t="e">
        <f t="shared" si="1"/>
        <v>#DIV/0!</v>
      </c>
      <c r="M24" s="300" t="e">
        <f t="shared" si="1"/>
        <v>#DIV/0!</v>
      </c>
      <c r="N24" s="366"/>
      <c r="O24" s="647">
        <f t="shared" si="2"/>
        <v>9.9966677774075308E-2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/>
      <c r="F25" s="446"/>
      <c r="G25" s="496"/>
      <c r="H25" s="498">
        <f>SUM($F$8:F25)/A25</f>
        <v>0</v>
      </c>
      <c r="I25" s="499">
        <f>SUM($G$8:G25)/A25</f>
        <v>0</v>
      </c>
      <c r="J25" s="443">
        <f t="shared" ref="J25:K39" si="3">J24+D25-F25</f>
        <v>300</v>
      </c>
      <c r="K25" s="459">
        <f>K24+E25-G25</f>
        <v>300</v>
      </c>
      <c r="L25" s="338" t="e">
        <f t="shared" ref="L25:M39" si="4">J25/H25</f>
        <v>#DIV/0!</v>
      </c>
      <c r="M25" s="300" t="e">
        <f t="shared" si="4"/>
        <v>#DIV/0!</v>
      </c>
      <c r="N25" s="366"/>
      <c r="O25" s="647">
        <f t="shared" si="2"/>
        <v>9.9966677774075308E-2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/>
      <c r="F26" s="446"/>
      <c r="G26" s="496"/>
      <c r="H26" s="498">
        <f>SUM($F$8:F26)/A26</f>
        <v>0</v>
      </c>
      <c r="I26" s="499">
        <f>SUM($G$8:G26)/A26</f>
        <v>0</v>
      </c>
      <c r="J26" s="443">
        <f t="shared" si="3"/>
        <v>300</v>
      </c>
      <c r="K26" s="459">
        <f>K25+E26-G26</f>
        <v>300</v>
      </c>
      <c r="L26" s="338" t="e">
        <f t="shared" si="4"/>
        <v>#DIV/0!</v>
      </c>
      <c r="M26" s="300" t="e">
        <f t="shared" si="4"/>
        <v>#DIV/0!</v>
      </c>
      <c r="N26" s="366"/>
      <c r="O26" s="647">
        <f t="shared" si="2"/>
        <v>9.9966677774075308E-2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/>
      <c r="F27" s="446"/>
      <c r="G27" s="496"/>
      <c r="H27" s="498">
        <f>SUM($F$8:F27)/A27</f>
        <v>0</v>
      </c>
      <c r="I27" s="499">
        <f>SUM($G$8:G27)/A27</f>
        <v>0</v>
      </c>
      <c r="J27" s="443">
        <f t="shared" si="3"/>
        <v>300</v>
      </c>
      <c r="K27" s="459">
        <f>K26+E27-G27</f>
        <v>300</v>
      </c>
      <c r="L27" s="338" t="e">
        <f t="shared" si="4"/>
        <v>#DIV/0!</v>
      </c>
      <c r="M27" s="300" t="e">
        <f t="shared" si="4"/>
        <v>#DIV/0!</v>
      </c>
      <c r="N27" s="366"/>
      <c r="O27" s="647">
        <f t="shared" si="2"/>
        <v>9.9966677774075308E-2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/>
      <c r="F28" s="446"/>
      <c r="G28" s="496"/>
      <c r="H28" s="500">
        <f>SUM($F$8:F28)/A28</f>
        <v>0</v>
      </c>
      <c r="I28" s="499">
        <f>SUM($G$8:G28)/A28</f>
        <v>0</v>
      </c>
      <c r="J28" s="500">
        <f t="shared" si="3"/>
        <v>300</v>
      </c>
      <c r="K28" s="459">
        <f t="shared" si="3"/>
        <v>300</v>
      </c>
      <c r="L28" s="368" t="e">
        <f t="shared" si="4"/>
        <v>#DIV/0!</v>
      </c>
      <c r="M28" s="300" t="e">
        <f t="shared" si="4"/>
        <v>#DIV/0!</v>
      </c>
      <c r="N28" s="366"/>
      <c r="O28" s="647">
        <f t="shared" si="2"/>
        <v>9.9966677774075308E-2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/>
      <c r="F29" s="446"/>
      <c r="G29" s="496"/>
      <c r="H29" s="498">
        <f>SUM($F$8:F29)/A29</f>
        <v>0</v>
      </c>
      <c r="I29" s="499">
        <f>SUM($G$8:G29)/A29</f>
        <v>0</v>
      </c>
      <c r="J29" s="443">
        <f t="shared" si="3"/>
        <v>300</v>
      </c>
      <c r="K29" s="459">
        <f t="shared" si="3"/>
        <v>300</v>
      </c>
      <c r="L29" s="338" t="e">
        <f t="shared" si="4"/>
        <v>#DIV/0!</v>
      </c>
      <c r="M29" s="300" t="e">
        <f t="shared" si="4"/>
        <v>#DIV/0!</v>
      </c>
      <c r="N29" s="366"/>
      <c r="O29" s="647">
        <f t="shared" si="2"/>
        <v>9.9966677774075308E-2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/>
      <c r="F30" s="446"/>
      <c r="G30" s="496"/>
      <c r="H30" s="498">
        <f>SUM($F$8:F30)/A30</f>
        <v>0</v>
      </c>
      <c r="I30" s="499">
        <f>SUM($G$8:G30)/A30</f>
        <v>0</v>
      </c>
      <c r="J30" s="443">
        <f t="shared" si="3"/>
        <v>300</v>
      </c>
      <c r="K30" s="459">
        <f t="shared" si="3"/>
        <v>300</v>
      </c>
      <c r="L30" s="338" t="e">
        <f t="shared" si="4"/>
        <v>#DIV/0!</v>
      </c>
      <c r="M30" s="300" t="e">
        <f t="shared" si="4"/>
        <v>#DIV/0!</v>
      </c>
      <c r="N30" s="366"/>
      <c r="O30" s="647">
        <f t="shared" si="2"/>
        <v>9.9966677774075308E-2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/>
      <c r="F31" s="446"/>
      <c r="G31" s="496"/>
      <c r="H31" s="498">
        <f>SUM($F$8:F31)/A31</f>
        <v>0</v>
      </c>
      <c r="I31" s="499">
        <f>SUM($G$8:G31)/A31</f>
        <v>0</v>
      </c>
      <c r="J31" s="443">
        <f t="shared" si="3"/>
        <v>300</v>
      </c>
      <c r="K31" s="459">
        <f t="shared" si="3"/>
        <v>300</v>
      </c>
      <c r="L31" s="338" t="e">
        <f t="shared" si="4"/>
        <v>#DIV/0!</v>
      </c>
      <c r="M31" s="300" t="e">
        <f t="shared" si="4"/>
        <v>#DIV/0!</v>
      </c>
      <c r="N31" s="366"/>
      <c r="O31" s="647">
        <f t="shared" si="2"/>
        <v>9.9966677774075308E-2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/>
      <c r="F32" s="446"/>
      <c r="G32" s="496"/>
      <c r="H32" s="498">
        <f>SUM($F$8:F32)/A32</f>
        <v>0</v>
      </c>
      <c r="I32" s="499">
        <f>SUM($G$8:G32)/A32</f>
        <v>0</v>
      </c>
      <c r="J32" s="443">
        <f t="shared" si="3"/>
        <v>300</v>
      </c>
      <c r="K32" s="459">
        <f t="shared" si="3"/>
        <v>300</v>
      </c>
      <c r="L32" s="338" t="e">
        <f t="shared" si="4"/>
        <v>#DIV/0!</v>
      </c>
      <c r="M32" s="300" t="e">
        <f t="shared" si="4"/>
        <v>#DIV/0!</v>
      </c>
      <c r="N32" s="366"/>
      <c r="O32" s="647">
        <f t="shared" si="2"/>
        <v>9.9966677774075308E-2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/>
      <c r="F33" s="446"/>
      <c r="G33" s="496"/>
      <c r="H33" s="448">
        <f>SUM($F$8:F33)/A33</f>
        <v>0</v>
      </c>
      <c r="I33" s="499">
        <f>SUM($G$8:G33)/A33</f>
        <v>0</v>
      </c>
      <c r="J33" s="448">
        <f t="shared" si="3"/>
        <v>300</v>
      </c>
      <c r="K33" s="459">
        <f t="shared" si="3"/>
        <v>300</v>
      </c>
      <c r="L33" s="369" t="e">
        <f t="shared" si="4"/>
        <v>#DIV/0!</v>
      </c>
      <c r="M33" s="300" t="e">
        <f t="shared" si="4"/>
        <v>#DIV/0!</v>
      </c>
      <c r="N33" s="366"/>
      <c r="O33" s="647">
        <f t="shared" si="2"/>
        <v>9.9966677774075308E-2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/>
      <c r="F34" s="446"/>
      <c r="G34" s="496"/>
      <c r="H34" s="498">
        <f>SUM($F$8:F34)/A34</f>
        <v>0</v>
      </c>
      <c r="I34" s="499">
        <f>SUM($G$8:G34)/A34</f>
        <v>0</v>
      </c>
      <c r="J34" s="443">
        <f t="shared" si="3"/>
        <v>300</v>
      </c>
      <c r="K34" s="459">
        <f t="shared" si="3"/>
        <v>300</v>
      </c>
      <c r="L34" s="338" t="e">
        <f t="shared" si="4"/>
        <v>#DIV/0!</v>
      </c>
      <c r="M34" s="300" t="e">
        <f t="shared" si="4"/>
        <v>#DIV/0!</v>
      </c>
      <c r="N34" s="366"/>
      <c r="O34" s="647">
        <f t="shared" si="2"/>
        <v>9.9966677774075308E-2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/>
      <c r="F35" s="446"/>
      <c r="G35" s="496"/>
      <c r="H35" s="498">
        <f>SUM($F$8:F35)/A35</f>
        <v>0</v>
      </c>
      <c r="I35" s="499">
        <f>SUM($G$8:G35)/A35</f>
        <v>0</v>
      </c>
      <c r="J35" s="443">
        <f t="shared" si="3"/>
        <v>300</v>
      </c>
      <c r="K35" s="459">
        <f t="shared" si="3"/>
        <v>300</v>
      </c>
      <c r="L35" s="338" t="e">
        <f t="shared" si="4"/>
        <v>#DIV/0!</v>
      </c>
      <c r="M35" s="300" t="e">
        <f t="shared" si="4"/>
        <v>#DIV/0!</v>
      </c>
      <c r="N35" s="366"/>
      <c r="O35" s="647">
        <f t="shared" si="2"/>
        <v>9.9966677774075308E-2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/>
      <c r="F36" s="446"/>
      <c r="G36" s="496"/>
      <c r="H36" s="498">
        <f>SUM($F$8:F36)/A36</f>
        <v>0</v>
      </c>
      <c r="I36" s="499">
        <f>SUM($G$8:G36)/A36</f>
        <v>0</v>
      </c>
      <c r="J36" s="443">
        <f t="shared" si="3"/>
        <v>300</v>
      </c>
      <c r="K36" s="459">
        <f t="shared" si="3"/>
        <v>300</v>
      </c>
      <c r="L36" s="338" t="e">
        <f t="shared" si="4"/>
        <v>#DIV/0!</v>
      </c>
      <c r="M36" s="300" t="e">
        <f t="shared" si="4"/>
        <v>#DIV/0!</v>
      </c>
      <c r="N36" s="366"/>
      <c r="O36" s="647">
        <f t="shared" si="2"/>
        <v>9.9966677774075308E-2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/>
      <c r="F37" s="446"/>
      <c r="G37" s="496"/>
      <c r="H37" s="498">
        <f>SUM($F$8:F37)/A37</f>
        <v>0</v>
      </c>
      <c r="I37" s="499">
        <f>SUM($G$8:G37)/A37</f>
        <v>0</v>
      </c>
      <c r="J37" s="443">
        <f t="shared" si="3"/>
        <v>300</v>
      </c>
      <c r="K37" s="459">
        <f t="shared" si="3"/>
        <v>300</v>
      </c>
      <c r="L37" s="338" t="e">
        <f t="shared" si="4"/>
        <v>#DIV/0!</v>
      </c>
      <c r="M37" s="300" t="e">
        <f t="shared" si="4"/>
        <v>#DIV/0!</v>
      </c>
      <c r="N37" s="366"/>
      <c r="O37" s="647">
        <f t="shared" si="2"/>
        <v>9.9966677774075308E-2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/>
      <c r="F38" s="446"/>
      <c r="G38" s="496"/>
      <c r="H38" s="500">
        <f>SUM($F$8:F38)/A38</f>
        <v>0</v>
      </c>
      <c r="I38" s="499">
        <f>SUM($G$8:G38)/A38</f>
        <v>0</v>
      </c>
      <c r="J38" s="500">
        <f t="shared" si="3"/>
        <v>300</v>
      </c>
      <c r="K38" s="459">
        <f t="shared" si="3"/>
        <v>300</v>
      </c>
      <c r="L38" s="368" t="e">
        <f t="shared" si="4"/>
        <v>#DIV/0!</v>
      </c>
      <c r="M38" s="300" t="e">
        <f t="shared" si="4"/>
        <v>#DIV/0!</v>
      </c>
      <c r="N38" s="366"/>
      <c r="O38" s="647">
        <f t="shared" si="2"/>
        <v>9.9966677774075308E-2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/>
      <c r="F39" s="446"/>
      <c r="G39" s="496"/>
      <c r="H39" s="498">
        <f>SUM($F$8:F39)/A39</f>
        <v>0</v>
      </c>
      <c r="I39" s="499">
        <f>SUM($G$8:G39)/A39</f>
        <v>0</v>
      </c>
      <c r="J39" s="443">
        <f t="shared" si="3"/>
        <v>300</v>
      </c>
      <c r="K39" s="459">
        <f t="shared" si="3"/>
        <v>300</v>
      </c>
      <c r="L39" s="338" t="e">
        <f t="shared" si="4"/>
        <v>#DIV/0!</v>
      </c>
      <c r="M39" s="300" t="e">
        <f t="shared" si="4"/>
        <v>#DIV/0!</v>
      </c>
      <c r="N39" s="366"/>
      <c r="O39" s="647">
        <f t="shared" si="2"/>
        <v>9.9966677774075308E-2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300</v>
      </c>
      <c r="K40" s="461">
        <f>K39</f>
        <v>300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300</v>
      </c>
      <c r="E41" s="388">
        <f>E8+E40</f>
        <v>300</v>
      </c>
      <c r="F41" s="389">
        <f>F8+F40</f>
        <v>0</v>
      </c>
      <c r="G41" s="496">
        <f>G8+G40</f>
        <v>0</v>
      </c>
      <c r="H41" s="389"/>
      <c r="I41" s="496"/>
      <c r="J41" s="389">
        <f>D41-F41</f>
        <v>300</v>
      </c>
      <c r="K41" s="389">
        <f>E41-G41</f>
        <v>300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8">
    <cfRule type="cellIs" dxfId="1295" priority="163" operator="lessThan">
      <formula>15</formula>
    </cfRule>
    <cfRule type="cellIs" dxfId="1294" priority="164" operator="greaterThan">
      <formula>20</formula>
    </cfRule>
    <cfRule type="cellIs" dxfId="1293" priority="165" operator="between">
      <formula>15</formula>
      <formula>20</formula>
    </cfRule>
    <cfRule type="cellIs" dxfId="1292" priority="166" operator="between">
      <formula>15</formula>
      <formula>20</formula>
    </cfRule>
    <cfRule type="cellIs" dxfId="1291" priority="167" operator="lessThan">
      <formula>15</formula>
    </cfRule>
    <cfRule type="cellIs" dxfId="1290" priority="168" operator="greaterThan">
      <formula>20</formula>
    </cfRule>
    <cfRule type="cellIs" dxfId="1289" priority="169" operator="between">
      <formula>15</formula>
      <formula>21</formula>
    </cfRule>
    <cfRule type="cellIs" dxfId="1288" priority="170" operator="lessThan">
      <formula>15</formula>
    </cfRule>
    <cfRule type="cellIs" dxfId="1287" priority="171" operator="greaterThan">
      <formula>21</formula>
    </cfRule>
  </conditionalFormatting>
  <conditionalFormatting sqref="M23">
    <cfRule type="cellIs" dxfId="1286" priority="154" operator="lessThan">
      <formula>15</formula>
    </cfRule>
    <cfRule type="cellIs" dxfId="1285" priority="155" operator="greaterThan">
      <formula>20</formula>
    </cfRule>
    <cfRule type="cellIs" dxfId="1284" priority="156" operator="between">
      <formula>15</formula>
      <formula>20</formula>
    </cfRule>
    <cfRule type="cellIs" dxfId="1283" priority="157" operator="between">
      <formula>15</formula>
      <formula>20</formula>
    </cfRule>
    <cfRule type="cellIs" dxfId="1282" priority="158" operator="lessThan">
      <formula>15</formula>
    </cfRule>
    <cfRule type="cellIs" dxfId="1281" priority="159" operator="greaterThan">
      <formula>20</formula>
    </cfRule>
    <cfRule type="cellIs" dxfId="1280" priority="160" operator="between">
      <formula>15</formula>
      <formula>21</formula>
    </cfRule>
    <cfRule type="cellIs" dxfId="1279" priority="161" operator="lessThan">
      <formula>15</formula>
    </cfRule>
    <cfRule type="cellIs" dxfId="1278" priority="162" operator="greaterThan">
      <formula>21</formula>
    </cfRule>
  </conditionalFormatting>
  <conditionalFormatting sqref="M18">
    <cfRule type="cellIs" dxfId="1277" priority="145" operator="lessThan">
      <formula>15</formula>
    </cfRule>
    <cfRule type="cellIs" dxfId="1276" priority="146" operator="greaterThan">
      <formula>20</formula>
    </cfRule>
    <cfRule type="cellIs" dxfId="1275" priority="147" operator="between">
      <formula>15</formula>
      <formula>20</formula>
    </cfRule>
    <cfRule type="cellIs" dxfId="1274" priority="148" operator="between">
      <formula>15</formula>
      <formula>20</formula>
    </cfRule>
    <cfRule type="cellIs" dxfId="1273" priority="149" operator="lessThan">
      <formula>15</formula>
    </cfRule>
    <cfRule type="cellIs" dxfId="1272" priority="150" operator="greaterThan">
      <formula>20</formula>
    </cfRule>
    <cfRule type="cellIs" dxfId="1271" priority="151" operator="between">
      <formula>15</formula>
      <formula>21</formula>
    </cfRule>
    <cfRule type="cellIs" dxfId="1270" priority="152" operator="lessThan">
      <formula>15</formula>
    </cfRule>
    <cfRule type="cellIs" dxfId="1269" priority="153" operator="greaterThan">
      <formula>21</formula>
    </cfRule>
  </conditionalFormatting>
  <conditionalFormatting sqref="M35:M37">
    <cfRule type="cellIs" dxfId="1268" priority="172" operator="lessThan">
      <formula>15</formula>
    </cfRule>
    <cfRule type="cellIs" dxfId="1267" priority="173" operator="greaterThan">
      <formula>20</formula>
    </cfRule>
    <cfRule type="cellIs" dxfId="1266" priority="174" operator="between">
      <formula>15</formula>
      <formula>20</formula>
    </cfRule>
    <cfRule type="cellIs" dxfId="1265" priority="175" operator="between">
      <formula>15</formula>
      <formula>20</formula>
    </cfRule>
    <cfRule type="cellIs" dxfId="1264" priority="176" operator="lessThan">
      <formula>15</formula>
    </cfRule>
    <cfRule type="cellIs" dxfId="1263" priority="177" operator="greaterThan">
      <formula>20</formula>
    </cfRule>
    <cfRule type="cellIs" dxfId="1262" priority="178" operator="between">
      <formula>15</formula>
      <formula>21</formula>
    </cfRule>
    <cfRule type="cellIs" dxfId="1261" priority="179" operator="lessThan">
      <formula>15</formula>
    </cfRule>
    <cfRule type="cellIs" dxfId="1260" priority="180" operator="greaterThan">
      <formula>21</formula>
    </cfRule>
  </conditionalFormatting>
  <conditionalFormatting sqref="M13">
    <cfRule type="cellIs" dxfId="1259" priority="136" operator="lessThan">
      <formula>15</formula>
    </cfRule>
    <cfRule type="cellIs" dxfId="1258" priority="137" operator="greaterThan">
      <formula>20</formula>
    </cfRule>
    <cfRule type="cellIs" dxfId="1257" priority="138" operator="between">
      <formula>15</formula>
      <formula>20</formula>
    </cfRule>
    <cfRule type="cellIs" dxfId="1256" priority="139" operator="between">
      <formula>15</formula>
      <formula>20</formula>
    </cfRule>
    <cfRule type="cellIs" dxfId="1255" priority="140" operator="lessThan">
      <formula>15</formula>
    </cfRule>
    <cfRule type="cellIs" dxfId="1254" priority="141" operator="greaterThan">
      <formula>20</formula>
    </cfRule>
    <cfRule type="cellIs" dxfId="1253" priority="142" operator="between">
      <formula>15</formula>
      <formula>21</formula>
    </cfRule>
    <cfRule type="cellIs" dxfId="1252" priority="143" operator="lessThan">
      <formula>15</formula>
    </cfRule>
    <cfRule type="cellIs" dxfId="1251" priority="144" operator="greaterThan">
      <formula>21</formula>
    </cfRule>
  </conditionalFormatting>
  <conditionalFormatting sqref="M33">
    <cfRule type="cellIs" dxfId="1250" priority="127" operator="lessThan">
      <formula>15</formula>
    </cfRule>
    <cfRule type="cellIs" dxfId="1249" priority="128" operator="greaterThan">
      <formula>20</formula>
    </cfRule>
    <cfRule type="cellIs" dxfId="1248" priority="129" operator="between">
      <formula>15</formula>
      <formula>20</formula>
    </cfRule>
    <cfRule type="cellIs" dxfId="1247" priority="130" operator="between">
      <formula>15</formula>
      <formula>20</formula>
    </cfRule>
    <cfRule type="cellIs" dxfId="1246" priority="131" operator="lessThan">
      <formula>15</formula>
    </cfRule>
    <cfRule type="cellIs" dxfId="1245" priority="132" operator="greaterThan">
      <formula>20</formula>
    </cfRule>
    <cfRule type="cellIs" dxfId="1244" priority="133" operator="between">
      <formula>15</formula>
      <formula>21</formula>
    </cfRule>
    <cfRule type="cellIs" dxfId="1243" priority="134" operator="lessThan">
      <formula>15</formula>
    </cfRule>
    <cfRule type="cellIs" dxfId="1242" priority="135" operator="greaterThan">
      <formula>21</formula>
    </cfRule>
  </conditionalFormatting>
  <conditionalFormatting sqref="M38">
    <cfRule type="cellIs" dxfId="1241" priority="118" operator="lessThan">
      <formula>15</formula>
    </cfRule>
    <cfRule type="cellIs" dxfId="1240" priority="119" operator="greaterThan">
      <formula>20</formula>
    </cfRule>
    <cfRule type="cellIs" dxfId="1239" priority="120" operator="between">
      <formula>15</formula>
      <formula>20</formula>
    </cfRule>
    <cfRule type="cellIs" dxfId="1238" priority="121" operator="between">
      <formula>15</formula>
      <formula>20</formula>
    </cfRule>
    <cfRule type="cellIs" dxfId="1237" priority="122" operator="lessThan">
      <formula>15</formula>
    </cfRule>
    <cfRule type="cellIs" dxfId="1236" priority="123" operator="greaterThan">
      <formula>20</formula>
    </cfRule>
    <cfRule type="cellIs" dxfId="1235" priority="124" operator="between">
      <formula>15</formula>
      <formula>21</formula>
    </cfRule>
    <cfRule type="cellIs" dxfId="1234" priority="125" operator="lessThan">
      <formula>15</formula>
    </cfRule>
    <cfRule type="cellIs" dxfId="1233" priority="126" operator="greaterThan">
      <formula>21</formula>
    </cfRule>
  </conditionalFormatting>
  <conditionalFormatting sqref="M20">
    <cfRule type="cellIs" dxfId="1232" priority="217" operator="lessThan">
      <formula>15</formula>
    </cfRule>
    <cfRule type="cellIs" dxfId="1231" priority="218" operator="greaterThan">
      <formula>20</formula>
    </cfRule>
    <cfRule type="cellIs" dxfId="1230" priority="219" operator="between">
      <formula>15</formula>
      <formula>20</formula>
    </cfRule>
    <cfRule type="cellIs" dxfId="1229" priority="220" operator="between">
      <formula>15</formula>
      <formula>20</formula>
    </cfRule>
    <cfRule type="cellIs" dxfId="1228" priority="221" operator="lessThan">
      <formula>15</formula>
    </cfRule>
    <cfRule type="cellIs" dxfId="1227" priority="222" operator="greaterThan">
      <formula>20</formula>
    </cfRule>
    <cfRule type="cellIs" dxfId="1226" priority="223" operator="between">
      <formula>15</formula>
      <formula>21</formula>
    </cfRule>
    <cfRule type="cellIs" dxfId="1225" priority="224" operator="lessThan">
      <formula>15</formula>
    </cfRule>
    <cfRule type="cellIs" dxfId="1224" priority="225" operator="greaterThan">
      <formula>21</formula>
    </cfRule>
  </conditionalFormatting>
  <conditionalFormatting sqref="M27">
    <cfRule type="cellIs" dxfId="1223" priority="208" operator="lessThan">
      <formula>15</formula>
    </cfRule>
    <cfRule type="cellIs" dxfId="1222" priority="209" operator="greaterThan">
      <formula>20</formula>
    </cfRule>
    <cfRule type="cellIs" dxfId="1221" priority="210" operator="between">
      <formula>15</formula>
      <formula>20</formula>
    </cfRule>
    <cfRule type="cellIs" dxfId="1220" priority="211" operator="between">
      <formula>15</formula>
      <formula>20</formula>
    </cfRule>
    <cfRule type="cellIs" dxfId="1219" priority="212" operator="lessThan">
      <formula>15</formula>
    </cfRule>
    <cfRule type="cellIs" dxfId="1218" priority="213" operator="greaterThan">
      <formula>20</formula>
    </cfRule>
    <cfRule type="cellIs" dxfId="1217" priority="214" operator="between">
      <formula>15</formula>
      <formula>21</formula>
    </cfRule>
    <cfRule type="cellIs" dxfId="1216" priority="215" operator="lessThan">
      <formula>15</formula>
    </cfRule>
    <cfRule type="cellIs" dxfId="1215" priority="216" operator="greaterThan">
      <formula>21</formula>
    </cfRule>
  </conditionalFormatting>
  <conditionalFormatting sqref="M34">
    <cfRule type="cellIs" dxfId="1214" priority="199" operator="lessThan">
      <formula>15</formula>
    </cfRule>
    <cfRule type="cellIs" dxfId="1213" priority="200" operator="greaterThan">
      <formula>20</formula>
    </cfRule>
    <cfRule type="cellIs" dxfId="1212" priority="201" operator="between">
      <formula>15</formula>
      <formula>20</formula>
    </cfRule>
    <cfRule type="cellIs" dxfId="1211" priority="202" operator="between">
      <formula>15</formula>
      <formula>20</formula>
    </cfRule>
    <cfRule type="cellIs" dxfId="1210" priority="203" operator="lessThan">
      <formula>15</formula>
    </cfRule>
    <cfRule type="cellIs" dxfId="1209" priority="204" operator="greaterThan">
      <formula>20</formula>
    </cfRule>
    <cfRule type="cellIs" dxfId="1208" priority="205" operator="between">
      <formula>15</formula>
      <formula>21</formula>
    </cfRule>
    <cfRule type="cellIs" dxfId="1207" priority="206" operator="lessThan">
      <formula>15</formula>
    </cfRule>
    <cfRule type="cellIs" dxfId="1206" priority="207" operator="greaterThan">
      <formula>21</formula>
    </cfRule>
  </conditionalFormatting>
  <conditionalFormatting sqref="M14:M17 M39 M21:M22 M24:M26 M19">
    <cfRule type="cellIs" dxfId="1205" priority="226" operator="lessThan">
      <formula>15</formula>
    </cfRule>
    <cfRule type="cellIs" dxfId="1204" priority="227" operator="greaterThan">
      <formula>20</formula>
    </cfRule>
    <cfRule type="cellIs" dxfId="1203" priority="228" operator="between">
      <formula>15</formula>
      <formula>20</formula>
    </cfRule>
    <cfRule type="cellIs" dxfId="1202" priority="229" operator="between">
      <formula>15</formula>
      <formula>20</formula>
    </cfRule>
    <cfRule type="cellIs" dxfId="1201" priority="230" operator="lessThan">
      <formula>15</formula>
    </cfRule>
    <cfRule type="cellIs" dxfId="1200" priority="231" operator="greaterThan">
      <formula>20</formula>
    </cfRule>
    <cfRule type="cellIs" dxfId="1199" priority="232" operator="between">
      <formula>15</formula>
      <formula>21</formula>
    </cfRule>
    <cfRule type="cellIs" dxfId="1198" priority="233" operator="lessThan">
      <formula>15</formula>
    </cfRule>
    <cfRule type="cellIs" dxfId="1197" priority="234" operator="greaterThan">
      <formula>21</formula>
    </cfRule>
  </conditionalFormatting>
  <conditionalFormatting sqref="M9:M12">
    <cfRule type="cellIs" dxfId="1196" priority="190" operator="lessThan">
      <formula>15</formula>
    </cfRule>
    <cfRule type="cellIs" dxfId="1195" priority="191" operator="greaterThan">
      <formula>20</formula>
    </cfRule>
    <cfRule type="cellIs" dxfId="1194" priority="192" operator="between">
      <formula>15</formula>
      <formula>20</formula>
    </cfRule>
    <cfRule type="cellIs" dxfId="1193" priority="193" operator="between">
      <formula>15</formula>
      <formula>20</formula>
    </cfRule>
    <cfRule type="cellIs" dxfId="1192" priority="194" operator="lessThan">
      <formula>15</formula>
    </cfRule>
    <cfRule type="cellIs" dxfId="1191" priority="195" operator="greaterThan">
      <formula>20</formula>
    </cfRule>
    <cfRule type="cellIs" dxfId="1190" priority="196" operator="between">
      <formula>15</formula>
      <formula>21</formula>
    </cfRule>
    <cfRule type="cellIs" dxfId="1189" priority="197" operator="lessThan">
      <formula>15</formula>
    </cfRule>
    <cfRule type="cellIs" dxfId="1188" priority="198" operator="greaterThan">
      <formula>21</formula>
    </cfRule>
  </conditionalFormatting>
  <conditionalFormatting sqref="M29:M32">
    <cfRule type="cellIs" dxfId="1187" priority="181" operator="lessThan">
      <formula>15</formula>
    </cfRule>
    <cfRule type="cellIs" dxfId="1186" priority="182" operator="greaterThan">
      <formula>20</formula>
    </cfRule>
    <cfRule type="cellIs" dxfId="1185" priority="183" operator="between">
      <formula>15</formula>
      <formula>20</formula>
    </cfRule>
    <cfRule type="cellIs" dxfId="1184" priority="184" operator="between">
      <formula>15</formula>
      <formula>20</formula>
    </cfRule>
    <cfRule type="cellIs" dxfId="1183" priority="185" operator="lessThan">
      <formula>15</formula>
    </cfRule>
    <cfRule type="cellIs" dxfId="1182" priority="186" operator="greaterThan">
      <formula>20</formula>
    </cfRule>
    <cfRule type="cellIs" dxfId="1181" priority="187" operator="between">
      <formula>15</formula>
      <formula>21</formula>
    </cfRule>
    <cfRule type="cellIs" dxfId="1180" priority="188" operator="lessThan">
      <formula>15</formula>
    </cfRule>
    <cfRule type="cellIs" dxfId="1179" priority="189" operator="greaterThan">
      <formula>21</formula>
    </cfRule>
  </conditionalFormatting>
  <conditionalFormatting sqref="M38">
    <cfRule type="cellIs" dxfId="1178" priority="109" operator="lessThan">
      <formula>15</formula>
    </cfRule>
    <cfRule type="cellIs" dxfId="1177" priority="110" operator="greaterThan">
      <formula>20</formula>
    </cfRule>
    <cfRule type="cellIs" dxfId="1176" priority="111" operator="between">
      <formula>15</formula>
      <formula>20</formula>
    </cfRule>
    <cfRule type="cellIs" dxfId="1175" priority="112" operator="between">
      <formula>15</formula>
      <formula>20</formula>
    </cfRule>
    <cfRule type="cellIs" dxfId="1174" priority="113" operator="lessThan">
      <formula>15</formula>
    </cfRule>
    <cfRule type="cellIs" dxfId="1173" priority="114" operator="greaterThan">
      <formula>20</formula>
    </cfRule>
    <cfRule type="cellIs" dxfId="1172" priority="115" operator="between">
      <formula>15</formula>
      <formula>21</formula>
    </cfRule>
    <cfRule type="cellIs" dxfId="1171" priority="116" operator="lessThan">
      <formula>15</formula>
    </cfRule>
    <cfRule type="cellIs" dxfId="1170" priority="117" operator="greaterThan">
      <formula>21</formula>
    </cfRule>
  </conditionalFormatting>
  <conditionalFormatting sqref="M33">
    <cfRule type="cellIs" dxfId="1169" priority="100" operator="lessThan">
      <formula>15</formula>
    </cfRule>
    <cfRule type="cellIs" dxfId="1168" priority="101" operator="greaterThan">
      <formula>20</formula>
    </cfRule>
    <cfRule type="cellIs" dxfId="1167" priority="102" operator="between">
      <formula>15</formula>
      <formula>20</formula>
    </cfRule>
    <cfRule type="cellIs" dxfId="1166" priority="103" operator="between">
      <formula>15</formula>
      <formula>20</formula>
    </cfRule>
    <cfRule type="cellIs" dxfId="1165" priority="104" operator="lessThan">
      <formula>15</formula>
    </cfRule>
    <cfRule type="cellIs" dxfId="1164" priority="105" operator="greaterThan">
      <formula>20</formula>
    </cfRule>
    <cfRule type="cellIs" dxfId="1163" priority="106" operator="between">
      <formula>15</formula>
      <formula>21</formula>
    </cfRule>
    <cfRule type="cellIs" dxfId="1162" priority="107" operator="lessThan">
      <formula>15</formula>
    </cfRule>
    <cfRule type="cellIs" dxfId="1161" priority="108" operator="greaterThan">
      <formula>21</formula>
    </cfRule>
  </conditionalFormatting>
  <conditionalFormatting sqref="M28">
    <cfRule type="cellIs" dxfId="1160" priority="91" operator="lessThan">
      <formula>15</formula>
    </cfRule>
    <cfRule type="cellIs" dxfId="1159" priority="92" operator="greaterThan">
      <formula>20</formula>
    </cfRule>
    <cfRule type="cellIs" dxfId="1158" priority="93" operator="between">
      <formula>15</formula>
      <formula>20</formula>
    </cfRule>
    <cfRule type="cellIs" dxfId="1157" priority="94" operator="between">
      <formula>15</formula>
      <formula>20</formula>
    </cfRule>
    <cfRule type="cellIs" dxfId="1156" priority="95" operator="lessThan">
      <formula>15</formula>
    </cfRule>
    <cfRule type="cellIs" dxfId="1155" priority="96" operator="greaterThan">
      <formula>20</formula>
    </cfRule>
    <cfRule type="cellIs" dxfId="1154" priority="97" operator="between">
      <formula>15</formula>
      <formula>21</formula>
    </cfRule>
    <cfRule type="cellIs" dxfId="1153" priority="98" operator="lessThan">
      <formula>15</formula>
    </cfRule>
    <cfRule type="cellIs" dxfId="1152" priority="99" operator="greaterThan">
      <formula>21</formula>
    </cfRule>
  </conditionalFormatting>
  <conditionalFormatting sqref="M23">
    <cfRule type="cellIs" dxfId="1151" priority="82" operator="lessThan">
      <formula>15</formula>
    </cfRule>
    <cfRule type="cellIs" dxfId="1150" priority="83" operator="greaterThan">
      <formula>20</formula>
    </cfRule>
    <cfRule type="cellIs" dxfId="1149" priority="84" operator="between">
      <formula>15</formula>
      <formula>20</formula>
    </cfRule>
    <cfRule type="cellIs" dxfId="1148" priority="85" operator="between">
      <formula>15</formula>
      <formula>20</formula>
    </cfRule>
    <cfRule type="cellIs" dxfId="1147" priority="86" operator="lessThan">
      <formula>15</formula>
    </cfRule>
    <cfRule type="cellIs" dxfId="1146" priority="87" operator="greaterThan">
      <formula>20</formula>
    </cfRule>
    <cfRule type="cellIs" dxfId="1145" priority="88" operator="between">
      <formula>15</formula>
      <formula>21</formula>
    </cfRule>
    <cfRule type="cellIs" dxfId="1144" priority="89" operator="lessThan">
      <formula>15</formula>
    </cfRule>
    <cfRule type="cellIs" dxfId="1143" priority="90" operator="greaterThan">
      <formula>21</formula>
    </cfRule>
  </conditionalFormatting>
  <conditionalFormatting sqref="M18">
    <cfRule type="cellIs" dxfId="1142" priority="73" operator="lessThan">
      <formula>15</formula>
    </cfRule>
    <cfRule type="cellIs" dxfId="1141" priority="74" operator="greaterThan">
      <formula>20</formula>
    </cfRule>
    <cfRule type="cellIs" dxfId="1140" priority="75" operator="between">
      <formula>15</formula>
      <formula>20</formula>
    </cfRule>
    <cfRule type="cellIs" dxfId="1139" priority="76" operator="between">
      <formula>15</formula>
      <formula>20</formula>
    </cfRule>
    <cfRule type="cellIs" dxfId="1138" priority="77" operator="lessThan">
      <formula>15</formula>
    </cfRule>
    <cfRule type="cellIs" dxfId="1137" priority="78" operator="greaterThan">
      <formula>20</formula>
    </cfRule>
    <cfRule type="cellIs" dxfId="1136" priority="79" operator="between">
      <formula>15</formula>
      <formula>21</formula>
    </cfRule>
    <cfRule type="cellIs" dxfId="1135" priority="80" operator="lessThan">
      <formula>15</formula>
    </cfRule>
    <cfRule type="cellIs" dxfId="1134" priority="81" operator="greaterThan">
      <formula>21</formula>
    </cfRule>
  </conditionalFormatting>
  <conditionalFormatting sqref="M35:M37">
    <cfRule type="cellIs" dxfId="1133" priority="64" operator="lessThan">
      <formula>15</formula>
    </cfRule>
    <cfRule type="cellIs" dxfId="1132" priority="65" operator="greaterThan">
      <formula>20</formula>
    </cfRule>
    <cfRule type="cellIs" dxfId="1131" priority="66" operator="between">
      <formula>15</formula>
      <formula>20</formula>
    </cfRule>
    <cfRule type="cellIs" dxfId="1130" priority="67" operator="between">
      <formula>15</formula>
      <formula>20</formula>
    </cfRule>
    <cfRule type="cellIs" dxfId="1129" priority="68" operator="lessThan">
      <formula>15</formula>
    </cfRule>
    <cfRule type="cellIs" dxfId="1128" priority="69" operator="greaterThan">
      <formula>20</formula>
    </cfRule>
    <cfRule type="cellIs" dxfId="1127" priority="70" operator="between">
      <formula>15</formula>
      <formula>21</formula>
    </cfRule>
    <cfRule type="cellIs" dxfId="1126" priority="71" operator="lessThan">
      <formula>15</formula>
    </cfRule>
    <cfRule type="cellIs" dxfId="1125" priority="72" operator="greaterThan">
      <formula>21</formula>
    </cfRule>
  </conditionalFormatting>
  <conditionalFormatting sqref="M13">
    <cfRule type="cellIs" dxfId="1124" priority="55" operator="lessThan">
      <formula>15</formula>
    </cfRule>
    <cfRule type="cellIs" dxfId="1123" priority="56" operator="greaterThan">
      <formula>20</formula>
    </cfRule>
    <cfRule type="cellIs" dxfId="1122" priority="57" operator="between">
      <formula>15</formula>
      <formula>20</formula>
    </cfRule>
    <cfRule type="cellIs" dxfId="1121" priority="58" operator="between">
      <formula>15</formula>
      <formula>20</formula>
    </cfRule>
    <cfRule type="cellIs" dxfId="1120" priority="59" operator="lessThan">
      <formula>15</formula>
    </cfRule>
    <cfRule type="cellIs" dxfId="1119" priority="60" operator="greaterThan">
      <formula>20</formula>
    </cfRule>
    <cfRule type="cellIs" dxfId="1118" priority="61" operator="between">
      <formula>15</formula>
      <formula>21</formula>
    </cfRule>
    <cfRule type="cellIs" dxfId="1117" priority="62" operator="lessThan">
      <formula>15</formula>
    </cfRule>
    <cfRule type="cellIs" dxfId="1116" priority="63" operator="greaterThan">
      <formula>21</formula>
    </cfRule>
  </conditionalFormatting>
  <conditionalFormatting sqref="M20">
    <cfRule type="cellIs" dxfId="1115" priority="46" operator="lessThan">
      <formula>15</formula>
    </cfRule>
    <cfRule type="cellIs" dxfId="1114" priority="47" operator="greaterThan">
      <formula>20</formula>
    </cfRule>
    <cfRule type="cellIs" dxfId="1113" priority="48" operator="between">
      <formula>15</formula>
      <formula>20</formula>
    </cfRule>
    <cfRule type="cellIs" dxfId="1112" priority="49" operator="between">
      <formula>15</formula>
      <formula>20</formula>
    </cfRule>
    <cfRule type="cellIs" dxfId="1111" priority="50" operator="lessThan">
      <formula>15</formula>
    </cfRule>
    <cfRule type="cellIs" dxfId="1110" priority="51" operator="greaterThan">
      <formula>20</formula>
    </cfRule>
    <cfRule type="cellIs" dxfId="1109" priority="52" operator="between">
      <formula>15</formula>
      <formula>21</formula>
    </cfRule>
    <cfRule type="cellIs" dxfId="1108" priority="53" operator="lessThan">
      <formula>15</formula>
    </cfRule>
    <cfRule type="cellIs" dxfId="1107" priority="54" operator="greaterThan">
      <formula>21</formula>
    </cfRule>
  </conditionalFormatting>
  <conditionalFormatting sqref="M27">
    <cfRule type="cellIs" dxfId="1106" priority="37" operator="lessThan">
      <formula>15</formula>
    </cfRule>
    <cfRule type="cellIs" dxfId="1105" priority="38" operator="greaterThan">
      <formula>20</formula>
    </cfRule>
    <cfRule type="cellIs" dxfId="1104" priority="39" operator="between">
      <formula>15</formula>
      <formula>20</formula>
    </cfRule>
    <cfRule type="cellIs" dxfId="1103" priority="40" operator="between">
      <formula>15</formula>
      <formula>20</formula>
    </cfRule>
    <cfRule type="cellIs" dxfId="1102" priority="41" operator="lessThan">
      <formula>15</formula>
    </cfRule>
    <cfRule type="cellIs" dxfId="1101" priority="42" operator="greaterThan">
      <formula>20</formula>
    </cfRule>
    <cfRule type="cellIs" dxfId="1100" priority="43" operator="between">
      <formula>15</formula>
      <formula>21</formula>
    </cfRule>
    <cfRule type="cellIs" dxfId="1099" priority="44" operator="lessThan">
      <formula>15</formula>
    </cfRule>
    <cfRule type="cellIs" dxfId="1098" priority="45" operator="greaterThan">
      <formula>21</formula>
    </cfRule>
  </conditionalFormatting>
  <conditionalFormatting sqref="M34">
    <cfRule type="cellIs" dxfId="1097" priority="28" operator="lessThan">
      <formula>15</formula>
    </cfRule>
    <cfRule type="cellIs" dxfId="1096" priority="29" operator="greaterThan">
      <formula>20</formula>
    </cfRule>
    <cfRule type="cellIs" dxfId="1095" priority="30" operator="between">
      <formula>15</formula>
      <formula>20</formula>
    </cfRule>
    <cfRule type="cellIs" dxfId="1094" priority="31" operator="between">
      <formula>15</formula>
      <formula>20</formula>
    </cfRule>
    <cfRule type="cellIs" dxfId="1093" priority="32" operator="lessThan">
      <formula>15</formula>
    </cfRule>
    <cfRule type="cellIs" dxfId="1092" priority="33" operator="greaterThan">
      <formula>20</formula>
    </cfRule>
    <cfRule type="cellIs" dxfId="1091" priority="34" operator="between">
      <formula>15</formula>
      <formula>21</formula>
    </cfRule>
    <cfRule type="cellIs" dxfId="1090" priority="35" operator="lessThan">
      <formula>15</formula>
    </cfRule>
    <cfRule type="cellIs" dxfId="1089" priority="36" operator="greaterThan">
      <formula>21</formula>
    </cfRule>
  </conditionalFormatting>
  <conditionalFormatting sqref="M14:M17 M39 M21:M22 M24:M26 M19">
    <cfRule type="cellIs" dxfId="1088" priority="19" operator="lessThan">
      <formula>15</formula>
    </cfRule>
    <cfRule type="cellIs" dxfId="1087" priority="20" operator="greaterThan">
      <formula>20</formula>
    </cfRule>
    <cfRule type="cellIs" dxfId="1086" priority="21" operator="between">
      <formula>15</formula>
      <formula>20</formula>
    </cfRule>
    <cfRule type="cellIs" dxfId="1085" priority="22" operator="between">
      <formula>15</formula>
      <formula>20</formula>
    </cfRule>
    <cfRule type="cellIs" dxfId="1084" priority="23" operator="lessThan">
      <formula>15</formula>
    </cfRule>
    <cfRule type="cellIs" dxfId="1083" priority="24" operator="greaterThan">
      <formula>20</formula>
    </cfRule>
    <cfRule type="cellIs" dxfId="1082" priority="25" operator="between">
      <formula>15</formula>
      <formula>21</formula>
    </cfRule>
    <cfRule type="cellIs" dxfId="1081" priority="26" operator="lessThan">
      <formula>15</formula>
    </cfRule>
    <cfRule type="cellIs" dxfId="1080" priority="27" operator="greaterThan">
      <formula>21</formula>
    </cfRule>
  </conditionalFormatting>
  <conditionalFormatting sqref="M9:M12">
    <cfRule type="cellIs" dxfId="1079" priority="10" operator="lessThan">
      <formula>15</formula>
    </cfRule>
    <cfRule type="cellIs" dxfId="1078" priority="11" operator="greaterThan">
      <formula>20</formula>
    </cfRule>
    <cfRule type="cellIs" dxfId="1077" priority="12" operator="between">
      <formula>15</formula>
      <formula>20</formula>
    </cfRule>
    <cfRule type="cellIs" dxfId="1076" priority="13" operator="between">
      <formula>15</formula>
      <formula>20</formula>
    </cfRule>
    <cfRule type="cellIs" dxfId="1075" priority="14" operator="lessThan">
      <formula>15</formula>
    </cfRule>
    <cfRule type="cellIs" dxfId="1074" priority="15" operator="greaterThan">
      <formula>20</formula>
    </cfRule>
    <cfRule type="cellIs" dxfId="1073" priority="16" operator="between">
      <formula>15</formula>
      <formula>21</formula>
    </cfRule>
    <cfRule type="cellIs" dxfId="1072" priority="17" operator="lessThan">
      <formula>15</formula>
    </cfRule>
    <cfRule type="cellIs" dxfId="1071" priority="18" operator="greaterThan">
      <formula>21</formula>
    </cfRule>
  </conditionalFormatting>
  <conditionalFormatting sqref="M29:M32">
    <cfRule type="cellIs" dxfId="1070" priority="1" operator="lessThan">
      <formula>15</formula>
    </cfRule>
    <cfRule type="cellIs" dxfId="1069" priority="2" operator="greaterThan">
      <formula>20</formula>
    </cfRule>
    <cfRule type="cellIs" dxfId="1068" priority="3" operator="between">
      <formula>15</formula>
      <formula>20</formula>
    </cfRule>
    <cfRule type="cellIs" dxfId="1067" priority="4" operator="between">
      <formula>15</formula>
      <formula>20</formula>
    </cfRule>
    <cfRule type="cellIs" dxfId="1066" priority="5" operator="lessThan">
      <formula>15</formula>
    </cfRule>
    <cfRule type="cellIs" dxfId="1065" priority="6" operator="greaterThan">
      <formula>20</formula>
    </cfRule>
    <cfRule type="cellIs" dxfId="1064" priority="7" operator="between">
      <formula>15</formula>
      <formula>21</formula>
    </cfRule>
    <cfRule type="cellIs" dxfId="1063" priority="8" operator="lessThan">
      <formula>15</formula>
    </cfRule>
    <cfRule type="cellIs" dxfId="1062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Y50"/>
  <sheetViews>
    <sheetView zoomScale="80" zoomScaleNormal="80" workbookViewId="0">
      <pane ySplit="8" topLeftCell="A18" activePane="bottomLeft" state="frozen"/>
      <selection pane="bottomLeft" activeCell="M5" sqref="M5"/>
    </sheetView>
  </sheetViews>
  <sheetFormatPr defaultColWidth="9.28515625" defaultRowHeight="15"/>
  <cols>
    <col min="1" max="1" width="5.42578125" style="143" customWidth="1"/>
    <col min="2" max="2" width="7.85546875" style="143" customWidth="1"/>
    <col min="3" max="3" width="17.42578125" style="143" customWidth="1"/>
    <col min="4" max="10" width="10" style="142" customWidth="1"/>
    <col min="11" max="11" width="10.7109375" style="142" customWidth="1"/>
    <col min="12" max="13" width="11.7109375" style="143" customWidth="1"/>
    <col min="14" max="14" width="6.710937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FRIT FV090/540-FTA</v>
      </c>
      <c r="D4" s="383"/>
      <c r="E4" s="383" t="s">
        <v>228</v>
      </c>
      <c r="F4" s="383" t="s">
        <v>230</v>
      </c>
      <c r="G4" s="383"/>
      <c r="I4" s="383" t="s">
        <v>120</v>
      </c>
      <c r="J4" s="318" t="s">
        <v>177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521.47199999999998</v>
      </c>
      <c r="E8" s="388">
        <f>K8</f>
        <v>537.6</v>
      </c>
      <c r="F8" s="389">
        <f>F40</f>
        <v>0</v>
      </c>
      <c r="G8" s="388">
        <f>G40</f>
        <v>0</v>
      </c>
      <c r="H8" s="387"/>
      <c r="I8" s="388"/>
      <c r="J8" s="390">
        <f>K8-K8*N8</f>
        <v>521.47199999999998</v>
      </c>
      <c r="K8" s="659">
        <v>537.6</v>
      </c>
      <c r="L8" s="303"/>
      <c r="M8" s="304"/>
      <c r="N8" s="366">
        <v>0.03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>
        <f>E9-(E9*N9)</f>
        <v>0</v>
      </c>
      <c r="E9" s="388"/>
      <c r="F9" s="446"/>
      <c r="G9" s="496"/>
      <c r="H9" s="498">
        <f>SUM($F$9:F9)/A9</f>
        <v>0</v>
      </c>
      <c r="I9" s="499">
        <f>SUM($G$9:G9)/A9</f>
        <v>0</v>
      </c>
      <c r="J9" s="443">
        <f t="shared" ref="J9:K11" si="0">J8+D9-F9</f>
        <v>521.47199999999998</v>
      </c>
      <c r="K9" s="459">
        <f t="shared" si="0"/>
        <v>537.6</v>
      </c>
      <c r="L9" s="338" t="e">
        <f>J9/H9</f>
        <v>#DIV/0!</v>
      </c>
      <c r="M9" s="300" t="e">
        <f>K9/I9</f>
        <v>#DIV/0!</v>
      </c>
      <c r="N9" s="366"/>
      <c r="O9" s="647">
        <f>J9/$O$8</f>
        <v>0.17376607797400867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>
        <f>E10-(E10*N10)</f>
        <v>0</v>
      </c>
      <c r="E10" s="388"/>
      <c r="F10" s="446"/>
      <c r="G10" s="496"/>
      <c r="H10" s="498">
        <f>SUM($F$9:F10)/A10</f>
        <v>0</v>
      </c>
      <c r="I10" s="499">
        <f>SUM($G$9:G10)/A10</f>
        <v>0</v>
      </c>
      <c r="J10" s="443">
        <f t="shared" si="0"/>
        <v>521.47199999999998</v>
      </c>
      <c r="K10" s="459">
        <f t="shared" si="0"/>
        <v>537.6</v>
      </c>
      <c r="L10" s="338" t="e">
        <f t="shared" ref="L10:L39" si="1">J10/H10</f>
        <v>#DIV/0!</v>
      </c>
      <c r="M10" s="300" t="e">
        <f t="shared" ref="M10:M39" si="2">K10/I10</f>
        <v>#DIV/0!</v>
      </c>
      <c r="N10" s="366"/>
      <c r="O10" s="647">
        <f t="shared" ref="O10:O39" si="3">J10/$O$8</f>
        <v>0.17376607797400867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>
        <f>E11-(E11*N11)</f>
        <v>0</v>
      </c>
      <c r="E11" s="388"/>
      <c r="F11" s="446"/>
      <c r="G11" s="496"/>
      <c r="H11" s="498">
        <f>SUM($F$9:F11)/A11</f>
        <v>0</v>
      </c>
      <c r="I11" s="499">
        <f>SUM($G$9:G11)/A11</f>
        <v>0</v>
      </c>
      <c r="J11" s="443">
        <f t="shared" si="0"/>
        <v>521.47199999999998</v>
      </c>
      <c r="K11" s="459">
        <f t="shared" si="0"/>
        <v>537.6</v>
      </c>
      <c r="L11" s="338" t="e">
        <f t="shared" si="1"/>
        <v>#DIV/0!</v>
      </c>
      <c r="M11" s="300" t="e">
        <f t="shared" si="2"/>
        <v>#DIV/0!</v>
      </c>
      <c r="N11" s="366"/>
      <c r="O11" s="647">
        <f t="shared" si="3"/>
        <v>0.17376607797400867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>
        <f>E12-(E12*N12)</f>
        <v>0</v>
      </c>
      <c r="E12" s="388"/>
      <c r="F12" s="446"/>
      <c r="G12" s="496"/>
      <c r="H12" s="498">
        <f>SUM($F$9:F12)/A12</f>
        <v>0</v>
      </c>
      <c r="I12" s="499">
        <f>SUM($G$9:G12)/A12</f>
        <v>0</v>
      </c>
      <c r="J12" s="443">
        <f t="shared" ref="J12:K24" si="4">J11+D12-F12</f>
        <v>521.47199999999998</v>
      </c>
      <c r="K12" s="459">
        <f t="shared" si="4"/>
        <v>537.6</v>
      </c>
      <c r="L12" s="338" t="e">
        <f t="shared" si="1"/>
        <v>#DIV/0!</v>
      </c>
      <c r="M12" s="300" t="e">
        <f t="shared" si="2"/>
        <v>#DIV/0!</v>
      </c>
      <c r="N12" s="366"/>
      <c r="O12" s="647">
        <f t="shared" si="3"/>
        <v>0.17376607797400867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>
        <f>E13-(E13*N13)</f>
        <v>0</v>
      </c>
      <c r="E13" s="388"/>
      <c r="F13" s="446"/>
      <c r="G13" s="496"/>
      <c r="H13" s="500">
        <f>SUM($F$9:F13)/A13</f>
        <v>0</v>
      </c>
      <c r="I13" s="499">
        <f>SUM($G$9:G13)/A13</f>
        <v>0</v>
      </c>
      <c r="J13" s="500">
        <f>J12+D13-F13</f>
        <v>521.47199999999998</v>
      </c>
      <c r="K13" s="459">
        <f t="shared" si="4"/>
        <v>537.6</v>
      </c>
      <c r="L13" s="368" t="e">
        <f t="shared" si="1"/>
        <v>#DIV/0!</v>
      </c>
      <c r="M13" s="300" t="e">
        <f t="shared" si="2"/>
        <v>#DIV/0!</v>
      </c>
      <c r="N13" s="366"/>
      <c r="O13" s="647">
        <f t="shared" si="3"/>
        <v>0.17376607797400867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104</v>
      </c>
      <c r="D14" s="497">
        <f t="shared" ref="D14:D25" si="5">E14-(E14*N14)</f>
        <v>0</v>
      </c>
      <c r="E14" s="388"/>
      <c r="F14" s="446"/>
      <c r="G14" s="496"/>
      <c r="H14" s="498">
        <f>SUM($F$9:F14)/A14</f>
        <v>0</v>
      </c>
      <c r="I14" s="499">
        <f>SUM($G$9:G14)/A14</f>
        <v>0</v>
      </c>
      <c r="J14" s="443">
        <f t="shared" si="4"/>
        <v>521.47199999999998</v>
      </c>
      <c r="K14" s="459">
        <f t="shared" si="4"/>
        <v>537.6</v>
      </c>
      <c r="L14" s="338" t="e">
        <f t="shared" si="1"/>
        <v>#DIV/0!</v>
      </c>
      <c r="M14" s="300" t="e">
        <f t="shared" si="2"/>
        <v>#DIV/0!</v>
      </c>
      <c r="N14" s="366"/>
      <c r="O14" s="647">
        <f t="shared" si="3"/>
        <v>0.17376607797400867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>
        <f t="shared" si="5"/>
        <v>0</v>
      </c>
      <c r="E15" s="388"/>
      <c r="F15" s="446"/>
      <c r="G15" s="496"/>
      <c r="H15" s="498">
        <f>SUM($F$9:F15)/A15</f>
        <v>0</v>
      </c>
      <c r="I15" s="499">
        <f>SUM($G$9:G15)/A15</f>
        <v>0</v>
      </c>
      <c r="J15" s="443">
        <f t="shared" si="4"/>
        <v>521.47199999999998</v>
      </c>
      <c r="K15" s="459">
        <f t="shared" si="4"/>
        <v>537.6</v>
      </c>
      <c r="L15" s="338" t="e">
        <f t="shared" si="1"/>
        <v>#DIV/0!</v>
      </c>
      <c r="M15" s="300" t="e">
        <f t="shared" si="2"/>
        <v>#DIV/0!</v>
      </c>
      <c r="N15" s="366"/>
      <c r="O15" s="647">
        <f t="shared" si="3"/>
        <v>0.17376607797400867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>
        <f t="shared" si="5"/>
        <v>0</v>
      </c>
      <c r="E16" s="388"/>
      <c r="F16" s="446"/>
      <c r="G16" s="496"/>
      <c r="H16" s="498">
        <f>SUM($F$9:F16)/A16</f>
        <v>0</v>
      </c>
      <c r="I16" s="499">
        <f>SUM($G$9:G16)/A16</f>
        <v>0</v>
      </c>
      <c r="J16" s="443">
        <f t="shared" si="4"/>
        <v>521.47199999999998</v>
      </c>
      <c r="K16" s="459">
        <f t="shared" si="4"/>
        <v>537.6</v>
      </c>
      <c r="L16" s="338" t="e">
        <f t="shared" si="1"/>
        <v>#DIV/0!</v>
      </c>
      <c r="M16" s="300" t="e">
        <f t="shared" si="2"/>
        <v>#DIV/0!</v>
      </c>
      <c r="N16" s="366"/>
      <c r="O16" s="647">
        <f t="shared" si="3"/>
        <v>0.17376607797400867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>
        <f t="shared" si="5"/>
        <v>0</v>
      </c>
      <c r="E17" s="388"/>
      <c r="F17" s="446"/>
      <c r="G17" s="496"/>
      <c r="H17" s="498">
        <f>SUM($F$9:F17)/A17</f>
        <v>0</v>
      </c>
      <c r="I17" s="499">
        <f>SUM($G$9:G17)/A17</f>
        <v>0</v>
      </c>
      <c r="J17" s="443">
        <f t="shared" si="4"/>
        <v>521.47199999999998</v>
      </c>
      <c r="K17" s="459">
        <f t="shared" si="4"/>
        <v>537.6</v>
      </c>
      <c r="L17" s="338" t="e">
        <f t="shared" si="1"/>
        <v>#DIV/0!</v>
      </c>
      <c r="M17" s="300" t="e">
        <f t="shared" si="2"/>
        <v>#DIV/0!</v>
      </c>
      <c r="N17" s="366"/>
      <c r="O17" s="647">
        <f t="shared" si="3"/>
        <v>0.17376607797400867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104</v>
      </c>
      <c r="D18" s="497">
        <f t="shared" si="5"/>
        <v>0</v>
      </c>
      <c r="E18" s="388"/>
      <c r="F18" s="446"/>
      <c r="G18" s="496"/>
      <c r="H18" s="500">
        <f>SUM($F$9:F18)/A18</f>
        <v>0</v>
      </c>
      <c r="I18" s="499">
        <f>SUM($G$9:G18)/A18</f>
        <v>0</v>
      </c>
      <c r="J18" s="500">
        <f t="shared" si="4"/>
        <v>521.47199999999998</v>
      </c>
      <c r="K18" s="459">
        <f t="shared" si="4"/>
        <v>537.6</v>
      </c>
      <c r="L18" s="368" t="e">
        <f t="shared" si="1"/>
        <v>#DIV/0!</v>
      </c>
      <c r="M18" s="300" t="e">
        <f t="shared" si="2"/>
        <v>#DIV/0!</v>
      </c>
      <c r="N18" s="366"/>
      <c r="O18" s="647">
        <f t="shared" si="3"/>
        <v>0.17376607797400867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104</v>
      </c>
      <c r="D19" s="497">
        <f t="shared" si="5"/>
        <v>0</v>
      </c>
      <c r="E19" s="388"/>
      <c r="F19" s="446"/>
      <c r="G19" s="496"/>
      <c r="H19" s="498">
        <f>SUM($F$9:F19)/A19</f>
        <v>0</v>
      </c>
      <c r="I19" s="499">
        <f>SUM($G$9:G19)/A19</f>
        <v>0</v>
      </c>
      <c r="J19" s="443">
        <f t="shared" si="4"/>
        <v>521.47199999999998</v>
      </c>
      <c r="K19" s="459">
        <f t="shared" si="4"/>
        <v>537.6</v>
      </c>
      <c r="L19" s="338" t="e">
        <f t="shared" si="1"/>
        <v>#DIV/0!</v>
      </c>
      <c r="M19" s="300" t="e">
        <f t="shared" si="2"/>
        <v>#DIV/0!</v>
      </c>
      <c r="N19" s="366"/>
      <c r="O19" s="647">
        <f t="shared" si="3"/>
        <v>0.17376607797400867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104</v>
      </c>
      <c r="D20" s="497">
        <f t="shared" si="5"/>
        <v>0</v>
      </c>
      <c r="E20" s="388"/>
      <c r="F20" s="446"/>
      <c r="G20" s="496"/>
      <c r="H20" s="498">
        <f>SUM($F$9:F20)/A20</f>
        <v>0</v>
      </c>
      <c r="I20" s="499">
        <f>SUM($G$9:G20)/A20</f>
        <v>0</v>
      </c>
      <c r="J20" s="443">
        <f t="shared" si="4"/>
        <v>521.47199999999998</v>
      </c>
      <c r="K20" s="459">
        <f t="shared" si="4"/>
        <v>537.6</v>
      </c>
      <c r="L20" s="338" t="e">
        <f t="shared" si="1"/>
        <v>#DIV/0!</v>
      </c>
      <c r="M20" s="300" t="e">
        <f t="shared" si="2"/>
        <v>#DIV/0!</v>
      </c>
      <c r="N20" s="366"/>
      <c r="O20" s="647">
        <f t="shared" si="3"/>
        <v>0.17376607797400867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104</v>
      </c>
      <c r="D21" s="497">
        <f t="shared" si="5"/>
        <v>0</v>
      </c>
      <c r="E21" s="388"/>
      <c r="F21" s="446"/>
      <c r="G21" s="496"/>
      <c r="H21" s="498">
        <f>SUM($F$9:F21)/A21</f>
        <v>0</v>
      </c>
      <c r="I21" s="499">
        <f>SUM($G$9:G21)/A21</f>
        <v>0</v>
      </c>
      <c r="J21" s="443">
        <f t="shared" si="4"/>
        <v>521.47199999999998</v>
      </c>
      <c r="K21" s="459">
        <f t="shared" si="4"/>
        <v>537.6</v>
      </c>
      <c r="L21" s="338" t="e">
        <f t="shared" si="1"/>
        <v>#DIV/0!</v>
      </c>
      <c r="M21" s="300" t="e">
        <f t="shared" si="2"/>
        <v>#DIV/0!</v>
      </c>
      <c r="N21" s="366"/>
      <c r="O21" s="647">
        <f t="shared" si="3"/>
        <v>0.17376607797400867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104</v>
      </c>
      <c r="D22" s="497">
        <f t="shared" si="5"/>
        <v>0</v>
      </c>
      <c r="E22" s="388"/>
      <c r="F22" s="446"/>
      <c r="G22" s="496"/>
      <c r="H22" s="498">
        <f>SUM($F$9:F22)/A22</f>
        <v>0</v>
      </c>
      <c r="I22" s="499">
        <f>SUM($G$9:G22)/A22</f>
        <v>0</v>
      </c>
      <c r="J22" s="443">
        <f t="shared" si="4"/>
        <v>521.47199999999998</v>
      </c>
      <c r="K22" s="459">
        <f t="shared" si="4"/>
        <v>537.6</v>
      </c>
      <c r="L22" s="338" t="e">
        <f t="shared" si="1"/>
        <v>#DIV/0!</v>
      </c>
      <c r="M22" s="300" t="e">
        <f t="shared" si="2"/>
        <v>#DIV/0!</v>
      </c>
      <c r="N22" s="366"/>
      <c r="O22" s="647">
        <f t="shared" si="3"/>
        <v>0.17376607797400867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104</v>
      </c>
      <c r="D23" s="497">
        <f t="shared" si="5"/>
        <v>0</v>
      </c>
      <c r="E23" s="388"/>
      <c r="F23" s="446"/>
      <c r="G23" s="496"/>
      <c r="H23" s="500">
        <f>SUM($F$9:F23)/A23</f>
        <v>0</v>
      </c>
      <c r="I23" s="499">
        <f>SUM($G$9:G23)/A23</f>
        <v>0</v>
      </c>
      <c r="J23" s="500">
        <f t="shared" ref="J23:J29" si="6">J22+D23-F23</f>
        <v>521.47199999999998</v>
      </c>
      <c r="K23" s="459">
        <f t="shared" si="4"/>
        <v>537.6</v>
      </c>
      <c r="L23" s="368" t="e">
        <f t="shared" si="1"/>
        <v>#DIV/0!</v>
      </c>
      <c r="M23" s="300" t="e">
        <f t="shared" si="2"/>
        <v>#DIV/0!</v>
      </c>
      <c r="N23" s="366"/>
      <c r="O23" s="647">
        <f t="shared" si="3"/>
        <v>0.17376607797400867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104</v>
      </c>
      <c r="D24" s="497">
        <f t="shared" si="5"/>
        <v>0</v>
      </c>
      <c r="E24" s="388"/>
      <c r="F24" s="446"/>
      <c r="G24" s="496"/>
      <c r="H24" s="498">
        <f>SUM($F$9:F24)/A24</f>
        <v>0</v>
      </c>
      <c r="I24" s="499">
        <f>SUM($G$9:G24)/A24</f>
        <v>0</v>
      </c>
      <c r="J24" s="443">
        <f t="shared" si="6"/>
        <v>521.47199999999998</v>
      </c>
      <c r="K24" s="459">
        <f t="shared" si="4"/>
        <v>537.6</v>
      </c>
      <c r="L24" s="338" t="e">
        <f t="shared" si="1"/>
        <v>#DIV/0!</v>
      </c>
      <c r="M24" s="300" t="e">
        <f t="shared" si="2"/>
        <v>#DIV/0!</v>
      </c>
      <c r="N24" s="366"/>
      <c r="O24" s="647">
        <f t="shared" si="3"/>
        <v>0.17376607797400867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104</v>
      </c>
      <c r="D25" s="497">
        <f t="shared" si="5"/>
        <v>0</v>
      </c>
      <c r="E25" s="388"/>
      <c r="F25" s="446"/>
      <c r="G25" s="496"/>
      <c r="H25" s="498">
        <f>SUM($F$9:F25)/A25</f>
        <v>0</v>
      </c>
      <c r="I25" s="499">
        <f>SUM($G$9:G25)/A25</f>
        <v>0</v>
      </c>
      <c r="J25" s="443">
        <f t="shared" si="6"/>
        <v>521.47199999999998</v>
      </c>
      <c r="K25" s="459">
        <f>K24+E30-G25</f>
        <v>537.6</v>
      </c>
      <c r="L25" s="338" t="e">
        <f t="shared" si="1"/>
        <v>#DIV/0!</v>
      </c>
      <c r="M25" s="300" t="e">
        <f t="shared" si="2"/>
        <v>#DIV/0!</v>
      </c>
      <c r="N25" s="366"/>
      <c r="O25" s="647">
        <f t="shared" si="3"/>
        <v>0.17376607797400867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104</v>
      </c>
      <c r="D26" s="497">
        <f t="shared" ref="D26:D39" si="7">E26-(E26*N26)</f>
        <v>0</v>
      </c>
      <c r="E26" s="388"/>
      <c r="F26" s="446"/>
      <c r="G26" s="496"/>
      <c r="H26" s="498">
        <f>SUM($F$9:F26)/A26</f>
        <v>0</v>
      </c>
      <c r="I26" s="499">
        <f>SUM($G$9:G26)/A26</f>
        <v>0</v>
      </c>
      <c r="J26" s="443">
        <f t="shared" si="6"/>
        <v>521.47199999999998</v>
      </c>
      <c r="K26" s="459">
        <f>K25+E26-G26</f>
        <v>537.6</v>
      </c>
      <c r="L26" s="338" t="e">
        <f t="shared" si="1"/>
        <v>#DIV/0!</v>
      </c>
      <c r="M26" s="300" t="e">
        <f t="shared" si="2"/>
        <v>#DIV/0!</v>
      </c>
      <c r="N26" s="366"/>
      <c r="O26" s="647">
        <f t="shared" si="3"/>
        <v>0.17376607797400867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104</v>
      </c>
      <c r="D27" s="497">
        <f t="shared" si="7"/>
        <v>0</v>
      </c>
      <c r="E27" s="388"/>
      <c r="F27" s="446"/>
      <c r="G27" s="496"/>
      <c r="H27" s="498">
        <f>SUM($F$9:F27)/A27</f>
        <v>0</v>
      </c>
      <c r="I27" s="499">
        <f>SUM($G$9:G27)/A27</f>
        <v>0</v>
      </c>
      <c r="J27" s="443">
        <f t="shared" si="6"/>
        <v>521.47199999999998</v>
      </c>
      <c r="K27" s="459">
        <f>K26+E27-G27</f>
        <v>537.6</v>
      </c>
      <c r="L27" s="338" t="e">
        <f t="shared" si="1"/>
        <v>#DIV/0!</v>
      </c>
      <c r="M27" s="300" t="e">
        <f t="shared" si="2"/>
        <v>#DIV/0!</v>
      </c>
      <c r="N27" s="366"/>
      <c r="O27" s="647">
        <f t="shared" si="3"/>
        <v>0.17376607797400867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104</v>
      </c>
      <c r="D28" s="497">
        <f t="shared" si="7"/>
        <v>0</v>
      </c>
      <c r="E28" s="388"/>
      <c r="F28" s="446"/>
      <c r="G28" s="496"/>
      <c r="H28" s="500">
        <f>SUM($F$9:F28)/A28</f>
        <v>0</v>
      </c>
      <c r="I28" s="499">
        <f>SUM($G$9:G28)/A28</f>
        <v>0</v>
      </c>
      <c r="J28" s="500">
        <f t="shared" si="6"/>
        <v>521.47199999999998</v>
      </c>
      <c r="K28" s="459">
        <f t="shared" ref="K28:K38" si="8">K27+E28-G28</f>
        <v>537.6</v>
      </c>
      <c r="L28" s="368" t="e">
        <f t="shared" si="1"/>
        <v>#DIV/0!</v>
      </c>
      <c r="M28" s="300" t="e">
        <f t="shared" si="2"/>
        <v>#DIV/0!</v>
      </c>
      <c r="N28" s="366"/>
      <c r="O28" s="647">
        <f t="shared" si="3"/>
        <v>0.17376607797400867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104</v>
      </c>
      <c r="D29" s="497">
        <f t="shared" si="7"/>
        <v>0</v>
      </c>
      <c r="E29" s="388"/>
      <c r="F29" s="446"/>
      <c r="G29" s="496"/>
      <c r="H29" s="498">
        <f>SUM($F$9:F29)/A29</f>
        <v>0</v>
      </c>
      <c r="I29" s="499">
        <f>SUM($G$9:G29)/A29</f>
        <v>0</v>
      </c>
      <c r="J29" s="443">
        <f t="shared" si="6"/>
        <v>521.47199999999998</v>
      </c>
      <c r="K29" s="459">
        <f t="shared" si="8"/>
        <v>537.6</v>
      </c>
      <c r="L29" s="338" t="e">
        <f t="shared" si="1"/>
        <v>#DIV/0!</v>
      </c>
      <c r="M29" s="300" t="e">
        <f t="shared" si="2"/>
        <v>#DIV/0!</v>
      </c>
      <c r="N29" s="366"/>
      <c r="O29" s="647">
        <f t="shared" si="3"/>
        <v>0.17376607797400867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104</v>
      </c>
      <c r="D30" s="497">
        <f t="shared" si="7"/>
        <v>0</v>
      </c>
      <c r="E30" s="388"/>
      <c r="F30" s="446"/>
      <c r="G30" s="496"/>
      <c r="H30" s="498">
        <f>SUM($F$9:F30)/A30</f>
        <v>0</v>
      </c>
      <c r="I30" s="499">
        <f>SUM($G$9:G30)/A30</f>
        <v>0</v>
      </c>
      <c r="J30" s="443">
        <f t="shared" ref="J30:J38" si="9">J29+D30-F30</f>
        <v>521.47199999999998</v>
      </c>
      <c r="K30" s="459">
        <f t="shared" si="8"/>
        <v>537.6</v>
      </c>
      <c r="L30" s="338" t="e">
        <f t="shared" si="1"/>
        <v>#DIV/0!</v>
      </c>
      <c r="M30" s="300" t="e">
        <f t="shared" si="2"/>
        <v>#DIV/0!</v>
      </c>
      <c r="N30" s="366"/>
      <c r="O30" s="647">
        <f t="shared" si="3"/>
        <v>0.17376607797400867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104</v>
      </c>
      <c r="D31" s="497">
        <f t="shared" si="7"/>
        <v>0</v>
      </c>
      <c r="E31" s="388"/>
      <c r="F31" s="446"/>
      <c r="G31" s="496"/>
      <c r="H31" s="498">
        <f>SUM($F$9:F31)/A31</f>
        <v>0</v>
      </c>
      <c r="I31" s="499">
        <f>SUM($G$9:G31)/A31</f>
        <v>0</v>
      </c>
      <c r="J31" s="443">
        <f t="shared" si="9"/>
        <v>521.47199999999998</v>
      </c>
      <c r="K31" s="459">
        <f t="shared" si="8"/>
        <v>537.6</v>
      </c>
      <c r="L31" s="338" t="e">
        <f t="shared" si="1"/>
        <v>#DIV/0!</v>
      </c>
      <c r="M31" s="300" t="e">
        <f t="shared" si="2"/>
        <v>#DIV/0!</v>
      </c>
      <c r="N31" s="366"/>
      <c r="O31" s="647">
        <f t="shared" si="3"/>
        <v>0.17376607797400867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104</v>
      </c>
      <c r="D32" s="497">
        <f t="shared" si="7"/>
        <v>0</v>
      </c>
      <c r="E32" s="388"/>
      <c r="F32" s="446"/>
      <c r="G32" s="496"/>
      <c r="H32" s="498">
        <f>SUM($F$9:F32)/A32</f>
        <v>0</v>
      </c>
      <c r="I32" s="499">
        <f>SUM($G$9:G32)/A32</f>
        <v>0</v>
      </c>
      <c r="J32" s="443">
        <f t="shared" si="9"/>
        <v>521.47199999999998</v>
      </c>
      <c r="K32" s="459">
        <f t="shared" si="8"/>
        <v>537.6</v>
      </c>
      <c r="L32" s="338" t="e">
        <f>J32/H32</f>
        <v>#DIV/0!</v>
      </c>
      <c r="M32" s="300" t="e">
        <f t="shared" si="2"/>
        <v>#DIV/0!</v>
      </c>
      <c r="N32" s="366"/>
      <c r="O32" s="647">
        <f t="shared" si="3"/>
        <v>0.17376607797400867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104</v>
      </c>
      <c r="D33" s="497">
        <f t="shared" si="7"/>
        <v>0</v>
      </c>
      <c r="E33" s="388"/>
      <c r="F33" s="446"/>
      <c r="G33" s="496"/>
      <c r="H33" s="448">
        <f>SUM($F$9:F33)/A33</f>
        <v>0</v>
      </c>
      <c r="I33" s="499">
        <f>SUM($G$9:G33)/A33</f>
        <v>0</v>
      </c>
      <c r="J33" s="448">
        <f t="shared" si="9"/>
        <v>521.47199999999998</v>
      </c>
      <c r="K33" s="459">
        <f t="shared" si="8"/>
        <v>537.6</v>
      </c>
      <c r="L33" s="369" t="e">
        <f t="shared" si="1"/>
        <v>#DIV/0!</v>
      </c>
      <c r="M33" s="300" t="e">
        <f t="shared" si="2"/>
        <v>#DIV/0!</v>
      </c>
      <c r="N33" s="366"/>
      <c r="O33" s="647">
        <f t="shared" si="3"/>
        <v>0.17376607797400867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104</v>
      </c>
      <c r="D34" s="497">
        <f t="shared" si="7"/>
        <v>0</v>
      </c>
      <c r="E34" s="388"/>
      <c r="F34" s="446"/>
      <c r="G34" s="496"/>
      <c r="H34" s="498">
        <f>SUM($F$9:F34)/A34</f>
        <v>0</v>
      </c>
      <c r="I34" s="499">
        <f>SUM($G$9:G34)/A34</f>
        <v>0</v>
      </c>
      <c r="J34" s="443">
        <f t="shared" si="9"/>
        <v>521.47199999999998</v>
      </c>
      <c r="K34" s="459">
        <f t="shared" si="8"/>
        <v>537.6</v>
      </c>
      <c r="L34" s="338" t="e">
        <f t="shared" si="1"/>
        <v>#DIV/0!</v>
      </c>
      <c r="M34" s="300" t="e">
        <f t="shared" si="2"/>
        <v>#DIV/0!</v>
      </c>
      <c r="N34" s="366"/>
      <c r="O34" s="647">
        <f t="shared" si="3"/>
        <v>0.17376607797400867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104</v>
      </c>
      <c r="D35" s="501">
        <f t="shared" si="7"/>
        <v>0</v>
      </c>
      <c r="E35" s="388"/>
      <c r="F35" s="446"/>
      <c r="G35" s="496"/>
      <c r="H35" s="498">
        <f>SUM($F$9:F35)/A35</f>
        <v>0</v>
      </c>
      <c r="I35" s="499">
        <f>SUM($G$9:G35)/A35</f>
        <v>0</v>
      </c>
      <c r="J35" s="443">
        <f t="shared" si="9"/>
        <v>521.47199999999998</v>
      </c>
      <c r="K35" s="459">
        <f t="shared" si="8"/>
        <v>537.6</v>
      </c>
      <c r="L35" s="338" t="e">
        <f t="shared" si="1"/>
        <v>#DIV/0!</v>
      </c>
      <c r="M35" s="300" t="e">
        <f t="shared" si="2"/>
        <v>#DIV/0!</v>
      </c>
      <c r="N35" s="366"/>
      <c r="O35" s="647">
        <f t="shared" si="3"/>
        <v>0.17376607797400867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>
        <f t="shared" si="7"/>
        <v>0</v>
      </c>
      <c r="E36" s="388"/>
      <c r="F36" s="446"/>
      <c r="G36" s="496"/>
      <c r="H36" s="498">
        <f>SUM($F$9:F36)/A36</f>
        <v>0</v>
      </c>
      <c r="I36" s="499">
        <f>SUM($G$9:G36)/A36</f>
        <v>0</v>
      </c>
      <c r="J36" s="443">
        <f t="shared" si="9"/>
        <v>521.47199999999998</v>
      </c>
      <c r="K36" s="459">
        <f t="shared" si="8"/>
        <v>537.6</v>
      </c>
      <c r="L36" s="338" t="e">
        <f t="shared" si="1"/>
        <v>#DIV/0!</v>
      </c>
      <c r="M36" s="300" t="e">
        <f t="shared" si="2"/>
        <v>#DIV/0!</v>
      </c>
      <c r="N36" s="366"/>
      <c r="O36" s="647">
        <f t="shared" si="3"/>
        <v>0.17376607797400867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>
        <f t="shared" si="7"/>
        <v>0</v>
      </c>
      <c r="E37" s="388"/>
      <c r="F37" s="446"/>
      <c r="G37" s="496"/>
      <c r="H37" s="498">
        <f>SUM($F$9:F37)/A37</f>
        <v>0</v>
      </c>
      <c r="I37" s="499">
        <f>SUM($G$9:G37)/A37</f>
        <v>0</v>
      </c>
      <c r="J37" s="443">
        <f t="shared" si="9"/>
        <v>521.47199999999998</v>
      </c>
      <c r="K37" s="459">
        <f t="shared" si="8"/>
        <v>537.6</v>
      </c>
      <c r="L37" s="338" t="e">
        <f t="shared" si="1"/>
        <v>#DIV/0!</v>
      </c>
      <c r="M37" s="300" t="e">
        <f t="shared" si="2"/>
        <v>#DIV/0!</v>
      </c>
      <c r="N37" s="366"/>
      <c r="O37" s="647">
        <f t="shared" si="3"/>
        <v>0.17376607797400867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>
        <f t="shared" si="7"/>
        <v>0</v>
      </c>
      <c r="E38" s="388"/>
      <c r="F38" s="586"/>
      <c r="G38" s="496"/>
      <c r="H38" s="500">
        <f>SUM($F$9:F38)/A38</f>
        <v>0</v>
      </c>
      <c r="I38" s="499">
        <f>SUM($G$9:G38)/A38</f>
        <v>0</v>
      </c>
      <c r="J38" s="500">
        <f t="shared" si="9"/>
        <v>521.47199999999998</v>
      </c>
      <c r="K38" s="459">
        <f t="shared" si="8"/>
        <v>537.6</v>
      </c>
      <c r="L38" s="368" t="e">
        <f t="shared" si="1"/>
        <v>#DIV/0!</v>
      </c>
      <c r="M38" s="300" t="e">
        <f t="shared" si="2"/>
        <v>#DIV/0!</v>
      </c>
      <c r="N38" s="366"/>
      <c r="O38" s="647">
        <f t="shared" si="3"/>
        <v>0.17376607797400867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>
        <f t="shared" si="7"/>
        <v>0</v>
      </c>
      <c r="E39" s="388"/>
      <c r="F39" s="446"/>
      <c r="G39" s="496"/>
      <c r="H39" s="498">
        <f>SUM($F$9:F39)/A39</f>
        <v>0</v>
      </c>
      <c r="I39" s="499">
        <f>SUM($G$9:G39)/A39</f>
        <v>0</v>
      </c>
      <c r="J39" s="443">
        <f>J38+D39-F39</f>
        <v>521.47199999999998</v>
      </c>
      <c r="K39" s="459">
        <f>K38+E39-G39</f>
        <v>537.6</v>
      </c>
      <c r="L39" s="338" t="e">
        <f t="shared" si="1"/>
        <v>#DIV/0!</v>
      </c>
      <c r="M39" s="300" t="e">
        <f t="shared" si="2"/>
        <v>#DIV/0!</v>
      </c>
      <c r="N39" s="366"/>
      <c r="O39" s="647">
        <f t="shared" si="3"/>
        <v>0.17376607797400867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521.47199999999998</v>
      </c>
      <c r="K40" s="461">
        <f>K39</f>
        <v>537.6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521.47199999999998</v>
      </c>
      <c r="E41" s="388">
        <f>E8+E40</f>
        <v>537.6</v>
      </c>
      <c r="F41" s="389">
        <f>F40</f>
        <v>0</v>
      </c>
      <c r="G41" s="496">
        <f>G40</f>
        <v>0</v>
      </c>
      <c r="H41" s="389"/>
      <c r="I41" s="496"/>
      <c r="J41" s="389">
        <f>D41-F41</f>
        <v>521.47199999999998</v>
      </c>
      <c r="K41" s="389">
        <f>E41-G41</f>
        <v>537.6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9:M39">
    <cfRule type="cellIs" dxfId="1061" priority="190" operator="lessThan">
      <formula>15</formula>
    </cfRule>
    <cfRule type="cellIs" dxfId="1060" priority="191" operator="greaterThan">
      <formula>20</formula>
    </cfRule>
    <cfRule type="cellIs" dxfId="1059" priority="192" operator="between">
      <formula>15</formula>
      <formula>20</formula>
    </cfRule>
    <cfRule type="cellIs" dxfId="1058" priority="193" operator="between">
      <formula>15</formula>
      <formula>20</formula>
    </cfRule>
    <cfRule type="cellIs" dxfId="1057" priority="194" operator="lessThan">
      <formula>15</formula>
    </cfRule>
    <cfRule type="cellIs" dxfId="1056" priority="195" operator="greaterThan">
      <formula>20</formula>
    </cfRule>
    <cfRule type="cellIs" dxfId="1055" priority="196" operator="between">
      <formula>15</formula>
      <formula>21</formula>
    </cfRule>
    <cfRule type="cellIs" dxfId="1054" priority="197" operator="lessThan">
      <formula>15</formula>
    </cfRule>
    <cfRule type="cellIs" dxfId="1053" priority="198" operator="greaterThan">
      <formula>21</formula>
    </cfRule>
  </conditionalFormatting>
  <conditionalFormatting sqref="M38">
    <cfRule type="cellIs" dxfId="1052" priority="109" operator="lessThan">
      <formula>15</formula>
    </cfRule>
    <cfRule type="cellIs" dxfId="1051" priority="110" operator="greaterThan">
      <formula>20</formula>
    </cfRule>
    <cfRule type="cellIs" dxfId="1050" priority="111" operator="between">
      <formula>15</formula>
      <formula>20</formula>
    </cfRule>
    <cfRule type="cellIs" dxfId="1049" priority="112" operator="between">
      <formula>15</formula>
      <formula>20</formula>
    </cfRule>
    <cfRule type="cellIs" dxfId="1048" priority="113" operator="lessThan">
      <formula>15</formula>
    </cfRule>
    <cfRule type="cellIs" dxfId="1047" priority="114" operator="greaterThan">
      <formula>20</formula>
    </cfRule>
    <cfRule type="cellIs" dxfId="1046" priority="115" operator="between">
      <formula>15</formula>
      <formula>21</formula>
    </cfRule>
    <cfRule type="cellIs" dxfId="1045" priority="116" operator="lessThan">
      <formula>15</formula>
    </cfRule>
    <cfRule type="cellIs" dxfId="1044" priority="117" operator="greaterThan">
      <formula>21</formula>
    </cfRule>
  </conditionalFormatting>
  <conditionalFormatting sqref="M33">
    <cfRule type="cellIs" dxfId="1043" priority="100" operator="lessThan">
      <formula>15</formula>
    </cfRule>
    <cfRule type="cellIs" dxfId="1042" priority="101" operator="greaterThan">
      <formula>20</formula>
    </cfRule>
    <cfRule type="cellIs" dxfId="1041" priority="102" operator="between">
      <formula>15</formula>
      <formula>20</formula>
    </cfRule>
    <cfRule type="cellIs" dxfId="1040" priority="103" operator="between">
      <formula>15</formula>
      <formula>20</formula>
    </cfRule>
    <cfRule type="cellIs" dxfId="1039" priority="104" operator="lessThan">
      <formula>15</formula>
    </cfRule>
    <cfRule type="cellIs" dxfId="1038" priority="105" operator="greaterThan">
      <formula>20</formula>
    </cfRule>
    <cfRule type="cellIs" dxfId="1037" priority="106" operator="between">
      <formula>15</formula>
      <formula>21</formula>
    </cfRule>
    <cfRule type="cellIs" dxfId="1036" priority="107" operator="lessThan">
      <formula>15</formula>
    </cfRule>
    <cfRule type="cellIs" dxfId="1035" priority="108" operator="greaterThan">
      <formula>21</formula>
    </cfRule>
  </conditionalFormatting>
  <conditionalFormatting sqref="M28">
    <cfRule type="cellIs" dxfId="1034" priority="91" operator="lessThan">
      <formula>15</formula>
    </cfRule>
    <cfRule type="cellIs" dxfId="1033" priority="92" operator="greaterThan">
      <formula>20</formula>
    </cfRule>
    <cfRule type="cellIs" dxfId="1032" priority="93" operator="between">
      <formula>15</formula>
      <formula>20</formula>
    </cfRule>
    <cfRule type="cellIs" dxfId="1031" priority="94" operator="between">
      <formula>15</formula>
      <formula>20</formula>
    </cfRule>
    <cfRule type="cellIs" dxfId="1030" priority="95" operator="lessThan">
      <formula>15</formula>
    </cfRule>
    <cfRule type="cellIs" dxfId="1029" priority="96" operator="greaterThan">
      <formula>20</formula>
    </cfRule>
    <cfRule type="cellIs" dxfId="1028" priority="97" operator="between">
      <formula>15</formula>
      <formula>21</formula>
    </cfRule>
    <cfRule type="cellIs" dxfId="1027" priority="98" operator="lessThan">
      <formula>15</formula>
    </cfRule>
    <cfRule type="cellIs" dxfId="1026" priority="99" operator="greaterThan">
      <formula>21</formula>
    </cfRule>
  </conditionalFormatting>
  <conditionalFormatting sqref="M23">
    <cfRule type="cellIs" dxfId="1025" priority="82" operator="lessThan">
      <formula>15</formula>
    </cfRule>
    <cfRule type="cellIs" dxfId="1024" priority="83" operator="greaterThan">
      <formula>20</formula>
    </cfRule>
    <cfRule type="cellIs" dxfId="1023" priority="84" operator="between">
      <formula>15</formula>
      <formula>20</formula>
    </cfRule>
    <cfRule type="cellIs" dxfId="1022" priority="85" operator="between">
      <formula>15</formula>
      <formula>20</formula>
    </cfRule>
    <cfRule type="cellIs" dxfId="1021" priority="86" operator="lessThan">
      <formula>15</formula>
    </cfRule>
    <cfRule type="cellIs" dxfId="1020" priority="87" operator="greaterThan">
      <formula>20</formula>
    </cfRule>
    <cfRule type="cellIs" dxfId="1019" priority="88" operator="between">
      <formula>15</formula>
      <formula>21</formula>
    </cfRule>
    <cfRule type="cellIs" dxfId="1018" priority="89" operator="lessThan">
      <formula>15</formula>
    </cfRule>
    <cfRule type="cellIs" dxfId="1017" priority="90" operator="greaterThan">
      <formula>21</formula>
    </cfRule>
  </conditionalFormatting>
  <conditionalFormatting sqref="M18">
    <cfRule type="cellIs" dxfId="1016" priority="73" operator="lessThan">
      <formula>15</formula>
    </cfRule>
    <cfRule type="cellIs" dxfId="1015" priority="74" operator="greaterThan">
      <formula>20</formula>
    </cfRule>
    <cfRule type="cellIs" dxfId="1014" priority="75" operator="between">
      <formula>15</formula>
      <formula>20</formula>
    </cfRule>
    <cfRule type="cellIs" dxfId="1013" priority="76" operator="between">
      <formula>15</formula>
      <formula>20</formula>
    </cfRule>
    <cfRule type="cellIs" dxfId="1012" priority="77" operator="lessThan">
      <formula>15</formula>
    </cfRule>
    <cfRule type="cellIs" dxfId="1011" priority="78" operator="greaterThan">
      <formula>20</formula>
    </cfRule>
    <cfRule type="cellIs" dxfId="1010" priority="79" operator="between">
      <formula>15</formula>
      <formula>21</formula>
    </cfRule>
    <cfRule type="cellIs" dxfId="1009" priority="80" operator="lessThan">
      <formula>15</formula>
    </cfRule>
    <cfRule type="cellIs" dxfId="1008" priority="81" operator="greaterThan">
      <formula>21</formula>
    </cfRule>
  </conditionalFormatting>
  <conditionalFormatting sqref="M35:M37">
    <cfRule type="cellIs" dxfId="1007" priority="64" operator="lessThan">
      <formula>15</formula>
    </cfRule>
    <cfRule type="cellIs" dxfId="1006" priority="65" operator="greaterThan">
      <formula>20</formula>
    </cfRule>
    <cfRule type="cellIs" dxfId="1005" priority="66" operator="between">
      <formula>15</formula>
      <formula>20</formula>
    </cfRule>
    <cfRule type="cellIs" dxfId="1004" priority="67" operator="between">
      <formula>15</formula>
      <formula>20</formula>
    </cfRule>
    <cfRule type="cellIs" dxfId="1003" priority="68" operator="lessThan">
      <formula>15</formula>
    </cfRule>
    <cfRule type="cellIs" dxfId="1002" priority="69" operator="greaterThan">
      <formula>20</formula>
    </cfRule>
    <cfRule type="cellIs" dxfId="1001" priority="70" operator="between">
      <formula>15</formula>
      <formula>21</formula>
    </cfRule>
    <cfRule type="cellIs" dxfId="1000" priority="71" operator="lessThan">
      <formula>15</formula>
    </cfRule>
    <cfRule type="cellIs" dxfId="999" priority="72" operator="greaterThan">
      <formula>21</formula>
    </cfRule>
  </conditionalFormatting>
  <conditionalFormatting sqref="M13">
    <cfRule type="cellIs" dxfId="998" priority="55" operator="lessThan">
      <formula>15</formula>
    </cfRule>
    <cfRule type="cellIs" dxfId="997" priority="56" operator="greaterThan">
      <formula>20</formula>
    </cfRule>
    <cfRule type="cellIs" dxfId="996" priority="57" operator="between">
      <formula>15</formula>
      <formula>20</formula>
    </cfRule>
    <cfRule type="cellIs" dxfId="995" priority="58" operator="between">
      <formula>15</formula>
      <formula>20</formula>
    </cfRule>
    <cfRule type="cellIs" dxfId="994" priority="59" operator="lessThan">
      <formula>15</formula>
    </cfRule>
    <cfRule type="cellIs" dxfId="993" priority="60" operator="greaterThan">
      <formula>20</formula>
    </cfRule>
    <cfRule type="cellIs" dxfId="992" priority="61" operator="between">
      <formula>15</formula>
      <formula>21</formula>
    </cfRule>
    <cfRule type="cellIs" dxfId="991" priority="62" operator="lessThan">
      <formula>15</formula>
    </cfRule>
    <cfRule type="cellIs" dxfId="990" priority="63" operator="greaterThan">
      <formula>21</formula>
    </cfRule>
  </conditionalFormatting>
  <conditionalFormatting sqref="M20">
    <cfRule type="cellIs" dxfId="989" priority="46" operator="lessThan">
      <formula>15</formula>
    </cfRule>
    <cfRule type="cellIs" dxfId="988" priority="47" operator="greaterThan">
      <formula>20</formula>
    </cfRule>
    <cfRule type="cellIs" dxfId="987" priority="48" operator="between">
      <formula>15</formula>
      <formula>20</formula>
    </cfRule>
    <cfRule type="cellIs" dxfId="986" priority="49" operator="between">
      <formula>15</formula>
      <formula>20</formula>
    </cfRule>
    <cfRule type="cellIs" dxfId="985" priority="50" operator="lessThan">
      <formula>15</formula>
    </cfRule>
    <cfRule type="cellIs" dxfId="984" priority="51" operator="greaterThan">
      <formula>20</formula>
    </cfRule>
    <cfRule type="cellIs" dxfId="983" priority="52" operator="between">
      <formula>15</formula>
      <formula>21</formula>
    </cfRule>
    <cfRule type="cellIs" dxfId="982" priority="53" operator="lessThan">
      <formula>15</formula>
    </cfRule>
    <cfRule type="cellIs" dxfId="981" priority="54" operator="greaterThan">
      <formula>21</formula>
    </cfRule>
  </conditionalFormatting>
  <conditionalFormatting sqref="M27">
    <cfRule type="cellIs" dxfId="980" priority="37" operator="lessThan">
      <formula>15</formula>
    </cfRule>
    <cfRule type="cellIs" dxfId="979" priority="38" operator="greaterThan">
      <formula>20</formula>
    </cfRule>
    <cfRule type="cellIs" dxfId="978" priority="39" operator="between">
      <formula>15</formula>
      <formula>20</formula>
    </cfRule>
    <cfRule type="cellIs" dxfId="977" priority="40" operator="between">
      <formula>15</formula>
      <formula>20</formula>
    </cfRule>
    <cfRule type="cellIs" dxfId="976" priority="41" operator="lessThan">
      <formula>15</formula>
    </cfRule>
    <cfRule type="cellIs" dxfId="975" priority="42" operator="greaterThan">
      <formula>20</formula>
    </cfRule>
    <cfRule type="cellIs" dxfId="974" priority="43" operator="between">
      <formula>15</formula>
      <formula>21</formula>
    </cfRule>
    <cfRule type="cellIs" dxfId="973" priority="44" operator="lessThan">
      <formula>15</formula>
    </cfRule>
    <cfRule type="cellIs" dxfId="972" priority="45" operator="greaterThan">
      <formula>21</formula>
    </cfRule>
  </conditionalFormatting>
  <conditionalFormatting sqref="M34">
    <cfRule type="cellIs" dxfId="971" priority="28" operator="lessThan">
      <formula>15</formula>
    </cfRule>
    <cfRule type="cellIs" dxfId="970" priority="29" operator="greaterThan">
      <formula>20</formula>
    </cfRule>
    <cfRule type="cellIs" dxfId="969" priority="30" operator="between">
      <formula>15</formula>
      <formula>20</formula>
    </cfRule>
    <cfRule type="cellIs" dxfId="968" priority="31" operator="between">
      <formula>15</formula>
      <formula>20</formula>
    </cfRule>
    <cfRule type="cellIs" dxfId="967" priority="32" operator="lessThan">
      <formula>15</formula>
    </cfRule>
    <cfRule type="cellIs" dxfId="966" priority="33" operator="greaterThan">
      <formula>20</formula>
    </cfRule>
    <cfRule type="cellIs" dxfId="965" priority="34" operator="between">
      <formula>15</formula>
      <formula>21</formula>
    </cfRule>
    <cfRule type="cellIs" dxfId="964" priority="35" operator="lessThan">
      <formula>15</formula>
    </cfRule>
    <cfRule type="cellIs" dxfId="963" priority="36" operator="greaterThan">
      <formula>21</formula>
    </cfRule>
  </conditionalFormatting>
  <conditionalFormatting sqref="M14:M17 M39 M21:M22 M24:M26 M19">
    <cfRule type="cellIs" dxfId="962" priority="19" operator="lessThan">
      <formula>15</formula>
    </cfRule>
    <cfRule type="cellIs" dxfId="961" priority="20" operator="greaterThan">
      <formula>20</formula>
    </cfRule>
    <cfRule type="cellIs" dxfId="960" priority="21" operator="between">
      <formula>15</formula>
      <formula>20</formula>
    </cfRule>
    <cfRule type="cellIs" dxfId="959" priority="22" operator="between">
      <formula>15</formula>
      <formula>20</formula>
    </cfRule>
    <cfRule type="cellIs" dxfId="958" priority="23" operator="lessThan">
      <formula>15</formula>
    </cfRule>
    <cfRule type="cellIs" dxfId="957" priority="24" operator="greaterThan">
      <formula>20</formula>
    </cfRule>
    <cfRule type="cellIs" dxfId="956" priority="25" operator="between">
      <formula>15</formula>
      <formula>21</formula>
    </cfRule>
    <cfRule type="cellIs" dxfId="955" priority="26" operator="lessThan">
      <formula>15</formula>
    </cfRule>
    <cfRule type="cellIs" dxfId="954" priority="27" operator="greaterThan">
      <formula>21</formula>
    </cfRule>
  </conditionalFormatting>
  <conditionalFormatting sqref="M9:M12">
    <cfRule type="cellIs" dxfId="953" priority="10" operator="lessThan">
      <formula>15</formula>
    </cfRule>
    <cfRule type="cellIs" dxfId="952" priority="11" operator="greaterThan">
      <formula>20</formula>
    </cfRule>
    <cfRule type="cellIs" dxfId="951" priority="12" operator="between">
      <formula>15</formula>
      <formula>20</formula>
    </cfRule>
    <cfRule type="cellIs" dxfId="950" priority="13" operator="between">
      <formula>15</formula>
      <formula>20</formula>
    </cfRule>
    <cfRule type="cellIs" dxfId="949" priority="14" operator="lessThan">
      <formula>15</formula>
    </cfRule>
    <cfRule type="cellIs" dxfId="948" priority="15" operator="greaterThan">
      <formula>20</formula>
    </cfRule>
    <cfRule type="cellIs" dxfId="947" priority="16" operator="between">
      <formula>15</formula>
      <formula>21</formula>
    </cfRule>
    <cfRule type="cellIs" dxfId="946" priority="17" operator="lessThan">
      <formula>15</formula>
    </cfRule>
    <cfRule type="cellIs" dxfId="945" priority="18" operator="greaterThan">
      <formula>21</formula>
    </cfRule>
  </conditionalFormatting>
  <conditionalFormatting sqref="M29:M32">
    <cfRule type="cellIs" dxfId="944" priority="1" operator="lessThan">
      <formula>15</formula>
    </cfRule>
    <cfRule type="cellIs" dxfId="943" priority="2" operator="greaterThan">
      <formula>20</formula>
    </cfRule>
    <cfRule type="cellIs" dxfId="942" priority="3" operator="between">
      <formula>15</formula>
      <formula>20</formula>
    </cfRule>
    <cfRule type="cellIs" dxfId="941" priority="4" operator="between">
      <formula>15</formula>
      <formula>20</formula>
    </cfRule>
    <cfRule type="cellIs" dxfId="940" priority="5" operator="lessThan">
      <formula>15</formula>
    </cfRule>
    <cfRule type="cellIs" dxfId="939" priority="6" operator="greaterThan">
      <formula>20</formula>
    </cfRule>
    <cfRule type="cellIs" dxfId="938" priority="7" operator="between">
      <formula>15</formula>
      <formula>21</formula>
    </cfRule>
    <cfRule type="cellIs" dxfId="937" priority="8" operator="lessThan">
      <formula>15</formula>
    </cfRule>
    <cfRule type="cellIs" dxfId="936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Y50"/>
  <sheetViews>
    <sheetView zoomScale="80" zoomScaleNormal="80" workbookViewId="0">
      <pane ySplit="8" topLeftCell="A9" activePane="bottomLeft" state="frozen"/>
      <selection activeCell="D10" sqref="D10"/>
      <selection pane="bottomLeft" activeCell="K9" sqref="K9"/>
    </sheetView>
  </sheetViews>
  <sheetFormatPr defaultColWidth="9.28515625" defaultRowHeight="15"/>
  <cols>
    <col min="1" max="1" width="6" style="143" customWidth="1"/>
    <col min="2" max="2" width="7.85546875" style="143" customWidth="1"/>
    <col min="3" max="3" width="16.5703125" style="143" customWidth="1"/>
    <col min="4" max="9" width="9.42578125" style="142" customWidth="1"/>
    <col min="10" max="10" width="12.42578125" style="142" customWidth="1"/>
    <col min="11" max="11" width="11.5703125" style="142" customWidth="1"/>
    <col min="12" max="12" width="12.5703125" style="143" customWidth="1"/>
    <col min="13" max="13" width="13.28515625" style="143" customWidth="1"/>
    <col min="14" max="14" width="6.285156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FRIT 090/558 - FTA</v>
      </c>
      <c r="D4" s="383"/>
      <c r="E4" s="383" t="s">
        <v>228</v>
      </c>
      <c r="F4" s="383" t="s">
        <v>230</v>
      </c>
      <c r="G4" s="383"/>
      <c r="I4" s="383" t="s">
        <v>120</v>
      </c>
      <c r="J4" s="318" t="s">
        <v>218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596">
        <f>K8-K8*N8</f>
        <v>0</v>
      </c>
      <c r="K8" s="595">
        <v>0</v>
      </c>
      <c r="L8" s="303"/>
      <c r="M8" s="304"/>
      <c r="N8" s="366">
        <v>0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>
        <f>E9-(E9*N9)</f>
        <v>0</v>
      </c>
      <c r="E9" s="388"/>
      <c r="F9" s="446"/>
      <c r="G9" s="496"/>
      <c r="H9" s="498">
        <f>SUM($F$9:F9)/A9</f>
        <v>0</v>
      </c>
      <c r="I9" s="499">
        <f>SUM($G$9:G9)/A9</f>
        <v>0</v>
      </c>
      <c r="J9" s="443">
        <f t="shared" ref="J9:K24" si="0">J8+D9-F9</f>
        <v>0</v>
      </c>
      <c r="K9" s="459">
        <f t="shared" si="0"/>
        <v>0</v>
      </c>
      <c r="L9" s="338" t="e">
        <f>J9/H9</f>
        <v>#DIV/0!</v>
      </c>
      <c r="M9" s="300" t="e">
        <f>K9/I9</f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>
        <f>E10-(E10*N10)</f>
        <v>0</v>
      </c>
      <c r="E10" s="388"/>
      <c r="F10" s="446"/>
      <c r="G10" s="496"/>
      <c r="H10" s="498">
        <f>SUM($F$9:F10)/A10</f>
        <v>0</v>
      </c>
      <c r="I10" s="499">
        <f>SUM($G$9:G10)/A10</f>
        <v>0</v>
      </c>
      <c r="J10" s="443">
        <f t="shared" si="0"/>
        <v>0</v>
      </c>
      <c r="K10" s="459">
        <f t="shared" si="0"/>
        <v>0</v>
      </c>
      <c r="L10" s="338" t="e">
        <f t="shared" ref="L10:M25" si="1">J10/H10</f>
        <v>#DIV/0!</v>
      </c>
      <c r="M10" s="300" t="e">
        <f t="shared" si="1"/>
        <v>#DIV/0!</v>
      </c>
      <c r="N10" s="366"/>
      <c r="O10" s="647">
        <f t="shared" ref="O10:O39" si="2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>
        <f t="shared" ref="D11:D39" si="3">E11-E11*N11</f>
        <v>0</v>
      </c>
      <c r="E11" s="388"/>
      <c r="F11" s="446"/>
      <c r="G11" s="496"/>
      <c r="H11" s="498">
        <f>SUM($F$9:F11)/A11</f>
        <v>0</v>
      </c>
      <c r="I11" s="499">
        <f>SUM($G$9:G11)/A11</f>
        <v>0</v>
      </c>
      <c r="J11" s="443">
        <f t="shared" si="0"/>
        <v>0</v>
      </c>
      <c r="K11" s="459">
        <f t="shared" si="0"/>
        <v>0</v>
      </c>
      <c r="L11" s="338" t="e">
        <f t="shared" si="1"/>
        <v>#DIV/0!</v>
      </c>
      <c r="M11" s="300" t="e">
        <f t="shared" si="1"/>
        <v>#DIV/0!</v>
      </c>
      <c r="N11" s="366"/>
      <c r="O11" s="647">
        <f t="shared" si="2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>
        <f t="shared" si="3"/>
        <v>0</v>
      </c>
      <c r="E12" s="388"/>
      <c r="F12" s="446"/>
      <c r="G12" s="496"/>
      <c r="H12" s="498">
        <f>SUM($F$9:F12)/A12</f>
        <v>0</v>
      </c>
      <c r="I12" s="499">
        <f>SUM($G$9:G12)/A12</f>
        <v>0</v>
      </c>
      <c r="J12" s="443">
        <f t="shared" si="0"/>
        <v>0</v>
      </c>
      <c r="K12" s="459">
        <f t="shared" si="0"/>
        <v>0</v>
      </c>
      <c r="L12" s="338" t="e">
        <f t="shared" si="1"/>
        <v>#DIV/0!</v>
      </c>
      <c r="M12" s="300" t="e">
        <f t="shared" si="1"/>
        <v>#DIV/0!</v>
      </c>
      <c r="N12" s="366"/>
      <c r="O12" s="647">
        <f t="shared" si="2"/>
        <v>0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>
        <f t="shared" si="3"/>
        <v>0</v>
      </c>
      <c r="E13" s="388"/>
      <c r="F13" s="446"/>
      <c r="G13" s="496"/>
      <c r="H13" s="500">
        <f>SUM($F$9:F13)/A13</f>
        <v>0</v>
      </c>
      <c r="I13" s="499">
        <f>SUM($G$9:G13)/A13</f>
        <v>0</v>
      </c>
      <c r="J13" s="500">
        <f t="shared" si="0"/>
        <v>0</v>
      </c>
      <c r="K13" s="459">
        <f t="shared" si="0"/>
        <v>0</v>
      </c>
      <c r="L13" s="368" t="e">
        <f t="shared" si="1"/>
        <v>#DIV/0!</v>
      </c>
      <c r="M13" s="300" t="e">
        <f t="shared" si="1"/>
        <v>#DIV/0!</v>
      </c>
      <c r="N13" s="366"/>
      <c r="O13" s="647">
        <f t="shared" si="2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>
        <f t="shared" si="3"/>
        <v>0</v>
      </c>
      <c r="E14" s="388"/>
      <c r="F14" s="446"/>
      <c r="G14" s="496"/>
      <c r="H14" s="498">
        <f>SUM($F$9:F14)/A14</f>
        <v>0</v>
      </c>
      <c r="I14" s="499">
        <f>SUM($G$9:G14)/A14</f>
        <v>0</v>
      </c>
      <c r="J14" s="443">
        <f t="shared" si="0"/>
        <v>0</v>
      </c>
      <c r="K14" s="459">
        <f t="shared" si="0"/>
        <v>0</v>
      </c>
      <c r="L14" s="338" t="e">
        <f t="shared" si="1"/>
        <v>#DIV/0!</v>
      </c>
      <c r="M14" s="300" t="e">
        <f t="shared" si="1"/>
        <v>#DIV/0!</v>
      </c>
      <c r="N14" s="366"/>
      <c r="O14" s="647">
        <f t="shared" si="2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>
        <f t="shared" si="3"/>
        <v>0</v>
      </c>
      <c r="E15" s="388"/>
      <c r="F15" s="446"/>
      <c r="G15" s="496"/>
      <c r="H15" s="498">
        <f>SUM($F$9:F15)/A15</f>
        <v>0</v>
      </c>
      <c r="I15" s="499">
        <f>SUM($G$9:G15)/A15</f>
        <v>0</v>
      </c>
      <c r="J15" s="443">
        <f t="shared" si="0"/>
        <v>0</v>
      </c>
      <c r="K15" s="459">
        <f t="shared" si="0"/>
        <v>0</v>
      </c>
      <c r="L15" s="338" t="e">
        <f t="shared" si="1"/>
        <v>#DIV/0!</v>
      </c>
      <c r="M15" s="300" t="e">
        <f t="shared" si="1"/>
        <v>#DIV/0!</v>
      </c>
      <c r="N15" s="366"/>
      <c r="O15" s="647">
        <f t="shared" si="2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>
        <f t="shared" si="3"/>
        <v>0</v>
      </c>
      <c r="E16" s="388"/>
      <c r="F16" s="446"/>
      <c r="G16" s="496"/>
      <c r="H16" s="498">
        <f>SUM($F$9:F16)/A16</f>
        <v>0</v>
      </c>
      <c r="I16" s="499">
        <f>SUM($G$9:G16)/A16</f>
        <v>0</v>
      </c>
      <c r="J16" s="443">
        <f t="shared" si="0"/>
        <v>0</v>
      </c>
      <c r="K16" s="459">
        <f t="shared" si="0"/>
        <v>0</v>
      </c>
      <c r="L16" s="338" t="e">
        <f t="shared" si="1"/>
        <v>#DIV/0!</v>
      </c>
      <c r="M16" s="300" t="e">
        <f t="shared" si="1"/>
        <v>#DIV/0!</v>
      </c>
      <c r="N16" s="366"/>
      <c r="O16" s="647">
        <f t="shared" si="2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>
        <f t="shared" si="3"/>
        <v>0</v>
      </c>
      <c r="E17" s="388"/>
      <c r="F17" s="446"/>
      <c r="G17" s="496"/>
      <c r="H17" s="498">
        <f>SUM($F$9:F17)/A17</f>
        <v>0</v>
      </c>
      <c r="I17" s="499">
        <f>SUM($G$9:G17)/A17</f>
        <v>0</v>
      </c>
      <c r="J17" s="443">
        <f t="shared" si="0"/>
        <v>0</v>
      </c>
      <c r="K17" s="459">
        <f t="shared" si="0"/>
        <v>0</v>
      </c>
      <c r="L17" s="338" t="e">
        <f t="shared" si="1"/>
        <v>#DIV/0!</v>
      </c>
      <c r="M17" s="300" t="e">
        <f t="shared" si="1"/>
        <v>#DIV/0!</v>
      </c>
      <c r="N17" s="366"/>
      <c r="O17" s="647">
        <f t="shared" si="2"/>
        <v>0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>
        <f t="shared" si="3"/>
        <v>0</v>
      </c>
      <c r="E18" s="388"/>
      <c r="F18" s="446"/>
      <c r="G18" s="496"/>
      <c r="H18" s="500">
        <f>SUM($F$9:F18)/A18</f>
        <v>0</v>
      </c>
      <c r="I18" s="499">
        <f>SUM($G$9:G18)/A18</f>
        <v>0</v>
      </c>
      <c r="J18" s="500">
        <f t="shared" si="0"/>
        <v>0</v>
      </c>
      <c r="K18" s="459">
        <f t="shared" si="0"/>
        <v>0</v>
      </c>
      <c r="L18" s="368" t="e">
        <f t="shared" si="1"/>
        <v>#DIV/0!</v>
      </c>
      <c r="M18" s="300" t="e">
        <f t="shared" si="1"/>
        <v>#DIV/0!</v>
      </c>
      <c r="N18" s="366"/>
      <c r="O18" s="647">
        <f t="shared" si="2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>
        <f t="shared" si="3"/>
        <v>0</v>
      </c>
      <c r="E19" s="388"/>
      <c r="F19" s="446"/>
      <c r="G19" s="496"/>
      <c r="H19" s="498">
        <f>SUM($F$9:F19)/A19</f>
        <v>0</v>
      </c>
      <c r="I19" s="499">
        <f>SUM($G$9:G19)/A19</f>
        <v>0</v>
      </c>
      <c r="J19" s="443">
        <f t="shared" si="0"/>
        <v>0</v>
      </c>
      <c r="K19" s="459">
        <f t="shared" si="0"/>
        <v>0</v>
      </c>
      <c r="L19" s="338" t="e">
        <f t="shared" si="1"/>
        <v>#DIV/0!</v>
      </c>
      <c r="M19" s="300" t="e">
        <f t="shared" si="1"/>
        <v>#DIV/0!</v>
      </c>
      <c r="N19" s="366"/>
      <c r="O19" s="647">
        <f t="shared" si="2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>
        <f t="shared" si="3"/>
        <v>0</v>
      </c>
      <c r="E20" s="388"/>
      <c r="F20" s="446"/>
      <c r="G20" s="496"/>
      <c r="H20" s="498">
        <f>SUM($F$9:F20)/A20</f>
        <v>0</v>
      </c>
      <c r="I20" s="499">
        <f>SUM($G$9:G20)/A20</f>
        <v>0</v>
      </c>
      <c r="J20" s="443">
        <f t="shared" si="0"/>
        <v>0</v>
      </c>
      <c r="K20" s="459">
        <f t="shared" si="0"/>
        <v>0</v>
      </c>
      <c r="L20" s="338" t="e">
        <f t="shared" si="1"/>
        <v>#DIV/0!</v>
      </c>
      <c r="M20" s="300" t="e">
        <f t="shared" si="1"/>
        <v>#DIV/0!</v>
      </c>
      <c r="N20" s="366"/>
      <c r="O20" s="647">
        <f t="shared" si="2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>
        <f t="shared" si="3"/>
        <v>0</v>
      </c>
      <c r="E21" s="388"/>
      <c r="F21" s="446"/>
      <c r="G21" s="496"/>
      <c r="H21" s="498">
        <f>SUM($F$9:F21)/A21</f>
        <v>0</v>
      </c>
      <c r="I21" s="499">
        <f>SUM($G$9:G21)/A21</f>
        <v>0</v>
      </c>
      <c r="J21" s="443">
        <f t="shared" si="0"/>
        <v>0</v>
      </c>
      <c r="K21" s="459">
        <f>K20+E21-G21</f>
        <v>0</v>
      </c>
      <c r="L21" s="338" t="e">
        <f t="shared" si="1"/>
        <v>#DIV/0!</v>
      </c>
      <c r="M21" s="300" t="e">
        <f t="shared" si="1"/>
        <v>#DIV/0!</v>
      </c>
      <c r="N21" s="366"/>
      <c r="O21" s="647">
        <f t="shared" si="2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>
        <f t="shared" si="3"/>
        <v>0</v>
      </c>
      <c r="E22" s="388"/>
      <c r="F22" s="446"/>
      <c r="G22" s="496"/>
      <c r="H22" s="498">
        <f>SUM($F$9:F22)/A22</f>
        <v>0</v>
      </c>
      <c r="I22" s="499">
        <f>SUM($G$9:G22)/A22</f>
        <v>0</v>
      </c>
      <c r="J22" s="443">
        <f t="shared" si="0"/>
        <v>0</v>
      </c>
      <c r="K22" s="459">
        <f>K21+E22-G22</f>
        <v>0</v>
      </c>
      <c r="L22" s="338" t="e">
        <f t="shared" si="1"/>
        <v>#DIV/0!</v>
      </c>
      <c r="M22" s="300" t="e">
        <f t="shared" si="1"/>
        <v>#DIV/0!</v>
      </c>
      <c r="N22" s="366"/>
      <c r="O22" s="647">
        <f t="shared" si="2"/>
        <v>0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>
        <f t="shared" si="3"/>
        <v>0</v>
      </c>
      <c r="E23" s="388"/>
      <c r="F23" s="446"/>
      <c r="G23" s="496"/>
      <c r="H23" s="500">
        <f>SUM($F$9:F23)/A23</f>
        <v>0</v>
      </c>
      <c r="I23" s="499">
        <f>SUM($G$9:G23)/A23</f>
        <v>0</v>
      </c>
      <c r="J23" s="500">
        <f t="shared" si="0"/>
        <v>0</v>
      </c>
      <c r="K23" s="459">
        <f t="shared" si="0"/>
        <v>0</v>
      </c>
      <c r="L23" s="368" t="e">
        <f t="shared" si="1"/>
        <v>#DIV/0!</v>
      </c>
      <c r="M23" s="300" t="e">
        <f t="shared" si="1"/>
        <v>#DIV/0!</v>
      </c>
      <c r="N23" s="366"/>
      <c r="O23" s="647">
        <f t="shared" si="2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>
        <f t="shared" si="3"/>
        <v>0</v>
      </c>
      <c r="E24" s="388"/>
      <c r="F24" s="446"/>
      <c r="G24" s="496"/>
      <c r="H24" s="498">
        <f>SUM($F$9:F24)/A24</f>
        <v>0</v>
      </c>
      <c r="I24" s="499">
        <f>SUM($G$9:G24)/A24</f>
        <v>0</v>
      </c>
      <c r="J24" s="443">
        <f t="shared" si="0"/>
        <v>0</v>
      </c>
      <c r="K24" s="459">
        <f>K23+E24-G24</f>
        <v>0</v>
      </c>
      <c r="L24" s="338" t="e">
        <f t="shared" si="1"/>
        <v>#DIV/0!</v>
      </c>
      <c r="M24" s="300" t="e">
        <f t="shared" si="1"/>
        <v>#DIV/0!</v>
      </c>
      <c r="N24" s="366"/>
      <c r="O24" s="647">
        <f t="shared" si="2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>
        <f t="shared" si="3"/>
        <v>0</v>
      </c>
      <c r="E25" s="388"/>
      <c r="F25" s="446"/>
      <c r="G25" s="496"/>
      <c r="H25" s="498">
        <f>SUM($F$9:F25)/A25</f>
        <v>0</v>
      </c>
      <c r="I25" s="499">
        <f>SUM($G$9:G25)/A25</f>
        <v>0</v>
      </c>
      <c r="J25" s="443">
        <f t="shared" ref="J25:K39" si="4">J24+D25-F25</f>
        <v>0</v>
      </c>
      <c r="K25" s="459">
        <f>K24+E25-G25</f>
        <v>0</v>
      </c>
      <c r="L25" s="338" t="e">
        <f t="shared" si="1"/>
        <v>#DIV/0!</v>
      </c>
      <c r="M25" s="300" t="e">
        <f t="shared" si="1"/>
        <v>#DIV/0!</v>
      </c>
      <c r="N25" s="366"/>
      <c r="O25" s="647">
        <f t="shared" si="2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>
        <f t="shared" si="3"/>
        <v>0</v>
      </c>
      <c r="E26" s="388"/>
      <c r="F26" s="446"/>
      <c r="G26" s="496"/>
      <c r="H26" s="498">
        <f>SUM($F$9:F26)/A26</f>
        <v>0</v>
      </c>
      <c r="I26" s="499">
        <f>SUM($G$9:G26)/A26</f>
        <v>0</v>
      </c>
      <c r="J26" s="443">
        <f t="shared" si="4"/>
        <v>0</v>
      </c>
      <c r="K26" s="459">
        <f>K25+E26-G26</f>
        <v>0</v>
      </c>
      <c r="L26" s="338" t="e">
        <f t="shared" ref="L26:M39" si="5">J26/H26</f>
        <v>#DIV/0!</v>
      </c>
      <c r="M26" s="300" t="e">
        <f t="shared" si="5"/>
        <v>#DIV/0!</v>
      </c>
      <c r="N26" s="366"/>
      <c r="O26" s="647">
        <f t="shared" si="2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>
        <f t="shared" si="3"/>
        <v>0</v>
      </c>
      <c r="E27" s="388"/>
      <c r="F27" s="446"/>
      <c r="G27" s="496"/>
      <c r="H27" s="498">
        <f>SUM($F$9:F27)/A27</f>
        <v>0</v>
      </c>
      <c r="I27" s="499">
        <f>SUM($G$9:G27)/A27</f>
        <v>0</v>
      </c>
      <c r="J27" s="443">
        <f t="shared" si="4"/>
        <v>0</v>
      </c>
      <c r="K27" s="459">
        <f>K26+E27-G27</f>
        <v>0</v>
      </c>
      <c r="L27" s="338" t="e">
        <f t="shared" si="5"/>
        <v>#DIV/0!</v>
      </c>
      <c r="M27" s="300" t="e">
        <f t="shared" si="5"/>
        <v>#DIV/0!</v>
      </c>
      <c r="N27" s="366"/>
      <c r="O27" s="647">
        <f t="shared" si="2"/>
        <v>0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>
        <f t="shared" si="3"/>
        <v>0</v>
      </c>
      <c r="E28" s="388"/>
      <c r="F28" s="446"/>
      <c r="G28" s="496"/>
      <c r="H28" s="500">
        <f>SUM($F$9:F28)/A28</f>
        <v>0</v>
      </c>
      <c r="I28" s="499">
        <f>SUM($G$9:G28)/A28</f>
        <v>0</v>
      </c>
      <c r="J28" s="500">
        <f t="shared" si="4"/>
        <v>0</v>
      </c>
      <c r="K28" s="459">
        <f t="shared" si="4"/>
        <v>0</v>
      </c>
      <c r="L28" s="368" t="e">
        <f t="shared" si="5"/>
        <v>#DIV/0!</v>
      </c>
      <c r="M28" s="300" t="e">
        <f t="shared" si="5"/>
        <v>#DIV/0!</v>
      </c>
      <c r="N28" s="366"/>
      <c r="O28" s="647">
        <f t="shared" si="2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>
        <f t="shared" si="3"/>
        <v>0</v>
      </c>
      <c r="E29" s="388"/>
      <c r="F29" s="446"/>
      <c r="G29" s="496"/>
      <c r="H29" s="498">
        <f>SUM($F$9:F29)/A29</f>
        <v>0</v>
      </c>
      <c r="I29" s="499">
        <f>SUM($G$9:G29)/A29</f>
        <v>0</v>
      </c>
      <c r="J29" s="443">
        <f t="shared" si="4"/>
        <v>0</v>
      </c>
      <c r="K29" s="459">
        <f t="shared" si="4"/>
        <v>0</v>
      </c>
      <c r="L29" s="338" t="e">
        <f t="shared" si="5"/>
        <v>#DIV/0!</v>
      </c>
      <c r="M29" s="300" t="e">
        <f t="shared" si="5"/>
        <v>#DIV/0!</v>
      </c>
      <c r="N29" s="366"/>
      <c r="O29" s="647">
        <f t="shared" si="2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>
        <f t="shared" si="3"/>
        <v>0</v>
      </c>
      <c r="E30" s="388"/>
      <c r="F30" s="446"/>
      <c r="G30" s="496"/>
      <c r="H30" s="498">
        <f>SUM($F$9:F30)/A30</f>
        <v>0</v>
      </c>
      <c r="I30" s="499">
        <f>SUM($G$9:G30)/A30</f>
        <v>0</v>
      </c>
      <c r="J30" s="443">
        <f t="shared" si="4"/>
        <v>0</v>
      </c>
      <c r="K30" s="459">
        <f t="shared" si="4"/>
        <v>0</v>
      </c>
      <c r="L30" s="338" t="e">
        <f t="shared" si="5"/>
        <v>#DIV/0!</v>
      </c>
      <c r="M30" s="300" t="e">
        <f t="shared" si="5"/>
        <v>#DIV/0!</v>
      </c>
      <c r="N30" s="366"/>
      <c r="O30" s="647">
        <f t="shared" si="2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>
        <f t="shared" si="3"/>
        <v>0</v>
      </c>
      <c r="E31" s="388"/>
      <c r="F31" s="446"/>
      <c r="G31" s="496"/>
      <c r="H31" s="498">
        <f>SUM($F$9:F31)/A31</f>
        <v>0</v>
      </c>
      <c r="I31" s="499">
        <f>SUM($G$9:G31)/A31</f>
        <v>0</v>
      </c>
      <c r="J31" s="443">
        <f t="shared" si="4"/>
        <v>0</v>
      </c>
      <c r="K31" s="459">
        <f t="shared" si="4"/>
        <v>0</v>
      </c>
      <c r="L31" s="338" t="e">
        <f t="shared" si="5"/>
        <v>#DIV/0!</v>
      </c>
      <c r="M31" s="300" t="e">
        <f t="shared" si="5"/>
        <v>#DIV/0!</v>
      </c>
      <c r="N31" s="366"/>
      <c r="O31" s="647">
        <f t="shared" si="2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>
        <f t="shared" si="3"/>
        <v>0</v>
      </c>
      <c r="E32" s="388"/>
      <c r="F32" s="446"/>
      <c r="G32" s="496"/>
      <c r="H32" s="498">
        <f>SUM($F$9:F32)/A32</f>
        <v>0</v>
      </c>
      <c r="I32" s="499">
        <f>SUM($G$9:G32)/A32</f>
        <v>0</v>
      </c>
      <c r="J32" s="443">
        <f t="shared" si="4"/>
        <v>0</v>
      </c>
      <c r="K32" s="459">
        <f t="shared" si="4"/>
        <v>0</v>
      </c>
      <c r="L32" s="338" t="e">
        <f t="shared" si="5"/>
        <v>#DIV/0!</v>
      </c>
      <c r="M32" s="300" t="e">
        <f t="shared" si="5"/>
        <v>#DIV/0!</v>
      </c>
      <c r="N32" s="366"/>
      <c r="O32" s="647">
        <f t="shared" si="2"/>
        <v>0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>
        <f t="shared" si="3"/>
        <v>0</v>
      </c>
      <c r="E33" s="388"/>
      <c r="F33" s="446"/>
      <c r="G33" s="496"/>
      <c r="H33" s="448">
        <f>SUM($F$9:F33)/A33</f>
        <v>0</v>
      </c>
      <c r="I33" s="499">
        <f>SUM($G$9:G33)/A33</f>
        <v>0</v>
      </c>
      <c r="J33" s="448">
        <f t="shared" si="4"/>
        <v>0</v>
      </c>
      <c r="K33" s="459">
        <f t="shared" si="4"/>
        <v>0</v>
      </c>
      <c r="L33" s="369" t="e">
        <f t="shared" si="5"/>
        <v>#DIV/0!</v>
      </c>
      <c r="M33" s="300" t="e">
        <f t="shared" si="5"/>
        <v>#DIV/0!</v>
      </c>
      <c r="N33" s="366"/>
      <c r="O33" s="647">
        <f t="shared" si="2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>
        <f t="shared" si="3"/>
        <v>0</v>
      </c>
      <c r="E34" s="388"/>
      <c r="F34" s="446"/>
      <c r="G34" s="496"/>
      <c r="H34" s="498">
        <f>SUM($F$9:F34)/A34</f>
        <v>0</v>
      </c>
      <c r="I34" s="499">
        <f>SUM($G$9:G34)/A34</f>
        <v>0</v>
      </c>
      <c r="J34" s="443">
        <f t="shared" si="4"/>
        <v>0</v>
      </c>
      <c r="K34" s="459">
        <f t="shared" si="4"/>
        <v>0</v>
      </c>
      <c r="L34" s="338" t="e">
        <f t="shared" si="5"/>
        <v>#DIV/0!</v>
      </c>
      <c r="M34" s="300" t="e">
        <f t="shared" si="5"/>
        <v>#DIV/0!</v>
      </c>
      <c r="N34" s="366"/>
      <c r="O34" s="647">
        <f t="shared" si="2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>
        <f t="shared" si="3"/>
        <v>0</v>
      </c>
      <c r="E35" s="388"/>
      <c r="F35" s="446"/>
      <c r="G35" s="496"/>
      <c r="H35" s="498">
        <f>SUM($F$9:F35)/A35</f>
        <v>0</v>
      </c>
      <c r="I35" s="499">
        <f>SUM($G$9:G35)/A35</f>
        <v>0</v>
      </c>
      <c r="J35" s="443">
        <f t="shared" si="4"/>
        <v>0</v>
      </c>
      <c r="K35" s="459">
        <f t="shared" si="4"/>
        <v>0</v>
      </c>
      <c r="L35" s="338" t="e">
        <f t="shared" si="5"/>
        <v>#DIV/0!</v>
      </c>
      <c r="M35" s="300" t="e">
        <f t="shared" si="5"/>
        <v>#DIV/0!</v>
      </c>
      <c r="N35" s="366"/>
      <c r="O35" s="647">
        <f t="shared" si="2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>
        <f t="shared" si="3"/>
        <v>0</v>
      </c>
      <c r="E36" s="388"/>
      <c r="F36" s="446"/>
      <c r="G36" s="496"/>
      <c r="H36" s="498">
        <f>SUM($F$9:F36)/A36</f>
        <v>0</v>
      </c>
      <c r="I36" s="499">
        <f>SUM($G$9:G36)/A36</f>
        <v>0</v>
      </c>
      <c r="J36" s="443">
        <f t="shared" si="4"/>
        <v>0</v>
      </c>
      <c r="K36" s="459">
        <f t="shared" si="4"/>
        <v>0</v>
      </c>
      <c r="L36" s="338" t="e">
        <f t="shared" si="5"/>
        <v>#DIV/0!</v>
      </c>
      <c r="M36" s="300" t="e">
        <f t="shared" si="5"/>
        <v>#DIV/0!</v>
      </c>
      <c r="N36" s="366"/>
      <c r="O36" s="647">
        <f t="shared" si="2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>
        <f t="shared" si="3"/>
        <v>0</v>
      </c>
      <c r="E37" s="388"/>
      <c r="F37" s="446"/>
      <c r="G37" s="496"/>
      <c r="H37" s="498">
        <f>SUM($F$9:F37)/A37</f>
        <v>0</v>
      </c>
      <c r="I37" s="499">
        <f>SUM($G$9:G37)/A37</f>
        <v>0</v>
      </c>
      <c r="J37" s="443">
        <f t="shared" si="4"/>
        <v>0</v>
      </c>
      <c r="K37" s="459">
        <f t="shared" si="4"/>
        <v>0</v>
      </c>
      <c r="L37" s="338" t="e">
        <f t="shared" si="5"/>
        <v>#DIV/0!</v>
      </c>
      <c r="M37" s="300" t="e">
        <f t="shared" si="5"/>
        <v>#DIV/0!</v>
      </c>
      <c r="N37" s="366"/>
      <c r="O37" s="647">
        <f t="shared" si="2"/>
        <v>0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>
        <f t="shared" si="3"/>
        <v>0</v>
      </c>
      <c r="E38" s="388"/>
      <c r="F38" s="446"/>
      <c r="G38" s="496"/>
      <c r="H38" s="500">
        <f>SUM($F$9:F38)/A38</f>
        <v>0</v>
      </c>
      <c r="I38" s="499">
        <f>SUM($G$9:G38)/A38</f>
        <v>0</v>
      </c>
      <c r="J38" s="500">
        <f t="shared" si="4"/>
        <v>0</v>
      </c>
      <c r="K38" s="459">
        <f t="shared" si="4"/>
        <v>0</v>
      </c>
      <c r="L38" s="368" t="e">
        <f t="shared" si="5"/>
        <v>#DIV/0!</v>
      </c>
      <c r="M38" s="300" t="e">
        <f t="shared" si="5"/>
        <v>#DIV/0!</v>
      </c>
      <c r="N38" s="366"/>
      <c r="O38" s="647">
        <f t="shared" si="2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>
        <f t="shared" si="3"/>
        <v>0</v>
      </c>
      <c r="E39" s="388"/>
      <c r="F39" s="446"/>
      <c r="G39" s="496"/>
      <c r="H39" s="498">
        <f>SUM($F$9:F39)/A39</f>
        <v>0</v>
      </c>
      <c r="I39" s="499">
        <f>SUM($G$9:G39)/A39</f>
        <v>0</v>
      </c>
      <c r="J39" s="443">
        <f t="shared" si="4"/>
        <v>0</v>
      </c>
      <c r="K39" s="459">
        <f t="shared" si="4"/>
        <v>0</v>
      </c>
      <c r="L39" s="338" t="e">
        <f t="shared" si="5"/>
        <v>#DIV/0!</v>
      </c>
      <c r="M39" s="300" t="e">
        <f t="shared" si="5"/>
        <v>#DIV/0!</v>
      </c>
      <c r="N39" s="366"/>
      <c r="O39" s="647">
        <f t="shared" si="2"/>
        <v>0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0">
    <cfRule type="cellIs" dxfId="935" priority="217" operator="lessThan">
      <formula>15</formula>
    </cfRule>
    <cfRule type="cellIs" dxfId="934" priority="218" operator="greaterThan">
      <formula>20</formula>
    </cfRule>
    <cfRule type="cellIs" dxfId="933" priority="219" operator="between">
      <formula>15</formula>
      <formula>20</formula>
    </cfRule>
    <cfRule type="cellIs" dxfId="932" priority="220" operator="between">
      <formula>15</formula>
      <formula>20</formula>
    </cfRule>
    <cfRule type="cellIs" dxfId="931" priority="221" operator="lessThan">
      <formula>15</formula>
    </cfRule>
    <cfRule type="cellIs" dxfId="930" priority="222" operator="greaterThan">
      <formula>20</formula>
    </cfRule>
    <cfRule type="cellIs" dxfId="929" priority="223" operator="between">
      <formula>15</formula>
      <formula>21</formula>
    </cfRule>
    <cfRule type="cellIs" dxfId="928" priority="224" operator="lessThan">
      <formula>15</formula>
    </cfRule>
    <cfRule type="cellIs" dxfId="927" priority="225" operator="greaterThan">
      <formula>21</formula>
    </cfRule>
  </conditionalFormatting>
  <conditionalFormatting sqref="M27">
    <cfRule type="cellIs" dxfId="926" priority="208" operator="lessThan">
      <formula>15</formula>
    </cfRule>
    <cfRule type="cellIs" dxfId="925" priority="209" operator="greaterThan">
      <formula>20</formula>
    </cfRule>
    <cfRule type="cellIs" dxfId="924" priority="210" operator="between">
      <formula>15</formula>
      <formula>20</formula>
    </cfRule>
    <cfRule type="cellIs" dxfId="923" priority="211" operator="between">
      <formula>15</formula>
      <formula>20</formula>
    </cfRule>
    <cfRule type="cellIs" dxfId="922" priority="212" operator="lessThan">
      <formula>15</formula>
    </cfRule>
    <cfRule type="cellIs" dxfId="921" priority="213" operator="greaterThan">
      <formula>20</formula>
    </cfRule>
    <cfRule type="cellIs" dxfId="920" priority="214" operator="between">
      <formula>15</formula>
      <formula>21</formula>
    </cfRule>
    <cfRule type="cellIs" dxfId="919" priority="215" operator="lessThan">
      <formula>15</formula>
    </cfRule>
    <cfRule type="cellIs" dxfId="918" priority="216" operator="greaterThan">
      <formula>21</formula>
    </cfRule>
  </conditionalFormatting>
  <conditionalFormatting sqref="M34">
    <cfRule type="cellIs" dxfId="917" priority="199" operator="lessThan">
      <formula>15</formula>
    </cfRule>
    <cfRule type="cellIs" dxfId="916" priority="200" operator="greaterThan">
      <formula>20</formula>
    </cfRule>
    <cfRule type="cellIs" dxfId="915" priority="201" operator="between">
      <formula>15</formula>
      <formula>20</formula>
    </cfRule>
    <cfRule type="cellIs" dxfId="914" priority="202" operator="between">
      <formula>15</formula>
      <formula>20</formula>
    </cfRule>
    <cfRule type="cellIs" dxfId="913" priority="203" operator="lessThan">
      <formula>15</formula>
    </cfRule>
    <cfRule type="cellIs" dxfId="912" priority="204" operator="greaterThan">
      <formula>20</formula>
    </cfRule>
    <cfRule type="cellIs" dxfId="911" priority="205" operator="between">
      <formula>15</formula>
      <formula>21</formula>
    </cfRule>
    <cfRule type="cellIs" dxfId="910" priority="206" operator="lessThan">
      <formula>15</formula>
    </cfRule>
    <cfRule type="cellIs" dxfId="909" priority="207" operator="greaterThan">
      <formula>21</formula>
    </cfRule>
  </conditionalFormatting>
  <conditionalFormatting sqref="M14:M17 M39 M21:M22 M24:M26 M19">
    <cfRule type="cellIs" dxfId="908" priority="226" operator="lessThan">
      <formula>15</formula>
    </cfRule>
    <cfRule type="cellIs" dxfId="907" priority="227" operator="greaterThan">
      <formula>20</formula>
    </cfRule>
    <cfRule type="cellIs" dxfId="906" priority="228" operator="between">
      <formula>15</formula>
      <formula>20</formula>
    </cfRule>
    <cfRule type="cellIs" dxfId="905" priority="229" operator="between">
      <formula>15</formula>
      <formula>20</formula>
    </cfRule>
    <cfRule type="cellIs" dxfId="904" priority="230" operator="lessThan">
      <formula>15</formula>
    </cfRule>
    <cfRule type="cellIs" dxfId="903" priority="231" operator="greaterThan">
      <formula>20</formula>
    </cfRule>
    <cfRule type="cellIs" dxfId="902" priority="232" operator="between">
      <formula>15</formula>
      <formula>21</formula>
    </cfRule>
    <cfRule type="cellIs" dxfId="901" priority="233" operator="lessThan">
      <formula>15</formula>
    </cfRule>
    <cfRule type="cellIs" dxfId="900" priority="234" operator="greaterThan">
      <formula>21</formula>
    </cfRule>
  </conditionalFormatting>
  <conditionalFormatting sqref="M9:M12">
    <cfRule type="cellIs" dxfId="899" priority="190" operator="lessThan">
      <formula>15</formula>
    </cfRule>
    <cfRule type="cellIs" dxfId="898" priority="191" operator="greaterThan">
      <formula>20</formula>
    </cfRule>
    <cfRule type="cellIs" dxfId="897" priority="192" operator="between">
      <formula>15</formula>
      <formula>20</formula>
    </cfRule>
    <cfRule type="cellIs" dxfId="896" priority="193" operator="between">
      <formula>15</formula>
      <formula>20</formula>
    </cfRule>
    <cfRule type="cellIs" dxfId="895" priority="194" operator="lessThan">
      <formula>15</formula>
    </cfRule>
    <cfRule type="cellIs" dxfId="894" priority="195" operator="greaterThan">
      <formula>20</formula>
    </cfRule>
    <cfRule type="cellIs" dxfId="893" priority="196" operator="between">
      <formula>15</formula>
      <formula>21</formula>
    </cfRule>
    <cfRule type="cellIs" dxfId="892" priority="197" operator="lessThan">
      <formula>15</formula>
    </cfRule>
    <cfRule type="cellIs" dxfId="891" priority="198" operator="greaterThan">
      <formula>21</formula>
    </cfRule>
  </conditionalFormatting>
  <conditionalFormatting sqref="M29:M32">
    <cfRule type="cellIs" dxfId="890" priority="181" operator="lessThan">
      <formula>15</formula>
    </cfRule>
    <cfRule type="cellIs" dxfId="889" priority="182" operator="greaterThan">
      <formula>20</formula>
    </cfRule>
    <cfRule type="cellIs" dxfId="888" priority="183" operator="between">
      <formula>15</formula>
      <formula>20</formula>
    </cfRule>
    <cfRule type="cellIs" dxfId="887" priority="184" operator="between">
      <formula>15</formula>
      <formula>20</formula>
    </cfRule>
    <cfRule type="cellIs" dxfId="886" priority="185" operator="lessThan">
      <formula>15</formula>
    </cfRule>
    <cfRule type="cellIs" dxfId="885" priority="186" operator="greaterThan">
      <formula>20</formula>
    </cfRule>
    <cfRule type="cellIs" dxfId="884" priority="187" operator="between">
      <formula>15</formula>
      <formula>21</formula>
    </cfRule>
    <cfRule type="cellIs" dxfId="883" priority="188" operator="lessThan">
      <formula>15</formula>
    </cfRule>
    <cfRule type="cellIs" dxfId="882" priority="189" operator="greaterThan">
      <formula>21</formula>
    </cfRule>
  </conditionalFormatting>
  <conditionalFormatting sqref="M35:M37">
    <cfRule type="cellIs" dxfId="881" priority="172" operator="lessThan">
      <formula>15</formula>
    </cfRule>
    <cfRule type="cellIs" dxfId="880" priority="173" operator="greaterThan">
      <formula>20</formula>
    </cfRule>
    <cfRule type="cellIs" dxfId="879" priority="174" operator="between">
      <formula>15</formula>
      <formula>20</formula>
    </cfRule>
    <cfRule type="cellIs" dxfId="878" priority="175" operator="between">
      <formula>15</formula>
      <formula>20</formula>
    </cfRule>
    <cfRule type="cellIs" dxfId="877" priority="176" operator="lessThan">
      <formula>15</formula>
    </cfRule>
    <cfRule type="cellIs" dxfId="876" priority="177" operator="greaterThan">
      <formula>20</formula>
    </cfRule>
    <cfRule type="cellIs" dxfId="875" priority="178" operator="between">
      <formula>15</formula>
      <formula>21</formula>
    </cfRule>
    <cfRule type="cellIs" dxfId="874" priority="179" operator="lessThan">
      <formula>15</formula>
    </cfRule>
    <cfRule type="cellIs" dxfId="873" priority="180" operator="greaterThan">
      <formula>21</formula>
    </cfRule>
  </conditionalFormatting>
  <conditionalFormatting sqref="M28">
    <cfRule type="cellIs" dxfId="872" priority="163" operator="lessThan">
      <formula>15</formula>
    </cfRule>
    <cfRule type="cellIs" dxfId="871" priority="164" operator="greaterThan">
      <formula>20</formula>
    </cfRule>
    <cfRule type="cellIs" dxfId="870" priority="165" operator="between">
      <formula>15</formula>
      <formula>20</formula>
    </cfRule>
    <cfRule type="cellIs" dxfId="869" priority="166" operator="between">
      <formula>15</formula>
      <formula>20</formula>
    </cfRule>
    <cfRule type="cellIs" dxfId="868" priority="167" operator="lessThan">
      <formula>15</formula>
    </cfRule>
    <cfRule type="cellIs" dxfId="867" priority="168" operator="greaterThan">
      <formula>20</formula>
    </cfRule>
    <cfRule type="cellIs" dxfId="866" priority="169" operator="between">
      <formula>15</formula>
      <formula>21</formula>
    </cfRule>
    <cfRule type="cellIs" dxfId="865" priority="170" operator="lessThan">
      <formula>15</formula>
    </cfRule>
    <cfRule type="cellIs" dxfId="864" priority="171" operator="greaterThan">
      <formula>21</formula>
    </cfRule>
  </conditionalFormatting>
  <conditionalFormatting sqref="M23">
    <cfRule type="cellIs" dxfId="863" priority="154" operator="lessThan">
      <formula>15</formula>
    </cfRule>
    <cfRule type="cellIs" dxfId="862" priority="155" operator="greaterThan">
      <formula>20</formula>
    </cfRule>
    <cfRule type="cellIs" dxfId="861" priority="156" operator="between">
      <formula>15</formula>
      <formula>20</formula>
    </cfRule>
    <cfRule type="cellIs" dxfId="860" priority="157" operator="between">
      <formula>15</formula>
      <formula>20</formula>
    </cfRule>
    <cfRule type="cellIs" dxfId="859" priority="158" operator="lessThan">
      <formula>15</formula>
    </cfRule>
    <cfRule type="cellIs" dxfId="858" priority="159" operator="greaterThan">
      <formula>20</formula>
    </cfRule>
    <cfRule type="cellIs" dxfId="857" priority="160" operator="between">
      <formula>15</formula>
      <formula>21</formula>
    </cfRule>
    <cfRule type="cellIs" dxfId="856" priority="161" operator="lessThan">
      <formula>15</formula>
    </cfRule>
    <cfRule type="cellIs" dxfId="855" priority="162" operator="greaterThan">
      <formula>21</formula>
    </cfRule>
  </conditionalFormatting>
  <conditionalFormatting sqref="M18">
    <cfRule type="cellIs" dxfId="854" priority="145" operator="lessThan">
      <formula>15</formula>
    </cfRule>
    <cfRule type="cellIs" dxfId="853" priority="146" operator="greaterThan">
      <formula>20</formula>
    </cfRule>
    <cfRule type="cellIs" dxfId="852" priority="147" operator="between">
      <formula>15</formula>
      <formula>20</formula>
    </cfRule>
    <cfRule type="cellIs" dxfId="851" priority="148" operator="between">
      <formula>15</formula>
      <formula>20</formula>
    </cfRule>
    <cfRule type="cellIs" dxfId="850" priority="149" operator="lessThan">
      <formula>15</formula>
    </cfRule>
    <cfRule type="cellIs" dxfId="849" priority="150" operator="greaterThan">
      <formula>20</formula>
    </cfRule>
    <cfRule type="cellIs" dxfId="848" priority="151" operator="between">
      <formula>15</formula>
      <formula>21</formula>
    </cfRule>
    <cfRule type="cellIs" dxfId="847" priority="152" operator="lessThan">
      <formula>15</formula>
    </cfRule>
    <cfRule type="cellIs" dxfId="846" priority="153" operator="greaterThan">
      <formula>21</formula>
    </cfRule>
  </conditionalFormatting>
  <conditionalFormatting sqref="M13">
    <cfRule type="cellIs" dxfId="845" priority="136" operator="lessThan">
      <formula>15</formula>
    </cfRule>
    <cfRule type="cellIs" dxfId="844" priority="137" operator="greaterThan">
      <formula>20</formula>
    </cfRule>
    <cfRule type="cellIs" dxfId="843" priority="138" operator="between">
      <formula>15</formula>
      <formula>20</formula>
    </cfRule>
    <cfRule type="cellIs" dxfId="842" priority="139" operator="between">
      <formula>15</formula>
      <formula>20</formula>
    </cfRule>
    <cfRule type="cellIs" dxfId="841" priority="140" operator="lessThan">
      <formula>15</formula>
    </cfRule>
    <cfRule type="cellIs" dxfId="840" priority="141" operator="greaterThan">
      <formula>20</formula>
    </cfRule>
    <cfRule type="cellIs" dxfId="839" priority="142" operator="between">
      <formula>15</formula>
      <formula>21</formula>
    </cfRule>
    <cfRule type="cellIs" dxfId="838" priority="143" operator="lessThan">
      <formula>15</formula>
    </cfRule>
    <cfRule type="cellIs" dxfId="837" priority="144" operator="greaterThan">
      <formula>21</formula>
    </cfRule>
  </conditionalFormatting>
  <conditionalFormatting sqref="M33">
    <cfRule type="cellIs" dxfId="836" priority="127" operator="lessThan">
      <formula>15</formula>
    </cfRule>
    <cfRule type="cellIs" dxfId="835" priority="128" operator="greaterThan">
      <formula>20</formula>
    </cfRule>
    <cfRule type="cellIs" dxfId="834" priority="129" operator="between">
      <formula>15</formula>
      <formula>20</formula>
    </cfRule>
    <cfRule type="cellIs" dxfId="833" priority="130" operator="between">
      <formula>15</formula>
      <formula>20</formula>
    </cfRule>
    <cfRule type="cellIs" dxfId="832" priority="131" operator="lessThan">
      <formula>15</formula>
    </cfRule>
    <cfRule type="cellIs" dxfId="831" priority="132" operator="greaterThan">
      <formula>20</formula>
    </cfRule>
    <cfRule type="cellIs" dxfId="830" priority="133" operator="between">
      <formula>15</formula>
      <formula>21</formula>
    </cfRule>
    <cfRule type="cellIs" dxfId="829" priority="134" operator="lessThan">
      <formula>15</formula>
    </cfRule>
    <cfRule type="cellIs" dxfId="828" priority="135" operator="greaterThan">
      <formula>21</formula>
    </cfRule>
  </conditionalFormatting>
  <conditionalFormatting sqref="M38">
    <cfRule type="cellIs" dxfId="827" priority="118" operator="lessThan">
      <formula>15</formula>
    </cfRule>
    <cfRule type="cellIs" dxfId="826" priority="119" operator="greaterThan">
      <formula>20</formula>
    </cfRule>
    <cfRule type="cellIs" dxfId="825" priority="120" operator="between">
      <formula>15</formula>
      <formula>20</formula>
    </cfRule>
    <cfRule type="cellIs" dxfId="824" priority="121" operator="between">
      <formula>15</formula>
      <formula>20</formula>
    </cfRule>
    <cfRule type="cellIs" dxfId="823" priority="122" operator="lessThan">
      <formula>15</formula>
    </cfRule>
    <cfRule type="cellIs" dxfId="822" priority="123" operator="greaterThan">
      <formula>20</formula>
    </cfRule>
    <cfRule type="cellIs" dxfId="821" priority="124" operator="between">
      <formula>15</formula>
      <formula>21</formula>
    </cfRule>
    <cfRule type="cellIs" dxfId="820" priority="125" operator="lessThan">
      <formula>15</formula>
    </cfRule>
    <cfRule type="cellIs" dxfId="819" priority="126" operator="greaterThan">
      <formula>21</formula>
    </cfRule>
  </conditionalFormatting>
  <conditionalFormatting sqref="M38">
    <cfRule type="cellIs" dxfId="818" priority="109" operator="lessThan">
      <formula>15</formula>
    </cfRule>
    <cfRule type="cellIs" dxfId="817" priority="110" operator="greaterThan">
      <formula>20</formula>
    </cfRule>
    <cfRule type="cellIs" dxfId="816" priority="111" operator="between">
      <formula>15</formula>
      <formula>20</formula>
    </cfRule>
    <cfRule type="cellIs" dxfId="815" priority="112" operator="between">
      <formula>15</formula>
      <formula>20</formula>
    </cfRule>
    <cfRule type="cellIs" dxfId="814" priority="113" operator="lessThan">
      <formula>15</formula>
    </cfRule>
    <cfRule type="cellIs" dxfId="813" priority="114" operator="greaterThan">
      <formula>20</formula>
    </cfRule>
    <cfRule type="cellIs" dxfId="812" priority="115" operator="between">
      <formula>15</formula>
      <formula>21</formula>
    </cfRule>
    <cfRule type="cellIs" dxfId="811" priority="116" operator="lessThan">
      <formula>15</formula>
    </cfRule>
    <cfRule type="cellIs" dxfId="810" priority="117" operator="greaterThan">
      <formula>21</formula>
    </cfRule>
  </conditionalFormatting>
  <conditionalFormatting sqref="M33">
    <cfRule type="cellIs" dxfId="809" priority="100" operator="lessThan">
      <formula>15</formula>
    </cfRule>
    <cfRule type="cellIs" dxfId="808" priority="101" operator="greaterThan">
      <formula>20</formula>
    </cfRule>
    <cfRule type="cellIs" dxfId="807" priority="102" operator="between">
      <formula>15</formula>
      <formula>20</formula>
    </cfRule>
    <cfRule type="cellIs" dxfId="806" priority="103" operator="between">
      <formula>15</formula>
      <formula>20</formula>
    </cfRule>
    <cfRule type="cellIs" dxfId="805" priority="104" operator="lessThan">
      <formula>15</formula>
    </cfRule>
    <cfRule type="cellIs" dxfId="804" priority="105" operator="greaterThan">
      <formula>20</formula>
    </cfRule>
    <cfRule type="cellIs" dxfId="803" priority="106" operator="between">
      <formula>15</formula>
      <formula>21</formula>
    </cfRule>
    <cfRule type="cellIs" dxfId="802" priority="107" operator="lessThan">
      <formula>15</formula>
    </cfRule>
    <cfRule type="cellIs" dxfId="801" priority="108" operator="greaterThan">
      <formula>21</formula>
    </cfRule>
  </conditionalFormatting>
  <conditionalFormatting sqref="M28">
    <cfRule type="cellIs" dxfId="800" priority="91" operator="lessThan">
      <formula>15</formula>
    </cfRule>
    <cfRule type="cellIs" dxfId="799" priority="92" operator="greaterThan">
      <formula>20</formula>
    </cfRule>
    <cfRule type="cellIs" dxfId="798" priority="93" operator="between">
      <formula>15</formula>
      <formula>20</formula>
    </cfRule>
    <cfRule type="cellIs" dxfId="797" priority="94" operator="between">
      <formula>15</formula>
      <formula>20</formula>
    </cfRule>
    <cfRule type="cellIs" dxfId="796" priority="95" operator="lessThan">
      <formula>15</formula>
    </cfRule>
    <cfRule type="cellIs" dxfId="795" priority="96" operator="greaterThan">
      <formula>20</formula>
    </cfRule>
    <cfRule type="cellIs" dxfId="794" priority="97" operator="between">
      <formula>15</formula>
      <formula>21</formula>
    </cfRule>
    <cfRule type="cellIs" dxfId="793" priority="98" operator="lessThan">
      <formula>15</formula>
    </cfRule>
    <cfRule type="cellIs" dxfId="792" priority="99" operator="greaterThan">
      <formula>21</formula>
    </cfRule>
  </conditionalFormatting>
  <conditionalFormatting sqref="M23">
    <cfRule type="cellIs" dxfId="791" priority="82" operator="lessThan">
      <formula>15</formula>
    </cfRule>
    <cfRule type="cellIs" dxfId="790" priority="83" operator="greaterThan">
      <formula>20</formula>
    </cfRule>
    <cfRule type="cellIs" dxfId="789" priority="84" operator="between">
      <formula>15</formula>
      <formula>20</formula>
    </cfRule>
    <cfRule type="cellIs" dxfId="788" priority="85" operator="between">
      <formula>15</formula>
      <formula>20</formula>
    </cfRule>
    <cfRule type="cellIs" dxfId="787" priority="86" operator="lessThan">
      <formula>15</formula>
    </cfRule>
    <cfRule type="cellIs" dxfId="786" priority="87" operator="greaterThan">
      <formula>20</formula>
    </cfRule>
    <cfRule type="cellIs" dxfId="785" priority="88" operator="between">
      <formula>15</formula>
      <formula>21</formula>
    </cfRule>
    <cfRule type="cellIs" dxfId="784" priority="89" operator="lessThan">
      <formula>15</formula>
    </cfRule>
    <cfRule type="cellIs" dxfId="783" priority="90" operator="greaterThan">
      <formula>21</formula>
    </cfRule>
  </conditionalFormatting>
  <conditionalFormatting sqref="M18">
    <cfRule type="cellIs" dxfId="782" priority="73" operator="lessThan">
      <formula>15</formula>
    </cfRule>
    <cfRule type="cellIs" dxfId="781" priority="74" operator="greaterThan">
      <formula>20</formula>
    </cfRule>
    <cfRule type="cellIs" dxfId="780" priority="75" operator="between">
      <formula>15</formula>
      <formula>20</formula>
    </cfRule>
    <cfRule type="cellIs" dxfId="779" priority="76" operator="between">
      <formula>15</formula>
      <formula>20</formula>
    </cfRule>
    <cfRule type="cellIs" dxfId="778" priority="77" operator="lessThan">
      <formula>15</formula>
    </cfRule>
    <cfRule type="cellIs" dxfId="777" priority="78" operator="greaterThan">
      <formula>20</formula>
    </cfRule>
    <cfRule type="cellIs" dxfId="776" priority="79" operator="between">
      <formula>15</formula>
      <formula>21</formula>
    </cfRule>
    <cfRule type="cellIs" dxfId="775" priority="80" operator="lessThan">
      <formula>15</formula>
    </cfRule>
    <cfRule type="cellIs" dxfId="774" priority="81" operator="greaterThan">
      <formula>21</formula>
    </cfRule>
  </conditionalFormatting>
  <conditionalFormatting sqref="M35:M37">
    <cfRule type="cellIs" dxfId="773" priority="64" operator="lessThan">
      <formula>15</formula>
    </cfRule>
    <cfRule type="cellIs" dxfId="772" priority="65" operator="greaterThan">
      <formula>20</formula>
    </cfRule>
    <cfRule type="cellIs" dxfId="771" priority="66" operator="between">
      <formula>15</formula>
      <formula>20</formula>
    </cfRule>
    <cfRule type="cellIs" dxfId="770" priority="67" operator="between">
      <formula>15</formula>
      <formula>20</formula>
    </cfRule>
    <cfRule type="cellIs" dxfId="769" priority="68" operator="lessThan">
      <formula>15</formula>
    </cfRule>
    <cfRule type="cellIs" dxfId="768" priority="69" operator="greaterThan">
      <formula>20</formula>
    </cfRule>
    <cfRule type="cellIs" dxfId="767" priority="70" operator="between">
      <formula>15</formula>
      <formula>21</formula>
    </cfRule>
    <cfRule type="cellIs" dxfId="766" priority="71" operator="lessThan">
      <formula>15</formula>
    </cfRule>
    <cfRule type="cellIs" dxfId="765" priority="72" operator="greaterThan">
      <formula>21</formula>
    </cfRule>
  </conditionalFormatting>
  <conditionalFormatting sqref="M13">
    <cfRule type="cellIs" dxfId="764" priority="55" operator="lessThan">
      <formula>15</formula>
    </cfRule>
    <cfRule type="cellIs" dxfId="763" priority="56" operator="greaterThan">
      <formula>20</formula>
    </cfRule>
    <cfRule type="cellIs" dxfId="762" priority="57" operator="between">
      <formula>15</formula>
      <formula>20</formula>
    </cfRule>
    <cfRule type="cellIs" dxfId="761" priority="58" operator="between">
      <formula>15</formula>
      <formula>20</formula>
    </cfRule>
    <cfRule type="cellIs" dxfId="760" priority="59" operator="lessThan">
      <formula>15</formula>
    </cfRule>
    <cfRule type="cellIs" dxfId="759" priority="60" operator="greaterThan">
      <formula>20</formula>
    </cfRule>
    <cfRule type="cellIs" dxfId="758" priority="61" operator="between">
      <formula>15</formula>
      <formula>21</formula>
    </cfRule>
    <cfRule type="cellIs" dxfId="757" priority="62" operator="lessThan">
      <formula>15</formula>
    </cfRule>
    <cfRule type="cellIs" dxfId="756" priority="63" operator="greaterThan">
      <formula>21</formula>
    </cfRule>
  </conditionalFormatting>
  <conditionalFormatting sqref="M20">
    <cfRule type="cellIs" dxfId="755" priority="46" operator="lessThan">
      <formula>15</formula>
    </cfRule>
    <cfRule type="cellIs" dxfId="754" priority="47" operator="greaterThan">
      <formula>20</formula>
    </cfRule>
    <cfRule type="cellIs" dxfId="753" priority="48" operator="between">
      <formula>15</formula>
      <formula>20</formula>
    </cfRule>
    <cfRule type="cellIs" dxfId="752" priority="49" operator="between">
      <formula>15</formula>
      <formula>20</formula>
    </cfRule>
    <cfRule type="cellIs" dxfId="751" priority="50" operator="lessThan">
      <formula>15</formula>
    </cfRule>
    <cfRule type="cellIs" dxfId="750" priority="51" operator="greaterThan">
      <formula>20</formula>
    </cfRule>
    <cfRule type="cellIs" dxfId="749" priority="52" operator="between">
      <formula>15</formula>
      <formula>21</formula>
    </cfRule>
    <cfRule type="cellIs" dxfId="748" priority="53" operator="lessThan">
      <formula>15</formula>
    </cfRule>
    <cfRule type="cellIs" dxfId="747" priority="54" operator="greaterThan">
      <formula>21</formula>
    </cfRule>
  </conditionalFormatting>
  <conditionalFormatting sqref="M27">
    <cfRule type="cellIs" dxfId="746" priority="37" operator="lessThan">
      <formula>15</formula>
    </cfRule>
    <cfRule type="cellIs" dxfId="745" priority="38" operator="greaterThan">
      <formula>20</formula>
    </cfRule>
    <cfRule type="cellIs" dxfId="744" priority="39" operator="between">
      <formula>15</formula>
      <formula>20</formula>
    </cfRule>
    <cfRule type="cellIs" dxfId="743" priority="40" operator="between">
      <formula>15</formula>
      <formula>20</formula>
    </cfRule>
    <cfRule type="cellIs" dxfId="742" priority="41" operator="lessThan">
      <formula>15</formula>
    </cfRule>
    <cfRule type="cellIs" dxfId="741" priority="42" operator="greaterThan">
      <formula>20</formula>
    </cfRule>
    <cfRule type="cellIs" dxfId="740" priority="43" operator="between">
      <formula>15</formula>
      <formula>21</formula>
    </cfRule>
    <cfRule type="cellIs" dxfId="739" priority="44" operator="lessThan">
      <formula>15</formula>
    </cfRule>
    <cfRule type="cellIs" dxfId="738" priority="45" operator="greaterThan">
      <formula>21</formula>
    </cfRule>
  </conditionalFormatting>
  <conditionalFormatting sqref="M34">
    <cfRule type="cellIs" dxfId="737" priority="28" operator="lessThan">
      <formula>15</formula>
    </cfRule>
    <cfRule type="cellIs" dxfId="736" priority="29" operator="greaterThan">
      <formula>20</formula>
    </cfRule>
    <cfRule type="cellIs" dxfId="735" priority="30" operator="between">
      <formula>15</formula>
      <formula>20</formula>
    </cfRule>
    <cfRule type="cellIs" dxfId="734" priority="31" operator="between">
      <formula>15</formula>
      <formula>20</formula>
    </cfRule>
    <cfRule type="cellIs" dxfId="733" priority="32" operator="lessThan">
      <formula>15</formula>
    </cfRule>
    <cfRule type="cellIs" dxfId="732" priority="33" operator="greaterThan">
      <formula>20</formula>
    </cfRule>
    <cfRule type="cellIs" dxfId="731" priority="34" operator="between">
      <formula>15</formula>
      <formula>21</formula>
    </cfRule>
    <cfRule type="cellIs" dxfId="730" priority="35" operator="lessThan">
      <formula>15</formula>
    </cfRule>
    <cfRule type="cellIs" dxfId="729" priority="36" operator="greaterThan">
      <formula>21</formula>
    </cfRule>
  </conditionalFormatting>
  <conditionalFormatting sqref="M14:M17 M39 M21:M22 M24:M26 M19">
    <cfRule type="cellIs" dxfId="728" priority="19" operator="lessThan">
      <formula>15</formula>
    </cfRule>
    <cfRule type="cellIs" dxfId="727" priority="20" operator="greaterThan">
      <formula>20</formula>
    </cfRule>
    <cfRule type="cellIs" dxfId="726" priority="21" operator="between">
      <formula>15</formula>
      <formula>20</formula>
    </cfRule>
    <cfRule type="cellIs" dxfId="725" priority="22" operator="between">
      <formula>15</formula>
      <formula>20</formula>
    </cfRule>
    <cfRule type="cellIs" dxfId="724" priority="23" operator="lessThan">
      <formula>15</formula>
    </cfRule>
    <cfRule type="cellIs" dxfId="723" priority="24" operator="greaterThan">
      <formula>20</formula>
    </cfRule>
    <cfRule type="cellIs" dxfId="722" priority="25" operator="between">
      <formula>15</formula>
      <formula>21</formula>
    </cfRule>
    <cfRule type="cellIs" dxfId="721" priority="26" operator="lessThan">
      <formula>15</formula>
    </cfRule>
    <cfRule type="cellIs" dxfId="720" priority="27" operator="greaterThan">
      <formula>21</formula>
    </cfRule>
  </conditionalFormatting>
  <conditionalFormatting sqref="M9:M12">
    <cfRule type="cellIs" dxfId="719" priority="10" operator="lessThan">
      <formula>15</formula>
    </cfRule>
    <cfRule type="cellIs" dxfId="718" priority="11" operator="greaterThan">
      <formula>20</formula>
    </cfRule>
    <cfRule type="cellIs" dxfId="717" priority="12" operator="between">
      <formula>15</formula>
      <formula>20</formula>
    </cfRule>
    <cfRule type="cellIs" dxfId="716" priority="13" operator="between">
      <formula>15</formula>
      <formula>20</formula>
    </cfRule>
    <cfRule type="cellIs" dxfId="715" priority="14" operator="lessThan">
      <formula>15</formula>
    </cfRule>
    <cfRule type="cellIs" dxfId="714" priority="15" operator="greaterThan">
      <formula>20</formula>
    </cfRule>
    <cfRule type="cellIs" dxfId="713" priority="16" operator="between">
      <formula>15</formula>
      <formula>21</formula>
    </cfRule>
    <cfRule type="cellIs" dxfId="712" priority="17" operator="lessThan">
      <formula>15</formula>
    </cfRule>
    <cfRule type="cellIs" dxfId="711" priority="18" operator="greaterThan">
      <formula>21</formula>
    </cfRule>
  </conditionalFormatting>
  <conditionalFormatting sqref="M29:M32">
    <cfRule type="cellIs" dxfId="710" priority="1" operator="lessThan">
      <formula>15</formula>
    </cfRule>
    <cfRule type="cellIs" dxfId="709" priority="2" operator="greaterThan">
      <formula>20</formula>
    </cfRule>
    <cfRule type="cellIs" dxfId="708" priority="3" operator="between">
      <formula>15</formula>
      <formula>20</formula>
    </cfRule>
    <cfRule type="cellIs" dxfId="707" priority="4" operator="between">
      <formula>15</formula>
      <formula>20</formula>
    </cfRule>
    <cfRule type="cellIs" dxfId="706" priority="5" operator="lessThan">
      <formula>15</formula>
    </cfRule>
    <cfRule type="cellIs" dxfId="705" priority="6" operator="greaterThan">
      <formula>20</formula>
    </cfRule>
    <cfRule type="cellIs" dxfId="704" priority="7" operator="between">
      <formula>15</formula>
      <formula>21</formula>
    </cfRule>
    <cfRule type="cellIs" dxfId="703" priority="8" operator="lessThan">
      <formula>15</formula>
    </cfRule>
    <cfRule type="cellIs" dxfId="702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9" orientation="landscape" verticalDpi="0"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Y50"/>
  <sheetViews>
    <sheetView zoomScale="80" zoomScaleNormal="80" workbookViewId="0">
      <pane ySplit="8" topLeftCell="A9" activePane="bottomLeft" state="frozen"/>
      <selection activeCell="D10" sqref="D10"/>
      <selection pane="bottomLeft" activeCell="K9" sqref="K9"/>
    </sheetView>
  </sheetViews>
  <sheetFormatPr defaultColWidth="9.28515625" defaultRowHeight="15"/>
  <cols>
    <col min="1" max="1" width="6" style="143" customWidth="1"/>
    <col min="2" max="2" width="7.85546875" style="143" customWidth="1"/>
    <col min="3" max="3" width="17.28515625" style="143" customWidth="1"/>
    <col min="4" max="9" width="10.140625" style="142" customWidth="1"/>
    <col min="10" max="11" width="10" style="142" customWidth="1"/>
    <col min="12" max="13" width="11.42578125" style="143" customWidth="1"/>
    <col min="14" max="14" width="6.425781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FRIT VF1101N/A-VNF</v>
      </c>
      <c r="D4" s="383"/>
      <c r="E4" s="383" t="s">
        <v>228</v>
      </c>
      <c r="F4" s="383" t="s">
        <v>230</v>
      </c>
      <c r="G4" s="383"/>
      <c r="I4" s="383" t="s">
        <v>120</v>
      </c>
      <c r="J4" s="318" t="s">
        <v>180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390">
        <f>K8-K8*N8</f>
        <v>0</v>
      </c>
      <c r="K8" s="389">
        <v>0</v>
      </c>
      <c r="L8" s="303"/>
      <c r="M8" s="304"/>
      <c r="N8" s="366">
        <v>0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>
        <f>E9-(E9*N9)</f>
        <v>0</v>
      </c>
      <c r="E9" s="388"/>
      <c r="F9" s="446"/>
      <c r="G9" s="496"/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338" t="e">
        <f>J9/H9</f>
        <v>#DIV/0!</v>
      </c>
      <c r="M9" s="300" t="e">
        <f>K9/I9</f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>
        <f t="shared" ref="D10:D20" si="0">E10-(E10*N10)</f>
        <v>0</v>
      </c>
      <c r="E10" s="388"/>
      <c r="F10" s="446"/>
      <c r="G10" s="496"/>
      <c r="H10" s="498">
        <f>SUM($F$9:F10)/A10</f>
        <v>0</v>
      </c>
      <c r="I10" s="499">
        <f>SUM($G$9:G10)/A10</f>
        <v>0</v>
      </c>
      <c r="J10" s="443">
        <f t="shared" ref="J10:J39" si="1">J9+D10-F10</f>
        <v>0</v>
      </c>
      <c r="K10" s="459">
        <f t="shared" ref="K10:K39" si="2">K9+E10-G10</f>
        <v>0</v>
      </c>
      <c r="L10" s="338" t="e">
        <f t="shared" ref="L10:L39" si="3">J10/H10</f>
        <v>#DIV/0!</v>
      </c>
      <c r="M10" s="300" t="e">
        <f t="shared" ref="M10:M39" si="4">K10/I10</f>
        <v>#DIV/0!</v>
      </c>
      <c r="N10" s="366"/>
      <c r="O10" s="647">
        <f t="shared" ref="O10:O39" si="5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>
        <f t="shared" si="0"/>
        <v>0</v>
      </c>
      <c r="E11" s="388"/>
      <c r="F11" s="446"/>
      <c r="G11" s="496"/>
      <c r="H11" s="498">
        <f>SUM($F$9:F11)/A11</f>
        <v>0</v>
      </c>
      <c r="I11" s="499">
        <f>SUM($G$9:G11)/A11</f>
        <v>0</v>
      </c>
      <c r="J11" s="443">
        <f t="shared" si="1"/>
        <v>0</v>
      </c>
      <c r="K11" s="459">
        <f t="shared" si="2"/>
        <v>0</v>
      </c>
      <c r="L11" s="338" t="e">
        <f t="shared" si="3"/>
        <v>#DIV/0!</v>
      </c>
      <c r="M11" s="300" t="e">
        <f t="shared" si="4"/>
        <v>#DIV/0!</v>
      </c>
      <c r="N11" s="366"/>
      <c r="O11" s="647">
        <f t="shared" si="5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>
        <f t="shared" si="0"/>
        <v>0</v>
      </c>
      <c r="E12" s="388"/>
      <c r="F12" s="446"/>
      <c r="G12" s="496"/>
      <c r="H12" s="498">
        <f>SUM($F$9:F12)/A12</f>
        <v>0</v>
      </c>
      <c r="I12" s="499">
        <f>SUM($G$9:G12)/A12</f>
        <v>0</v>
      </c>
      <c r="J12" s="443">
        <f t="shared" si="1"/>
        <v>0</v>
      </c>
      <c r="K12" s="459">
        <f t="shared" si="2"/>
        <v>0</v>
      </c>
      <c r="L12" s="338" t="e">
        <f t="shared" si="3"/>
        <v>#DIV/0!</v>
      </c>
      <c r="M12" s="300" t="e">
        <f t="shared" si="4"/>
        <v>#DIV/0!</v>
      </c>
      <c r="N12" s="366"/>
      <c r="O12" s="647">
        <f t="shared" si="5"/>
        <v>0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>
        <f t="shared" si="0"/>
        <v>0</v>
      </c>
      <c r="E13" s="388"/>
      <c r="F13" s="446"/>
      <c r="G13" s="496"/>
      <c r="H13" s="500">
        <f>SUM($F$9:F13)/A13</f>
        <v>0</v>
      </c>
      <c r="I13" s="499">
        <f>SUM($G$9:G13)/A13</f>
        <v>0</v>
      </c>
      <c r="J13" s="500">
        <f t="shared" si="1"/>
        <v>0</v>
      </c>
      <c r="K13" s="459">
        <f t="shared" si="2"/>
        <v>0</v>
      </c>
      <c r="L13" s="368" t="e">
        <f t="shared" si="3"/>
        <v>#DIV/0!</v>
      </c>
      <c r="M13" s="300" t="e">
        <f t="shared" si="4"/>
        <v>#DIV/0!</v>
      </c>
      <c r="N13" s="366"/>
      <c r="O13" s="647">
        <f t="shared" si="5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>
        <f t="shared" si="0"/>
        <v>0</v>
      </c>
      <c r="E14" s="388"/>
      <c r="F14" s="446"/>
      <c r="G14" s="496"/>
      <c r="H14" s="498">
        <f>SUM($F$9:F14)/A14</f>
        <v>0</v>
      </c>
      <c r="I14" s="499">
        <f>SUM($G$9:G14)/A14</f>
        <v>0</v>
      </c>
      <c r="J14" s="443">
        <f t="shared" si="1"/>
        <v>0</v>
      </c>
      <c r="K14" s="459">
        <f t="shared" si="2"/>
        <v>0</v>
      </c>
      <c r="L14" s="338" t="e">
        <f t="shared" si="3"/>
        <v>#DIV/0!</v>
      </c>
      <c r="M14" s="300" t="e">
        <f t="shared" si="4"/>
        <v>#DIV/0!</v>
      </c>
      <c r="N14" s="366"/>
      <c r="O14" s="647">
        <f t="shared" si="5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>
        <f t="shared" si="0"/>
        <v>0</v>
      </c>
      <c r="E15" s="388"/>
      <c r="F15" s="446"/>
      <c r="G15" s="496"/>
      <c r="H15" s="498">
        <f>SUM($F$9:F15)/A15</f>
        <v>0</v>
      </c>
      <c r="I15" s="499">
        <f>SUM($G$9:G15)/A15</f>
        <v>0</v>
      </c>
      <c r="J15" s="443">
        <f t="shared" si="1"/>
        <v>0</v>
      </c>
      <c r="K15" s="459">
        <f t="shared" si="2"/>
        <v>0</v>
      </c>
      <c r="L15" s="338" t="e">
        <f t="shared" si="3"/>
        <v>#DIV/0!</v>
      </c>
      <c r="M15" s="300" t="e">
        <f t="shared" si="4"/>
        <v>#DIV/0!</v>
      </c>
      <c r="N15" s="366"/>
      <c r="O15" s="647">
        <f t="shared" si="5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>
        <f t="shared" si="0"/>
        <v>0</v>
      </c>
      <c r="E16" s="388"/>
      <c r="F16" s="446"/>
      <c r="G16" s="496"/>
      <c r="H16" s="498">
        <f>SUM($F$9:F16)/A16</f>
        <v>0</v>
      </c>
      <c r="I16" s="499">
        <f>SUM($G$9:G16)/A16</f>
        <v>0</v>
      </c>
      <c r="J16" s="443">
        <f t="shared" si="1"/>
        <v>0</v>
      </c>
      <c r="K16" s="459">
        <f t="shared" si="2"/>
        <v>0</v>
      </c>
      <c r="L16" s="338" t="e">
        <f t="shared" si="3"/>
        <v>#DIV/0!</v>
      </c>
      <c r="M16" s="300" t="e">
        <f t="shared" si="4"/>
        <v>#DIV/0!</v>
      </c>
      <c r="N16" s="366"/>
      <c r="O16" s="647">
        <f t="shared" si="5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>
        <f t="shared" si="0"/>
        <v>0</v>
      </c>
      <c r="E17" s="388"/>
      <c r="F17" s="446"/>
      <c r="G17" s="496"/>
      <c r="H17" s="498">
        <f>SUM($F$9:F17)/A17</f>
        <v>0</v>
      </c>
      <c r="I17" s="499">
        <f>SUM($G$9:G17)/A17</f>
        <v>0</v>
      </c>
      <c r="J17" s="443">
        <f t="shared" si="1"/>
        <v>0</v>
      </c>
      <c r="K17" s="459">
        <f t="shared" si="2"/>
        <v>0</v>
      </c>
      <c r="L17" s="338" t="e">
        <f t="shared" si="3"/>
        <v>#DIV/0!</v>
      </c>
      <c r="M17" s="300" t="e">
        <f t="shared" si="4"/>
        <v>#DIV/0!</v>
      </c>
      <c r="N17" s="366"/>
      <c r="O17" s="647">
        <f t="shared" si="5"/>
        <v>0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>
        <f t="shared" si="0"/>
        <v>0</v>
      </c>
      <c r="E18" s="388"/>
      <c r="F18" s="446"/>
      <c r="G18" s="496"/>
      <c r="H18" s="500">
        <f>SUM($F$9:F18)/A18</f>
        <v>0</v>
      </c>
      <c r="I18" s="499">
        <f>SUM($G$9:G18)/A18</f>
        <v>0</v>
      </c>
      <c r="J18" s="500">
        <f t="shared" si="1"/>
        <v>0</v>
      </c>
      <c r="K18" s="459">
        <f t="shared" si="2"/>
        <v>0</v>
      </c>
      <c r="L18" s="368" t="e">
        <f t="shared" si="3"/>
        <v>#DIV/0!</v>
      </c>
      <c r="M18" s="300" t="e">
        <f t="shared" si="4"/>
        <v>#DIV/0!</v>
      </c>
      <c r="N18" s="366"/>
      <c r="O18" s="647">
        <f t="shared" si="5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>
        <f t="shared" si="0"/>
        <v>0</v>
      </c>
      <c r="E19" s="388"/>
      <c r="F19" s="446"/>
      <c r="G19" s="496"/>
      <c r="H19" s="498">
        <f>SUM($F$9:F19)/A19</f>
        <v>0</v>
      </c>
      <c r="I19" s="499">
        <f>SUM($G$9:G19)/A19</f>
        <v>0</v>
      </c>
      <c r="J19" s="443">
        <f t="shared" si="1"/>
        <v>0</v>
      </c>
      <c r="K19" s="459">
        <f t="shared" si="2"/>
        <v>0</v>
      </c>
      <c r="L19" s="338" t="e">
        <f t="shared" si="3"/>
        <v>#DIV/0!</v>
      </c>
      <c r="M19" s="300" t="e">
        <f t="shared" si="4"/>
        <v>#DIV/0!</v>
      </c>
      <c r="N19" s="366"/>
      <c r="O19" s="647">
        <f t="shared" si="5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>
        <f t="shared" si="0"/>
        <v>0</v>
      </c>
      <c r="E20" s="388"/>
      <c r="F20" s="446"/>
      <c r="G20" s="496"/>
      <c r="H20" s="498">
        <f>SUM($F$9:F20)/A20</f>
        <v>0</v>
      </c>
      <c r="I20" s="499">
        <f>SUM($G$9:G20)/A20</f>
        <v>0</v>
      </c>
      <c r="J20" s="443">
        <f t="shared" si="1"/>
        <v>0</v>
      </c>
      <c r="K20" s="459">
        <f t="shared" si="2"/>
        <v>0</v>
      </c>
      <c r="L20" s="338" t="e">
        <f t="shared" si="3"/>
        <v>#DIV/0!</v>
      </c>
      <c r="M20" s="300" t="e">
        <f t="shared" si="4"/>
        <v>#DIV/0!</v>
      </c>
      <c r="N20" s="366"/>
      <c r="O20" s="647">
        <f t="shared" si="5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>
        <f>E21-(E21*N21)</f>
        <v>0</v>
      </c>
      <c r="E21" s="388"/>
      <c r="F21" s="446"/>
      <c r="G21" s="496"/>
      <c r="H21" s="498">
        <f>SUM($F$9:F21)/A21</f>
        <v>0</v>
      </c>
      <c r="I21" s="499">
        <f>SUM($G$9:G21)/A21</f>
        <v>0</v>
      </c>
      <c r="J21" s="443">
        <f t="shared" si="1"/>
        <v>0</v>
      </c>
      <c r="K21" s="459">
        <f t="shared" si="2"/>
        <v>0</v>
      </c>
      <c r="L21" s="338" t="e">
        <f t="shared" si="3"/>
        <v>#DIV/0!</v>
      </c>
      <c r="M21" s="300" t="e">
        <f t="shared" si="4"/>
        <v>#DIV/0!</v>
      </c>
      <c r="N21" s="366"/>
      <c r="O21" s="647">
        <f t="shared" si="5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>
        <f t="shared" ref="D22:D27" si="6">E22-(E22*N22)</f>
        <v>0</v>
      </c>
      <c r="E22" s="388"/>
      <c r="F22" s="446"/>
      <c r="G22" s="496"/>
      <c r="H22" s="498">
        <f>SUM($F$9:F22)/A22</f>
        <v>0</v>
      </c>
      <c r="I22" s="499">
        <f>SUM($G$9:G22)/A22</f>
        <v>0</v>
      </c>
      <c r="J22" s="443">
        <f t="shared" si="1"/>
        <v>0</v>
      </c>
      <c r="K22" s="459">
        <f t="shared" si="2"/>
        <v>0</v>
      </c>
      <c r="L22" s="338" t="e">
        <f t="shared" si="3"/>
        <v>#DIV/0!</v>
      </c>
      <c r="M22" s="300" t="e">
        <f t="shared" si="4"/>
        <v>#DIV/0!</v>
      </c>
      <c r="N22" s="366"/>
      <c r="O22" s="647">
        <f t="shared" si="5"/>
        <v>0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>
        <f t="shared" si="6"/>
        <v>0</v>
      </c>
      <c r="E23" s="388"/>
      <c r="F23" s="446"/>
      <c r="G23" s="496"/>
      <c r="H23" s="500">
        <f>SUM($F$9:F23)/A23</f>
        <v>0</v>
      </c>
      <c r="I23" s="499">
        <f>SUM($G$9:G23)/A23</f>
        <v>0</v>
      </c>
      <c r="J23" s="500">
        <f t="shared" si="1"/>
        <v>0</v>
      </c>
      <c r="K23" s="459">
        <f t="shared" si="2"/>
        <v>0</v>
      </c>
      <c r="L23" s="368" t="e">
        <f t="shared" si="3"/>
        <v>#DIV/0!</v>
      </c>
      <c r="M23" s="300" t="e">
        <f t="shared" si="4"/>
        <v>#DIV/0!</v>
      </c>
      <c r="N23" s="366"/>
      <c r="O23" s="647">
        <f t="shared" si="5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>
        <f t="shared" si="6"/>
        <v>0</v>
      </c>
      <c r="E24" s="388"/>
      <c r="F24" s="446"/>
      <c r="G24" s="496"/>
      <c r="H24" s="498">
        <f>SUM($F$9:F24)/A24</f>
        <v>0</v>
      </c>
      <c r="I24" s="499">
        <f>SUM($G$9:G24)/A24</f>
        <v>0</v>
      </c>
      <c r="J24" s="443">
        <f t="shared" si="1"/>
        <v>0</v>
      </c>
      <c r="K24" s="459">
        <f t="shared" si="2"/>
        <v>0</v>
      </c>
      <c r="L24" s="338" t="e">
        <f t="shared" si="3"/>
        <v>#DIV/0!</v>
      </c>
      <c r="M24" s="300" t="e">
        <f t="shared" si="4"/>
        <v>#DIV/0!</v>
      </c>
      <c r="N24" s="366"/>
      <c r="O24" s="647">
        <f t="shared" si="5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>
        <f t="shared" si="6"/>
        <v>0</v>
      </c>
      <c r="E25" s="388"/>
      <c r="F25" s="446"/>
      <c r="G25" s="496"/>
      <c r="H25" s="498">
        <f>SUM($F$9:F25)/A25</f>
        <v>0</v>
      </c>
      <c r="I25" s="499">
        <f>SUM($G$9:G25)/A25</f>
        <v>0</v>
      </c>
      <c r="J25" s="443">
        <f t="shared" si="1"/>
        <v>0</v>
      </c>
      <c r="K25" s="459">
        <f t="shared" si="2"/>
        <v>0</v>
      </c>
      <c r="L25" s="338" t="e">
        <f t="shared" si="3"/>
        <v>#DIV/0!</v>
      </c>
      <c r="M25" s="300" t="e">
        <f t="shared" si="4"/>
        <v>#DIV/0!</v>
      </c>
      <c r="N25" s="366"/>
      <c r="O25" s="647">
        <f t="shared" si="5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>
        <f t="shared" si="6"/>
        <v>0</v>
      </c>
      <c r="E26" s="388"/>
      <c r="F26" s="446"/>
      <c r="G26" s="496"/>
      <c r="H26" s="498">
        <f>SUM($F$9:F26)/A26</f>
        <v>0</v>
      </c>
      <c r="I26" s="499">
        <f>SUM($G$9:G26)/A26</f>
        <v>0</v>
      </c>
      <c r="J26" s="443">
        <f t="shared" si="1"/>
        <v>0</v>
      </c>
      <c r="K26" s="459">
        <f t="shared" si="2"/>
        <v>0</v>
      </c>
      <c r="L26" s="338" t="e">
        <f t="shared" si="3"/>
        <v>#DIV/0!</v>
      </c>
      <c r="M26" s="300" t="e">
        <f t="shared" si="4"/>
        <v>#DIV/0!</v>
      </c>
      <c r="N26" s="366"/>
      <c r="O26" s="647">
        <f t="shared" si="5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>
        <f t="shared" si="6"/>
        <v>0</v>
      </c>
      <c r="E27" s="388"/>
      <c r="F27" s="446"/>
      <c r="G27" s="496"/>
      <c r="H27" s="498">
        <f>SUM($F$9:F27)/A27</f>
        <v>0</v>
      </c>
      <c r="I27" s="499">
        <f>SUM($G$9:G27)/A27</f>
        <v>0</v>
      </c>
      <c r="J27" s="443">
        <f t="shared" si="1"/>
        <v>0</v>
      </c>
      <c r="K27" s="459">
        <f t="shared" si="2"/>
        <v>0</v>
      </c>
      <c r="L27" s="338" t="e">
        <f t="shared" si="3"/>
        <v>#DIV/0!</v>
      </c>
      <c r="M27" s="300" t="e">
        <f t="shared" si="4"/>
        <v>#DIV/0!</v>
      </c>
      <c r="N27" s="366"/>
      <c r="O27" s="647">
        <f t="shared" si="5"/>
        <v>0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>
        <f>E28-(E28*N28)</f>
        <v>0</v>
      </c>
      <c r="E28" s="388"/>
      <c r="F28" s="446"/>
      <c r="G28" s="496"/>
      <c r="H28" s="500">
        <f>SUM($F$9:F28)/A28</f>
        <v>0</v>
      </c>
      <c r="I28" s="499">
        <f>SUM($G$9:G28)/A28</f>
        <v>0</v>
      </c>
      <c r="J28" s="500">
        <f t="shared" si="1"/>
        <v>0</v>
      </c>
      <c r="K28" s="459">
        <f t="shared" si="2"/>
        <v>0</v>
      </c>
      <c r="L28" s="368" t="e">
        <f t="shared" si="3"/>
        <v>#DIV/0!</v>
      </c>
      <c r="M28" s="300" t="e">
        <f t="shared" si="4"/>
        <v>#DIV/0!</v>
      </c>
      <c r="N28" s="366"/>
      <c r="O28" s="647">
        <f t="shared" si="5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>
        <f t="shared" ref="D29:D39" si="7">E29-(E29*N29)</f>
        <v>0</v>
      </c>
      <c r="E29" s="388"/>
      <c r="F29" s="446"/>
      <c r="G29" s="496"/>
      <c r="H29" s="498">
        <f>SUM($F$9:F29)/A29</f>
        <v>0</v>
      </c>
      <c r="I29" s="499">
        <f>SUM($G$9:G29)/A29</f>
        <v>0</v>
      </c>
      <c r="J29" s="443">
        <f t="shared" si="1"/>
        <v>0</v>
      </c>
      <c r="K29" s="459">
        <f t="shared" si="2"/>
        <v>0</v>
      </c>
      <c r="L29" s="338" t="e">
        <f t="shared" si="3"/>
        <v>#DIV/0!</v>
      </c>
      <c r="M29" s="300" t="e">
        <f t="shared" si="4"/>
        <v>#DIV/0!</v>
      </c>
      <c r="N29" s="366"/>
      <c r="O29" s="647">
        <f t="shared" si="5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>
        <f t="shared" si="7"/>
        <v>0</v>
      </c>
      <c r="E30" s="388"/>
      <c r="F30" s="446"/>
      <c r="G30" s="496"/>
      <c r="H30" s="498">
        <f>SUM($F$9:F30)/A30</f>
        <v>0</v>
      </c>
      <c r="I30" s="499">
        <f>SUM($G$9:G30)/A30</f>
        <v>0</v>
      </c>
      <c r="J30" s="443">
        <f t="shared" si="1"/>
        <v>0</v>
      </c>
      <c r="K30" s="459">
        <f t="shared" si="2"/>
        <v>0</v>
      </c>
      <c r="L30" s="338" t="e">
        <f t="shared" si="3"/>
        <v>#DIV/0!</v>
      </c>
      <c r="M30" s="300" t="e">
        <f t="shared" si="4"/>
        <v>#DIV/0!</v>
      </c>
      <c r="N30" s="366"/>
      <c r="O30" s="647">
        <f t="shared" si="5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>
        <f t="shared" si="7"/>
        <v>0</v>
      </c>
      <c r="E31" s="388"/>
      <c r="F31" s="446"/>
      <c r="G31" s="496"/>
      <c r="H31" s="498">
        <f>SUM($F$9:F31)/A31</f>
        <v>0</v>
      </c>
      <c r="I31" s="499">
        <f>SUM($G$9:G31)/A31</f>
        <v>0</v>
      </c>
      <c r="J31" s="443">
        <f t="shared" si="1"/>
        <v>0</v>
      </c>
      <c r="K31" s="459">
        <f t="shared" si="2"/>
        <v>0</v>
      </c>
      <c r="L31" s="338" t="e">
        <f t="shared" si="3"/>
        <v>#DIV/0!</v>
      </c>
      <c r="M31" s="300" t="e">
        <f t="shared" si="4"/>
        <v>#DIV/0!</v>
      </c>
      <c r="N31" s="366"/>
      <c r="O31" s="647">
        <f t="shared" si="5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>
        <f t="shared" si="7"/>
        <v>0</v>
      </c>
      <c r="E32" s="388"/>
      <c r="F32" s="446"/>
      <c r="G32" s="496"/>
      <c r="H32" s="498">
        <f>SUM($F$9:F32)/A32</f>
        <v>0</v>
      </c>
      <c r="I32" s="499">
        <f>SUM($G$9:G32)/A32</f>
        <v>0</v>
      </c>
      <c r="J32" s="443">
        <f t="shared" si="1"/>
        <v>0</v>
      </c>
      <c r="K32" s="459">
        <f t="shared" si="2"/>
        <v>0</v>
      </c>
      <c r="L32" s="338" t="e">
        <f t="shared" si="3"/>
        <v>#DIV/0!</v>
      </c>
      <c r="M32" s="300" t="e">
        <f t="shared" si="4"/>
        <v>#DIV/0!</v>
      </c>
      <c r="N32" s="366"/>
      <c r="O32" s="647">
        <f t="shared" si="5"/>
        <v>0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>
        <f t="shared" si="7"/>
        <v>0</v>
      </c>
      <c r="E33" s="388"/>
      <c r="F33" s="446"/>
      <c r="G33" s="496"/>
      <c r="H33" s="448">
        <f>SUM($F$9:F33)/A33</f>
        <v>0</v>
      </c>
      <c r="I33" s="499">
        <f>SUM($G$9:G33)/A33</f>
        <v>0</v>
      </c>
      <c r="J33" s="448">
        <f t="shared" si="1"/>
        <v>0</v>
      </c>
      <c r="K33" s="459">
        <f t="shared" si="2"/>
        <v>0</v>
      </c>
      <c r="L33" s="369" t="e">
        <f t="shared" si="3"/>
        <v>#DIV/0!</v>
      </c>
      <c r="M33" s="300" t="e">
        <f t="shared" si="4"/>
        <v>#DIV/0!</v>
      </c>
      <c r="N33" s="366"/>
      <c r="O33" s="647">
        <f t="shared" si="5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>
        <f t="shared" si="7"/>
        <v>0</v>
      </c>
      <c r="E34" s="388"/>
      <c r="F34" s="446"/>
      <c r="G34" s="496"/>
      <c r="H34" s="498">
        <f>SUM($F$9:F34)/A34</f>
        <v>0</v>
      </c>
      <c r="I34" s="499">
        <f>SUM($G$9:G34)/A34</f>
        <v>0</v>
      </c>
      <c r="J34" s="443">
        <f t="shared" si="1"/>
        <v>0</v>
      </c>
      <c r="K34" s="459">
        <f t="shared" si="2"/>
        <v>0</v>
      </c>
      <c r="L34" s="338" t="e">
        <f t="shared" si="3"/>
        <v>#DIV/0!</v>
      </c>
      <c r="M34" s="300" t="e">
        <f t="shared" si="4"/>
        <v>#DIV/0!</v>
      </c>
      <c r="N34" s="366"/>
      <c r="O34" s="647">
        <f t="shared" si="5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>
        <f t="shared" si="7"/>
        <v>0</v>
      </c>
      <c r="E35" s="388"/>
      <c r="F35" s="446"/>
      <c r="G35" s="496"/>
      <c r="H35" s="498">
        <f>SUM($F$9:F35)/A35</f>
        <v>0</v>
      </c>
      <c r="I35" s="499">
        <f>SUM($G$9:G35)/A35</f>
        <v>0</v>
      </c>
      <c r="J35" s="443">
        <f t="shared" si="1"/>
        <v>0</v>
      </c>
      <c r="K35" s="459">
        <f t="shared" si="2"/>
        <v>0</v>
      </c>
      <c r="L35" s="338" t="e">
        <f t="shared" si="3"/>
        <v>#DIV/0!</v>
      </c>
      <c r="M35" s="300" t="e">
        <f t="shared" si="4"/>
        <v>#DIV/0!</v>
      </c>
      <c r="N35" s="366"/>
      <c r="O35" s="647">
        <f t="shared" si="5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>
        <f t="shared" si="7"/>
        <v>0</v>
      </c>
      <c r="E36" s="388"/>
      <c r="F36" s="446"/>
      <c r="G36" s="496"/>
      <c r="H36" s="498">
        <f>SUM($F$9:F36)/A36</f>
        <v>0</v>
      </c>
      <c r="I36" s="499">
        <f>SUM($G$9:G36)/A36</f>
        <v>0</v>
      </c>
      <c r="J36" s="443">
        <f t="shared" si="1"/>
        <v>0</v>
      </c>
      <c r="K36" s="459">
        <f t="shared" si="2"/>
        <v>0</v>
      </c>
      <c r="L36" s="338" t="e">
        <f t="shared" si="3"/>
        <v>#DIV/0!</v>
      </c>
      <c r="M36" s="300" t="e">
        <f t="shared" si="4"/>
        <v>#DIV/0!</v>
      </c>
      <c r="N36" s="366"/>
      <c r="O36" s="647">
        <f t="shared" si="5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>
        <f t="shared" si="7"/>
        <v>0</v>
      </c>
      <c r="E37" s="388"/>
      <c r="F37" s="446"/>
      <c r="G37" s="496"/>
      <c r="H37" s="498">
        <f>SUM($F$9:F37)/A37</f>
        <v>0</v>
      </c>
      <c r="I37" s="499">
        <f>SUM($G$9:G37)/A37</f>
        <v>0</v>
      </c>
      <c r="J37" s="443">
        <f t="shared" si="1"/>
        <v>0</v>
      </c>
      <c r="K37" s="459">
        <f t="shared" si="2"/>
        <v>0</v>
      </c>
      <c r="L37" s="338" t="e">
        <f t="shared" si="3"/>
        <v>#DIV/0!</v>
      </c>
      <c r="M37" s="300" t="e">
        <f t="shared" si="4"/>
        <v>#DIV/0!</v>
      </c>
      <c r="N37" s="366"/>
      <c r="O37" s="647">
        <f t="shared" si="5"/>
        <v>0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>
        <f t="shared" si="7"/>
        <v>0</v>
      </c>
      <c r="E38" s="388"/>
      <c r="F38" s="446"/>
      <c r="G38" s="496"/>
      <c r="H38" s="500">
        <f>SUM($F$9:F38)/A38</f>
        <v>0</v>
      </c>
      <c r="I38" s="499">
        <f>SUM($G$9:G38)/A38</f>
        <v>0</v>
      </c>
      <c r="J38" s="500">
        <f t="shared" si="1"/>
        <v>0</v>
      </c>
      <c r="K38" s="459">
        <f t="shared" si="2"/>
        <v>0</v>
      </c>
      <c r="L38" s="368" t="e">
        <f t="shared" si="3"/>
        <v>#DIV/0!</v>
      </c>
      <c r="M38" s="300" t="e">
        <f t="shared" si="4"/>
        <v>#DIV/0!</v>
      </c>
      <c r="N38" s="366"/>
      <c r="O38" s="647">
        <f t="shared" si="5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>
        <f t="shared" si="7"/>
        <v>0</v>
      </c>
      <c r="E39" s="388"/>
      <c r="F39" s="446"/>
      <c r="G39" s="496"/>
      <c r="H39" s="498">
        <f>SUM($F$9:F39)/A39</f>
        <v>0</v>
      </c>
      <c r="I39" s="499">
        <f>SUM($G$9:G39)/A39</f>
        <v>0</v>
      </c>
      <c r="J39" s="443">
        <f t="shared" si="1"/>
        <v>0</v>
      </c>
      <c r="K39" s="459">
        <f t="shared" si="2"/>
        <v>0</v>
      </c>
      <c r="L39" s="338" t="e">
        <f t="shared" si="3"/>
        <v>#DIV/0!</v>
      </c>
      <c r="M39" s="300" t="e">
        <f t="shared" si="4"/>
        <v>#DIV/0!</v>
      </c>
      <c r="N39" s="366"/>
      <c r="O39" s="647">
        <f t="shared" si="5"/>
        <v>0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0">
    <cfRule type="cellIs" dxfId="701" priority="217" operator="lessThan">
      <formula>15</formula>
    </cfRule>
    <cfRule type="cellIs" dxfId="700" priority="218" operator="greaterThan">
      <formula>20</formula>
    </cfRule>
    <cfRule type="cellIs" dxfId="699" priority="219" operator="between">
      <formula>15</formula>
      <formula>20</formula>
    </cfRule>
    <cfRule type="cellIs" dxfId="698" priority="220" operator="between">
      <formula>15</formula>
      <formula>20</formula>
    </cfRule>
    <cfRule type="cellIs" dxfId="697" priority="221" operator="lessThan">
      <formula>15</formula>
    </cfRule>
    <cfRule type="cellIs" dxfId="696" priority="222" operator="greaterThan">
      <formula>20</formula>
    </cfRule>
    <cfRule type="cellIs" dxfId="695" priority="223" operator="between">
      <formula>15</formula>
      <formula>21</formula>
    </cfRule>
    <cfRule type="cellIs" dxfId="694" priority="224" operator="lessThan">
      <formula>15</formula>
    </cfRule>
    <cfRule type="cellIs" dxfId="693" priority="225" operator="greaterThan">
      <formula>21</formula>
    </cfRule>
  </conditionalFormatting>
  <conditionalFormatting sqref="M27">
    <cfRule type="cellIs" dxfId="692" priority="208" operator="lessThan">
      <formula>15</formula>
    </cfRule>
    <cfRule type="cellIs" dxfId="691" priority="209" operator="greaterThan">
      <formula>20</formula>
    </cfRule>
    <cfRule type="cellIs" dxfId="690" priority="210" operator="between">
      <formula>15</formula>
      <formula>20</formula>
    </cfRule>
    <cfRule type="cellIs" dxfId="689" priority="211" operator="between">
      <formula>15</formula>
      <formula>20</formula>
    </cfRule>
    <cfRule type="cellIs" dxfId="688" priority="212" operator="lessThan">
      <formula>15</formula>
    </cfRule>
    <cfRule type="cellIs" dxfId="687" priority="213" operator="greaterThan">
      <formula>20</formula>
    </cfRule>
    <cfRule type="cellIs" dxfId="686" priority="214" operator="between">
      <formula>15</formula>
      <formula>21</formula>
    </cfRule>
    <cfRule type="cellIs" dxfId="685" priority="215" operator="lessThan">
      <formula>15</formula>
    </cfRule>
    <cfRule type="cellIs" dxfId="684" priority="216" operator="greaterThan">
      <formula>21</formula>
    </cfRule>
  </conditionalFormatting>
  <conditionalFormatting sqref="M34">
    <cfRule type="cellIs" dxfId="683" priority="199" operator="lessThan">
      <formula>15</formula>
    </cfRule>
    <cfRule type="cellIs" dxfId="682" priority="200" operator="greaterThan">
      <formula>20</formula>
    </cfRule>
    <cfRule type="cellIs" dxfId="681" priority="201" operator="between">
      <formula>15</formula>
      <formula>20</formula>
    </cfRule>
    <cfRule type="cellIs" dxfId="680" priority="202" operator="between">
      <formula>15</formula>
      <formula>20</formula>
    </cfRule>
    <cfRule type="cellIs" dxfId="679" priority="203" operator="lessThan">
      <formula>15</formula>
    </cfRule>
    <cfRule type="cellIs" dxfId="678" priority="204" operator="greaterThan">
      <formula>20</formula>
    </cfRule>
    <cfRule type="cellIs" dxfId="677" priority="205" operator="between">
      <formula>15</formula>
      <formula>21</formula>
    </cfRule>
    <cfRule type="cellIs" dxfId="676" priority="206" operator="lessThan">
      <formula>15</formula>
    </cfRule>
    <cfRule type="cellIs" dxfId="675" priority="207" operator="greaterThan">
      <formula>21</formula>
    </cfRule>
  </conditionalFormatting>
  <conditionalFormatting sqref="M14:M17 M39 M21:M22 M24:M26 M19">
    <cfRule type="cellIs" dxfId="674" priority="226" operator="lessThan">
      <formula>15</formula>
    </cfRule>
    <cfRule type="cellIs" dxfId="673" priority="227" operator="greaterThan">
      <formula>20</formula>
    </cfRule>
    <cfRule type="cellIs" dxfId="672" priority="228" operator="between">
      <formula>15</formula>
      <formula>20</formula>
    </cfRule>
    <cfRule type="cellIs" dxfId="671" priority="229" operator="between">
      <formula>15</formula>
      <formula>20</formula>
    </cfRule>
    <cfRule type="cellIs" dxfId="670" priority="230" operator="lessThan">
      <formula>15</formula>
    </cfRule>
    <cfRule type="cellIs" dxfId="669" priority="231" operator="greaterThan">
      <formula>20</formula>
    </cfRule>
    <cfRule type="cellIs" dxfId="668" priority="232" operator="between">
      <formula>15</formula>
      <formula>21</formula>
    </cfRule>
    <cfRule type="cellIs" dxfId="667" priority="233" operator="lessThan">
      <formula>15</formula>
    </cfRule>
    <cfRule type="cellIs" dxfId="666" priority="234" operator="greaterThan">
      <formula>21</formula>
    </cfRule>
  </conditionalFormatting>
  <conditionalFormatting sqref="M9:M12">
    <cfRule type="cellIs" dxfId="665" priority="190" operator="lessThan">
      <formula>15</formula>
    </cfRule>
    <cfRule type="cellIs" dxfId="664" priority="191" operator="greaterThan">
      <formula>20</formula>
    </cfRule>
    <cfRule type="cellIs" dxfId="663" priority="192" operator="between">
      <formula>15</formula>
      <formula>20</formula>
    </cfRule>
    <cfRule type="cellIs" dxfId="662" priority="193" operator="between">
      <formula>15</formula>
      <formula>20</formula>
    </cfRule>
    <cfRule type="cellIs" dxfId="661" priority="194" operator="lessThan">
      <formula>15</formula>
    </cfRule>
    <cfRule type="cellIs" dxfId="660" priority="195" operator="greaterThan">
      <formula>20</formula>
    </cfRule>
    <cfRule type="cellIs" dxfId="659" priority="196" operator="between">
      <formula>15</formula>
      <formula>21</formula>
    </cfRule>
    <cfRule type="cellIs" dxfId="658" priority="197" operator="lessThan">
      <formula>15</formula>
    </cfRule>
    <cfRule type="cellIs" dxfId="657" priority="198" operator="greaterThan">
      <formula>21</formula>
    </cfRule>
  </conditionalFormatting>
  <conditionalFormatting sqref="M29:M32">
    <cfRule type="cellIs" dxfId="656" priority="181" operator="lessThan">
      <formula>15</formula>
    </cfRule>
    <cfRule type="cellIs" dxfId="655" priority="182" operator="greaterThan">
      <formula>20</formula>
    </cfRule>
    <cfRule type="cellIs" dxfId="654" priority="183" operator="between">
      <formula>15</formula>
      <formula>20</formula>
    </cfRule>
    <cfRule type="cellIs" dxfId="653" priority="184" operator="between">
      <formula>15</formula>
      <formula>20</formula>
    </cfRule>
    <cfRule type="cellIs" dxfId="652" priority="185" operator="lessThan">
      <formula>15</formula>
    </cfRule>
    <cfRule type="cellIs" dxfId="651" priority="186" operator="greaterThan">
      <formula>20</formula>
    </cfRule>
    <cfRule type="cellIs" dxfId="650" priority="187" operator="between">
      <formula>15</formula>
      <formula>21</formula>
    </cfRule>
    <cfRule type="cellIs" dxfId="649" priority="188" operator="lessThan">
      <formula>15</formula>
    </cfRule>
    <cfRule type="cellIs" dxfId="648" priority="189" operator="greaterThan">
      <formula>21</formula>
    </cfRule>
  </conditionalFormatting>
  <conditionalFormatting sqref="M35:M37">
    <cfRule type="cellIs" dxfId="647" priority="172" operator="lessThan">
      <formula>15</formula>
    </cfRule>
    <cfRule type="cellIs" dxfId="646" priority="173" operator="greaterThan">
      <formula>20</formula>
    </cfRule>
    <cfRule type="cellIs" dxfId="645" priority="174" operator="between">
      <formula>15</formula>
      <formula>20</formula>
    </cfRule>
    <cfRule type="cellIs" dxfId="644" priority="175" operator="between">
      <formula>15</formula>
      <formula>20</formula>
    </cfRule>
    <cfRule type="cellIs" dxfId="643" priority="176" operator="lessThan">
      <formula>15</formula>
    </cfRule>
    <cfRule type="cellIs" dxfId="642" priority="177" operator="greaterThan">
      <formula>20</formula>
    </cfRule>
    <cfRule type="cellIs" dxfId="641" priority="178" operator="between">
      <formula>15</formula>
      <formula>21</formula>
    </cfRule>
    <cfRule type="cellIs" dxfId="640" priority="179" operator="lessThan">
      <formula>15</formula>
    </cfRule>
    <cfRule type="cellIs" dxfId="639" priority="180" operator="greaterThan">
      <formula>21</formula>
    </cfRule>
  </conditionalFormatting>
  <conditionalFormatting sqref="M28">
    <cfRule type="cellIs" dxfId="638" priority="163" operator="lessThan">
      <formula>15</formula>
    </cfRule>
    <cfRule type="cellIs" dxfId="637" priority="164" operator="greaterThan">
      <formula>20</formula>
    </cfRule>
    <cfRule type="cellIs" dxfId="636" priority="165" operator="between">
      <formula>15</formula>
      <formula>20</formula>
    </cfRule>
    <cfRule type="cellIs" dxfId="635" priority="166" operator="between">
      <formula>15</formula>
      <formula>20</formula>
    </cfRule>
    <cfRule type="cellIs" dxfId="634" priority="167" operator="lessThan">
      <formula>15</formula>
    </cfRule>
    <cfRule type="cellIs" dxfId="633" priority="168" operator="greaterThan">
      <formula>20</formula>
    </cfRule>
    <cfRule type="cellIs" dxfId="632" priority="169" operator="between">
      <formula>15</formula>
      <formula>21</formula>
    </cfRule>
    <cfRule type="cellIs" dxfId="631" priority="170" operator="lessThan">
      <formula>15</formula>
    </cfRule>
    <cfRule type="cellIs" dxfId="630" priority="171" operator="greaterThan">
      <formula>21</formula>
    </cfRule>
  </conditionalFormatting>
  <conditionalFormatting sqref="M23">
    <cfRule type="cellIs" dxfId="629" priority="154" operator="lessThan">
      <formula>15</formula>
    </cfRule>
    <cfRule type="cellIs" dxfId="628" priority="155" operator="greaterThan">
      <formula>20</formula>
    </cfRule>
    <cfRule type="cellIs" dxfId="627" priority="156" operator="between">
      <formula>15</formula>
      <formula>20</formula>
    </cfRule>
    <cfRule type="cellIs" dxfId="626" priority="157" operator="between">
      <formula>15</formula>
      <formula>20</formula>
    </cfRule>
    <cfRule type="cellIs" dxfId="625" priority="158" operator="lessThan">
      <formula>15</formula>
    </cfRule>
    <cfRule type="cellIs" dxfId="624" priority="159" operator="greaterThan">
      <formula>20</formula>
    </cfRule>
    <cfRule type="cellIs" dxfId="623" priority="160" operator="between">
      <formula>15</formula>
      <formula>21</formula>
    </cfRule>
    <cfRule type="cellIs" dxfId="622" priority="161" operator="lessThan">
      <formula>15</formula>
    </cfRule>
    <cfRule type="cellIs" dxfId="621" priority="162" operator="greaterThan">
      <formula>21</formula>
    </cfRule>
  </conditionalFormatting>
  <conditionalFormatting sqref="M18">
    <cfRule type="cellIs" dxfId="620" priority="145" operator="lessThan">
      <formula>15</formula>
    </cfRule>
    <cfRule type="cellIs" dxfId="619" priority="146" operator="greaterThan">
      <formula>20</formula>
    </cfRule>
    <cfRule type="cellIs" dxfId="618" priority="147" operator="between">
      <formula>15</formula>
      <formula>20</formula>
    </cfRule>
    <cfRule type="cellIs" dxfId="617" priority="148" operator="between">
      <formula>15</formula>
      <formula>20</formula>
    </cfRule>
    <cfRule type="cellIs" dxfId="616" priority="149" operator="lessThan">
      <formula>15</formula>
    </cfRule>
    <cfRule type="cellIs" dxfId="615" priority="150" operator="greaterThan">
      <formula>20</formula>
    </cfRule>
    <cfRule type="cellIs" dxfId="614" priority="151" operator="between">
      <formula>15</formula>
      <formula>21</formula>
    </cfRule>
    <cfRule type="cellIs" dxfId="613" priority="152" operator="lessThan">
      <formula>15</formula>
    </cfRule>
    <cfRule type="cellIs" dxfId="612" priority="153" operator="greaterThan">
      <formula>21</formula>
    </cfRule>
  </conditionalFormatting>
  <conditionalFormatting sqref="M13">
    <cfRule type="cellIs" dxfId="611" priority="136" operator="lessThan">
      <formula>15</formula>
    </cfRule>
    <cfRule type="cellIs" dxfId="610" priority="137" operator="greaterThan">
      <formula>20</formula>
    </cfRule>
    <cfRule type="cellIs" dxfId="609" priority="138" operator="between">
      <formula>15</formula>
      <formula>20</formula>
    </cfRule>
    <cfRule type="cellIs" dxfId="608" priority="139" operator="between">
      <formula>15</formula>
      <formula>20</formula>
    </cfRule>
    <cfRule type="cellIs" dxfId="607" priority="140" operator="lessThan">
      <formula>15</formula>
    </cfRule>
    <cfRule type="cellIs" dxfId="606" priority="141" operator="greaterThan">
      <formula>20</formula>
    </cfRule>
    <cfRule type="cellIs" dxfId="605" priority="142" operator="between">
      <formula>15</formula>
      <formula>21</formula>
    </cfRule>
    <cfRule type="cellIs" dxfId="604" priority="143" operator="lessThan">
      <formula>15</formula>
    </cfRule>
    <cfRule type="cellIs" dxfId="603" priority="144" operator="greaterThan">
      <formula>21</formula>
    </cfRule>
  </conditionalFormatting>
  <conditionalFormatting sqref="M33">
    <cfRule type="cellIs" dxfId="602" priority="127" operator="lessThan">
      <formula>15</formula>
    </cfRule>
    <cfRule type="cellIs" dxfId="601" priority="128" operator="greaterThan">
      <formula>20</formula>
    </cfRule>
    <cfRule type="cellIs" dxfId="600" priority="129" operator="between">
      <formula>15</formula>
      <formula>20</formula>
    </cfRule>
    <cfRule type="cellIs" dxfId="599" priority="130" operator="between">
      <formula>15</formula>
      <formula>20</formula>
    </cfRule>
    <cfRule type="cellIs" dxfId="598" priority="131" operator="lessThan">
      <formula>15</formula>
    </cfRule>
    <cfRule type="cellIs" dxfId="597" priority="132" operator="greaterThan">
      <formula>20</formula>
    </cfRule>
    <cfRule type="cellIs" dxfId="596" priority="133" operator="between">
      <formula>15</formula>
      <formula>21</formula>
    </cfRule>
    <cfRule type="cellIs" dxfId="595" priority="134" operator="lessThan">
      <formula>15</formula>
    </cfRule>
    <cfRule type="cellIs" dxfId="594" priority="135" operator="greaterThan">
      <formula>21</formula>
    </cfRule>
  </conditionalFormatting>
  <conditionalFormatting sqref="M38">
    <cfRule type="cellIs" dxfId="593" priority="118" operator="lessThan">
      <formula>15</formula>
    </cfRule>
    <cfRule type="cellIs" dxfId="592" priority="119" operator="greaterThan">
      <formula>20</formula>
    </cfRule>
    <cfRule type="cellIs" dxfId="591" priority="120" operator="between">
      <formula>15</formula>
      <formula>20</formula>
    </cfRule>
    <cfRule type="cellIs" dxfId="590" priority="121" operator="between">
      <formula>15</formula>
      <formula>20</formula>
    </cfRule>
    <cfRule type="cellIs" dxfId="589" priority="122" operator="lessThan">
      <formula>15</formula>
    </cfRule>
    <cfRule type="cellIs" dxfId="588" priority="123" operator="greaterThan">
      <formula>20</formula>
    </cfRule>
    <cfRule type="cellIs" dxfId="587" priority="124" operator="between">
      <formula>15</formula>
      <formula>21</formula>
    </cfRule>
    <cfRule type="cellIs" dxfId="586" priority="125" operator="lessThan">
      <formula>15</formula>
    </cfRule>
    <cfRule type="cellIs" dxfId="585" priority="126" operator="greaterThan">
      <formula>21</formula>
    </cfRule>
  </conditionalFormatting>
  <conditionalFormatting sqref="M38">
    <cfRule type="cellIs" dxfId="584" priority="109" operator="lessThan">
      <formula>15</formula>
    </cfRule>
    <cfRule type="cellIs" dxfId="583" priority="110" operator="greaterThan">
      <formula>20</formula>
    </cfRule>
    <cfRule type="cellIs" dxfId="582" priority="111" operator="between">
      <formula>15</formula>
      <formula>20</formula>
    </cfRule>
    <cfRule type="cellIs" dxfId="581" priority="112" operator="between">
      <formula>15</formula>
      <formula>20</formula>
    </cfRule>
    <cfRule type="cellIs" dxfId="580" priority="113" operator="lessThan">
      <formula>15</formula>
    </cfRule>
    <cfRule type="cellIs" dxfId="579" priority="114" operator="greaterThan">
      <formula>20</formula>
    </cfRule>
    <cfRule type="cellIs" dxfId="578" priority="115" operator="between">
      <formula>15</formula>
      <formula>21</formula>
    </cfRule>
    <cfRule type="cellIs" dxfId="577" priority="116" operator="lessThan">
      <formula>15</formula>
    </cfRule>
    <cfRule type="cellIs" dxfId="576" priority="117" operator="greaterThan">
      <formula>21</formula>
    </cfRule>
  </conditionalFormatting>
  <conditionalFormatting sqref="M33">
    <cfRule type="cellIs" dxfId="575" priority="100" operator="lessThan">
      <formula>15</formula>
    </cfRule>
    <cfRule type="cellIs" dxfId="574" priority="101" operator="greaterThan">
      <formula>20</formula>
    </cfRule>
    <cfRule type="cellIs" dxfId="573" priority="102" operator="between">
      <formula>15</formula>
      <formula>20</formula>
    </cfRule>
    <cfRule type="cellIs" dxfId="572" priority="103" operator="between">
      <formula>15</formula>
      <formula>20</formula>
    </cfRule>
    <cfRule type="cellIs" dxfId="571" priority="104" operator="lessThan">
      <formula>15</formula>
    </cfRule>
    <cfRule type="cellIs" dxfId="570" priority="105" operator="greaterThan">
      <formula>20</formula>
    </cfRule>
    <cfRule type="cellIs" dxfId="569" priority="106" operator="between">
      <formula>15</formula>
      <formula>21</formula>
    </cfRule>
    <cfRule type="cellIs" dxfId="568" priority="107" operator="lessThan">
      <formula>15</formula>
    </cfRule>
    <cfRule type="cellIs" dxfId="567" priority="108" operator="greaterThan">
      <formula>21</formula>
    </cfRule>
  </conditionalFormatting>
  <conditionalFormatting sqref="M28">
    <cfRule type="cellIs" dxfId="566" priority="91" operator="lessThan">
      <formula>15</formula>
    </cfRule>
    <cfRule type="cellIs" dxfId="565" priority="92" operator="greaterThan">
      <formula>20</formula>
    </cfRule>
    <cfRule type="cellIs" dxfId="564" priority="93" operator="between">
      <formula>15</formula>
      <formula>20</formula>
    </cfRule>
    <cfRule type="cellIs" dxfId="563" priority="94" operator="between">
      <formula>15</formula>
      <formula>20</formula>
    </cfRule>
    <cfRule type="cellIs" dxfId="562" priority="95" operator="lessThan">
      <formula>15</formula>
    </cfRule>
    <cfRule type="cellIs" dxfId="561" priority="96" operator="greaterThan">
      <formula>20</formula>
    </cfRule>
    <cfRule type="cellIs" dxfId="560" priority="97" operator="between">
      <formula>15</formula>
      <formula>21</formula>
    </cfRule>
    <cfRule type="cellIs" dxfId="559" priority="98" operator="lessThan">
      <formula>15</formula>
    </cfRule>
    <cfRule type="cellIs" dxfId="558" priority="99" operator="greaterThan">
      <formula>21</formula>
    </cfRule>
  </conditionalFormatting>
  <conditionalFormatting sqref="M23">
    <cfRule type="cellIs" dxfId="557" priority="82" operator="lessThan">
      <formula>15</formula>
    </cfRule>
    <cfRule type="cellIs" dxfId="556" priority="83" operator="greaterThan">
      <formula>20</formula>
    </cfRule>
    <cfRule type="cellIs" dxfId="555" priority="84" operator="between">
      <formula>15</formula>
      <formula>20</formula>
    </cfRule>
    <cfRule type="cellIs" dxfId="554" priority="85" operator="between">
      <formula>15</formula>
      <formula>20</formula>
    </cfRule>
    <cfRule type="cellIs" dxfId="553" priority="86" operator="lessThan">
      <formula>15</formula>
    </cfRule>
    <cfRule type="cellIs" dxfId="552" priority="87" operator="greaterThan">
      <formula>20</formula>
    </cfRule>
    <cfRule type="cellIs" dxfId="551" priority="88" operator="between">
      <formula>15</formula>
      <formula>21</formula>
    </cfRule>
    <cfRule type="cellIs" dxfId="550" priority="89" operator="lessThan">
      <formula>15</formula>
    </cfRule>
    <cfRule type="cellIs" dxfId="549" priority="90" operator="greaterThan">
      <formula>21</formula>
    </cfRule>
  </conditionalFormatting>
  <conditionalFormatting sqref="M18">
    <cfRule type="cellIs" dxfId="548" priority="73" operator="lessThan">
      <formula>15</formula>
    </cfRule>
    <cfRule type="cellIs" dxfId="547" priority="74" operator="greaterThan">
      <formula>20</formula>
    </cfRule>
    <cfRule type="cellIs" dxfId="546" priority="75" operator="between">
      <formula>15</formula>
      <formula>20</formula>
    </cfRule>
    <cfRule type="cellIs" dxfId="545" priority="76" operator="between">
      <formula>15</formula>
      <formula>20</formula>
    </cfRule>
    <cfRule type="cellIs" dxfId="544" priority="77" operator="lessThan">
      <formula>15</formula>
    </cfRule>
    <cfRule type="cellIs" dxfId="543" priority="78" operator="greaterThan">
      <formula>20</formula>
    </cfRule>
    <cfRule type="cellIs" dxfId="542" priority="79" operator="between">
      <formula>15</formula>
      <formula>21</formula>
    </cfRule>
    <cfRule type="cellIs" dxfId="541" priority="80" operator="lessThan">
      <formula>15</formula>
    </cfRule>
    <cfRule type="cellIs" dxfId="540" priority="81" operator="greaterThan">
      <formula>21</formula>
    </cfRule>
  </conditionalFormatting>
  <conditionalFormatting sqref="M35:M37">
    <cfRule type="cellIs" dxfId="539" priority="64" operator="lessThan">
      <formula>15</formula>
    </cfRule>
    <cfRule type="cellIs" dxfId="538" priority="65" operator="greaterThan">
      <formula>20</formula>
    </cfRule>
    <cfRule type="cellIs" dxfId="537" priority="66" operator="between">
      <formula>15</formula>
      <formula>20</formula>
    </cfRule>
    <cfRule type="cellIs" dxfId="536" priority="67" operator="between">
      <formula>15</formula>
      <formula>20</formula>
    </cfRule>
    <cfRule type="cellIs" dxfId="535" priority="68" operator="lessThan">
      <formula>15</formula>
    </cfRule>
    <cfRule type="cellIs" dxfId="534" priority="69" operator="greaterThan">
      <formula>20</formula>
    </cfRule>
    <cfRule type="cellIs" dxfId="533" priority="70" operator="between">
      <formula>15</formula>
      <formula>21</formula>
    </cfRule>
    <cfRule type="cellIs" dxfId="532" priority="71" operator="lessThan">
      <formula>15</formula>
    </cfRule>
    <cfRule type="cellIs" dxfId="531" priority="72" operator="greaterThan">
      <formula>21</formula>
    </cfRule>
  </conditionalFormatting>
  <conditionalFormatting sqref="M13">
    <cfRule type="cellIs" dxfId="530" priority="55" operator="lessThan">
      <formula>15</formula>
    </cfRule>
    <cfRule type="cellIs" dxfId="529" priority="56" operator="greaterThan">
      <formula>20</formula>
    </cfRule>
    <cfRule type="cellIs" dxfId="528" priority="57" operator="between">
      <formula>15</formula>
      <formula>20</formula>
    </cfRule>
    <cfRule type="cellIs" dxfId="527" priority="58" operator="between">
      <formula>15</formula>
      <formula>20</formula>
    </cfRule>
    <cfRule type="cellIs" dxfId="526" priority="59" operator="lessThan">
      <formula>15</formula>
    </cfRule>
    <cfRule type="cellIs" dxfId="525" priority="60" operator="greaterThan">
      <formula>20</formula>
    </cfRule>
    <cfRule type="cellIs" dxfId="524" priority="61" operator="between">
      <formula>15</formula>
      <formula>21</formula>
    </cfRule>
    <cfRule type="cellIs" dxfId="523" priority="62" operator="lessThan">
      <formula>15</formula>
    </cfRule>
    <cfRule type="cellIs" dxfId="522" priority="63" operator="greaterThan">
      <formula>21</formula>
    </cfRule>
  </conditionalFormatting>
  <conditionalFormatting sqref="M20">
    <cfRule type="cellIs" dxfId="521" priority="46" operator="lessThan">
      <formula>15</formula>
    </cfRule>
    <cfRule type="cellIs" dxfId="520" priority="47" operator="greaterThan">
      <formula>20</formula>
    </cfRule>
    <cfRule type="cellIs" dxfId="519" priority="48" operator="between">
      <formula>15</formula>
      <formula>20</formula>
    </cfRule>
    <cfRule type="cellIs" dxfId="518" priority="49" operator="between">
      <formula>15</formula>
      <formula>20</formula>
    </cfRule>
    <cfRule type="cellIs" dxfId="517" priority="50" operator="lessThan">
      <formula>15</formula>
    </cfRule>
    <cfRule type="cellIs" dxfId="516" priority="51" operator="greaterThan">
      <formula>20</formula>
    </cfRule>
    <cfRule type="cellIs" dxfId="515" priority="52" operator="between">
      <formula>15</formula>
      <formula>21</formula>
    </cfRule>
    <cfRule type="cellIs" dxfId="514" priority="53" operator="lessThan">
      <formula>15</formula>
    </cfRule>
    <cfRule type="cellIs" dxfId="513" priority="54" operator="greaterThan">
      <formula>21</formula>
    </cfRule>
  </conditionalFormatting>
  <conditionalFormatting sqref="M27">
    <cfRule type="cellIs" dxfId="512" priority="37" operator="lessThan">
      <formula>15</formula>
    </cfRule>
    <cfRule type="cellIs" dxfId="511" priority="38" operator="greaterThan">
      <formula>20</formula>
    </cfRule>
    <cfRule type="cellIs" dxfId="510" priority="39" operator="between">
      <formula>15</formula>
      <formula>20</formula>
    </cfRule>
    <cfRule type="cellIs" dxfId="509" priority="40" operator="between">
      <formula>15</formula>
      <formula>20</formula>
    </cfRule>
    <cfRule type="cellIs" dxfId="508" priority="41" operator="lessThan">
      <formula>15</formula>
    </cfRule>
    <cfRule type="cellIs" dxfId="507" priority="42" operator="greaterThan">
      <formula>20</formula>
    </cfRule>
    <cfRule type="cellIs" dxfId="506" priority="43" operator="between">
      <formula>15</formula>
      <formula>21</formula>
    </cfRule>
    <cfRule type="cellIs" dxfId="505" priority="44" operator="lessThan">
      <formula>15</formula>
    </cfRule>
    <cfRule type="cellIs" dxfId="504" priority="45" operator="greaterThan">
      <formula>21</formula>
    </cfRule>
  </conditionalFormatting>
  <conditionalFormatting sqref="M34">
    <cfRule type="cellIs" dxfId="503" priority="28" operator="lessThan">
      <formula>15</formula>
    </cfRule>
    <cfRule type="cellIs" dxfId="502" priority="29" operator="greaterThan">
      <formula>20</formula>
    </cfRule>
    <cfRule type="cellIs" dxfId="501" priority="30" operator="between">
      <formula>15</formula>
      <formula>20</formula>
    </cfRule>
    <cfRule type="cellIs" dxfId="500" priority="31" operator="between">
      <formula>15</formula>
      <formula>20</formula>
    </cfRule>
    <cfRule type="cellIs" dxfId="499" priority="32" operator="lessThan">
      <formula>15</formula>
    </cfRule>
    <cfRule type="cellIs" dxfId="498" priority="33" operator="greaterThan">
      <formula>20</formula>
    </cfRule>
    <cfRule type="cellIs" dxfId="497" priority="34" operator="between">
      <formula>15</formula>
      <formula>21</formula>
    </cfRule>
    <cfRule type="cellIs" dxfId="496" priority="35" operator="lessThan">
      <formula>15</formula>
    </cfRule>
    <cfRule type="cellIs" dxfId="495" priority="36" operator="greaterThan">
      <formula>21</formula>
    </cfRule>
  </conditionalFormatting>
  <conditionalFormatting sqref="M14:M17 M39 M21:M22 M24:M26 M19">
    <cfRule type="cellIs" dxfId="494" priority="19" operator="lessThan">
      <formula>15</formula>
    </cfRule>
    <cfRule type="cellIs" dxfId="493" priority="20" operator="greaterThan">
      <formula>20</formula>
    </cfRule>
    <cfRule type="cellIs" dxfId="492" priority="21" operator="between">
      <formula>15</formula>
      <formula>20</formula>
    </cfRule>
    <cfRule type="cellIs" dxfId="491" priority="22" operator="between">
      <formula>15</formula>
      <formula>20</formula>
    </cfRule>
    <cfRule type="cellIs" dxfId="490" priority="23" operator="lessThan">
      <formula>15</formula>
    </cfRule>
    <cfRule type="cellIs" dxfId="489" priority="24" operator="greaterThan">
      <formula>20</formula>
    </cfRule>
    <cfRule type="cellIs" dxfId="488" priority="25" operator="between">
      <formula>15</formula>
      <formula>21</formula>
    </cfRule>
    <cfRule type="cellIs" dxfId="487" priority="26" operator="lessThan">
      <formula>15</formula>
    </cfRule>
    <cfRule type="cellIs" dxfId="486" priority="27" operator="greaterThan">
      <formula>21</formula>
    </cfRule>
  </conditionalFormatting>
  <conditionalFormatting sqref="M9:M12">
    <cfRule type="cellIs" dxfId="485" priority="10" operator="lessThan">
      <formula>15</formula>
    </cfRule>
    <cfRule type="cellIs" dxfId="484" priority="11" operator="greaterThan">
      <formula>20</formula>
    </cfRule>
    <cfRule type="cellIs" dxfId="483" priority="12" operator="between">
      <formula>15</formula>
      <formula>20</formula>
    </cfRule>
    <cfRule type="cellIs" dxfId="482" priority="13" operator="between">
      <formula>15</formula>
      <formula>20</formula>
    </cfRule>
    <cfRule type="cellIs" dxfId="481" priority="14" operator="lessThan">
      <formula>15</formula>
    </cfRule>
    <cfRule type="cellIs" dxfId="480" priority="15" operator="greaterThan">
      <formula>20</formula>
    </cfRule>
    <cfRule type="cellIs" dxfId="479" priority="16" operator="between">
      <formula>15</formula>
      <formula>21</formula>
    </cfRule>
    <cfRule type="cellIs" dxfId="478" priority="17" operator="lessThan">
      <formula>15</formula>
    </cfRule>
    <cfRule type="cellIs" dxfId="477" priority="18" operator="greaterThan">
      <formula>21</formula>
    </cfRule>
  </conditionalFormatting>
  <conditionalFormatting sqref="M29:M32">
    <cfRule type="cellIs" dxfId="476" priority="1" operator="lessThan">
      <formula>15</formula>
    </cfRule>
    <cfRule type="cellIs" dxfId="475" priority="2" operator="greaterThan">
      <formula>20</formula>
    </cfRule>
    <cfRule type="cellIs" dxfId="474" priority="3" operator="between">
      <formula>15</formula>
      <formula>20</formula>
    </cfRule>
    <cfRule type="cellIs" dxfId="473" priority="4" operator="between">
      <formula>15</formula>
      <formula>20</formula>
    </cfRule>
    <cfRule type="cellIs" dxfId="472" priority="5" operator="lessThan">
      <formula>15</formula>
    </cfRule>
    <cfRule type="cellIs" dxfId="471" priority="6" operator="greaterThan">
      <formula>20</formula>
    </cfRule>
    <cfRule type="cellIs" dxfId="470" priority="7" operator="between">
      <formula>15</formula>
      <formula>21</formula>
    </cfRule>
    <cfRule type="cellIs" dxfId="469" priority="8" operator="lessThan">
      <formula>15</formula>
    </cfRule>
    <cfRule type="cellIs" dxfId="468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Y50"/>
  <sheetViews>
    <sheetView zoomScale="80" zoomScaleNormal="80" workbookViewId="0">
      <pane ySplit="8" topLeftCell="A9" activePane="bottomLeft" state="frozen"/>
      <selection activeCell="D10" sqref="D10"/>
      <selection pane="bottomLeft" activeCell="K9" sqref="K9"/>
    </sheetView>
  </sheetViews>
  <sheetFormatPr defaultColWidth="9.28515625" defaultRowHeight="15"/>
  <cols>
    <col min="1" max="1" width="6.140625" style="143" customWidth="1"/>
    <col min="2" max="2" width="7.42578125" style="143" customWidth="1"/>
    <col min="3" max="3" width="17.28515625" style="143" customWidth="1"/>
    <col min="4" max="11" width="9.28515625" style="142" customWidth="1"/>
    <col min="12" max="13" width="11.28515625" style="143" customWidth="1"/>
    <col min="14" max="14" width="5.57031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FRIT FV104/537</v>
      </c>
      <c r="D4" s="383"/>
      <c r="E4" s="383" t="s">
        <v>228</v>
      </c>
      <c r="F4" s="383" t="s">
        <v>230</v>
      </c>
      <c r="G4" s="383"/>
      <c r="I4" s="383" t="s">
        <v>120</v>
      </c>
      <c r="J4" s="316" t="s">
        <v>302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/>
      <c r="G8" s="388"/>
      <c r="H8" s="387"/>
      <c r="I8" s="388"/>
      <c r="J8" s="390">
        <f>K8-K8*N8</f>
        <v>0</v>
      </c>
      <c r="K8" s="389">
        <v>0</v>
      </c>
      <c r="L8" s="303"/>
      <c r="M8" s="304"/>
      <c r="N8" s="366">
        <v>0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/>
      <c r="E9" s="388"/>
      <c r="F9" s="446"/>
      <c r="G9" s="496">
        <f>F9</f>
        <v>0</v>
      </c>
      <c r="H9" s="498">
        <f>SUM($F$8:F9)/A9</f>
        <v>0</v>
      </c>
      <c r="I9" s="499">
        <f>SUM($G$8:G9)/A9</f>
        <v>0</v>
      </c>
      <c r="J9" s="443">
        <f t="shared" ref="J9:K11" si="0">J8+D9-F9</f>
        <v>0</v>
      </c>
      <c r="K9" s="459">
        <f t="shared" si="0"/>
        <v>0</v>
      </c>
      <c r="L9" s="338" t="e">
        <f>J9/H9</f>
        <v>#DIV/0!</v>
      </c>
      <c r="M9" s="300" t="e">
        <f>K9/I9</f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/>
      <c r="E10" s="388"/>
      <c r="F10" s="446"/>
      <c r="G10" s="496">
        <f t="shared" ref="G10:G39" si="1">F10</f>
        <v>0</v>
      </c>
      <c r="H10" s="498">
        <f>SUM($F$8:F10)/A10</f>
        <v>0</v>
      </c>
      <c r="I10" s="499">
        <f>SUM($G$8:G10)/A10</f>
        <v>0</v>
      </c>
      <c r="J10" s="443">
        <f t="shared" si="0"/>
        <v>0</v>
      </c>
      <c r="K10" s="459">
        <f t="shared" si="0"/>
        <v>0</v>
      </c>
      <c r="L10" s="338" t="e">
        <f t="shared" ref="L10:L39" si="2">J10/H10</f>
        <v>#DIV/0!</v>
      </c>
      <c r="M10" s="300" t="e">
        <f t="shared" ref="M10:M39" si="3">K10/I10</f>
        <v>#DIV/0!</v>
      </c>
      <c r="N10" s="366"/>
      <c r="O10" s="647">
        <f t="shared" ref="O10:O39" si="4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/>
      <c r="E11" s="388"/>
      <c r="F11" s="446"/>
      <c r="G11" s="496">
        <f t="shared" si="1"/>
        <v>0</v>
      </c>
      <c r="H11" s="498">
        <f>SUM($F$8:F11)/A11</f>
        <v>0</v>
      </c>
      <c r="I11" s="499">
        <f>SUM($G$8:G11)/A11</f>
        <v>0</v>
      </c>
      <c r="J11" s="443">
        <f t="shared" si="0"/>
        <v>0</v>
      </c>
      <c r="K11" s="459">
        <f t="shared" si="0"/>
        <v>0</v>
      </c>
      <c r="L11" s="338" t="e">
        <f t="shared" si="2"/>
        <v>#DIV/0!</v>
      </c>
      <c r="M11" s="300" t="e">
        <f t="shared" si="3"/>
        <v>#DIV/0!</v>
      </c>
      <c r="N11" s="366"/>
      <c r="O11" s="647">
        <f t="shared" si="4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/>
      <c r="E12" s="388"/>
      <c r="F12" s="446"/>
      <c r="G12" s="496">
        <f t="shared" si="1"/>
        <v>0</v>
      </c>
      <c r="H12" s="498">
        <f>SUM($F$8:F12)/A12</f>
        <v>0</v>
      </c>
      <c r="I12" s="499">
        <f>SUM($G$8:G12)/A12</f>
        <v>0</v>
      </c>
      <c r="J12" s="443">
        <f t="shared" ref="J12:K27" si="5">J11+D12-F12</f>
        <v>0</v>
      </c>
      <c r="K12" s="459">
        <f t="shared" si="5"/>
        <v>0</v>
      </c>
      <c r="L12" s="338" t="e">
        <f t="shared" si="2"/>
        <v>#DIV/0!</v>
      </c>
      <c r="M12" s="300" t="e">
        <f t="shared" si="3"/>
        <v>#DIV/0!</v>
      </c>
      <c r="N12" s="366"/>
      <c r="O12" s="647">
        <f t="shared" si="4"/>
        <v>0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/>
      <c r="E13" s="388"/>
      <c r="F13" s="446"/>
      <c r="G13" s="496">
        <f t="shared" si="1"/>
        <v>0</v>
      </c>
      <c r="H13" s="500">
        <f>SUM($F$8:F13)/A13</f>
        <v>0</v>
      </c>
      <c r="I13" s="499">
        <f>SUM($G$8:G13)/A13</f>
        <v>0</v>
      </c>
      <c r="J13" s="500">
        <f t="shared" si="5"/>
        <v>0</v>
      </c>
      <c r="K13" s="459">
        <f t="shared" si="5"/>
        <v>0</v>
      </c>
      <c r="L13" s="368" t="e">
        <f t="shared" si="2"/>
        <v>#DIV/0!</v>
      </c>
      <c r="M13" s="300" t="e">
        <f t="shared" si="3"/>
        <v>#DIV/0!</v>
      </c>
      <c r="N13" s="366"/>
      <c r="O13" s="647">
        <f t="shared" si="4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/>
      <c r="E14" s="388"/>
      <c r="F14" s="446"/>
      <c r="G14" s="496">
        <f t="shared" si="1"/>
        <v>0</v>
      </c>
      <c r="H14" s="498">
        <f>SUM($F$8:F14)/A14</f>
        <v>0</v>
      </c>
      <c r="I14" s="499">
        <f>SUM($G$8:G14)/A14</f>
        <v>0</v>
      </c>
      <c r="J14" s="443">
        <f t="shared" si="5"/>
        <v>0</v>
      </c>
      <c r="K14" s="459">
        <f t="shared" si="5"/>
        <v>0</v>
      </c>
      <c r="L14" s="338" t="e">
        <f t="shared" si="2"/>
        <v>#DIV/0!</v>
      </c>
      <c r="M14" s="300" t="e">
        <f t="shared" si="3"/>
        <v>#DIV/0!</v>
      </c>
      <c r="N14" s="366"/>
      <c r="O14" s="647">
        <f t="shared" si="4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/>
      <c r="E15" s="388"/>
      <c r="F15" s="446"/>
      <c r="G15" s="496">
        <f t="shared" si="1"/>
        <v>0</v>
      </c>
      <c r="H15" s="498">
        <f>SUM($F$8:F15)/A15</f>
        <v>0</v>
      </c>
      <c r="I15" s="499">
        <f>SUM($G$8:G15)/A15</f>
        <v>0</v>
      </c>
      <c r="J15" s="443">
        <f t="shared" si="5"/>
        <v>0</v>
      </c>
      <c r="K15" s="459">
        <f t="shared" si="5"/>
        <v>0</v>
      </c>
      <c r="L15" s="338" t="e">
        <f t="shared" si="2"/>
        <v>#DIV/0!</v>
      </c>
      <c r="M15" s="300" t="e">
        <f t="shared" si="3"/>
        <v>#DIV/0!</v>
      </c>
      <c r="N15" s="366"/>
      <c r="O15" s="647">
        <f t="shared" si="4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/>
      <c r="E16" s="388"/>
      <c r="F16" s="446"/>
      <c r="G16" s="496">
        <f t="shared" si="1"/>
        <v>0</v>
      </c>
      <c r="H16" s="498">
        <f>SUM($F$8:F16)/A16</f>
        <v>0</v>
      </c>
      <c r="I16" s="499">
        <f>SUM($G$8:G16)/A16</f>
        <v>0</v>
      </c>
      <c r="J16" s="443">
        <f t="shared" si="5"/>
        <v>0</v>
      </c>
      <c r="K16" s="459">
        <f t="shared" si="5"/>
        <v>0</v>
      </c>
      <c r="L16" s="338" t="e">
        <f t="shared" si="2"/>
        <v>#DIV/0!</v>
      </c>
      <c r="M16" s="300" t="e">
        <f t="shared" si="3"/>
        <v>#DIV/0!</v>
      </c>
      <c r="N16" s="366"/>
      <c r="O16" s="647">
        <f t="shared" si="4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/>
      <c r="E17" s="388"/>
      <c r="F17" s="446"/>
      <c r="G17" s="496">
        <f t="shared" si="1"/>
        <v>0</v>
      </c>
      <c r="H17" s="498">
        <f>SUM($F$8:F17)/A17</f>
        <v>0</v>
      </c>
      <c r="I17" s="499">
        <f>SUM($G$8:G17)/A17</f>
        <v>0</v>
      </c>
      <c r="J17" s="443">
        <f t="shared" si="5"/>
        <v>0</v>
      </c>
      <c r="K17" s="459">
        <f t="shared" si="5"/>
        <v>0</v>
      </c>
      <c r="L17" s="338" t="e">
        <f t="shared" si="2"/>
        <v>#DIV/0!</v>
      </c>
      <c r="M17" s="300" t="e">
        <f t="shared" si="3"/>
        <v>#DIV/0!</v>
      </c>
      <c r="N17" s="366"/>
      <c r="O17" s="647">
        <f t="shared" si="4"/>
        <v>0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/>
      <c r="E18" s="388"/>
      <c r="F18" s="446"/>
      <c r="G18" s="496">
        <f t="shared" si="1"/>
        <v>0</v>
      </c>
      <c r="H18" s="500">
        <f>SUM($F$8:F18)/A18</f>
        <v>0</v>
      </c>
      <c r="I18" s="499">
        <f>SUM($G$8:G18)/A18</f>
        <v>0</v>
      </c>
      <c r="J18" s="500">
        <f t="shared" si="5"/>
        <v>0</v>
      </c>
      <c r="K18" s="459">
        <f t="shared" si="5"/>
        <v>0</v>
      </c>
      <c r="L18" s="368" t="e">
        <f t="shared" si="2"/>
        <v>#DIV/0!</v>
      </c>
      <c r="M18" s="300" t="e">
        <f t="shared" si="3"/>
        <v>#DIV/0!</v>
      </c>
      <c r="N18" s="366"/>
      <c r="O18" s="647">
        <f t="shared" si="4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/>
      <c r="E19" s="388"/>
      <c r="F19" s="446"/>
      <c r="G19" s="496">
        <f t="shared" si="1"/>
        <v>0</v>
      </c>
      <c r="H19" s="498">
        <f>SUM($F$8:F19)/A19</f>
        <v>0</v>
      </c>
      <c r="I19" s="499">
        <f>SUM($G$8:G19)/A19</f>
        <v>0</v>
      </c>
      <c r="J19" s="443">
        <f t="shared" si="5"/>
        <v>0</v>
      </c>
      <c r="K19" s="459">
        <f t="shared" si="5"/>
        <v>0</v>
      </c>
      <c r="L19" s="338" t="e">
        <f t="shared" si="2"/>
        <v>#DIV/0!</v>
      </c>
      <c r="M19" s="300" t="e">
        <f t="shared" si="3"/>
        <v>#DIV/0!</v>
      </c>
      <c r="N19" s="366"/>
      <c r="O19" s="647">
        <f t="shared" si="4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/>
      <c r="E20" s="388"/>
      <c r="F20" s="446"/>
      <c r="G20" s="496">
        <f t="shared" si="1"/>
        <v>0</v>
      </c>
      <c r="H20" s="498">
        <f>SUM($F$8:F20)/A20</f>
        <v>0</v>
      </c>
      <c r="I20" s="499">
        <f>SUM($G$8:G20)/A20</f>
        <v>0</v>
      </c>
      <c r="J20" s="443">
        <f t="shared" si="5"/>
        <v>0</v>
      </c>
      <c r="K20" s="459">
        <f t="shared" si="5"/>
        <v>0</v>
      </c>
      <c r="L20" s="338" t="e">
        <f t="shared" si="2"/>
        <v>#DIV/0!</v>
      </c>
      <c r="M20" s="300" t="e">
        <f t="shared" si="3"/>
        <v>#DIV/0!</v>
      </c>
      <c r="N20" s="366"/>
      <c r="O20" s="647">
        <f t="shared" si="4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/>
      <c r="E21" s="388"/>
      <c r="F21" s="446"/>
      <c r="G21" s="496">
        <f t="shared" si="1"/>
        <v>0</v>
      </c>
      <c r="H21" s="498">
        <f>SUM($F$8:F21)/A21</f>
        <v>0</v>
      </c>
      <c r="I21" s="499">
        <f>SUM($G$8:G21)/A21</f>
        <v>0</v>
      </c>
      <c r="J21" s="443">
        <f t="shared" si="5"/>
        <v>0</v>
      </c>
      <c r="K21" s="459">
        <f>K20+E21-G21</f>
        <v>0</v>
      </c>
      <c r="L21" s="338" t="e">
        <f t="shared" si="2"/>
        <v>#DIV/0!</v>
      </c>
      <c r="M21" s="300" t="e">
        <f t="shared" si="3"/>
        <v>#DIV/0!</v>
      </c>
      <c r="N21" s="366"/>
      <c r="O21" s="647">
        <f t="shared" si="4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/>
      <c r="E22" s="388"/>
      <c r="F22" s="446"/>
      <c r="G22" s="496">
        <f t="shared" si="1"/>
        <v>0</v>
      </c>
      <c r="H22" s="498">
        <f>SUM($F$8:F22)/A22</f>
        <v>0</v>
      </c>
      <c r="I22" s="499">
        <f>SUM($G$8:G22)/A22</f>
        <v>0</v>
      </c>
      <c r="J22" s="443">
        <f t="shared" si="5"/>
        <v>0</v>
      </c>
      <c r="K22" s="459">
        <f>K21+E22-G22</f>
        <v>0</v>
      </c>
      <c r="L22" s="338" t="e">
        <f t="shared" si="2"/>
        <v>#DIV/0!</v>
      </c>
      <c r="M22" s="300" t="e">
        <f t="shared" si="3"/>
        <v>#DIV/0!</v>
      </c>
      <c r="N22" s="366"/>
      <c r="O22" s="647">
        <f t="shared" si="4"/>
        <v>0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/>
      <c r="E23" s="388"/>
      <c r="F23" s="446"/>
      <c r="G23" s="496">
        <f t="shared" si="1"/>
        <v>0</v>
      </c>
      <c r="H23" s="500">
        <f>SUM($F$8:F23)/A23</f>
        <v>0</v>
      </c>
      <c r="I23" s="499">
        <f>SUM($G$8:G23)/A23</f>
        <v>0</v>
      </c>
      <c r="J23" s="500">
        <f t="shared" si="5"/>
        <v>0</v>
      </c>
      <c r="K23" s="459">
        <f t="shared" si="5"/>
        <v>0</v>
      </c>
      <c r="L23" s="368" t="e">
        <f t="shared" si="2"/>
        <v>#DIV/0!</v>
      </c>
      <c r="M23" s="300" t="e">
        <f t="shared" si="3"/>
        <v>#DIV/0!</v>
      </c>
      <c r="N23" s="366"/>
      <c r="O23" s="647">
        <f t="shared" si="4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/>
      <c r="E24" s="388"/>
      <c r="F24" s="446"/>
      <c r="G24" s="496">
        <f t="shared" si="1"/>
        <v>0</v>
      </c>
      <c r="H24" s="498">
        <f>SUM($F$8:F24)/A24</f>
        <v>0</v>
      </c>
      <c r="I24" s="499">
        <f>SUM($G$8:G24)/A24</f>
        <v>0</v>
      </c>
      <c r="J24" s="443">
        <f t="shared" si="5"/>
        <v>0</v>
      </c>
      <c r="K24" s="459">
        <f>K23+E24-G24</f>
        <v>0</v>
      </c>
      <c r="L24" s="338" t="e">
        <f t="shared" si="2"/>
        <v>#DIV/0!</v>
      </c>
      <c r="M24" s="300" t="e">
        <f t="shared" si="3"/>
        <v>#DIV/0!</v>
      </c>
      <c r="N24" s="366"/>
      <c r="O24" s="647">
        <f t="shared" si="4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/>
      <c r="E25" s="388"/>
      <c r="F25" s="446"/>
      <c r="G25" s="496">
        <f t="shared" si="1"/>
        <v>0</v>
      </c>
      <c r="H25" s="498">
        <f>SUM($F$8:F25)/A25</f>
        <v>0</v>
      </c>
      <c r="I25" s="499">
        <f>SUM($G$8:G25)/A25</f>
        <v>0</v>
      </c>
      <c r="J25" s="443">
        <f t="shared" si="5"/>
        <v>0</v>
      </c>
      <c r="K25" s="459">
        <f>K24+E25-G25</f>
        <v>0</v>
      </c>
      <c r="L25" s="338" t="e">
        <f t="shared" si="2"/>
        <v>#DIV/0!</v>
      </c>
      <c r="M25" s="300" t="e">
        <f t="shared" si="3"/>
        <v>#DIV/0!</v>
      </c>
      <c r="N25" s="366"/>
      <c r="O25" s="647">
        <f t="shared" si="4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/>
      <c r="E26" s="388"/>
      <c r="F26" s="446"/>
      <c r="G26" s="496">
        <f t="shared" si="1"/>
        <v>0</v>
      </c>
      <c r="H26" s="498">
        <f>SUM($F$8:F26)/A26</f>
        <v>0</v>
      </c>
      <c r="I26" s="499">
        <f>SUM($G$8:G26)/A26</f>
        <v>0</v>
      </c>
      <c r="J26" s="443">
        <f t="shared" si="5"/>
        <v>0</v>
      </c>
      <c r="K26" s="459">
        <f>K25+E26-G26</f>
        <v>0</v>
      </c>
      <c r="L26" s="338" t="e">
        <f t="shared" si="2"/>
        <v>#DIV/0!</v>
      </c>
      <c r="M26" s="300" t="e">
        <f t="shared" si="3"/>
        <v>#DIV/0!</v>
      </c>
      <c r="N26" s="366"/>
      <c r="O26" s="647">
        <f t="shared" si="4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/>
      <c r="E27" s="388"/>
      <c r="F27" s="446"/>
      <c r="G27" s="496">
        <f t="shared" si="1"/>
        <v>0</v>
      </c>
      <c r="H27" s="498">
        <f>SUM($F$8:F27)/A27</f>
        <v>0</v>
      </c>
      <c r="I27" s="499">
        <f>SUM($G$8:G27)/A27</f>
        <v>0</v>
      </c>
      <c r="J27" s="443">
        <f t="shared" si="5"/>
        <v>0</v>
      </c>
      <c r="K27" s="459">
        <f>K26+E27-G27</f>
        <v>0</v>
      </c>
      <c r="L27" s="338" t="e">
        <f t="shared" si="2"/>
        <v>#DIV/0!</v>
      </c>
      <c r="M27" s="300" t="e">
        <f t="shared" si="3"/>
        <v>#DIV/0!</v>
      </c>
      <c r="N27" s="366"/>
      <c r="O27" s="647">
        <f t="shared" si="4"/>
        <v>0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/>
      <c r="E28" s="388"/>
      <c r="F28" s="446"/>
      <c r="G28" s="496">
        <f t="shared" si="1"/>
        <v>0</v>
      </c>
      <c r="H28" s="500">
        <f>SUM($F$8:F28)/A28</f>
        <v>0</v>
      </c>
      <c r="I28" s="499">
        <f>SUM($G$8:G28)/A28</f>
        <v>0</v>
      </c>
      <c r="J28" s="500">
        <f t="shared" ref="J28:K39" si="6">J27+D28-F28</f>
        <v>0</v>
      </c>
      <c r="K28" s="459">
        <f t="shared" si="6"/>
        <v>0</v>
      </c>
      <c r="L28" s="368" t="e">
        <f t="shared" si="2"/>
        <v>#DIV/0!</v>
      </c>
      <c r="M28" s="300" t="e">
        <f t="shared" si="3"/>
        <v>#DIV/0!</v>
      </c>
      <c r="N28" s="366"/>
      <c r="O28" s="647">
        <f t="shared" si="4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/>
      <c r="E29" s="388"/>
      <c r="F29" s="446"/>
      <c r="G29" s="496">
        <f>F29</f>
        <v>0</v>
      </c>
      <c r="H29" s="498">
        <f>SUM($F$8:F29)/A29</f>
        <v>0</v>
      </c>
      <c r="I29" s="499">
        <f>SUM($G$8:G29)/A29</f>
        <v>0</v>
      </c>
      <c r="J29" s="443">
        <f t="shared" si="6"/>
        <v>0</v>
      </c>
      <c r="K29" s="459">
        <f t="shared" si="6"/>
        <v>0</v>
      </c>
      <c r="L29" s="338" t="e">
        <f t="shared" si="2"/>
        <v>#DIV/0!</v>
      </c>
      <c r="M29" s="300" t="e">
        <f t="shared" si="3"/>
        <v>#DIV/0!</v>
      </c>
      <c r="N29" s="366"/>
      <c r="O29" s="647">
        <f t="shared" si="4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/>
      <c r="E30" s="388"/>
      <c r="F30" s="446"/>
      <c r="G30" s="496">
        <f t="shared" si="1"/>
        <v>0</v>
      </c>
      <c r="H30" s="498">
        <f>SUM($F$8:F30)/A30</f>
        <v>0</v>
      </c>
      <c r="I30" s="499">
        <f>SUM($G$8:G30)/A30</f>
        <v>0</v>
      </c>
      <c r="J30" s="443">
        <f t="shared" si="6"/>
        <v>0</v>
      </c>
      <c r="K30" s="459">
        <f t="shared" si="6"/>
        <v>0</v>
      </c>
      <c r="L30" s="338" t="e">
        <f t="shared" si="2"/>
        <v>#DIV/0!</v>
      </c>
      <c r="M30" s="300" t="e">
        <f t="shared" si="3"/>
        <v>#DIV/0!</v>
      </c>
      <c r="N30" s="366"/>
      <c r="O30" s="647">
        <f t="shared" si="4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/>
      <c r="E31" s="388"/>
      <c r="F31" s="446"/>
      <c r="G31" s="496">
        <f t="shared" si="1"/>
        <v>0</v>
      </c>
      <c r="H31" s="498">
        <f>SUM($F$8:F31)/A31</f>
        <v>0</v>
      </c>
      <c r="I31" s="499">
        <f>SUM($G$8:G31)/A31</f>
        <v>0</v>
      </c>
      <c r="J31" s="443">
        <f t="shared" si="6"/>
        <v>0</v>
      </c>
      <c r="K31" s="459">
        <f t="shared" si="6"/>
        <v>0</v>
      </c>
      <c r="L31" s="338" t="e">
        <f t="shared" si="2"/>
        <v>#DIV/0!</v>
      </c>
      <c r="M31" s="300" t="e">
        <f t="shared" si="3"/>
        <v>#DIV/0!</v>
      </c>
      <c r="N31" s="366"/>
      <c r="O31" s="647">
        <f t="shared" si="4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/>
      <c r="E32" s="388"/>
      <c r="F32" s="446"/>
      <c r="G32" s="496">
        <f t="shared" si="1"/>
        <v>0</v>
      </c>
      <c r="H32" s="498">
        <f>SUM($F$8:F32)/A32</f>
        <v>0</v>
      </c>
      <c r="I32" s="499">
        <f>SUM($G$8:G32)/A32</f>
        <v>0</v>
      </c>
      <c r="J32" s="443">
        <f t="shared" si="6"/>
        <v>0</v>
      </c>
      <c r="K32" s="459">
        <f t="shared" si="6"/>
        <v>0</v>
      </c>
      <c r="L32" s="338" t="e">
        <f t="shared" si="2"/>
        <v>#DIV/0!</v>
      </c>
      <c r="M32" s="300" t="e">
        <f t="shared" si="3"/>
        <v>#DIV/0!</v>
      </c>
      <c r="N32" s="366"/>
      <c r="O32" s="647">
        <f t="shared" si="4"/>
        <v>0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/>
      <c r="E33" s="388"/>
      <c r="F33" s="446"/>
      <c r="G33" s="496">
        <f t="shared" si="1"/>
        <v>0</v>
      </c>
      <c r="H33" s="448">
        <f>SUM($F$8:F33)/A33</f>
        <v>0</v>
      </c>
      <c r="I33" s="499">
        <f>SUM($G$8:G33)/A33</f>
        <v>0</v>
      </c>
      <c r="J33" s="448">
        <f t="shared" si="6"/>
        <v>0</v>
      </c>
      <c r="K33" s="459">
        <f t="shared" si="6"/>
        <v>0</v>
      </c>
      <c r="L33" s="369" t="e">
        <f t="shared" si="2"/>
        <v>#DIV/0!</v>
      </c>
      <c r="M33" s="300" t="e">
        <f t="shared" si="3"/>
        <v>#DIV/0!</v>
      </c>
      <c r="N33" s="366"/>
      <c r="O33" s="647">
        <f t="shared" si="4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/>
      <c r="E34" s="388"/>
      <c r="F34" s="446"/>
      <c r="G34" s="496">
        <f t="shared" si="1"/>
        <v>0</v>
      </c>
      <c r="H34" s="498">
        <f>SUM($F$8:F34)/A34</f>
        <v>0</v>
      </c>
      <c r="I34" s="499">
        <f>SUM($G$8:G34)/A34</f>
        <v>0</v>
      </c>
      <c r="J34" s="443">
        <f t="shared" si="6"/>
        <v>0</v>
      </c>
      <c r="K34" s="459">
        <f t="shared" si="6"/>
        <v>0</v>
      </c>
      <c r="L34" s="338" t="e">
        <f t="shared" si="2"/>
        <v>#DIV/0!</v>
      </c>
      <c r="M34" s="300" t="e">
        <f t="shared" si="3"/>
        <v>#DIV/0!</v>
      </c>
      <c r="N34" s="366"/>
      <c r="O34" s="647">
        <f t="shared" si="4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/>
      <c r="E35" s="388"/>
      <c r="F35" s="446"/>
      <c r="G35" s="496">
        <f t="shared" si="1"/>
        <v>0</v>
      </c>
      <c r="H35" s="498">
        <f>SUM($F$8:F35)/A35</f>
        <v>0</v>
      </c>
      <c r="I35" s="499">
        <f>SUM($G$8:G35)/A35</f>
        <v>0</v>
      </c>
      <c r="J35" s="443">
        <f t="shared" si="6"/>
        <v>0</v>
      </c>
      <c r="K35" s="459">
        <f t="shared" si="6"/>
        <v>0</v>
      </c>
      <c r="L35" s="338" t="e">
        <f t="shared" si="2"/>
        <v>#DIV/0!</v>
      </c>
      <c r="M35" s="300" t="e">
        <f t="shared" si="3"/>
        <v>#DIV/0!</v>
      </c>
      <c r="N35" s="366"/>
      <c r="O35" s="647">
        <f t="shared" si="4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/>
      <c r="E36" s="388"/>
      <c r="F36" s="446"/>
      <c r="G36" s="496">
        <f t="shared" si="1"/>
        <v>0</v>
      </c>
      <c r="H36" s="498">
        <f>SUM($F$8:F36)/A36</f>
        <v>0</v>
      </c>
      <c r="I36" s="499">
        <f>SUM($G$8:G36)/A36</f>
        <v>0</v>
      </c>
      <c r="J36" s="443">
        <f t="shared" si="6"/>
        <v>0</v>
      </c>
      <c r="K36" s="459">
        <f t="shared" si="6"/>
        <v>0</v>
      </c>
      <c r="L36" s="338" t="e">
        <f t="shared" si="2"/>
        <v>#DIV/0!</v>
      </c>
      <c r="M36" s="300" t="e">
        <f t="shared" si="3"/>
        <v>#DIV/0!</v>
      </c>
      <c r="N36" s="366"/>
      <c r="O36" s="647">
        <f t="shared" si="4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/>
      <c r="E37" s="388"/>
      <c r="F37" s="446"/>
      <c r="G37" s="496">
        <f t="shared" si="1"/>
        <v>0</v>
      </c>
      <c r="H37" s="498">
        <f>SUM($F$8:F37)/A37</f>
        <v>0</v>
      </c>
      <c r="I37" s="499">
        <f>SUM($G$8:G37)/A37</f>
        <v>0</v>
      </c>
      <c r="J37" s="443">
        <f t="shared" si="6"/>
        <v>0</v>
      </c>
      <c r="K37" s="459">
        <f t="shared" si="6"/>
        <v>0</v>
      </c>
      <c r="L37" s="338" t="e">
        <f t="shared" si="2"/>
        <v>#DIV/0!</v>
      </c>
      <c r="M37" s="300" t="e">
        <f t="shared" si="3"/>
        <v>#DIV/0!</v>
      </c>
      <c r="N37" s="366"/>
      <c r="O37" s="647">
        <f t="shared" si="4"/>
        <v>0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/>
      <c r="E38" s="388"/>
      <c r="F38" s="446"/>
      <c r="G38" s="496">
        <f t="shared" si="1"/>
        <v>0</v>
      </c>
      <c r="H38" s="500">
        <f>SUM($F$8:F38)/A38</f>
        <v>0</v>
      </c>
      <c r="I38" s="499">
        <f>SUM($G$8:G38)/A38</f>
        <v>0</v>
      </c>
      <c r="J38" s="500">
        <f t="shared" si="6"/>
        <v>0</v>
      </c>
      <c r="K38" s="459">
        <f t="shared" si="6"/>
        <v>0</v>
      </c>
      <c r="L38" s="368" t="e">
        <f t="shared" si="2"/>
        <v>#DIV/0!</v>
      </c>
      <c r="M38" s="300" t="e">
        <f t="shared" si="3"/>
        <v>#DIV/0!</v>
      </c>
      <c r="N38" s="366"/>
      <c r="O38" s="647">
        <f t="shared" si="4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/>
      <c r="E39" s="388"/>
      <c r="F39" s="446"/>
      <c r="G39" s="496">
        <f t="shared" si="1"/>
        <v>0</v>
      </c>
      <c r="H39" s="498">
        <f>SUM($F$8:F39)/A39</f>
        <v>0</v>
      </c>
      <c r="I39" s="499">
        <f>SUM($G$8:G39)/A39</f>
        <v>0</v>
      </c>
      <c r="J39" s="443">
        <f t="shared" si="6"/>
        <v>0</v>
      </c>
      <c r="K39" s="459">
        <f t="shared" si="6"/>
        <v>0</v>
      </c>
      <c r="L39" s="338" t="e">
        <f t="shared" si="2"/>
        <v>#DIV/0!</v>
      </c>
      <c r="M39" s="300" t="e">
        <f t="shared" si="3"/>
        <v>#DIV/0!</v>
      </c>
      <c r="N39" s="366"/>
      <c r="O39" s="647">
        <f t="shared" si="4"/>
        <v>0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38">
    <cfRule type="cellIs" dxfId="467" priority="118" operator="lessThan">
      <formula>15</formula>
    </cfRule>
    <cfRule type="cellIs" dxfId="466" priority="119" operator="greaterThan">
      <formula>20</formula>
    </cfRule>
    <cfRule type="cellIs" dxfId="465" priority="120" operator="between">
      <formula>15</formula>
      <formula>20</formula>
    </cfRule>
    <cfRule type="cellIs" dxfId="464" priority="121" operator="between">
      <formula>15</formula>
      <formula>20</formula>
    </cfRule>
    <cfRule type="cellIs" dxfId="463" priority="122" operator="lessThan">
      <formula>15</formula>
    </cfRule>
    <cfRule type="cellIs" dxfId="462" priority="123" operator="greaterThan">
      <formula>20</formula>
    </cfRule>
    <cfRule type="cellIs" dxfId="461" priority="124" operator="between">
      <formula>15</formula>
      <formula>21</formula>
    </cfRule>
    <cfRule type="cellIs" dxfId="460" priority="125" operator="lessThan">
      <formula>15</formula>
    </cfRule>
    <cfRule type="cellIs" dxfId="459" priority="126" operator="greaterThan">
      <formula>21</formula>
    </cfRule>
  </conditionalFormatting>
  <conditionalFormatting sqref="M33">
    <cfRule type="cellIs" dxfId="458" priority="127" operator="lessThan">
      <formula>15</formula>
    </cfRule>
    <cfRule type="cellIs" dxfId="457" priority="128" operator="greaterThan">
      <formula>20</formula>
    </cfRule>
    <cfRule type="cellIs" dxfId="456" priority="129" operator="between">
      <formula>15</formula>
      <formula>20</formula>
    </cfRule>
    <cfRule type="cellIs" dxfId="455" priority="130" operator="between">
      <formula>15</formula>
      <formula>20</formula>
    </cfRule>
    <cfRule type="cellIs" dxfId="454" priority="131" operator="lessThan">
      <formula>15</formula>
    </cfRule>
    <cfRule type="cellIs" dxfId="453" priority="132" operator="greaterThan">
      <formula>20</formula>
    </cfRule>
    <cfRule type="cellIs" dxfId="452" priority="133" operator="between">
      <formula>15</formula>
      <formula>21</formula>
    </cfRule>
    <cfRule type="cellIs" dxfId="451" priority="134" operator="lessThan">
      <formula>15</formula>
    </cfRule>
    <cfRule type="cellIs" dxfId="450" priority="135" operator="greaterThan">
      <formula>21</formula>
    </cfRule>
  </conditionalFormatting>
  <conditionalFormatting sqref="M28">
    <cfRule type="cellIs" dxfId="449" priority="163" operator="lessThan">
      <formula>15</formula>
    </cfRule>
    <cfRule type="cellIs" dxfId="448" priority="164" operator="greaterThan">
      <formula>20</formula>
    </cfRule>
    <cfRule type="cellIs" dxfId="447" priority="165" operator="between">
      <formula>15</formula>
      <formula>20</formula>
    </cfRule>
    <cfRule type="cellIs" dxfId="446" priority="166" operator="between">
      <formula>15</formula>
      <formula>20</formula>
    </cfRule>
    <cfRule type="cellIs" dxfId="445" priority="167" operator="lessThan">
      <formula>15</formula>
    </cfRule>
    <cfRule type="cellIs" dxfId="444" priority="168" operator="greaterThan">
      <formula>20</formula>
    </cfRule>
    <cfRule type="cellIs" dxfId="443" priority="169" operator="between">
      <formula>15</formula>
      <formula>21</formula>
    </cfRule>
    <cfRule type="cellIs" dxfId="442" priority="170" operator="lessThan">
      <formula>15</formula>
    </cfRule>
    <cfRule type="cellIs" dxfId="441" priority="171" operator="greaterThan">
      <formula>21</formula>
    </cfRule>
  </conditionalFormatting>
  <conditionalFormatting sqref="M23">
    <cfRule type="cellIs" dxfId="440" priority="154" operator="lessThan">
      <formula>15</formula>
    </cfRule>
    <cfRule type="cellIs" dxfId="439" priority="155" operator="greaterThan">
      <formula>20</formula>
    </cfRule>
    <cfRule type="cellIs" dxfId="438" priority="156" operator="between">
      <formula>15</formula>
      <formula>20</formula>
    </cfRule>
    <cfRule type="cellIs" dxfId="437" priority="157" operator="between">
      <formula>15</formula>
      <formula>20</formula>
    </cfRule>
    <cfRule type="cellIs" dxfId="436" priority="158" operator="lessThan">
      <formula>15</formula>
    </cfRule>
    <cfRule type="cellIs" dxfId="435" priority="159" operator="greaterThan">
      <formula>20</formula>
    </cfRule>
    <cfRule type="cellIs" dxfId="434" priority="160" operator="between">
      <formula>15</formula>
      <formula>21</formula>
    </cfRule>
    <cfRule type="cellIs" dxfId="433" priority="161" operator="lessThan">
      <formula>15</formula>
    </cfRule>
    <cfRule type="cellIs" dxfId="432" priority="162" operator="greaterThan">
      <formula>21</formula>
    </cfRule>
  </conditionalFormatting>
  <conditionalFormatting sqref="M18">
    <cfRule type="cellIs" dxfId="431" priority="145" operator="lessThan">
      <formula>15</formula>
    </cfRule>
    <cfRule type="cellIs" dxfId="430" priority="146" operator="greaterThan">
      <formula>20</formula>
    </cfRule>
    <cfRule type="cellIs" dxfId="429" priority="147" operator="between">
      <formula>15</formula>
      <formula>20</formula>
    </cfRule>
    <cfRule type="cellIs" dxfId="428" priority="148" operator="between">
      <formula>15</formula>
      <formula>20</formula>
    </cfRule>
    <cfRule type="cellIs" dxfId="427" priority="149" operator="lessThan">
      <formula>15</formula>
    </cfRule>
    <cfRule type="cellIs" dxfId="426" priority="150" operator="greaterThan">
      <formula>20</formula>
    </cfRule>
    <cfRule type="cellIs" dxfId="425" priority="151" operator="between">
      <formula>15</formula>
      <formula>21</formula>
    </cfRule>
    <cfRule type="cellIs" dxfId="424" priority="152" operator="lessThan">
      <formula>15</formula>
    </cfRule>
    <cfRule type="cellIs" dxfId="423" priority="153" operator="greaterThan">
      <formula>21</formula>
    </cfRule>
  </conditionalFormatting>
  <conditionalFormatting sqref="M35:M37">
    <cfRule type="cellIs" dxfId="422" priority="172" operator="lessThan">
      <formula>15</formula>
    </cfRule>
    <cfRule type="cellIs" dxfId="421" priority="173" operator="greaterThan">
      <formula>20</formula>
    </cfRule>
    <cfRule type="cellIs" dxfId="420" priority="174" operator="between">
      <formula>15</formula>
      <formula>20</formula>
    </cfRule>
    <cfRule type="cellIs" dxfId="419" priority="175" operator="between">
      <formula>15</formula>
      <formula>20</formula>
    </cfRule>
    <cfRule type="cellIs" dxfId="418" priority="176" operator="lessThan">
      <formula>15</formula>
    </cfRule>
    <cfRule type="cellIs" dxfId="417" priority="177" operator="greaterThan">
      <formula>20</formula>
    </cfRule>
    <cfRule type="cellIs" dxfId="416" priority="178" operator="between">
      <formula>15</formula>
      <formula>21</formula>
    </cfRule>
    <cfRule type="cellIs" dxfId="415" priority="179" operator="lessThan">
      <formula>15</formula>
    </cfRule>
    <cfRule type="cellIs" dxfId="414" priority="180" operator="greaterThan">
      <formula>21</formula>
    </cfRule>
  </conditionalFormatting>
  <conditionalFormatting sqref="M13">
    <cfRule type="cellIs" dxfId="413" priority="136" operator="lessThan">
      <formula>15</formula>
    </cfRule>
    <cfRule type="cellIs" dxfId="412" priority="137" operator="greaterThan">
      <formula>20</formula>
    </cfRule>
    <cfRule type="cellIs" dxfId="411" priority="138" operator="between">
      <formula>15</formula>
      <formula>20</formula>
    </cfRule>
    <cfRule type="cellIs" dxfId="410" priority="139" operator="between">
      <formula>15</formula>
      <formula>20</formula>
    </cfRule>
    <cfRule type="cellIs" dxfId="409" priority="140" operator="lessThan">
      <formula>15</formula>
    </cfRule>
    <cfRule type="cellIs" dxfId="408" priority="141" operator="greaterThan">
      <formula>20</formula>
    </cfRule>
    <cfRule type="cellIs" dxfId="407" priority="142" operator="between">
      <formula>15</formula>
      <formula>21</formula>
    </cfRule>
    <cfRule type="cellIs" dxfId="406" priority="143" operator="lessThan">
      <formula>15</formula>
    </cfRule>
    <cfRule type="cellIs" dxfId="405" priority="144" operator="greaterThan">
      <formula>21</formula>
    </cfRule>
  </conditionalFormatting>
  <conditionalFormatting sqref="M20">
    <cfRule type="cellIs" dxfId="404" priority="217" operator="lessThan">
      <formula>15</formula>
    </cfRule>
    <cfRule type="cellIs" dxfId="403" priority="218" operator="greaterThan">
      <formula>20</formula>
    </cfRule>
    <cfRule type="cellIs" dxfId="402" priority="219" operator="between">
      <formula>15</formula>
      <formula>20</formula>
    </cfRule>
    <cfRule type="cellIs" dxfId="401" priority="220" operator="between">
      <formula>15</formula>
      <formula>20</formula>
    </cfRule>
    <cfRule type="cellIs" dxfId="400" priority="221" operator="lessThan">
      <formula>15</formula>
    </cfRule>
    <cfRule type="cellIs" dxfId="399" priority="222" operator="greaterThan">
      <formula>20</formula>
    </cfRule>
    <cfRule type="cellIs" dxfId="398" priority="223" operator="between">
      <formula>15</formula>
      <formula>21</formula>
    </cfRule>
    <cfRule type="cellIs" dxfId="397" priority="224" operator="lessThan">
      <formula>15</formula>
    </cfRule>
    <cfRule type="cellIs" dxfId="396" priority="225" operator="greaterThan">
      <formula>21</formula>
    </cfRule>
  </conditionalFormatting>
  <conditionalFormatting sqref="M27">
    <cfRule type="cellIs" dxfId="395" priority="208" operator="lessThan">
      <formula>15</formula>
    </cfRule>
    <cfRule type="cellIs" dxfId="394" priority="209" operator="greaterThan">
      <formula>20</formula>
    </cfRule>
    <cfRule type="cellIs" dxfId="393" priority="210" operator="between">
      <formula>15</formula>
      <formula>20</formula>
    </cfRule>
    <cfRule type="cellIs" dxfId="392" priority="211" operator="between">
      <formula>15</formula>
      <formula>20</formula>
    </cfRule>
    <cfRule type="cellIs" dxfId="391" priority="212" operator="lessThan">
      <formula>15</formula>
    </cfRule>
    <cfRule type="cellIs" dxfId="390" priority="213" operator="greaterThan">
      <formula>20</formula>
    </cfRule>
    <cfRule type="cellIs" dxfId="389" priority="214" operator="between">
      <formula>15</formula>
      <formula>21</formula>
    </cfRule>
    <cfRule type="cellIs" dxfId="388" priority="215" operator="lessThan">
      <formula>15</formula>
    </cfRule>
    <cfRule type="cellIs" dxfId="387" priority="216" operator="greaterThan">
      <formula>21</formula>
    </cfRule>
  </conditionalFormatting>
  <conditionalFormatting sqref="M34">
    <cfRule type="cellIs" dxfId="386" priority="199" operator="lessThan">
      <formula>15</formula>
    </cfRule>
    <cfRule type="cellIs" dxfId="385" priority="200" operator="greaterThan">
      <formula>20</formula>
    </cfRule>
    <cfRule type="cellIs" dxfId="384" priority="201" operator="between">
      <formula>15</formula>
      <formula>20</formula>
    </cfRule>
    <cfRule type="cellIs" dxfId="383" priority="202" operator="between">
      <formula>15</formula>
      <formula>20</formula>
    </cfRule>
    <cfRule type="cellIs" dxfId="382" priority="203" operator="lessThan">
      <formula>15</formula>
    </cfRule>
    <cfRule type="cellIs" dxfId="381" priority="204" operator="greaterThan">
      <formula>20</formula>
    </cfRule>
    <cfRule type="cellIs" dxfId="380" priority="205" operator="between">
      <formula>15</formula>
      <formula>21</formula>
    </cfRule>
    <cfRule type="cellIs" dxfId="379" priority="206" operator="lessThan">
      <formula>15</formula>
    </cfRule>
    <cfRule type="cellIs" dxfId="378" priority="207" operator="greaterThan">
      <formula>21</formula>
    </cfRule>
  </conditionalFormatting>
  <conditionalFormatting sqref="M14:M17 M39 M21:M22 M24:M26 M19">
    <cfRule type="cellIs" dxfId="377" priority="226" operator="lessThan">
      <formula>15</formula>
    </cfRule>
    <cfRule type="cellIs" dxfId="376" priority="227" operator="greaterThan">
      <formula>20</formula>
    </cfRule>
    <cfRule type="cellIs" dxfId="375" priority="228" operator="between">
      <formula>15</formula>
      <formula>20</formula>
    </cfRule>
    <cfRule type="cellIs" dxfId="374" priority="229" operator="between">
      <formula>15</formula>
      <formula>20</formula>
    </cfRule>
    <cfRule type="cellIs" dxfId="373" priority="230" operator="lessThan">
      <formula>15</formula>
    </cfRule>
    <cfRule type="cellIs" dxfId="372" priority="231" operator="greaterThan">
      <formula>20</formula>
    </cfRule>
    <cfRule type="cellIs" dxfId="371" priority="232" operator="between">
      <formula>15</formula>
      <formula>21</formula>
    </cfRule>
    <cfRule type="cellIs" dxfId="370" priority="233" operator="lessThan">
      <formula>15</formula>
    </cfRule>
    <cfRule type="cellIs" dxfId="369" priority="234" operator="greaterThan">
      <formula>21</formula>
    </cfRule>
  </conditionalFormatting>
  <conditionalFormatting sqref="M9:M12">
    <cfRule type="cellIs" dxfId="368" priority="190" operator="lessThan">
      <formula>15</formula>
    </cfRule>
    <cfRule type="cellIs" dxfId="367" priority="191" operator="greaterThan">
      <formula>20</formula>
    </cfRule>
    <cfRule type="cellIs" dxfId="366" priority="192" operator="between">
      <formula>15</formula>
      <formula>20</formula>
    </cfRule>
    <cfRule type="cellIs" dxfId="365" priority="193" operator="between">
      <formula>15</formula>
      <formula>20</formula>
    </cfRule>
    <cfRule type="cellIs" dxfId="364" priority="194" operator="lessThan">
      <formula>15</formula>
    </cfRule>
    <cfRule type="cellIs" dxfId="363" priority="195" operator="greaterThan">
      <formula>20</formula>
    </cfRule>
    <cfRule type="cellIs" dxfId="362" priority="196" operator="between">
      <formula>15</formula>
      <formula>21</formula>
    </cfRule>
    <cfRule type="cellIs" dxfId="361" priority="197" operator="lessThan">
      <formula>15</formula>
    </cfRule>
    <cfRule type="cellIs" dxfId="360" priority="198" operator="greaterThan">
      <formula>21</formula>
    </cfRule>
  </conditionalFormatting>
  <conditionalFormatting sqref="M29:M32">
    <cfRule type="cellIs" dxfId="359" priority="181" operator="lessThan">
      <formula>15</formula>
    </cfRule>
    <cfRule type="cellIs" dxfId="358" priority="182" operator="greaterThan">
      <formula>20</formula>
    </cfRule>
    <cfRule type="cellIs" dxfId="357" priority="183" operator="between">
      <formula>15</formula>
      <formula>20</formula>
    </cfRule>
    <cfRule type="cellIs" dxfId="356" priority="184" operator="between">
      <formula>15</formula>
      <formula>20</formula>
    </cfRule>
    <cfRule type="cellIs" dxfId="355" priority="185" operator="lessThan">
      <formula>15</formula>
    </cfRule>
    <cfRule type="cellIs" dxfId="354" priority="186" operator="greaterThan">
      <formula>20</formula>
    </cfRule>
    <cfRule type="cellIs" dxfId="353" priority="187" operator="between">
      <formula>15</formula>
      <formula>21</formula>
    </cfRule>
    <cfRule type="cellIs" dxfId="352" priority="188" operator="lessThan">
      <formula>15</formula>
    </cfRule>
    <cfRule type="cellIs" dxfId="351" priority="189" operator="greaterThan">
      <formula>21</formula>
    </cfRule>
  </conditionalFormatting>
  <conditionalFormatting sqref="M38">
    <cfRule type="cellIs" dxfId="350" priority="109" operator="lessThan">
      <formula>15</formula>
    </cfRule>
    <cfRule type="cellIs" dxfId="349" priority="110" operator="greaterThan">
      <formula>20</formula>
    </cfRule>
    <cfRule type="cellIs" dxfId="348" priority="111" operator="between">
      <formula>15</formula>
      <formula>20</formula>
    </cfRule>
    <cfRule type="cellIs" dxfId="347" priority="112" operator="between">
      <formula>15</formula>
      <formula>20</formula>
    </cfRule>
    <cfRule type="cellIs" dxfId="346" priority="113" operator="lessThan">
      <formula>15</formula>
    </cfRule>
    <cfRule type="cellIs" dxfId="345" priority="114" operator="greaterThan">
      <formula>20</formula>
    </cfRule>
    <cfRule type="cellIs" dxfId="344" priority="115" operator="between">
      <formula>15</formula>
      <formula>21</formula>
    </cfRule>
    <cfRule type="cellIs" dxfId="343" priority="116" operator="lessThan">
      <formula>15</formula>
    </cfRule>
    <cfRule type="cellIs" dxfId="342" priority="117" operator="greaterThan">
      <formula>21</formula>
    </cfRule>
  </conditionalFormatting>
  <conditionalFormatting sqref="M33">
    <cfRule type="cellIs" dxfId="341" priority="100" operator="lessThan">
      <formula>15</formula>
    </cfRule>
    <cfRule type="cellIs" dxfId="340" priority="101" operator="greaterThan">
      <formula>20</formula>
    </cfRule>
    <cfRule type="cellIs" dxfId="339" priority="102" operator="between">
      <formula>15</formula>
      <formula>20</formula>
    </cfRule>
    <cfRule type="cellIs" dxfId="338" priority="103" operator="between">
      <formula>15</formula>
      <formula>20</formula>
    </cfRule>
    <cfRule type="cellIs" dxfId="337" priority="104" operator="lessThan">
      <formula>15</formula>
    </cfRule>
    <cfRule type="cellIs" dxfId="336" priority="105" operator="greaterThan">
      <formula>20</formula>
    </cfRule>
    <cfRule type="cellIs" dxfId="335" priority="106" operator="between">
      <formula>15</formula>
      <formula>21</formula>
    </cfRule>
    <cfRule type="cellIs" dxfId="334" priority="107" operator="lessThan">
      <formula>15</formula>
    </cfRule>
    <cfRule type="cellIs" dxfId="333" priority="108" operator="greaterThan">
      <formula>21</formula>
    </cfRule>
  </conditionalFormatting>
  <conditionalFormatting sqref="M28">
    <cfRule type="cellIs" dxfId="332" priority="91" operator="lessThan">
      <formula>15</formula>
    </cfRule>
    <cfRule type="cellIs" dxfId="331" priority="92" operator="greaterThan">
      <formula>20</formula>
    </cfRule>
    <cfRule type="cellIs" dxfId="330" priority="93" operator="between">
      <formula>15</formula>
      <formula>20</formula>
    </cfRule>
    <cfRule type="cellIs" dxfId="329" priority="94" operator="between">
      <formula>15</formula>
      <formula>20</formula>
    </cfRule>
    <cfRule type="cellIs" dxfId="328" priority="95" operator="lessThan">
      <formula>15</formula>
    </cfRule>
    <cfRule type="cellIs" dxfId="327" priority="96" operator="greaterThan">
      <formula>20</formula>
    </cfRule>
    <cfRule type="cellIs" dxfId="326" priority="97" operator="between">
      <formula>15</formula>
      <formula>21</formula>
    </cfRule>
    <cfRule type="cellIs" dxfId="325" priority="98" operator="lessThan">
      <formula>15</formula>
    </cfRule>
    <cfRule type="cellIs" dxfId="324" priority="99" operator="greaterThan">
      <formula>21</formula>
    </cfRule>
  </conditionalFormatting>
  <conditionalFormatting sqref="M23">
    <cfRule type="cellIs" dxfId="323" priority="82" operator="lessThan">
      <formula>15</formula>
    </cfRule>
    <cfRule type="cellIs" dxfId="322" priority="83" operator="greaterThan">
      <formula>20</formula>
    </cfRule>
    <cfRule type="cellIs" dxfId="321" priority="84" operator="between">
      <formula>15</formula>
      <formula>20</formula>
    </cfRule>
    <cfRule type="cellIs" dxfId="320" priority="85" operator="between">
      <formula>15</formula>
      <formula>20</formula>
    </cfRule>
    <cfRule type="cellIs" dxfId="319" priority="86" operator="lessThan">
      <formula>15</formula>
    </cfRule>
    <cfRule type="cellIs" dxfId="318" priority="87" operator="greaterThan">
      <formula>20</formula>
    </cfRule>
    <cfRule type="cellIs" dxfId="317" priority="88" operator="between">
      <formula>15</formula>
      <formula>21</formula>
    </cfRule>
    <cfRule type="cellIs" dxfId="316" priority="89" operator="lessThan">
      <formula>15</formula>
    </cfRule>
    <cfRule type="cellIs" dxfId="315" priority="90" operator="greaterThan">
      <formula>21</formula>
    </cfRule>
  </conditionalFormatting>
  <conditionalFormatting sqref="M18">
    <cfRule type="cellIs" dxfId="314" priority="73" operator="lessThan">
      <formula>15</formula>
    </cfRule>
    <cfRule type="cellIs" dxfId="313" priority="74" operator="greaterThan">
      <formula>20</formula>
    </cfRule>
    <cfRule type="cellIs" dxfId="312" priority="75" operator="between">
      <formula>15</formula>
      <formula>20</formula>
    </cfRule>
    <cfRule type="cellIs" dxfId="311" priority="76" operator="between">
      <formula>15</formula>
      <formula>20</formula>
    </cfRule>
    <cfRule type="cellIs" dxfId="310" priority="77" operator="lessThan">
      <formula>15</formula>
    </cfRule>
    <cfRule type="cellIs" dxfId="309" priority="78" operator="greaterThan">
      <formula>20</formula>
    </cfRule>
    <cfRule type="cellIs" dxfId="308" priority="79" operator="between">
      <formula>15</formula>
      <formula>21</formula>
    </cfRule>
    <cfRule type="cellIs" dxfId="307" priority="80" operator="lessThan">
      <formula>15</formula>
    </cfRule>
    <cfRule type="cellIs" dxfId="306" priority="81" operator="greaterThan">
      <formula>21</formula>
    </cfRule>
  </conditionalFormatting>
  <conditionalFormatting sqref="M35:M37">
    <cfRule type="cellIs" dxfId="305" priority="64" operator="lessThan">
      <formula>15</formula>
    </cfRule>
    <cfRule type="cellIs" dxfId="304" priority="65" operator="greaterThan">
      <formula>20</formula>
    </cfRule>
    <cfRule type="cellIs" dxfId="303" priority="66" operator="between">
      <formula>15</formula>
      <formula>20</formula>
    </cfRule>
    <cfRule type="cellIs" dxfId="302" priority="67" operator="between">
      <formula>15</formula>
      <formula>20</formula>
    </cfRule>
    <cfRule type="cellIs" dxfId="301" priority="68" operator="lessThan">
      <formula>15</formula>
    </cfRule>
    <cfRule type="cellIs" dxfId="300" priority="69" operator="greaterThan">
      <formula>20</formula>
    </cfRule>
    <cfRule type="cellIs" dxfId="299" priority="70" operator="between">
      <formula>15</formula>
      <formula>21</formula>
    </cfRule>
    <cfRule type="cellIs" dxfId="298" priority="71" operator="lessThan">
      <formula>15</formula>
    </cfRule>
    <cfRule type="cellIs" dxfId="297" priority="72" operator="greaterThan">
      <formula>21</formula>
    </cfRule>
  </conditionalFormatting>
  <conditionalFormatting sqref="M13">
    <cfRule type="cellIs" dxfId="296" priority="55" operator="lessThan">
      <formula>15</formula>
    </cfRule>
    <cfRule type="cellIs" dxfId="295" priority="56" operator="greaterThan">
      <formula>20</formula>
    </cfRule>
    <cfRule type="cellIs" dxfId="294" priority="57" operator="between">
      <formula>15</formula>
      <formula>20</formula>
    </cfRule>
    <cfRule type="cellIs" dxfId="293" priority="58" operator="between">
      <formula>15</formula>
      <formula>20</formula>
    </cfRule>
    <cfRule type="cellIs" dxfId="292" priority="59" operator="lessThan">
      <formula>15</formula>
    </cfRule>
    <cfRule type="cellIs" dxfId="291" priority="60" operator="greaterThan">
      <formula>20</formula>
    </cfRule>
    <cfRule type="cellIs" dxfId="290" priority="61" operator="between">
      <formula>15</formula>
      <formula>21</formula>
    </cfRule>
    <cfRule type="cellIs" dxfId="289" priority="62" operator="lessThan">
      <formula>15</formula>
    </cfRule>
    <cfRule type="cellIs" dxfId="288" priority="63" operator="greaterThan">
      <formula>21</formula>
    </cfRule>
  </conditionalFormatting>
  <conditionalFormatting sqref="M20">
    <cfRule type="cellIs" dxfId="287" priority="46" operator="lessThan">
      <formula>15</formula>
    </cfRule>
    <cfRule type="cellIs" dxfId="286" priority="47" operator="greaterThan">
      <formula>20</formula>
    </cfRule>
    <cfRule type="cellIs" dxfId="285" priority="48" operator="between">
      <formula>15</formula>
      <formula>20</formula>
    </cfRule>
    <cfRule type="cellIs" dxfId="284" priority="49" operator="between">
      <formula>15</formula>
      <formula>20</formula>
    </cfRule>
    <cfRule type="cellIs" dxfId="283" priority="50" operator="lessThan">
      <formula>15</formula>
    </cfRule>
    <cfRule type="cellIs" dxfId="282" priority="51" operator="greaterThan">
      <formula>20</formula>
    </cfRule>
    <cfRule type="cellIs" dxfId="281" priority="52" operator="between">
      <formula>15</formula>
      <formula>21</formula>
    </cfRule>
    <cfRule type="cellIs" dxfId="280" priority="53" operator="lessThan">
      <formula>15</formula>
    </cfRule>
    <cfRule type="cellIs" dxfId="279" priority="54" operator="greaterThan">
      <formula>21</formula>
    </cfRule>
  </conditionalFormatting>
  <conditionalFormatting sqref="M27">
    <cfRule type="cellIs" dxfId="278" priority="37" operator="lessThan">
      <formula>15</formula>
    </cfRule>
    <cfRule type="cellIs" dxfId="277" priority="38" operator="greaterThan">
      <formula>20</formula>
    </cfRule>
    <cfRule type="cellIs" dxfId="276" priority="39" operator="between">
      <formula>15</formula>
      <formula>20</formula>
    </cfRule>
    <cfRule type="cellIs" dxfId="275" priority="40" operator="between">
      <formula>15</formula>
      <formula>20</formula>
    </cfRule>
    <cfRule type="cellIs" dxfId="274" priority="41" operator="lessThan">
      <formula>15</formula>
    </cfRule>
    <cfRule type="cellIs" dxfId="273" priority="42" operator="greaterThan">
      <formula>20</formula>
    </cfRule>
    <cfRule type="cellIs" dxfId="272" priority="43" operator="between">
      <formula>15</formula>
      <formula>21</formula>
    </cfRule>
    <cfRule type="cellIs" dxfId="271" priority="44" operator="lessThan">
      <formula>15</formula>
    </cfRule>
    <cfRule type="cellIs" dxfId="270" priority="45" operator="greaterThan">
      <formula>21</formula>
    </cfRule>
  </conditionalFormatting>
  <conditionalFormatting sqref="M34">
    <cfRule type="cellIs" dxfId="269" priority="28" operator="lessThan">
      <formula>15</formula>
    </cfRule>
    <cfRule type="cellIs" dxfId="268" priority="29" operator="greaterThan">
      <formula>20</formula>
    </cfRule>
    <cfRule type="cellIs" dxfId="267" priority="30" operator="between">
      <formula>15</formula>
      <formula>20</formula>
    </cfRule>
    <cfRule type="cellIs" dxfId="266" priority="31" operator="between">
      <formula>15</formula>
      <formula>20</formula>
    </cfRule>
    <cfRule type="cellIs" dxfId="265" priority="32" operator="lessThan">
      <formula>15</formula>
    </cfRule>
    <cfRule type="cellIs" dxfId="264" priority="33" operator="greaterThan">
      <formula>20</formula>
    </cfRule>
    <cfRule type="cellIs" dxfId="263" priority="34" operator="between">
      <formula>15</formula>
      <formula>21</formula>
    </cfRule>
    <cfRule type="cellIs" dxfId="262" priority="35" operator="lessThan">
      <formula>15</formula>
    </cfRule>
    <cfRule type="cellIs" dxfId="261" priority="36" operator="greaterThan">
      <formula>21</formula>
    </cfRule>
  </conditionalFormatting>
  <conditionalFormatting sqref="M14:M17 M39 M21:M22 M24:M26 M19">
    <cfRule type="cellIs" dxfId="260" priority="19" operator="lessThan">
      <formula>15</formula>
    </cfRule>
    <cfRule type="cellIs" dxfId="259" priority="20" operator="greaterThan">
      <formula>20</formula>
    </cfRule>
    <cfRule type="cellIs" dxfId="258" priority="21" operator="between">
      <formula>15</formula>
      <formula>20</formula>
    </cfRule>
    <cfRule type="cellIs" dxfId="257" priority="22" operator="between">
      <formula>15</formula>
      <formula>20</formula>
    </cfRule>
    <cfRule type="cellIs" dxfId="256" priority="23" operator="lessThan">
      <formula>15</formula>
    </cfRule>
    <cfRule type="cellIs" dxfId="255" priority="24" operator="greaterThan">
      <formula>20</formula>
    </cfRule>
    <cfRule type="cellIs" dxfId="254" priority="25" operator="between">
      <formula>15</formula>
      <formula>21</formula>
    </cfRule>
    <cfRule type="cellIs" dxfId="253" priority="26" operator="lessThan">
      <formula>15</formula>
    </cfRule>
    <cfRule type="cellIs" dxfId="252" priority="27" operator="greaterThan">
      <formula>21</formula>
    </cfRule>
  </conditionalFormatting>
  <conditionalFormatting sqref="M9:M12">
    <cfRule type="cellIs" dxfId="251" priority="10" operator="lessThan">
      <formula>15</formula>
    </cfRule>
    <cfRule type="cellIs" dxfId="250" priority="11" operator="greaterThan">
      <formula>20</formula>
    </cfRule>
    <cfRule type="cellIs" dxfId="249" priority="12" operator="between">
      <formula>15</formula>
      <formula>20</formula>
    </cfRule>
    <cfRule type="cellIs" dxfId="248" priority="13" operator="between">
      <formula>15</formula>
      <formula>20</formula>
    </cfRule>
    <cfRule type="cellIs" dxfId="247" priority="14" operator="lessThan">
      <formula>15</formula>
    </cfRule>
    <cfRule type="cellIs" dxfId="246" priority="15" operator="greaterThan">
      <formula>20</formula>
    </cfRule>
    <cfRule type="cellIs" dxfId="245" priority="16" operator="between">
      <formula>15</formula>
      <formula>21</formula>
    </cfRule>
    <cfRule type="cellIs" dxfId="244" priority="17" operator="lessThan">
      <formula>15</formula>
    </cfRule>
    <cfRule type="cellIs" dxfId="243" priority="18" operator="greaterThan">
      <formula>21</formula>
    </cfRule>
  </conditionalFormatting>
  <conditionalFormatting sqref="M29:M32">
    <cfRule type="cellIs" dxfId="242" priority="1" operator="lessThan">
      <formula>15</formula>
    </cfRule>
    <cfRule type="cellIs" dxfId="241" priority="2" operator="greaterThan">
      <formula>20</formula>
    </cfRule>
    <cfRule type="cellIs" dxfId="240" priority="3" operator="between">
      <formula>15</formula>
      <formula>20</formula>
    </cfRule>
    <cfRule type="cellIs" dxfId="239" priority="4" operator="between">
      <formula>15</formula>
      <formula>20</formula>
    </cfRule>
    <cfRule type="cellIs" dxfId="238" priority="5" operator="lessThan">
      <formula>15</formula>
    </cfRule>
    <cfRule type="cellIs" dxfId="237" priority="6" operator="greaterThan">
      <formula>20</formula>
    </cfRule>
    <cfRule type="cellIs" dxfId="236" priority="7" operator="between">
      <formula>15</formula>
      <formula>21</formula>
    </cfRule>
    <cfRule type="cellIs" dxfId="235" priority="8" operator="lessThan">
      <formula>15</formula>
    </cfRule>
    <cfRule type="cellIs" dxfId="234" priority="9" operator="greaterThan">
      <formula>21</formula>
    </cfRule>
  </conditionalFormatting>
  <hyperlinks>
    <hyperlink ref="M5" location="'TỔNG HỢP THÁNG'!A1" display="'TỔNG HỢP THÁNG'!A1"/>
  </hyperlinks>
  <pageMargins left="0.74803149606299213" right="0" top="0" bottom="0" header="0" footer="0"/>
  <pageSetup paperSize="8" orientation="landscape" horizontalDpi="4294967292"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50"/>
  <sheetViews>
    <sheetView showRuler="0" zoomScale="80" zoomScaleNormal="80" workbookViewId="0">
      <pane ySplit="8" topLeftCell="A9" activePane="bottomLeft" state="frozen"/>
      <selection activeCell="D10" sqref="D10"/>
      <selection pane="bottomLeft" activeCell="K9" sqref="K9"/>
    </sheetView>
  </sheetViews>
  <sheetFormatPr defaultColWidth="9.28515625" defaultRowHeight="15"/>
  <cols>
    <col min="1" max="1" width="6" style="143" customWidth="1"/>
    <col min="2" max="2" width="7.7109375" style="143" customWidth="1"/>
    <col min="3" max="3" width="17" style="143" customWidth="1"/>
    <col min="4" max="11" width="10.140625" style="142" customWidth="1"/>
    <col min="12" max="13" width="11.5703125" style="143" customWidth="1"/>
    <col min="14" max="14" width="6.140625" style="143" customWidth="1"/>
    <col min="15" max="15" width="11.5703125" style="143" bestFit="1" customWidth="1"/>
    <col min="16" max="16384" width="9.28515625" style="143"/>
  </cols>
  <sheetData>
    <row r="1" spans="1:25" ht="15.75" customHeight="1">
      <c r="A1" s="323" t="s">
        <v>111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O1" s="323"/>
      <c r="P1" s="324"/>
      <c r="Q1" s="324"/>
      <c r="R1" s="324"/>
      <c r="S1" s="324"/>
      <c r="T1" s="324"/>
      <c r="U1" s="324"/>
      <c r="V1" s="324"/>
      <c r="W1" s="324"/>
      <c r="X1" s="324"/>
      <c r="Y1" s="324"/>
    </row>
    <row r="2" spans="1:25" ht="12.75" customHeight="1">
      <c r="A2" s="323" t="s">
        <v>173</v>
      </c>
      <c r="B2" s="324"/>
      <c r="C2" s="324"/>
      <c r="D2" s="324"/>
      <c r="E2" s="324"/>
      <c r="F2" s="324"/>
      <c r="G2" s="324"/>
      <c r="H2" s="324"/>
      <c r="I2" s="324"/>
      <c r="J2" s="324"/>
      <c r="K2" s="183" t="s">
        <v>113</v>
      </c>
      <c r="L2" s="142"/>
      <c r="O2" s="323"/>
      <c r="P2" s="324"/>
      <c r="Q2" s="324"/>
      <c r="R2" s="324"/>
      <c r="S2" s="324"/>
      <c r="T2" s="324"/>
      <c r="U2" s="324"/>
      <c r="V2" s="324"/>
      <c r="W2" s="324"/>
      <c r="X2" s="324"/>
    </row>
    <row r="3" spans="1:25" ht="18.75" customHeight="1">
      <c r="A3" s="1500" t="s">
        <v>0</v>
      </c>
      <c r="B3" s="1500"/>
      <c r="C3" s="1500"/>
      <c r="D3" s="1500"/>
      <c r="E3" s="1500"/>
      <c r="F3" s="1500"/>
      <c r="G3" s="1500"/>
      <c r="H3" s="1500"/>
      <c r="I3" s="1500"/>
      <c r="J3" s="1500"/>
      <c r="K3" s="1500"/>
      <c r="L3" s="1500"/>
      <c r="M3" s="1500"/>
      <c r="N3" s="1500"/>
    </row>
    <row r="4" spans="1:25" s="376" customFormat="1" ht="18.75" customHeight="1">
      <c r="A4" s="1600" t="s">
        <v>33</v>
      </c>
      <c r="B4" s="1600"/>
      <c r="C4" s="316" t="str">
        <f>J4</f>
        <v>FRIT PT02-PD</v>
      </c>
      <c r="D4" s="383"/>
      <c r="E4" s="383" t="s">
        <v>228</v>
      </c>
      <c r="F4" s="383" t="s">
        <v>230</v>
      </c>
      <c r="G4" s="383"/>
      <c r="I4" s="383" t="s">
        <v>120</v>
      </c>
      <c r="J4" s="318" t="s">
        <v>186</v>
      </c>
      <c r="K4" s="466"/>
      <c r="L4" s="319"/>
      <c r="M4" s="319"/>
      <c r="O4" s="143"/>
    </row>
    <row r="5" spans="1:25" s="324" customFormat="1" ht="18.75" customHeight="1">
      <c r="B5" s="324" t="str">
        <f>'FRIT HGE91-FHG'!B5</f>
        <v xml:space="preserve">Từ ngày:  </v>
      </c>
      <c r="C5" s="324">
        <f>'FRIT HGE91-FHG'!C5</f>
        <v>1</v>
      </c>
      <c r="D5" s="324" t="str">
        <f>'FRIT HGE91-FHG'!D5</f>
        <v>đến ngày</v>
      </c>
      <c r="E5" s="324">
        <f>'FRIT HGE91-FHG'!E5</f>
        <v>17</v>
      </c>
      <c r="F5" s="324" t="str">
        <f>'FRIT HGE91-FHG'!F5</f>
        <v>tháng</v>
      </c>
      <c r="G5" s="324">
        <f>'FRIT HGE91-FHG'!G5</f>
        <v>8</v>
      </c>
      <c r="H5" s="324" t="str">
        <f>'FRIT HGE91-FHG'!H5</f>
        <v xml:space="preserve">năm </v>
      </c>
      <c r="I5" s="324">
        <f>'FRIT HGE91-FHG'!I5</f>
        <v>2026</v>
      </c>
      <c r="K5" s="343"/>
      <c r="L5" s="508" t="s">
        <v>292</v>
      </c>
      <c r="M5" s="375" t="s">
        <v>149</v>
      </c>
      <c r="O5" s="143"/>
    </row>
    <row r="6" spans="1:25" s="355" customFormat="1" ht="15.75" customHeight="1">
      <c r="A6" s="1603" t="s">
        <v>2</v>
      </c>
      <c r="B6" s="1605" t="s">
        <v>1</v>
      </c>
      <c r="C6" s="1605" t="s">
        <v>24</v>
      </c>
      <c r="D6" s="1601" t="s">
        <v>250</v>
      </c>
      <c r="E6" s="1602"/>
      <c r="F6" s="1601" t="s">
        <v>249</v>
      </c>
      <c r="G6" s="1602"/>
      <c r="H6" s="1601" t="s">
        <v>248</v>
      </c>
      <c r="I6" s="1602"/>
      <c r="J6" s="1601" t="s">
        <v>253</v>
      </c>
      <c r="K6" s="1602"/>
      <c r="L6" s="1601" t="s">
        <v>247</v>
      </c>
      <c r="M6" s="1602"/>
      <c r="N6" s="1605" t="s">
        <v>99</v>
      </c>
      <c r="O6" s="143"/>
    </row>
    <row r="7" spans="1:25" s="355" customFormat="1" ht="15" customHeight="1">
      <c r="A7" s="1604"/>
      <c r="B7" s="1606"/>
      <c r="C7" s="1606"/>
      <c r="D7" s="351" t="s">
        <v>6</v>
      </c>
      <c r="E7" s="352" t="s">
        <v>25</v>
      </c>
      <c r="F7" s="351" t="s">
        <v>6</v>
      </c>
      <c r="G7" s="352" t="s">
        <v>246</v>
      </c>
      <c r="H7" s="351" t="s">
        <v>6</v>
      </c>
      <c r="I7" s="352" t="str">
        <f>G7</f>
        <v>Quy ẩm</v>
      </c>
      <c r="J7" s="351" t="s">
        <v>6</v>
      </c>
      <c r="K7" s="353" t="str">
        <f>I7</f>
        <v>Quy ẩm</v>
      </c>
      <c r="L7" s="354" t="s">
        <v>6</v>
      </c>
      <c r="M7" s="353" t="str">
        <f>K7</f>
        <v>Quy ẩm</v>
      </c>
      <c r="N7" s="1606"/>
      <c r="O7" s="143"/>
    </row>
    <row r="8" spans="1:25" s="305" customFormat="1" ht="12" customHeight="1">
      <c r="A8" s="1597" t="s">
        <v>3</v>
      </c>
      <c r="B8" s="1598"/>
      <c r="C8" s="1599"/>
      <c r="D8" s="387">
        <f>J8</f>
        <v>0</v>
      </c>
      <c r="E8" s="388">
        <f>K8</f>
        <v>0</v>
      </c>
      <c r="F8" s="389">
        <f>F40</f>
        <v>0</v>
      </c>
      <c r="G8" s="388">
        <f>G40</f>
        <v>0</v>
      </c>
      <c r="H8" s="387"/>
      <c r="I8" s="388"/>
      <c r="J8" s="596">
        <f>K8-K8*N8</f>
        <v>0</v>
      </c>
      <c r="K8" s="595">
        <v>0</v>
      </c>
      <c r="L8" s="303"/>
      <c r="M8" s="304"/>
      <c r="N8" s="366">
        <v>0</v>
      </c>
      <c r="O8" s="143">
        <v>3001</v>
      </c>
    </row>
    <row r="9" spans="1:25" s="367" customFormat="1" ht="12" customHeight="1">
      <c r="A9" s="364">
        <v>1</v>
      </c>
      <c r="B9" s="365">
        <f>'FRIT HGE91-FHG'!B9</f>
        <v>46235</v>
      </c>
      <c r="C9" s="331" t="s">
        <v>285</v>
      </c>
      <c r="D9" s="497">
        <f>E9-(E9*N9)</f>
        <v>0</v>
      </c>
      <c r="E9" s="388"/>
      <c r="F9" s="446"/>
      <c r="G9" s="496"/>
      <c r="H9" s="498">
        <f>SUM($F$9:F9)/A9</f>
        <v>0</v>
      </c>
      <c r="I9" s="499">
        <f>SUM($G$9:G9)/A9</f>
        <v>0</v>
      </c>
      <c r="J9" s="443">
        <f>J8+D9-F9</f>
        <v>0</v>
      </c>
      <c r="K9" s="459">
        <f>K8+E9-G9</f>
        <v>0</v>
      </c>
      <c r="L9" s="338" t="e">
        <f>J9/H9</f>
        <v>#DIV/0!</v>
      </c>
      <c r="M9" s="300" t="e">
        <f>K9/I9</f>
        <v>#DIV/0!</v>
      </c>
      <c r="N9" s="366"/>
      <c r="O9" s="647">
        <f>J9/$O$8</f>
        <v>0</v>
      </c>
    </row>
    <row r="10" spans="1:25" s="367" customFormat="1" ht="12" customHeight="1">
      <c r="A10" s="364">
        <v>2</v>
      </c>
      <c r="B10" s="365">
        <f>'FRIT HGE91-FHG'!B10</f>
        <v>46236</v>
      </c>
      <c r="C10" s="331" t="s">
        <v>285</v>
      </c>
      <c r="D10" s="497">
        <f t="shared" ref="D10:D39" si="0">E10-(E10*N10)</f>
        <v>0</v>
      </c>
      <c r="E10" s="388"/>
      <c r="F10" s="446"/>
      <c r="G10" s="496"/>
      <c r="H10" s="498">
        <f>SUM($F$9:F10)/A10</f>
        <v>0</v>
      </c>
      <c r="I10" s="499">
        <f>SUM($G$9:G10)/A10</f>
        <v>0</v>
      </c>
      <c r="J10" s="443">
        <f t="shared" ref="J10:J39" si="1">J9+D10-F10</f>
        <v>0</v>
      </c>
      <c r="K10" s="459">
        <f t="shared" ref="K10:K39" si="2">K9+E10-G10</f>
        <v>0</v>
      </c>
      <c r="L10" s="338" t="e">
        <f t="shared" ref="L10:L39" si="3">J10/H10</f>
        <v>#DIV/0!</v>
      </c>
      <c r="M10" s="300" t="e">
        <f t="shared" ref="M10:M39" si="4">K10/I10</f>
        <v>#DIV/0!</v>
      </c>
      <c r="N10" s="366"/>
      <c r="O10" s="647">
        <f t="shared" ref="O10:O39" si="5">J10/$O$8</f>
        <v>0</v>
      </c>
    </row>
    <row r="11" spans="1:25" s="367" customFormat="1" ht="12" customHeight="1">
      <c r="A11" s="364">
        <v>3</v>
      </c>
      <c r="B11" s="365">
        <f>'FRIT HGE91-FHG'!B11</f>
        <v>46237</v>
      </c>
      <c r="C11" s="331" t="s">
        <v>285</v>
      </c>
      <c r="D11" s="497">
        <f t="shared" si="0"/>
        <v>0</v>
      </c>
      <c r="E11" s="388"/>
      <c r="F11" s="446"/>
      <c r="G11" s="496"/>
      <c r="H11" s="498">
        <f>SUM($F$9:F11)/A11</f>
        <v>0</v>
      </c>
      <c r="I11" s="499">
        <f>SUM($G$9:G11)/A11</f>
        <v>0</v>
      </c>
      <c r="J11" s="443">
        <f t="shared" si="1"/>
        <v>0</v>
      </c>
      <c r="K11" s="459">
        <f t="shared" si="2"/>
        <v>0</v>
      </c>
      <c r="L11" s="338" t="e">
        <f t="shared" si="3"/>
        <v>#DIV/0!</v>
      </c>
      <c r="M11" s="300" t="e">
        <f t="shared" si="4"/>
        <v>#DIV/0!</v>
      </c>
      <c r="N11" s="366"/>
      <c r="O11" s="647">
        <f t="shared" si="5"/>
        <v>0</v>
      </c>
    </row>
    <row r="12" spans="1:25" s="367" customFormat="1" ht="12" customHeight="1">
      <c r="A12" s="364">
        <v>4</v>
      </c>
      <c r="B12" s="365">
        <f>'FRIT HGE91-FHG'!B12</f>
        <v>46238</v>
      </c>
      <c r="C12" s="331" t="s">
        <v>285</v>
      </c>
      <c r="D12" s="497">
        <f t="shared" si="0"/>
        <v>0</v>
      </c>
      <c r="E12" s="388"/>
      <c r="F12" s="446"/>
      <c r="G12" s="496"/>
      <c r="H12" s="498">
        <f>SUM($F$9:F12)/A12</f>
        <v>0</v>
      </c>
      <c r="I12" s="499">
        <f>SUM($G$9:G12)/A12</f>
        <v>0</v>
      </c>
      <c r="J12" s="443">
        <f t="shared" si="1"/>
        <v>0</v>
      </c>
      <c r="K12" s="459">
        <f t="shared" si="2"/>
        <v>0</v>
      </c>
      <c r="L12" s="338" t="e">
        <f t="shared" si="3"/>
        <v>#DIV/0!</v>
      </c>
      <c r="M12" s="300" t="e">
        <f t="shared" si="4"/>
        <v>#DIV/0!</v>
      </c>
      <c r="N12" s="366"/>
      <c r="O12" s="647">
        <f t="shared" si="5"/>
        <v>0</v>
      </c>
    </row>
    <row r="13" spans="1:25" s="367" customFormat="1" ht="12" customHeight="1">
      <c r="A13" s="500">
        <v>5</v>
      </c>
      <c r="B13" s="365">
        <f>'FRIT HGE91-FHG'!B13</f>
        <v>46239</v>
      </c>
      <c r="C13" s="331" t="s">
        <v>285</v>
      </c>
      <c r="D13" s="497">
        <f t="shared" si="0"/>
        <v>0</v>
      </c>
      <c r="E13" s="388"/>
      <c r="F13" s="446"/>
      <c r="G13" s="496"/>
      <c r="H13" s="500">
        <f>SUM($F$9:F13)/A13</f>
        <v>0</v>
      </c>
      <c r="I13" s="499">
        <f>SUM($G$9:G13)/A13</f>
        <v>0</v>
      </c>
      <c r="J13" s="500">
        <f t="shared" si="1"/>
        <v>0</v>
      </c>
      <c r="K13" s="459">
        <f t="shared" si="2"/>
        <v>0</v>
      </c>
      <c r="L13" s="368" t="e">
        <f t="shared" si="3"/>
        <v>#DIV/0!</v>
      </c>
      <c r="M13" s="300" t="e">
        <f t="shared" si="4"/>
        <v>#DIV/0!</v>
      </c>
      <c r="N13" s="366"/>
      <c r="O13" s="647">
        <f t="shared" si="5"/>
        <v>0</v>
      </c>
    </row>
    <row r="14" spans="1:25" s="367" customFormat="1" ht="12" customHeight="1">
      <c r="A14" s="364">
        <v>6</v>
      </c>
      <c r="B14" s="365">
        <f>'FRIT HGE91-FHG'!B14</f>
        <v>46240</v>
      </c>
      <c r="C14" s="331" t="s">
        <v>285</v>
      </c>
      <c r="D14" s="497">
        <f t="shared" si="0"/>
        <v>0</v>
      </c>
      <c r="E14" s="388"/>
      <c r="F14" s="446"/>
      <c r="G14" s="496"/>
      <c r="H14" s="498">
        <f>SUM($F$9:F14)/A14</f>
        <v>0</v>
      </c>
      <c r="I14" s="499">
        <f>SUM($G$9:G14)/A14</f>
        <v>0</v>
      </c>
      <c r="J14" s="443">
        <f t="shared" si="1"/>
        <v>0</v>
      </c>
      <c r="K14" s="459">
        <f t="shared" si="2"/>
        <v>0</v>
      </c>
      <c r="L14" s="338" t="e">
        <f t="shared" si="3"/>
        <v>#DIV/0!</v>
      </c>
      <c r="M14" s="300" t="e">
        <f t="shared" si="4"/>
        <v>#DIV/0!</v>
      </c>
      <c r="N14" s="366"/>
      <c r="O14" s="647">
        <f t="shared" si="5"/>
        <v>0</v>
      </c>
    </row>
    <row r="15" spans="1:25" s="367" customFormat="1" ht="12" customHeight="1">
      <c r="A15" s="364">
        <v>7</v>
      </c>
      <c r="B15" s="365">
        <f>'FRIT HGE91-FHG'!B15</f>
        <v>46241</v>
      </c>
      <c r="C15" s="331" t="s">
        <v>285</v>
      </c>
      <c r="D15" s="497">
        <f t="shared" si="0"/>
        <v>0</v>
      </c>
      <c r="E15" s="388"/>
      <c r="F15" s="446"/>
      <c r="G15" s="496"/>
      <c r="H15" s="498">
        <f>SUM($F$9:F15)/A15</f>
        <v>0</v>
      </c>
      <c r="I15" s="499">
        <f>SUM($G$9:G15)/A15</f>
        <v>0</v>
      </c>
      <c r="J15" s="443">
        <f t="shared" si="1"/>
        <v>0</v>
      </c>
      <c r="K15" s="459">
        <f t="shared" si="2"/>
        <v>0</v>
      </c>
      <c r="L15" s="338" t="e">
        <f t="shared" si="3"/>
        <v>#DIV/0!</v>
      </c>
      <c r="M15" s="300" t="e">
        <f t="shared" si="4"/>
        <v>#DIV/0!</v>
      </c>
      <c r="N15" s="366"/>
      <c r="O15" s="647">
        <f t="shared" si="5"/>
        <v>0</v>
      </c>
    </row>
    <row r="16" spans="1:25" s="367" customFormat="1" ht="12" customHeight="1">
      <c r="A16" s="364">
        <v>8</v>
      </c>
      <c r="B16" s="365">
        <f>'FRIT HGE91-FHG'!B16</f>
        <v>46242</v>
      </c>
      <c r="C16" s="331" t="s">
        <v>285</v>
      </c>
      <c r="D16" s="497">
        <f t="shared" si="0"/>
        <v>0</v>
      </c>
      <c r="E16" s="388"/>
      <c r="F16" s="446"/>
      <c r="G16" s="496"/>
      <c r="H16" s="498">
        <f>SUM($F$9:F16)/A16</f>
        <v>0</v>
      </c>
      <c r="I16" s="499">
        <f>SUM($G$9:G16)/A16</f>
        <v>0</v>
      </c>
      <c r="J16" s="443">
        <f t="shared" si="1"/>
        <v>0</v>
      </c>
      <c r="K16" s="459">
        <f t="shared" si="2"/>
        <v>0</v>
      </c>
      <c r="L16" s="338" t="e">
        <f t="shared" si="3"/>
        <v>#DIV/0!</v>
      </c>
      <c r="M16" s="300" t="e">
        <f t="shared" si="4"/>
        <v>#DIV/0!</v>
      </c>
      <c r="N16" s="366"/>
      <c r="O16" s="647">
        <f t="shared" si="5"/>
        <v>0</v>
      </c>
    </row>
    <row r="17" spans="1:15" s="367" customFormat="1" ht="12" customHeight="1">
      <c r="A17" s="364">
        <v>9</v>
      </c>
      <c r="B17" s="365">
        <f>'FRIT HGE91-FHG'!B17</f>
        <v>46243</v>
      </c>
      <c r="C17" s="331" t="s">
        <v>285</v>
      </c>
      <c r="D17" s="497">
        <f t="shared" si="0"/>
        <v>0</v>
      </c>
      <c r="E17" s="388"/>
      <c r="F17" s="446"/>
      <c r="G17" s="496"/>
      <c r="H17" s="498">
        <f>SUM($F$9:F17)/A17</f>
        <v>0</v>
      </c>
      <c r="I17" s="499">
        <f>SUM($G$9:G17)/A17</f>
        <v>0</v>
      </c>
      <c r="J17" s="443">
        <f t="shared" si="1"/>
        <v>0</v>
      </c>
      <c r="K17" s="459">
        <f t="shared" si="2"/>
        <v>0</v>
      </c>
      <c r="L17" s="338" t="e">
        <f t="shared" si="3"/>
        <v>#DIV/0!</v>
      </c>
      <c r="M17" s="300" t="e">
        <f t="shared" si="4"/>
        <v>#DIV/0!</v>
      </c>
      <c r="N17" s="366"/>
      <c r="O17" s="647">
        <f t="shared" si="5"/>
        <v>0</v>
      </c>
    </row>
    <row r="18" spans="1:15" s="367" customFormat="1" ht="12" customHeight="1">
      <c r="A18" s="500">
        <v>10</v>
      </c>
      <c r="B18" s="365">
        <f>'FRIT HGE91-FHG'!B18</f>
        <v>46244</v>
      </c>
      <c r="C18" s="331" t="s">
        <v>285</v>
      </c>
      <c r="D18" s="497">
        <f t="shared" si="0"/>
        <v>0</v>
      </c>
      <c r="E18" s="388"/>
      <c r="F18" s="446"/>
      <c r="G18" s="496"/>
      <c r="H18" s="500">
        <f>SUM($F$9:F18)/A18</f>
        <v>0</v>
      </c>
      <c r="I18" s="499">
        <f>SUM($G$9:G18)/A18</f>
        <v>0</v>
      </c>
      <c r="J18" s="500">
        <f t="shared" si="1"/>
        <v>0</v>
      </c>
      <c r="K18" s="459">
        <f t="shared" si="2"/>
        <v>0</v>
      </c>
      <c r="L18" s="368" t="e">
        <f t="shared" si="3"/>
        <v>#DIV/0!</v>
      </c>
      <c r="M18" s="300" t="e">
        <f t="shared" si="4"/>
        <v>#DIV/0!</v>
      </c>
      <c r="N18" s="366"/>
      <c r="O18" s="647">
        <f t="shared" si="5"/>
        <v>0</v>
      </c>
    </row>
    <row r="19" spans="1:15" s="367" customFormat="1" ht="12" customHeight="1">
      <c r="A19" s="364">
        <v>11</v>
      </c>
      <c r="B19" s="365">
        <f>'FRIT HGE91-FHG'!B19</f>
        <v>46245</v>
      </c>
      <c r="C19" s="331" t="s">
        <v>285</v>
      </c>
      <c r="D19" s="497">
        <f t="shared" si="0"/>
        <v>0</v>
      </c>
      <c r="E19" s="388"/>
      <c r="F19" s="446"/>
      <c r="G19" s="496"/>
      <c r="H19" s="498">
        <f>SUM($F$9:F19)/A19</f>
        <v>0</v>
      </c>
      <c r="I19" s="499">
        <f>SUM($G$9:G19)/A19</f>
        <v>0</v>
      </c>
      <c r="J19" s="443">
        <f t="shared" si="1"/>
        <v>0</v>
      </c>
      <c r="K19" s="459">
        <f t="shared" si="2"/>
        <v>0</v>
      </c>
      <c r="L19" s="338" t="e">
        <f t="shared" si="3"/>
        <v>#DIV/0!</v>
      </c>
      <c r="M19" s="300" t="e">
        <f t="shared" si="4"/>
        <v>#DIV/0!</v>
      </c>
      <c r="N19" s="366"/>
      <c r="O19" s="647">
        <f t="shared" si="5"/>
        <v>0</v>
      </c>
    </row>
    <row r="20" spans="1:15" s="367" customFormat="1" ht="12" customHeight="1">
      <c r="A20" s="364">
        <v>12</v>
      </c>
      <c r="B20" s="365">
        <f>'FRIT HGE91-FHG'!B20</f>
        <v>46246</v>
      </c>
      <c r="C20" s="331" t="s">
        <v>285</v>
      </c>
      <c r="D20" s="497">
        <f t="shared" si="0"/>
        <v>0</v>
      </c>
      <c r="E20" s="388"/>
      <c r="F20" s="446"/>
      <c r="G20" s="496"/>
      <c r="H20" s="498">
        <f>SUM($F$9:F20)/A20</f>
        <v>0</v>
      </c>
      <c r="I20" s="499">
        <f>SUM($G$9:G20)/A20</f>
        <v>0</v>
      </c>
      <c r="J20" s="443">
        <f t="shared" si="1"/>
        <v>0</v>
      </c>
      <c r="K20" s="459">
        <f t="shared" si="2"/>
        <v>0</v>
      </c>
      <c r="L20" s="338" t="e">
        <f t="shared" si="3"/>
        <v>#DIV/0!</v>
      </c>
      <c r="M20" s="300" t="e">
        <f t="shared" si="4"/>
        <v>#DIV/0!</v>
      </c>
      <c r="N20" s="366"/>
      <c r="O20" s="647">
        <f t="shared" si="5"/>
        <v>0</v>
      </c>
    </row>
    <row r="21" spans="1:15" s="367" customFormat="1" ht="12" customHeight="1">
      <c r="A21" s="364">
        <v>13</v>
      </c>
      <c r="B21" s="365">
        <f>'FRIT HGE91-FHG'!B21</f>
        <v>46247</v>
      </c>
      <c r="C21" s="331" t="s">
        <v>285</v>
      </c>
      <c r="D21" s="497">
        <f t="shared" si="0"/>
        <v>0</v>
      </c>
      <c r="E21" s="388"/>
      <c r="F21" s="446"/>
      <c r="G21" s="496"/>
      <c r="H21" s="498">
        <f>SUM($F$9:F21)/A21</f>
        <v>0</v>
      </c>
      <c r="I21" s="499">
        <f>SUM($G$9:G21)/A21</f>
        <v>0</v>
      </c>
      <c r="J21" s="443">
        <f t="shared" si="1"/>
        <v>0</v>
      </c>
      <c r="K21" s="459">
        <f t="shared" si="2"/>
        <v>0</v>
      </c>
      <c r="L21" s="338" t="e">
        <f t="shared" si="3"/>
        <v>#DIV/0!</v>
      </c>
      <c r="M21" s="300" t="e">
        <f t="shared" si="4"/>
        <v>#DIV/0!</v>
      </c>
      <c r="N21" s="366"/>
      <c r="O21" s="647">
        <f t="shared" si="5"/>
        <v>0</v>
      </c>
    </row>
    <row r="22" spans="1:15" s="367" customFormat="1" ht="12" customHeight="1">
      <c r="A22" s="364">
        <v>14</v>
      </c>
      <c r="B22" s="365">
        <f>'FRIT HGE91-FHG'!B22</f>
        <v>46248</v>
      </c>
      <c r="C22" s="331" t="s">
        <v>285</v>
      </c>
      <c r="D22" s="497">
        <f t="shared" si="0"/>
        <v>0</v>
      </c>
      <c r="E22" s="388"/>
      <c r="F22" s="446"/>
      <c r="G22" s="496"/>
      <c r="H22" s="498">
        <f>SUM($F$9:F22)/A22</f>
        <v>0</v>
      </c>
      <c r="I22" s="499">
        <f>SUM($G$9:G22)/A22</f>
        <v>0</v>
      </c>
      <c r="J22" s="443">
        <f t="shared" si="1"/>
        <v>0</v>
      </c>
      <c r="K22" s="459">
        <f t="shared" si="2"/>
        <v>0</v>
      </c>
      <c r="L22" s="338" t="e">
        <f t="shared" si="3"/>
        <v>#DIV/0!</v>
      </c>
      <c r="M22" s="300" t="e">
        <f t="shared" si="4"/>
        <v>#DIV/0!</v>
      </c>
      <c r="N22" s="366"/>
      <c r="O22" s="647">
        <f t="shared" si="5"/>
        <v>0</v>
      </c>
    </row>
    <row r="23" spans="1:15" s="367" customFormat="1" ht="12" customHeight="1">
      <c r="A23" s="500">
        <v>15</v>
      </c>
      <c r="B23" s="365">
        <f>'FRIT HGE91-FHG'!B23</f>
        <v>46249</v>
      </c>
      <c r="C23" s="331" t="s">
        <v>285</v>
      </c>
      <c r="D23" s="497">
        <f t="shared" si="0"/>
        <v>0</v>
      </c>
      <c r="E23" s="388"/>
      <c r="F23" s="446"/>
      <c r="G23" s="496"/>
      <c r="H23" s="500">
        <f>SUM($F$9:F23)/A23</f>
        <v>0</v>
      </c>
      <c r="I23" s="499">
        <f>SUM($G$9:G23)/A23</f>
        <v>0</v>
      </c>
      <c r="J23" s="500">
        <f t="shared" si="1"/>
        <v>0</v>
      </c>
      <c r="K23" s="459">
        <f t="shared" si="2"/>
        <v>0</v>
      </c>
      <c r="L23" s="368" t="e">
        <f t="shared" si="3"/>
        <v>#DIV/0!</v>
      </c>
      <c r="M23" s="300" t="e">
        <f t="shared" si="4"/>
        <v>#DIV/0!</v>
      </c>
      <c r="N23" s="366"/>
      <c r="O23" s="647">
        <f t="shared" si="5"/>
        <v>0</v>
      </c>
    </row>
    <row r="24" spans="1:15" s="367" customFormat="1" ht="12" customHeight="1">
      <c r="A24" s="364">
        <v>16</v>
      </c>
      <c r="B24" s="365">
        <f>'FRIT HGE91-FHG'!B24</f>
        <v>46250</v>
      </c>
      <c r="C24" s="331" t="s">
        <v>285</v>
      </c>
      <c r="D24" s="497">
        <f t="shared" si="0"/>
        <v>0</v>
      </c>
      <c r="E24" s="388"/>
      <c r="F24" s="446"/>
      <c r="G24" s="496"/>
      <c r="H24" s="498">
        <f>SUM($F$9:F24)/A24</f>
        <v>0</v>
      </c>
      <c r="I24" s="499">
        <f>SUM($G$9:G24)/A24</f>
        <v>0</v>
      </c>
      <c r="J24" s="443">
        <f t="shared" si="1"/>
        <v>0</v>
      </c>
      <c r="K24" s="459">
        <f t="shared" si="2"/>
        <v>0</v>
      </c>
      <c r="L24" s="338" t="e">
        <f t="shared" si="3"/>
        <v>#DIV/0!</v>
      </c>
      <c r="M24" s="300" t="e">
        <f t="shared" si="4"/>
        <v>#DIV/0!</v>
      </c>
      <c r="N24" s="366"/>
      <c r="O24" s="647">
        <f t="shared" si="5"/>
        <v>0</v>
      </c>
    </row>
    <row r="25" spans="1:15" s="367" customFormat="1" ht="12" customHeight="1">
      <c r="A25" s="364">
        <v>17</v>
      </c>
      <c r="B25" s="365">
        <f>'FRIT HGE91-FHG'!B25</f>
        <v>46251</v>
      </c>
      <c r="C25" s="331" t="s">
        <v>285</v>
      </c>
      <c r="D25" s="497">
        <f t="shared" si="0"/>
        <v>0</v>
      </c>
      <c r="E25" s="388"/>
      <c r="F25" s="446"/>
      <c r="G25" s="496"/>
      <c r="H25" s="498">
        <f>SUM($F$9:F25)/A25</f>
        <v>0</v>
      </c>
      <c r="I25" s="499">
        <f>SUM($G$9:G25)/A25</f>
        <v>0</v>
      </c>
      <c r="J25" s="443">
        <f t="shared" si="1"/>
        <v>0</v>
      </c>
      <c r="K25" s="459">
        <f t="shared" si="2"/>
        <v>0</v>
      </c>
      <c r="L25" s="338" t="e">
        <f t="shared" si="3"/>
        <v>#DIV/0!</v>
      </c>
      <c r="M25" s="300" t="e">
        <f t="shared" si="4"/>
        <v>#DIV/0!</v>
      </c>
      <c r="N25" s="366"/>
      <c r="O25" s="647">
        <f t="shared" si="5"/>
        <v>0</v>
      </c>
    </row>
    <row r="26" spans="1:15" s="367" customFormat="1" ht="12" customHeight="1">
      <c r="A26" s="364">
        <v>18</v>
      </c>
      <c r="B26" s="365">
        <f>'FRIT HGE91-FHG'!B26</f>
        <v>46252</v>
      </c>
      <c r="C26" s="331" t="s">
        <v>285</v>
      </c>
      <c r="D26" s="497">
        <f t="shared" si="0"/>
        <v>0</v>
      </c>
      <c r="E26" s="388"/>
      <c r="F26" s="446"/>
      <c r="G26" s="496"/>
      <c r="H26" s="498">
        <f>SUM($F$9:F26)/A26</f>
        <v>0</v>
      </c>
      <c r="I26" s="499">
        <f>SUM($G$9:G26)/A26</f>
        <v>0</v>
      </c>
      <c r="J26" s="443">
        <f t="shared" si="1"/>
        <v>0</v>
      </c>
      <c r="K26" s="459">
        <f t="shared" si="2"/>
        <v>0</v>
      </c>
      <c r="L26" s="338" t="e">
        <f t="shared" si="3"/>
        <v>#DIV/0!</v>
      </c>
      <c r="M26" s="300" t="e">
        <f t="shared" si="4"/>
        <v>#DIV/0!</v>
      </c>
      <c r="N26" s="366"/>
      <c r="O26" s="647">
        <f t="shared" si="5"/>
        <v>0</v>
      </c>
    </row>
    <row r="27" spans="1:15" s="367" customFormat="1" ht="12" customHeight="1">
      <c r="A27" s="364">
        <v>19</v>
      </c>
      <c r="B27" s="365">
        <f>'FRIT HGE91-FHG'!B27</f>
        <v>46253</v>
      </c>
      <c r="C27" s="331" t="s">
        <v>285</v>
      </c>
      <c r="D27" s="497">
        <f t="shared" si="0"/>
        <v>0</v>
      </c>
      <c r="E27" s="388"/>
      <c r="F27" s="446"/>
      <c r="G27" s="496"/>
      <c r="H27" s="498">
        <f>SUM($F$9:F27)/A27</f>
        <v>0</v>
      </c>
      <c r="I27" s="499">
        <f>SUM($G$9:G27)/A27</f>
        <v>0</v>
      </c>
      <c r="J27" s="443">
        <f t="shared" si="1"/>
        <v>0</v>
      </c>
      <c r="K27" s="459">
        <f t="shared" si="2"/>
        <v>0</v>
      </c>
      <c r="L27" s="338" t="e">
        <f t="shared" si="3"/>
        <v>#DIV/0!</v>
      </c>
      <c r="M27" s="300" t="e">
        <f t="shared" si="4"/>
        <v>#DIV/0!</v>
      </c>
      <c r="N27" s="366"/>
      <c r="O27" s="647">
        <f t="shared" si="5"/>
        <v>0</v>
      </c>
    </row>
    <row r="28" spans="1:15" s="367" customFormat="1" ht="12" customHeight="1">
      <c r="A28" s="500">
        <v>20</v>
      </c>
      <c r="B28" s="365">
        <f>'FRIT HGE91-FHG'!B28</f>
        <v>46254</v>
      </c>
      <c r="C28" s="331" t="s">
        <v>285</v>
      </c>
      <c r="D28" s="497">
        <f t="shared" si="0"/>
        <v>0</v>
      </c>
      <c r="E28" s="388"/>
      <c r="F28" s="446"/>
      <c r="G28" s="496"/>
      <c r="H28" s="500">
        <f>SUM($F$9:F28)/A28</f>
        <v>0</v>
      </c>
      <c r="I28" s="499">
        <f>SUM($G$9:G28)/A28</f>
        <v>0</v>
      </c>
      <c r="J28" s="500">
        <f t="shared" si="1"/>
        <v>0</v>
      </c>
      <c r="K28" s="459">
        <f t="shared" si="2"/>
        <v>0</v>
      </c>
      <c r="L28" s="368" t="e">
        <f t="shared" si="3"/>
        <v>#DIV/0!</v>
      </c>
      <c r="M28" s="300" t="e">
        <f t="shared" si="4"/>
        <v>#DIV/0!</v>
      </c>
      <c r="N28" s="366"/>
      <c r="O28" s="647">
        <f t="shared" si="5"/>
        <v>0</v>
      </c>
    </row>
    <row r="29" spans="1:15" s="367" customFormat="1" ht="12" customHeight="1">
      <c r="A29" s="364">
        <v>21</v>
      </c>
      <c r="B29" s="365">
        <f>'FRIT HGE91-FHG'!B29</f>
        <v>46255</v>
      </c>
      <c r="C29" s="331" t="s">
        <v>285</v>
      </c>
      <c r="D29" s="497">
        <f t="shared" si="0"/>
        <v>0</v>
      </c>
      <c r="E29" s="388"/>
      <c r="F29" s="446"/>
      <c r="G29" s="496"/>
      <c r="H29" s="498">
        <f>SUM($F$9:F29)/A29</f>
        <v>0</v>
      </c>
      <c r="I29" s="499">
        <f>SUM($G$9:G29)/A29</f>
        <v>0</v>
      </c>
      <c r="J29" s="443">
        <f t="shared" si="1"/>
        <v>0</v>
      </c>
      <c r="K29" s="459">
        <f t="shared" si="2"/>
        <v>0</v>
      </c>
      <c r="L29" s="338" t="e">
        <f t="shared" si="3"/>
        <v>#DIV/0!</v>
      </c>
      <c r="M29" s="300" t="e">
        <f t="shared" si="4"/>
        <v>#DIV/0!</v>
      </c>
      <c r="N29" s="366"/>
      <c r="O29" s="647">
        <f t="shared" si="5"/>
        <v>0</v>
      </c>
    </row>
    <row r="30" spans="1:15" s="367" customFormat="1" ht="12" customHeight="1">
      <c r="A30" s="364">
        <v>22</v>
      </c>
      <c r="B30" s="365">
        <f>'FRIT HGE91-FHG'!B30</f>
        <v>46256</v>
      </c>
      <c r="C30" s="331" t="s">
        <v>285</v>
      </c>
      <c r="D30" s="497">
        <f t="shared" si="0"/>
        <v>0</v>
      </c>
      <c r="E30" s="388"/>
      <c r="F30" s="446"/>
      <c r="G30" s="496"/>
      <c r="H30" s="498">
        <f>SUM($F$9:F30)/A30</f>
        <v>0</v>
      </c>
      <c r="I30" s="499">
        <f>SUM($G$9:G30)/A30</f>
        <v>0</v>
      </c>
      <c r="J30" s="443">
        <f t="shared" si="1"/>
        <v>0</v>
      </c>
      <c r="K30" s="459">
        <f t="shared" si="2"/>
        <v>0</v>
      </c>
      <c r="L30" s="338" t="e">
        <f t="shared" si="3"/>
        <v>#DIV/0!</v>
      </c>
      <c r="M30" s="300" t="e">
        <f t="shared" si="4"/>
        <v>#DIV/0!</v>
      </c>
      <c r="N30" s="366"/>
      <c r="O30" s="647">
        <f t="shared" si="5"/>
        <v>0</v>
      </c>
    </row>
    <row r="31" spans="1:15" s="367" customFormat="1" ht="12" customHeight="1">
      <c r="A31" s="364">
        <v>23</v>
      </c>
      <c r="B31" s="365">
        <f>'FRIT HGE91-FHG'!B31</f>
        <v>46257</v>
      </c>
      <c r="C31" s="331" t="s">
        <v>285</v>
      </c>
      <c r="D31" s="497">
        <f t="shared" si="0"/>
        <v>0</v>
      </c>
      <c r="E31" s="388"/>
      <c r="F31" s="446"/>
      <c r="G31" s="496"/>
      <c r="H31" s="498">
        <f>SUM($F$9:F31)/A31</f>
        <v>0</v>
      </c>
      <c r="I31" s="499">
        <f>SUM($G$9:G31)/A31</f>
        <v>0</v>
      </c>
      <c r="J31" s="443">
        <f t="shared" si="1"/>
        <v>0</v>
      </c>
      <c r="K31" s="459">
        <f t="shared" si="2"/>
        <v>0</v>
      </c>
      <c r="L31" s="338" t="e">
        <f t="shared" si="3"/>
        <v>#DIV/0!</v>
      </c>
      <c r="M31" s="300" t="e">
        <f t="shared" si="4"/>
        <v>#DIV/0!</v>
      </c>
      <c r="N31" s="366"/>
      <c r="O31" s="647">
        <f t="shared" si="5"/>
        <v>0</v>
      </c>
    </row>
    <row r="32" spans="1:15" s="367" customFormat="1" ht="12" customHeight="1">
      <c r="A32" s="364">
        <v>24</v>
      </c>
      <c r="B32" s="365">
        <f>'FRIT HGE91-FHG'!B32</f>
        <v>46258</v>
      </c>
      <c r="C32" s="331" t="s">
        <v>285</v>
      </c>
      <c r="D32" s="497">
        <f t="shared" si="0"/>
        <v>0</v>
      </c>
      <c r="E32" s="388"/>
      <c r="F32" s="446"/>
      <c r="G32" s="496"/>
      <c r="H32" s="498">
        <f>SUM($F$9:F32)/A32</f>
        <v>0</v>
      </c>
      <c r="I32" s="499">
        <f>SUM($G$9:G32)/A32</f>
        <v>0</v>
      </c>
      <c r="J32" s="443">
        <f t="shared" si="1"/>
        <v>0</v>
      </c>
      <c r="K32" s="459">
        <f t="shared" si="2"/>
        <v>0</v>
      </c>
      <c r="L32" s="338" t="e">
        <f t="shared" si="3"/>
        <v>#DIV/0!</v>
      </c>
      <c r="M32" s="300" t="e">
        <f t="shared" si="4"/>
        <v>#DIV/0!</v>
      </c>
      <c r="N32" s="366"/>
      <c r="O32" s="647">
        <f t="shared" si="5"/>
        <v>0</v>
      </c>
    </row>
    <row r="33" spans="1:15" s="367" customFormat="1" ht="12" customHeight="1">
      <c r="A33" s="448">
        <v>25</v>
      </c>
      <c r="B33" s="365">
        <f>'FRIT HGE91-FHG'!B33</f>
        <v>46259</v>
      </c>
      <c r="C33" s="331" t="s">
        <v>285</v>
      </c>
      <c r="D33" s="497">
        <f t="shared" si="0"/>
        <v>0</v>
      </c>
      <c r="E33" s="388"/>
      <c r="F33" s="446"/>
      <c r="G33" s="496"/>
      <c r="H33" s="448">
        <f>SUM($F$9:F33)/A33</f>
        <v>0</v>
      </c>
      <c r="I33" s="499">
        <f>SUM($G$9:G33)/A33</f>
        <v>0</v>
      </c>
      <c r="J33" s="448">
        <f t="shared" si="1"/>
        <v>0</v>
      </c>
      <c r="K33" s="459">
        <f t="shared" si="2"/>
        <v>0</v>
      </c>
      <c r="L33" s="369" t="e">
        <f t="shared" si="3"/>
        <v>#DIV/0!</v>
      </c>
      <c r="M33" s="300" t="e">
        <f t="shared" si="4"/>
        <v>#DIV/0!</v>
      </c>
      <c r="N33" s="366"/>
      <c r="O33" s="647">
        <f t="shared" si="5"/>
        <v>0</v>
      </c>
    </row>
    <row r="34" spans="1:15" s="367" customFormat="1" ht="12" customHeight="1">
      <c r="A34" s="364">
        <v>26</v>
      </c>
      <c r="B34" s="365">
        <f>'FRIT HGE91-FHG'!B34</f>
        <v>46260</v>
      </c>
      <c r="C34" s="331" t="s">
        <v>285</v>
      </c>
      <c r="D34" s="497">
        <f t="shared" si="0"/>
        <v>0</v>
      </c>
      <c r="E34" s="388"/>
      <c r="F34" s="446"/>
      <c r="G34" s="496"/>
      <c r="H34" s="498">
        <f>SUM($F$9:F34)/A34</f>
        <v>0</v>
      </c>
      <c r="I34" s="499">
        <f>SUM($G$9:G34)/A34</f>
        <v>0</v>
      </c>
      <c r="J34" s="443">
        <f t="shared" si="1"/>
        <v>0</v>
      </c>
      <c r="K34" s="459">
        <f t="shared" si="2"/>
        <v>0</v>
      </c>
      <c r="L34" s="338" t="e">
        <f t="shared" si="3"/>
        <v>#DIV/0!</v>
      </c>
      <c r="M34" s="300" t="e">
        <f t="shared" si="4"/>
        <v>#DIV/0!</v>
      </c>
      <c r="N34" s="366"/>
      <c r="O34" s="647">
        <f t="shared" si="5"/>
        <v>0</v>
      </c>
    </row>
    <row r="35" spans="1:15" s="367" customFormat="1" ht="12" customHeight="1">
      <c r="A35" s="364">
        <v>27</v>
      </c>
      <c r="B35" s="365">
        <f>'FRIT HGE91-FHG'!B35</f>
        <v>46261</v>
      </c>
      <c r="C35" s="331" t="s">
        <v>285</v>
      </c>
      <c r="D35" s="501">
        <f t="shared" si="0"/>
        <v>0</v>
      </c>
      <c r="E35" s="388"/>
      <c r="F35" s="446"/>
      <c r="G35" s="496"/>
      <c r="H35" s="498">
        <f>SUM($F$9:F35)/A35</f>
        <v>0</v>
      </c>
      <c r="I35" s="499">
        <f>SUM($G$9:G35)/A35</f>
        <v>0</v>
      </c>
      <c r="J35" s="443">
        <f t="shared" si="1"/>
        <v>0</v>
      </c>
      <c r="K35" s="459">
        <f t="shared" si="2"/>
        <v>0</v>
      </c>
      <c r="L35" s="338" t="e">
        <f t="shared" si="3"/>
        <v>#DIV/0!</v>
      </c>
      <c r="M35" s="300" t="e">
        <f t="shared" si="4"/>
        <v>#DIV/0!</v>
      </c>
      <c r="N35" s="366"/>
      <c r="O35" s="647">
        <f t="shared" si="5"/>
        <v>0</v>
      </c>
    </row>
    <row r="36" spans="1:15" s="367" customFormat="1" ht="12" customHeight="1">
      <c r="A36" s="364">
        <v>28</v>
      </c>
      <c r="B36" s="365">
        <f>'FRIT HGE91-FHG'!B36</f>
        <v>46262</v>
      </c>
      <c r="C36" s="331" t="s">
        <v>285</v>
      </c>
      <c r="D36" s="501">
        <f t="shared" si="0"/>
        <v>0</v>
      </c>
      <c r="E36" s="388"/>
      <c r="F36" s="446"/>
      <c r="G36" s="496"/>
      <c r="H36" s="498">
        <f>SUM($F$9:F36)/A36</f>
        <v>0</v>
      </c>
      <c r="I36" s="499">
        <f>SUM($G$9:G36)/A36</f>
        <v>0</v>
      </c>
      <c r="J36" s="443">
        <f t="shared" si="1"/>
        <v>0</v>
      </c>
      <c r="K36" s="459">
        <f t="shared" si="2"/>
        <v>0</v>
      </c>
      <c r="L36" s="338" t="e">
        <f t="shared" si="3"/>
        <v>#DIV/0!</v>
      </c>
      <c r="M36" s="300" t="e">
        <f t="shared" si="4"/>
        <v>#DIV/0!</v>
      </c>
      <c r="N36" s="366"/>
      <c r="O36" s="647">
        <f t="shared" si="5"/>
        <v>0</v>
      </c>
    </row>
    <row r="37" spans="1:15" s="367" customFormat="1" ht="12" customHeight="1">
      <c r="A37" s="364">
        <v>29</v>
      </c>
      <c r="B37" s="365">
        <f>'FRIT HGE91-FHG'!B37</f>
        <v>46263</v>
      </c>
      <c r="C37" s="331" t="s">
        <v>285</v>
      </c>
      <c r="D37" s="501">
        <f t="shared" si="0"/>
        <v>0</v>
      </c>
      <c r="E37" s="388"/>
      <c r="F37" s="446"/>
      <c r="G37" s="496"/>
      <c r="H37" s="498">
        <f>SUM($F$9:F37)/A37</f>
        <v>0</v>
      </c>
      <c r="I37" s="499">
        <f>SUM($G$9:G37)/A37</f>
        <v>0</v>
      </c>
      <c r="J37" s="443">
        <f t="shared" si="1"/>
        <v>0</v>
      </c>
      <c r="K37" s="459">
        <f t="shared" si="2"/>
        <v>0</v>
      </c>
      <c r="L37" s="338" t="e">
        <f t="shared" si="3"/>
        <v>#DIV/0!</v>
      </c>
      <c r="M37" s="300" t="e">
        <f t="shared" si="4"/>
        <v>#DIV/0!</v>
      </c>
      <c r="N37" s="366"/>
      <c r="O37" s="647">
        <f t="shared" si="5"/>
        <v>0</v>
      </c>
    </row>
    <row r="38" spans="1:15" s="367" customFormat="1" ht="12" customHeight="1">
      <c r="A38" s="500">
        <v>30</v>
      </c>
      <c r="B38" s="365">
        <f>'FRIT HGE91-FHG'!B38</f>
        <v>46264</v>
      </c>
      <c r="C38" s="331" t="s">
        <v>285</v>
      </c>
      <c r="D38" s="497">
        <f t="shared" si="0"/>
        <v>0</v>
      </c>
      <c r="E38" s="388"/>
      <c r="F38" s="446"/>
      <c r="G38" s="496"/>
      <c r="H38" s="500">
        <f>SUM($F$9:F38)/A38</f>
        <v>0</v>
      </c>
      <c r="I38" s="499">
        <f>SUM($G$9:G38)/A38</f>
        <v>0</v>
      </c>
      <c r="J38" s="500">
        <f t="shared" si="1"/>
        <v>0</v>
      </c>
      <c r="K38" s="459">
        <f t="shared" si="2"/>
        <v>0</v>
      </c>
      <c r="L38" s="368" t="e">
        <f t="shared" si="3"/>
        <v>#DIV/0!</v>
      </c>
      <c r="M38" s="300" t="e">
        <f t="shared" si="4"/>
        <v>#DIV/0!</v>
      </c>
      <c r="N38" s="366"/>
      <c r="O38" s="647">
        <f t="shared" si="5"/>
        <v>0</v>
      </c>
    </row>
    <row r="39" spans="1:15" s="367" customFormat="1" ht="12" customHeight="1">
      <c r="A39" s="364">
        <v>31</v>
      </c>
      <c r="B39" s="365">
        <f>'FRIT HGE91-FHG'!B39</f>
        <v>46265</v>
      </c>
      <c r="C39" s="331" t="s">
        <v>285</v>
      </c>
      <c r="D39" s="497">
        <f t="shared" si="0"/>
        <v>0</v>
      </c>
      <c r="E39" s="388"/>
      <c r="F39" s="446"/>
      <c r="G39" s="496"/>
      <c r="H39" s="498">
        <f>SUM($F$9:F39)/A39</f>
        <v>0</v>
      </c>
      <c r="I39" s="499">
        <f>SUM($G$9:G39)/A39</f>
        <v>0</v>
      </c>
      <c r="J39" s="443">
        <f t="shared" si="1"/>
        <v>0</v>
      </c>
      <c r="K39" s="459">
        <f t="shared" si="2"/>
        <v>0</v>
      </c>
      <c r="L39" s="338" t="e">
        <f t="shared" si="3"/>
        <v>#DIV/0!</v>
      </c>
      <c r="M39" s="300" t="e">
        <f t="shared" si="4"/>
        <v>#DIV/0!</v>
      </c>
      <c r="N39" s="366"/>
      <c r="O39" s="647">
        <f t="shared" si="5"/>
        <v>0</v>
      </c>
    </row>
    <row r="40" spans="1:15" s="374" customFormat="1" ht="12" customHeight="1">
      <c r="A40" s="370" t="s">
        <v>29</v>
      </c>
      <c r="B40" s="371"/>
      <c r="C40" s="372"/>
      <c r="D40" s="388">
        <f>SUM(D9:D39)</f>
        <v>0</v>
      </c>
      <c r="E40" s="388">
        <f>SUM(E9:E39)</f>
        <v>0</v>
      </c>
      <c r="F40" s="389">
        <f>SUM(F9:F39)</f>
        <v>0</v>
      </c>
      <c r="G40" s="496">
        <f>SUM(G9:G39)</f>
        <v>0</v>
      </c>
      <c r="H40" s="389"/>
      <c r="I40" s="496"/>
      <c r="J40" s="389">
        <f>J39</f>
        <v>0</v>
      </c>
      <c r="K40" s="461">
        <f>K39</f>
        <v>0</v>
      </c>
      <c r="L40" s="302"/>
      <c r="M40" s="302"/>
      <c r="N40" s="507"/>
    </row>
    <row r="41" spans="1:15" s="374" customFormat="1" ht="12" customHeight="1">
      <c r="A41" s="370" t="s">
        <v>15</v>
      </c>
      <c r="B41" s="371"/>
      <c r="C41" s="372"/>
      <c r="D41" s="388">
        <f>D8+D40</f>
        <v>0</v>
      </c>
      <c r="E41" s="388">
        <f>E8+E40</f>
        <v>0</v>
      </c>
      <c r="F41" s="389">
        <f>F40</f>
        <v>0</v>
      </c>
      <c r="G41" s="496">
        <f>G40</f>
        <v>0</v>
      </c>
      <c r="H41" s="389"/>
      <c r="I41" s="496"/>
      <c r="J41" s="389">
        <f>D41-F41</f>
        <v>0</v>
      </c>
      <c r="K41" s="389">
        <f>E41-G41</f>
        <v>0</v>
      </c>
      <c r="L41" s="302"/>
      <c r="M41" s="302"/>
      <c r="N41" s="507"/>
    </row>
    <row r="42" spans="1:15" s="324" customFormat="1" ht="12.75">
      <c r="D42" s="343"/>
      <c r="E42" s="343"/>
      <c r="F42" s="343"/>
      <c r="I42" s="343"/>
      <c r="J42" s="343" t="s">
        <v>227</v>
      </c>
      <c r="K42" s="343"/>
    </row>
    <row r="43" spans="1:15" s="324" customFormat="1" ht="12.75">
      <c r="D43" s="343"/>
      <c r="E43" s="343"/>
      <c r="F43" s="343"/>
      <c r="I43" s="343"/>
      <c r="J43" s="343"/>
      <c r="K43" s="343"/>
    </row>
    <row r="44" spans="1:15" s="324" customFormat="1" ht="12.75">
      <c r="D44" s="343"/>
      <c r="E44" s="343"/>
      <c r="F44" s="343"/>
      <c r="I44" s="343"/>
      <c r="J44" s="343"/>
      <c r="K44" s="343"/>
    </row>
    <row r="45" spans="1:15" s="324" customFormat="1" ht="12.75">
      <c r="D45" s="343"/>
      <c r="E45" s="343"/>
      <c r="F45" s="343"/>
      <c r="I45" s="343"/>
      <c r="J45" s="343"/>
      <c r="K45" s="343"/>
    </row>
    <row r="46" spans="1:15" s="324" customFormat="1" ht="12.75">
      <c r="D46" s="343"/>
      <c r="E46" s="343"/>
      <c r="F46" s="343"/>
      <c r="I46" s="343"/>
      <c r="J46" s="343" t="s">
        <v>333</v>
      </c>
      <c r="K46" s="343"/>
    </row>
    <row r="48" spans="1:15">
      <c r="D48" s="143"/>
      <c r="E48" s="143"/>
      <c r="F48" s="143"/>
      <c r="G48" s="143"/>
      <c r="H48" s="143"/>
      <c r="I48" s="143"/>
      <c r="K48" s="143"/>
    </row>
    <row r="49" spans="10:10" s="143" customFormat="1">
      <c r="J49" s="142"/>
    </row>
    <row r="50" spans="10:10" s="143" customFormat="1"/>
  </sheetData>
  <mergeCells count="12">
    <mergeCell ref="A8:C8"/>
    <mergeCell ref="A3:N3"/>
    <mergeCell ref="A4:B4"/>
    <mergeCell ref="A6:A7"/>
    <mergeCell ref="B6:B7"/>
    <mergeCell ref="C6:C7"/>
    <mergeCell ref="D6:E6"/>
    <mergeCell ref="F6:G6"/>
    <mergeCell ref="H6:I6"/>
    <mergeCell ref="J6:K6"/>
    <mergeCell ref="L6:M6"/>
    <mergeCell ref="N6:N7"/>
  </mergeCells>
  <conditionalFormatting sqref="M20">
    <cfRule type="cellIs" dxfId="233" priority="217" operator="lessThan">
      <formula>15</formula>
    </cfRule>
    <cfRule type="cellIs" dxfId="232" priority="218" operator="greaterThan">
      <formula>20</formula>
    </cfRule>
    <cfRule type="cellIs" dxfId="231" priority="219" operator="between">
      <formula>15</formula>
      <formula>20</formula>
    </cfRule>
    <cfRule type="cellIs" dxfId="230" priority="220" operator="between">
      <formula>15</formula>
      <formula>20</formula>
    </cfRule>
    <cfRule type="cellIs" dxfId="229" priority="221" operator="lessThan">
      <formula>15</formula>
    </cfRule>
    <cfRule type="cellIs" dxfId="228" priority="222" operator="greaterThan">
      <formula>20</formula>
    </cfRule>
    <cfRule type="cellIs" dxfId="227" priority="223" operator="between">
      <formula>15</formula>
      <formula>21</formula>
    </cfRule>
    <cfRule type="cellIs" dxfId="226" priority="224" operator="lessThan">
      <formula>15</formula>
    </cfRule>
    <cfRule type="cellIs" dxfId="225" priority="225" operator="greaterThan">
      <formula>21</formula>
    </cfRule>
  </conditionalFormatting>
  <conditionalFormatting sqref="M27">
    <cfRule type="cellIs" dxfId="224" priority="208" operator="lessThan">
      <formula>15</formula>
    </cfRule>
    <cfRule type="cellIs" dxfId="223" priority="209" operator="greaterThan">
      <formula>20</formula>
    </cfRule>
    <cfRule type="cellIs" dxfId="222" priority="210" operator="between">
      <formula>15</formula>
      <formula>20</formula>
    </cfRule>
    <cfRule type="cellIs" dxfId="221" priority="211" operator="between">
      <formula>15</formula>
      <formula>20</formula>
    </cfRule>
    <cfRule type="cellIs" dxfId="220" priority="212" operator="lessThan">
      <formula>15</formula>
    </cfRule>
    <cfRule type="cellIs" dxfId="219" priority="213" operator="greaterThan">
      <formula>20</formula>
    </cfRule>
    <cfRule type="cellIs" dxfId="218" priority="214" operator="between">
      <formula>15</formula>
      <formula>21</formula>
    </cfRule>
    <cfRule type="cellIs" dxfId="217" priority="215" operator="lessThan">
      <formula>15</formula>
    </cfRule>
    <cfRule type="cellIs" dxfId="216" priority="216" operator="greaterThan">
      <formula>21</formula>
    </cfRule>
  </conditionalFormatting>
  <conditionalFormatting sqref="M34">
    <cfRule type="cellIs" dxfId="215" priority="199" operator="lessThan">
      <formula>15</formula>
    </cfRule>
    <cfRule type="cellIs" dxfId="214" priority="200" operator="greaterThan">
      <formula>20</formula>
    </cfRule>
    <cfRule type="cellIs" dxfId="213" priority="201" operator="between">
      <formula>15</formula>
      <formula>20</formula>
    </cfRule>
    <cfRule type="cellIs" dxfId="212" priority="202" operator="between">
      <formula>15</formula>
      <formula>20</formula>
    </cfRule>
    <cfRule type="cellIs" dxfId="211" priority="203" operator="lessThan">
      <formula>15</formula>
    </cfRule>
    <cfRule type="cellIs" dxfId="210" priority="204" operator="greaterThan">
      <formula>20</formula>
    </cfRule>
    <cfRule type="cellIs" dxfId="209" priority="205" operator="between">
      <formula>15</formula>
      <formula>21</formula>
    </cfRule>
    <cfRule type="cellIs" dxfId="208" priority="206" operator="lessThan">
      <formula>15</formula>
    </cfRule>
    <cfRule type="cellIs" dxfId="207" priority="207" operator="greaterThan">
      <formula>21</formula>
    </cfRule>
  </conditionalFormatting>
  <conditionalFormatting sqref="M14:M17 M39 M21:M22 M24:M26 M19">
    <cfRule type="cellIs" dxfId="206" priority="226" operator="lessThan">
      <formula>15</formula>
    </cfRule>
    <cfRule type="cellIs" dxfId="205" priority="227" operator="greaterThan">
      <formula>20</formula>
    </cfRule>
    <cfRule type="cellIs" dxfId="204" priority="228" operator="between">
      <formula>15</formula>
      <formula>20</formula>
    </cfRule>
    <cfRule type="cellIs" dxfId="203" priority="229" operator="between">
      <formula>15</formula>
      <formula>20</formula>
    </cfRule>
    <cfRule type="cellIs" dxfId="202" priority="230" operator="lessThan">
      <formula>15</formula>
    </cfRule>
    <cfRule type="cellIs" dxfId="201" priority="231" operator="greaterThan">
      <formula>20</formula>
    </cfRule>
    <cfRule type="cellIs" dxfId="200" priority="232" operator="between">
      <formula>15</formula>
      <formula>21</formula>
    </cfRule>
    <cfRule type="cellIs" dxfId="199" priority="233" operator="lessThan">
      <formula>15</formula>
    </cfRule>
    <cfRule type="cellIs" dxfId="198" priority="234" operator="greaterThan">
      <formula>21</formula>
    </cfRule>
  </conditionalFormatting>
  <conditionalFormatting sqref="M9:M12">
    <cfRule type="cellIs" dxfId="197" priority="190" operator="lessThan">
      <formula>15</formula>
    </cfRule>
    <cfRule type="cellIs" dxfId="196" priority="191" operator="greaterThan">
      <formula>20</formula>
    </cfRule>
    <cfRule type="cellIs" dxfId="195" priority="192" operator="between">
      <formula>15</formula>
      <formula>20</formula>
    </cfRule>
    <cfRule type="cellIs" dxfId="194" priority="193" operator="between">
      <formula>15</formula>
      <formula>20</formula>
    </cfRule>
    <cfRule type="cellIs" dxfId="193" priority="194" operator="lessThan">
      <formula>15</formula>
    </cfRule>
    <cfRule type="cellIs" dxfId="192" priority="195" operator="greaterThan">
      <formula>20</formula>
    </cfRule>
    <cfRule type="cellIs" dxfId="191" priority="196" operator="between">
      <formula>15</formula>
      <formula>21</formula>
    </cfRule>
    <cfRule type="cellIs" dxfId="190" priority="197" operator="lessThan">
      <formula>15</formula>
    </cfRule>
    <cfRule type="cellIs" dxfId="189" priority="198" operator="greaterThan">
      <formula>21</formula>
    </cfRule>
  </conditionalFormatting>
  <conditionalFormatting sqref="M29:M32">
    <cfRule type="cellIs" dxfId="188" priority="181" operator="lessThan">
      <formula>15</formula>
    </cfRule>
    <cfRule type="cellIs" dxfId="187" priority="182" operator="greaterThan">
      <formula>20</formula>
    </cfRule>
    <cfRule type="cellIs" dxfId="186" priority="183" operator="between">
      <formula>15</formula>
      <formula>20</formula>
    </cfRule>
    <cfRule type="cellIs" dxfId="185" priority="184" operator="between">
      <formula>15</formula>
      <formula>20</formula>
    </cfRule>
    <cfRule type="cellIs" dxfId="184" priority="185" operator="lessThan">
      <formula>15</formula>
    </cfRule>
    <cfRule type="cellIs" dxfId="183" priority="186" operator="greaterThan">
      <formula>20</formula>
    </cfRule>
    <cfRule type="cellIs" dxfId="182" priority="187" operator="between">
      <formula>15</formula>
      <formula>21</formula>
    </cfRule>
    <cfRule type="cellIs" dxfId="181" priority="188" operator="lessThan">
      <formula>15</formula>
    </cfRule>
    <cfRule type="cellIs" dxfId="180" priority="189" operator="greaterThan">
      <formula>21</formula>
    </cfRule>
  </conditionalFormatting>
  <conditionalFormatting sqref="M35:M37">
    <cfRule type="cellIs" dxfId="179" priority="172" operator="lessThan">
      <formula>15</formula>
    </cfRule>
    <cfRule type="cellIs" dxfId="178" priority="173" operator="greaterThan">
      <formula>20</formula>
    </cfRule>
    <cfRule type="cellIs" dxfId="177" priority="174" operator="between">
      <formula>15</formula>
      <formula>20</formula>
    </cfRule>
    <cfRule type="cellIs" dxfId="176" priority="175" operator="between">
      <formula>15</formula>
      <formula>20</formula>
    </cfRule>
    <cfRule type="cellIs" dxfId="175" priority="176" operator="lessThan">
      <formula>15</formula>
    </cfRule>
    <cfRule type="cellIs" dxfId="174" priority="177" operator="greaterThan">
      <formula>20</formula>
    </cfRule>
    <cfRule type="cellIs" dxfId="173" priority="178" operator="between">
      <formula>15</formula>
      <formula>21</formula>
    </cfRule>
    <cfRule type="cellIs" dxfId="172" priority="179" operator="lessThan">
      <formula>15</formula>
    </cfRule>
    <cfRule type="cellIs" dxfId="171" priority="180" operator="greaterThan">
      <formula>21</formula>
    </cfRule>
  </conditionalFormatting>
  <conditionalFormatting sqref="M28">
    <cfRule type="cellIs" dxfId="170" priority="163" operator="lessThan">
      <formula>15</formula>
    </cfRule>
    <cfRule type="cellIs" dxfId="169" priority="164" operator="greaterThan">
      <formula>20</formula>
    </cfRule>
    <cfRule type="cellIs" dxfId="168" priority="165" operator="between">
      <formula>15</formula>
      <formula>20</formula>
    </cfRule>
    <cfRule type="cellIs" dxfId="167" priority="166" operator="between">
      <formula>15</formula>
      <formula>20</formula>
    </cfRule>
    <cfRule type="cellIs" dxfId="166" priority="167" operator="lessThan">
      <formula>15</formula>
    </cfRule>
    <cfRule type="cellIs" dxfId="165" priority="168" operator="greaterThan">
      <formula>20</formula>
    </cfRule>
    <cfRule type="cellIs" dxfId="164" priority="169" operator="between">
      <formula>15</formula>
      <formula>21</formula>
    </cfRule>
    <cfRule type="cellIs" dxfId="163" priority="170" operator="lessThan">
      <formula>15</formula>
    </cfRule>
    <cfRule type="cellIs" dxfId="162" priority="171" operator="greaterThan">
      <formula>21</formula>
    </cfRule>
  </conditionalFormatting>
  <conditionalFormatting sqref="M23">
    <cfRule type="cellIs" dxfId="161" priority="154" operator="lessThan">
      <formula>15</formula>
    </cfRule>
    <cfRule type="cellIs" dxfId="160" priority="155" operator="greaterThan">
      <formula>20</formula>
    </cfRule>
    <cfRule type="cellIs" dxfId="159" priority="156" operator="between">
      <formula>15</formula>
      <formula>20</formula>
    </cfRule>
    <cfRule type="cellIs" dxfId="158" priority="157" operator="between">
      <formula>15</formula>
      <formula>20</formula>
    </cfRule>
    <cfRule type="cellIs" dxfId="157" priority="158" operator="lessThan">
      <formula>15</formula>
    </cfRule>
    <cfRule type="cellIs" dxfId="156" priority="159" operator="greaterThan">
      <formula>20</formula>
    </cfRule>
    <cfRule type="cellIs" dxfId="155" priority="160" operator="between">
      <formula>15</formula>
      <formula>21</formula>
    </cfRule>
    <cfRule type="cellIs" dxfId="154" priority="161" operator="lessThan">
      <formula>15</formula>
    </cfRule>
    <cfRule type="cellIs" dxfId="153" priority="162" operator="greaterThan">
      <formula>21</formula>
    </cfRule>
  </conditionalFormatting>
  <conditionalFormatting sqref="M18">
    <cfRule type="cellIs" dxfId="152" priority="145" operator="lessThan">
      <formula>15</formula>
    </cfRule>
    <cfRule type="cellIs" dxfId="151" priority="146" operator="greaterThan">
      <formula>20</formula>
    </cfRule>
    <cfRule type="cellIs" dxfId="150" priority="147" operator="between">
      <formula>15</formula>
      <formula>20</formula>
    </cfRule>
    <cfRule type="cellIs" dxfId="149" priority="148" operator="between">
      <formula>15</formula>
      <formula>20</formula>
    </cfRule>
    <cfRule type="cellIs" dxfId="148" priority="149" operator="lessThan">
      <formula>15</formula>
    </cfRule>
    <cfRule type="cellIs" dxfId="147" priority="150" operator="greaterThan">
      <formula>20</formula>
    </cfRule>
    <cfRule type="cellIs" dxfId="146" priority="151" operator="between">
      <formula>15</formula>
      <formula>21</formula>
    </cfRule>
    <cfRule type="cellIs" dxfId="145" priority="152" operator="lessThan">
      <formula>15</formula>
    </cfRule>
    <cfRule type="cellIs" dxfId="144" priority="153" operator="greaterThan">
      <formula>21</formula>
    </cfRule>
  </conditionalFormatting>
  <conditionalFormatting sqref="M13">
    <cfRule type="cellIs" dxfId="143" priority="136" operator="lessThan">
      <formula>15</formula>
    </cfRule>
    <cfRule type="cellIs" dxfId="142" priority="137" operator="greaterThan">
      <formula>20</formula>
    </cfRule>
    <cfRule type="cellIs" dxfId="141" priority="138" operator="between">
      <formula>15</formula>
      <formula>20</formula>
    </cfRule>
    <cfRule type="cellIs" dxfId="140" priority="139" operator="between">
      <formula>15</formula>
      <formula>20</formula>
    </cfRule>
    <cfRule type="cellIs" dxfId="139" priority="140" operator="lessThan">
      <formula>15</formula>
    </cfRule>
    <cfRule type="cellIs" dxfId="138" priority="141" operator="greaterThan">
      <formula>20</formula>
    </cfRule>
    <cfRule type="cellIs" dxfId="137" priority="142" operator="between">
      <formula>15</formula>
      <formula>21</formula>
    </cfRule>
    <cfRule type="cellIs" dxfId="136" priority="143" operator="lessThan">
      <formula>15</formula>
    </cfRule>
    <cfRule type="cellIs" dxfId="135" priority="144" operator="greaterThan">
      <formula>21</formula>
    </cfRule>
  </conditionalFormatting>
  <conditionalFormatting sqref="M33">
    <cfRule type="cellIs" dxfId="134" priority="127" operator="lessThan">
      <formula>15</formula>
    </cfRule>
    <cfRule type="cellIs" dxfId="133" priority="128" operator="greaterThan">
      <formula>20</formula>
    </cfRule>
    <cfRule type="cellIs" dxfId="132" priority="129" operator="between">
      <formula>15</formula>
      <formula>20</formula>
    </cfRule>
    <cfRule type="cellIs" dxfId="131" priority="130" operator="between">
      <formula>15</formula>
      <formula>20</formula>
    </cfRule>
    <cfRule type="cellIs" dxfId="130" priority="131" operator="lessThan">
      <formula>15</formula>
    </cfRule>
    <cfRule type="cellIs" dxfId="129" priority="132" operator="greaterThan">
      <formula>20</formula>
    </cfRule>
    <cfRule type="cellIs" dxfId="128" priority="133" operator="between">
      <formula>15</formula>
      <formula>21</formula>
    </cfRule>
    <cfRule type="cellIs" dxfId="127" priority="134" operator="lessThan">
      <formula>15</formula>
    </cfRule>
    <cfRule type="cellIs" dxfId="126" priority="135" operator="greaterThan">
      <formula>21</formula>
    </cfRule>
  </conditionalFormatting>
  <conditionalFormatting sqref="M38">
    <cfRule type="cellIs" dxfId="125" priority="118" operator="lessThan">
      <formula>15</formula>
    </cfRule>
    <cfRule type="cellIs" dxfId="124" priority="119" operator="greaterThan">
      <formula>20</formula>
    </cfRule>
    <cfRule type="cellIs" dxfId="123" priority="120" operator="between">
      <formula>15</formula>
      <formula>20</formula>
    </cfRule>
    <cfRule type="cellIs" dxfId="122" priority="121" operator="between">
      <formula>15</formula>
      <formula>20</formula>
    </cfRule>
    <cfRule type="cellIs" dxfId="121" priority="122" operator="lessThan">
      <formula>15</formula>
    </cfRule>
    <cfRule type="cellIs" dxfId="120" priority="123" operator="greaterThan">
      <formula>20</formula>
    </cfRule>
    <cfRule type="cellIs" dxfId="119" priority="124" operator="between">
      <formula>15</formula>
      <formula>21</formula>
    </cfRule>
    <cfRule type="cellIs" dxfId="118" priority="125" operator="lessThan">
      <formula>15</formula>
    </cfRule>
    <cfRule type="cellIs" dxfId="117" priority="126" operator="greaterThan">
      <formula>21</formula>
    </cfRule>
  </conditionalFormatting>
  <conditionalFormatting sqref="M38">
    <cfRule type="cellIs" dxfId="116" priority="109" operator="lessThan">
      <formula>15</formula>
    </cfRule>
    <cfRule type="cellIs" dxfId="115" priority="110" operator="greaterThan">
      <formula>20</formula>
    </cfRule>
    <cfRule type="cellIs" dxfId="114" priority="111" operator="between">
      <formula>15</formula>
      <formula>20</formula>
    </cfRule>
    <cfRule type="cellIs" dxfId="113" priority="112" operator="between">
      <formula>15</formula>
      <formula>20</formula>
    </cfRule>
    <cfRule type="cellIs" dxfId="112" priority="113" operator="lessThan">
      <formula>15</formula>
    </cfRule>
    <cfRule type="cellIs" dxfId="111" priority="114" operator="greaterThan">
      <formula>20</formula>
    </cfRule>
    <cfRule type="cellIs" dxfId="110" priority="115" operator="between">
      <formula>15</formula>
      <formula>21</formula>
    </cfRule>
    <cfRule type="cellIs" dxfId="109" priority="116" operator="lessThan">
      <formula>15</formula>
    </cfRule>
    <cfRule type="cellIs" dxfId="108" priority="117" operator="greaterThan">
      <formula>21</formula>
    </cfRule>
  </conditionalFormatting>
  <conditionalFormatting sqref="M33">
    <cfRule type="cellIs" dxfId="107" priority="100" operator="lessThan">
      <formula>15</formula>
    </cfRule>
    <cfRule type="cellIs" dxfId="106" priority="101" operator="greaterThan">
      <formula>20</formula>
    </cfRule>
    <cfRule type="cellIs" dxfId="105" priority="102" operator="between">
      <formula>15</formula>
      <formula>20</formula>
    </cfRule>
    <cfRule type="cellIs" dxfId="104" priority="103" operator="between">
      <formula>15</formula>
      <formula>20</formula>
    </cfRule>
    <cfRule type="cellIs" dxfId="103" priority="104" operator="lessThan">
      <formula>15</formula>
    </cfRule>
    <cfRule type="cellIs" dxfId="102" priority="105" operator="greaterThan">
      <formula>20</formula>
    </cfRule>
    <cfRule type="cellIs" dxfId="101" priority="106" operator="between">
      <formula>15</formula>
      <formula>21</formula>
    </cfRule>
    <cfRule type="cellIs" dxfId="100" priority="107" operator="lessThan">
      <formula>15</formula>
    </cfRule>
    <cfRule type="cellIs" dxfId="99" priority="108" operator="greaterThan">
      <formula>21</formula>
    </cfRule>
  </conditionalFormatting>
  <conditionalFormatting sqref="M28">
    <cfRule type="cellIs" dxfId="98" priority="91" operator="lessThan">
      <formula>15</formula>
    </cfRule>
    <cfRule type="cellIs" dxfId="97" priority="92" operator="greaterThan">
      <formula>20</formula>
    </cfRule>
    <cfRule type="cellIs" dxfId="96" priority="93" operator="between">
      <formula>15</formula>
      <formula>20</formula>
    </cfRule>
    <cfRule type="cellIs" dxfId="95" priority="94" operator="between">
      <formula>15</formula>
      <formula>20</formula>
    </cfRule>
    <cfRule type="cellIs" dxfId="94" priority="95" operator="lessThan">
      <formula>15</formula>
    </cfRule>
    <cfRule type="cellIs" dxfId="93" priority="96" operator="greaterThan">
      <formula>20</formula>
    </cfRule>
    <cfRule type="cellIs" dxfId="92" priority="97" operator="between">
      <formula>15</formula>
      <formula>21</formula>
    </cfRule>
    <cfRule type="cellIs" dxfId="91" priority="98" operator="lessThan">
      <formula>15</formula>
    </cfRule>
    <cfRule type="cellIs" dxfId="90" priority="99" operator="greaterThan">
      <formula>21</formula>
    </cfRule>
  </conditionalFormatting>
  <conditionalFormatting sqref="M23">
    <cfRule type="cellIs" dxfId="89" priority="82" operator="lessThan">
      <formula>15</formula>
    </cfRule>
    <cfRule type="cellIs" dxfId="88" priority="83" operator="greaterThan">
      <formula>20</formula>
    </cfRule>
    <cfRule type="cellIs" dxfId="87" priority="84" operator="between">
      <formula>15</formula>
      <formula>20</formula>
    </cfRule>
    <cfRule type="cellIs" dxfId="86" priority="85" operator="between">
      <formula>15</formula>
      <formula>20</formula>
    </cfRule>
    <cfRule type="cellIs" dxfId="85" priority="86" operator="lessThan">
      <formula>15</formula>
    </cfRule>
    <cfRule type="cellIs" dxfId="84" priority="87" operator="greaterThan">
      <formula>20</formula>
    </cfRule>
    <cfRule type="cellIs" dxfId="83" priority="88" operator="between">
      <formula>15</formula>
      <formula>21</formula>
    </cfRule>
    <cfRule type="cellIs" dxfId="82" priority="89" operator="lessThan">
      <formula>15</formula>
    </cfRule>
    <cfRule type="cellIs" dxfId="81" priority="90" operator="greaterThan">
      <formula>21</formula>
    </cfRule>
  </conditionalFormatting>
  <conditionalFormatting sqref="M18">
    <cfRule type="cellIs" dxfId="80" priority="73" operator="lessThan">
      <formula>15</formula>
    </cfRule>
    <cfRule type="cellIs" dxfId="79" priority="74" operator="greaterThan">
      <formula>20</formula>
    </cfRule>
    <cfRule type="cellIs" dxfId="78" priority="75" operator="between">
      <formula>15</formula>
      <formula>20</formula>
    </cfRule>
    <cfRule type="cellIs" dxfId="77" priority="76" operator="between">
      <formula>15</formula>
      <formula>20</formula>
    </cfRule>
    <cfRule type="cellIs" dxfId="76" priority="77" operator="lessThan">
      <formula>15</formula>
    </cfRule>
    <cfRule type="cellIs" dxfId="75" priority="78" operator="greaterThan">
      <formula>20</formula>
    </cfRule>
    <cfRule type="cellIs" dxfId="74" priority="79" operator="between">
      <formula>15</formula>
      <formula>21</formula>
    </cfRule>
    <cfRule type="cellIs" dxfId="73" priority="80" operator="lessThan">
      <formula>15</formula>
    </cfRule>
    <cfRule type="cellIs" dxfId="72" priority="81" operator="greaterThan">
      <formula>21</formula>
    </cfRule>
  </conditionalFormatting>
  <conditionalFormatting sqref="M35:M37">
    <cfRule type="cellIs" dxfId="71" priority="64" operator="lessThan">
      <formula>15</formula>
    </cfRule>
    <cfRule type="cellIs" dxfId="70" priority="65" operator="greaterThan">
      <formula>20</formula>
    </cfRule>
    <cfRule type="cellIs" dxfId="69" priority="66" operator="between">
      <formula>15</formula>
      <formula>20</formula>
    </cfRule>
    <cfRule type="cellIs" dxfId="68" priority="67" operator="between">
      <formula>15</formula>
      <formula>20</formula>
    </cfRule>
    <cfRule type="cellIs" dxfId="67" priority="68" operator="lessThan">
      <formula>15</formula>
    </cfRule>
    <cfRule type="cellIs" dxfId="66" priority="69" operator="greaterThan">
      <formula>20</formula>
    </cfRule>
    <cfRule type="cellIs" dxfId="65" priority="70" operator="between">
      <formula>15</formula>
      <formula>21</formula>
    </cfRule>
    <cfRule type="cellIs" dxfId="64" priority="71" operator="lessThan">
      <formula>15</formula>
    </cfRule>
    <cfRule type="cellIs" dxfId="63" priority="72" operator="greaterThan">
      <formula>21</formula>
    </cfRule>
  </conditionalFormatting>
  <conditionalFormatting sqref="M13">
    <cfRule type="cellIs" dxfId="62" priority="55" operator="lessThan">
      <formula>15</formula>
    </cfRule>
    <cfRule type="cellIs" dxfId="61" priority="56" operator="greaterThan">
      <formula>20</formula>
    </cfRule>
    <cfRule type="cellIs" dxfId="60" priority="57" operator="between">
      <formula>15</formula>
      <formula>20</formula>
    </cfRule>
    <cfRule type="cellIs" dxfId="59" priority="58" operator="between">
      <formula>15</formula>
      <formula>20</formula>
    </cfRule>
    <cfRule type="cellIs" dxfId="58" priority="59" operator="lessThan">
      <formula>15</formula>
    </cfRule>
    <cfRule type="cellIs" dxfId="57" priority="60" operator="greaterThan">
      <formula>20</formula>
    </cfRule>
    <cfRule type="cellIs" dxfId="56" priority="61" operator="between">
      <formula>15</formula>
      <formula>21</formula>
    </cfRule>
    <cfRule type="cellIs" dxfId="55" priority="62" operator="lessThan">
      <formula>15</formula>
    </cfRule>
    <cfRule type="cellIs" dxfId="54" priority="63" operator="greaterThan">
      <formula>21</formula>
    </cfRule>
  </conditionalFormatting>
  <conditionalFormatting sqref="M20">
    <cfRule type="cellIs" dxfId="53" priority="46" operator="lessThan">
      <formula>15</formula>
    </cfRule>
    <cfRule type="cellIs" dxfId="52" priority="47" operator="greaterThan">
      <formula>20</formula>
    </cfRule>
    <cfRule type="cellIs" dxfId="51" priority="48" operator="between">
      <formula>15</formula>
      <formula>20</formula>
    </cfRule>
    <cfRule type="cellIs" dxfId="50" priority="49" operator="between">
      <formula>15</formula>
      <formula>20</formula>
    </cfRule>
    <cfRule type="cellIs" dxfId="49" priority="50" operator="lessThan">
      <formula>15</formula>
    </cfRule>
    <cfRule type="cellIs" dxfId="48" priority="51" operator="greaterThan">
      <formula>20</formula>
    </cfRule>
    <cfRule type="cellIs" dxfId="47" priority="52" operator="between">
      <formula>15</formula>
      <formula>21</formula>
    </cfRule>
    <cfRule type="cellIs" dxfId="46" priority="53" operator="lessThan">
      <formula>15</formula>
    </cfRule>
    <cfRule type="cellIs" dxfId="45" priority="54" operator="greaterThan">
      <formula>21</formula>
    </cfRule>
  </conditionalFormatting>
  <conditionalFormatting sqref="M27">
    <cfRule type="cellIs" dxfId="44" priority="37" operator="lessThan">
      <formula>15</formula>
    </cfRule>
    <cfRule type="cellIs" dxfId="43" priority="38" operator="greaterThan">
      <formula>20</formula>
    </cfRule>
    <cfRule type="cellIs" dxfId="42" priority="39" operator="between">
      <formula>15</formula>
      <formula>20</formula>
    </cfRule>
    <cfRule type="cellIs" dxfId="41" priority="40" operator="between">
      <formula>15</formula>
      <formula>20</formula>
    </cfRule>
    <cfRule type="cellIs" dxfId="40" priority="41" operator="lessThan">
      <formula>15</formula>
    </cfRule>
    <cfRule type="cellIs" dxfId="39" priority="42" operator="greaterThan">
      <formula>20</formula>
    </cfRule>
    <cfRule type="cellIs" dxfId="38" priority="43" operator="between">
      <formula>15</formula>
      <formula>21</formula>
    </cfRule>
    <cfRule type="cellIs" dxfId="37" priority="44" operator="lessThan">
      <formula>15</formula>
    </cfRule>
    <cfRule type="cellIs" dxfId="36" priority="45" operator="greaterThan">
      <formula>21</formula>
    </cfRule>
  </conditionalFormatting>
  <conditionalFormatting sqref="M34">
    <cfRule type="cellIs" dxfId="35" priority="28" operator="lessThan">
      <formula>15</formula>
    </cfRule>
    <cfRule type="cellIs" dxfId="34" priority="29" operator="greaterThan">
      <formula>20</formula>
    </cfRule>
    <cfRule type="cellIs" dxfId="33" priority="30" operator="between">
      <formula>15</formula>
      <formula>20</formula>
    </cfRule>
    <cfRule type="cellIs" dxfId="32" priority="31" operator="between">
      <formula>15</formula>
      <formula>20</formula>
    </cfRule>
    <cfRule type="cellIs" dxfId="31" priority="32" operator="lessThan">
      <formula>15</formula>
    </cfRule>
    <cfRule type="cellIs" dxfId="30" priority="33" operator="greaterThan">
      <formula>20</formula>
    </cfRule>
    <cfRule type="cellIs" dxfId="29" priority="34" operator="between">
      <formula>15</formula>
      <formula>21</formula>
    </cfRule>
    <cfRule type="cellIs" dxfId="28" priority="35" operator="lessThan">
      <formula>15</formula>
    </cfRule>
    <cfRule type="cellIs" dxfId="27" priority="36" operator="greaterThan">
      <formula>21</formula>
    </cfRule>
  </conditionalFormatting>
  <conditionalFormatting sqref="M14:M17 M39 M21:M22 M24:M26 M19">
    <cfRule type="cellIs" dxfId="26" priority="19" operator="lessThan">
      <formula>15</formula>
    </cfRule>
    <cfRule type="cellIs" dxfId="25" priority="20" operator="greaterThan">
      <formula>20</formula>
    </cfRule>
    <cfRule type="cellIs" dxfId="24" priority="21" operator="between">
      <formula>15</formula>
      <formula>20</formula>
    </cfRule>
    <cfRule type="cellIs" dxfId="23" priority="22" operator="between">
      <formula>15</formula>
      <formula>20</formula>
    </cfRule>
    <cfRule type="cellIs" dxfId="22" priority="23" operator="lessThan">
      <formula>15</formula>
    </cfRule>
    <cfRule type="cellIs" dxfId="21" priority="24" operator="greaterThan">
      <formula>20</formula>
    </cfRule>
    <cfRule type="cellIs" dxfId="20" priority="25" operator="between">
      <formula>15</formula>
      <formula>21</formula>
    </cfRule>
    <cfRule type="cellIs" dxfId="19" priority="26" operator="lessThan">
      <formula>15</formula>
    </cfRule>
    <cfRule type="cellIs" dxfId="18" priority="27" operator="greaterThan">
      <formula>21</formula>
    </cfRule>
  </conditionalFormatting>
  <conditionalFormatting sqref="M9:M12">
    <cfRule type="cellIs" dxfId="17" priority="10" operator="lessThan">
      <formula>15</formula>
    </cfRule>
    <cfRule type="cellIs" dxfId="16" priority="11" operator="greaterThan">
      <formula>20</formula>
    </cfRule>
    <cfRule type="cellIs" dxfId="15" priority="12" operator="between">
      <formula>15</formula>
      <formula>20</formula>
    </cfRule>
    <cfRule type="cellIs" dxfId="14" priority="13" operator="between">
      <formula>15</formula>
      <formula>20</formula>
    </cfRule>
    <cfRule type="cellIs" dxfId="13" priority="14" operator="lessThan">
      <formula>15</formula>
    </cfRule>
    <cfRule type="cellIs" dxfId="12" priority="15" operator="greaterThan">
      <formula>20</formula>
    </cfRule>
    <cfRule type="cellIs" dxfId="11" priority="16" operator="between">
      <formula>15</formula>
      <formula>21</formula>
    </cfRule>
    <cfRule type="cellIs" dxfId="10" priority="17" operator="lessThan">
      <formula>15</formula>
    </cfRule>
    <cfRule type="cellIs" dxfId="9" priority="18" operator="greaterThan">
      <formula>21</formula>
    </cfRule>
  </conditionalFormatting>
  <conditionalFormatting sqref="M29:M32">
    <cfRule type="cellIs" dxfId="8" priority="1" operator="lessThan">
      <formula>15</formula>
    </cfRule>
    <cfRule type="cellIs" dxfId="7" priority="2" operator="greaterThan">
      <formula>20</formula>
    </cfRule>
    <cfRule type="cellIs" dxfId="6" priority="3" operator="between">
      <formula>15</formula>
      <formula>20</formula>
    </cfRule>
    <cfRule type="cellIs" dxfId="5" priority="4" operator="between">
      <formula>15</formula>
      <formula>20</formula>
    </cfRule>
    <cfRule type="cellIs" dxfId="4" priority="5" operator="lessThan">
      <formula>15</formula>
    </cfRule>
    <cfRule type="cellIs" dxfId="3" priority="6" operator="greaterThan">
      <formula>20</formula>
    </cfRule>
    <cfRule type="cellIs" dxfId="2" priority="7" operator="between">
      <formula>15</formula>
      <formula>21</formula>
    </cfRule>
    <cfRule type="cellIs" dxfId="1" priority="8" operator="lessThan">
      <formula>15</formula>
    </cfRule>
    <cfRule type="cellIs" dxfId="0" priority="9" operator="greaterThan">
      <formula>21</formula>
    </cfRule>
  </conditionalFormatting>
  <hyperlinks>
    <hyperlink ref="M5" location="'TỔNG HỢP THÁNG'!A1" display="'TỔNG HỢP THÁNG'!A1"/>
  </hyperlinks>
  <pageMargins left="0.39370078740157483" right="0" top="0" bottom="0" header="0" footer="0"/>
  <pageSetup paperSize="8" orientation="landscape" horizontalDpi="4294967292"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opLeftCell="A97" workbookViewId="0"/>
  </sheetViews>
  <sheetFormatPr defaultRowHeight="15"/>
  <cols>
    <col min="1" max="1" width="4.28515625" style="830" customWidth="1"/>
    <col min="2" max="2" width="16" style="829" customWidth="1"/>
    <col min="3" max="3" width="32.42578125" style="829" customWidth="1"/>
    <col min="4" max="4" width="5.28515625" style="829" customWidth="1"/>
    <col min="5" max="7" width="14.42578125" style="829" customWidth="1"/>
    <col min="8" max="16384" width="9.140625" style="829"/>
  </cols>
  <sheetData>
    <row r="1" spans="1:7">
      <c r="A1" s="831" t="s">
        <v>111</v>
      </c>
      <c r="B1" s="318"/>
      <c r="C1" s="318"/>
      <c r="D1" s="318"/>
    </row>
    <row r="2" spans="1:7">
      <c r="A2" s="323" t="s">
        <v>173</v>
      </c>
    </row>
    <row r="3" spans="1:7">
      <c r="A3" s="323"/>
    </row>
    <row r="4" spans="1:7" ht="20.25">
      <c r="A4" s="1562" t="s">
        <v>480</v>
      </c>
      <c r="B4" s="1562"/>
      <c r="C4" s="1562"/>
      <c r="D4" s="1562"/>
      <c r="E4" s="1562"/>
      <c r="F4" s="1562"/>
      <c r="G4" s="839"/>
    </row>
    <row r="5" spans="1:7">
      <c r="A5" s="1563" t="s">
        <v>481</v>
      </c>
      <c r="B5" s="1563"/>
      <c r="C5" s="1563"/>
      <c r="D5" s="1563"/>
      <c r="E5" s="1563"/>
      <c r="F5" s="1563"/>
      <c r="G5" s="840"/>
    </row>
    <row r="6" spans="1:7">
      <c r="A6" s="844"/>
      <c r="B6" s="844"/>
      <c r="C6" s="844"/>
      <c r="D6" s="844"/>
      <c r="E6" s="844"/>
      <c r="F6" s="844"/>
      <c r="G6" s="844"/>
    </row>
    <row r="7" spans="1:7" s="835" customFormat="1" ht="14.25">
      <c r="A7" s="1548" t="s">
        <v>682</v>
      </c>
      <c r="B7" s="1548" t="s">
        <v>116</v>
      </c>
      <c r="C7" s="1548" t="s">
        <v>482</v>
      </c>
      <c r="D7" s="1548" t="s">
        <v>683</v>
      </c>
      <c r="E7" s="1548" t="s">
        <v>686</v>
      </c>
      <c r="F7" s="1548"/>
      <c r="G7" s="1662" t="s">
        <v>687</v>
      </c>
    </row>
    <row r="8" spans="1:7" s="835" customFormat="1" ht="14.25">
      <c r="A8" s="1548"/>
      <c r="B8" s="1548"/>
      <c r="C8" s="1548"/>
      <c r="D8" s="1548"/>
      <c r="E8" s="836" t="s">
        <v>6</v>
      </c>
      <c r="F8" s="837" t="s">
        <v>12</v>
      </c>
      <c r="G8" s="1663"/>
    </row>
    <row r="9" spans="1:7">
      <c r="A9" s="832">
        <v>1</v>
      </c>
      <c r="B9" s="833" t="s">
        <v>483</v>
      </c>
      <c r="C9" s="833" t="s">
        <v>484</v>
      </c>
      <c r="D9" s="832" t="s">
        <v>193</v>
      </c>
      <c r="E9" s="834">
        <f>'FRIT PT02-PĐ'!F40</f>
        <v>0</v>
      </c>
      <c r="F9" s="834">
        <f>'FRIT PT02-PĐ'!G40</f>
        <v>0</v>
      </c>
      <c r="G9" s="834"/>
    </row>
    <row r="10" spans="1:7">
      <c r="A10" s="832">
        <v>2</v>
      </c>
      <c r="B10" s="833" t="s">
        <v>485</v>
      </c>
      <c r="C10" s="833" t="s">
        <v>486</v>
      </c>
      <c r="D10" s="832" t="s">
        <v>193</v>
      </c>
      <c r="E10" s="834">
        <f>'FRIT FV 090.540 - FTA'!F40</f>
        <v>0</v>
      </c>
      <c r="F10" s="834">
        <f>'FRIT FV 090.540 - FTA'!G40</f>
        <v>0</v>
      </c>
      <c r="G10" s="834"/>
    </row>
    <row r="11" spans="1:7">
      <c r="A11" s="832">
        <v>3</v>
      </c>
      <c r="B11" s="833" t="s">
        <v>487</v>
      </c>
      <c r="C11" s="833" t="s">
        <v>488</v>
      </c>
      <c r="D11" s="832" t="s">
        <v>193</v>
      </c>
      <c r="E11" s="834">
        <f>'NHÔM ÔXIT AL2O3-HNP'!F40</f>
        <v>3986</v>
      </c>
      <c r="F11" s="834">
        <f>'NHÔM ÔXIT AL2O3-HNP'!G40</f>
        <v>3986</v>
      </c>
      <c r="G11" s="834"/>
    </row>
    <row r="12" spans="1:7">
      <c r="A12" s="832">
        <v>4</v>
      </c>
      <c r="B12" s="833" t="s">
        <v>489</v>
      </c>
      <c r="C12" s="833" t="s">
        <v>490</v>
      </c>
      <c r="D12" s="832" t="s">
        <v>193</v>
      </c>
      <c r="E12" s="834">
        <f>'KAOLIN 1C-IMR'!F40</f>
        <v>0</v>
      </c>
      <c r="F12" s="834">
        <f>'KAOLIN 1C-IMR'!G40</f>
        <v>0</v>
      </c>
      <c r="G12" s="834"/>
    </row>
    <row r="13" spans="1:7">
      <c r="A13" s="832">
        <v>5</v>
      </c>
      <c r="B13" s="833" t="s">
        <v>491</v>
      </c>
      <c r="C13" s="833" t="s">
        <v>492</v>
      </c>
      <c r="D13" s="832" t="s">
        <v>193</v>
      </c>
      <c r="E13" s="834">
        <v>0</v>
      </c>
      <c r="F13" s="834">
        <v>0</v>
      </c>
      <c r="G13" s="834"/>
    </row>
    <row r="14" spans="1:7">
      <c r="A14" s="832">
        <v>6</v>
      </c>
      <c r="B14" s="833" t="s">
        <v>493</v>
      </c>
      <c r="C14" s="833" t="s">
        <v>494</v>
      </c>
      <c r="D14" s="832" t="s">
        <v>193</v>
      </c>
      <c r="E14" s="834">
        <v>0</v>
      </c>
      <c r="F14" s="834">
        <v>0</v>
      </c>
      <c r="G14" s="834"/>
    </row>
    <row r="15" spans="1:7">
      <c r="A15" s="832">
        <v>7</v>
      </c>
      <c r="B15" s="833" t="s">
        <v>495</v>
      </c>
      <c r="C15" s="833" t="s">
        <v>496</v>
      </c>
      <c r="D15" s="832" t="s">
        <v>193</v>
      </c>
      <c r="E15" s="834">
        <f>'BẢ MEN'!F40</f>
        <v>0</v>
      </c>
      <c r="F15" s="834">
        <f>'BẢ MEN'!G40</f>
        <v>0</v>
      </c>
      <c r="G15" s="834"/>
    </row>
    <row r="16" spans="1:7">
      <c r="A16" s="832">
        <v>8</v>
      </c>
      <c r="B16" s="833" t="s">
        <v>497</v>
      </c>
      <c r="C16" s="833" t="s">
        <v>498</v>
      </c>
      <c r="D16" s="832" t="s">
        <v>193</v>
      </c>
      <c r="E16" s="834">
        <f>'FRIT FO113-FHU'!F40</f>
        <v>37545</v>
      </c>
      <c r="F16" s="834">
        <f>'FRIT FO113-FHU'!G40</f>
        <v>37937</v>
      </c>
      <c r="G16" s="834"/>
    </row>
    <row r="17" spans="1:7">
      <c r="A17" s="832">
        <v>9</v>
      </c>
      <c r="B17" s="833" t="s">
        <v>499</v>
      </c>
      <c r="C17" s="833" t="s">
        <v>500</v>
      </c>
      <c r="D17" s="832" t="s">
        <v>193</v>
      </c>
      <c r="E17" s="834">
        <f>'P. FELDSPAR K200-AD'!F40</f>
        <v>0</v>
      </c>
      <c r="F17" s="834">
        <f>'P. FELDSPAR K200-AD'!G40</f>
        <v>0</v>
      </c>
      <c r="G17" s="834"/>
    </row>
    <row r="18" spans="1:7">
      <c r="A18" s="832">
        <v>10</v>
      </c>
      <c r="B18" s="833" t="s">
        <v>501</v>
      </c>
      <c r="C18" s="833" t="s">
        <v>502</v>
      </c>
      <c r="D18" s="832" t="s">
        <v>193</v>
      </c>
      <c r="E18" s="834">
        <v>0</v>
      </c>
      <c r="F18" s="834">
        <v>0</v>
      </c>
      <c r="G18" s="834"/>
    </row>
    <row r="19" spans="1:7">
      <c r="A19" s="832">
        <v>11</v>
      </c>
      <c r="B19" s="833" t="s">
        <v>503</v>
      </c>
      <c r="C19" s="833" t="s">
        <v>504</v>
      </c>
      <c r="D19" s="832" t="s">
        <v>193</v>
      </c>
      <c r="E19" s="834">
        <v>0</v>
      </c>
      <c r="F19" s="834">
        <v>0</v>
      </c>
      <c r="G19" s="834"/>
    </row>
    <row r="20" spans="1:7">
      <c r="A20" s="832">
        <v>12</v>
      </c>
      <c r="B20" s="833" t="s">
        <v>505</v>
      </c>
      <c r="C20" s="833" t="s">
        <v>506</v>
      </c>
      <c r="D20" s="832" t="s">
        <v>193</v>
      </c>
      <c r="E20" s="834">
        <v>0</v>
      </c>
      <c r="F20" s="834">
        <v>0</v>
      </c>
      <c r="G20" s="834"/>
    </row>
    <row r="21" spans="1:7">
      <c r="A21" s="832">
        <v>13</v>
      </c>
      <c r="B21" s="833" t="s">
        <v>507</v>
      </c>
      <c r="C21" s="833" t="s">
        <v>508</v>
      </c>
      <c r="D21" s="832" t="s">
        <v>193</v>
      </c>
      <c r="E21" s="834">
        <v>0</v>
      </c>
      <c r="F21" s="834">
        <v>0</v>
      </c>
      <c r="G21" s="834"/>
    </row>
    <row r="22" spans="1:7">
      <c r="A22" s="832">
        <v>14</v>
      </c>
      <c r="B22" s="833" t="s">
        <v>509</v>
      </c>
      <c r="C22" s="833" t="s">
        <v>510</v>
      </c>
      <c r="D22" s="832" t="s">
        <v>193</v>
      </c>
      <c r="E22" s="834">
        <v>0</v>
      </c>
      <c r="F22" s="834">
        <v>0</v>
      </c>
      <c r="G22" s="834"/>
    </row>
    <row r="23" spans="1:7">
      <c r="A23" s="832">
        <v>15</v>
      </c>
      <c r="B23" s="833" t="s">
        <v>511</v>
      </c>
      <c r="C23" s="833" t="s">
        <v>512</v>
      </c>
      <c r="D23" s="832" t="s">
        <v>193</v>
      </c>
      <c r="E23" s="834">
        <v>0</v>
      </c>
      <c r="F23" s="834">
        <v>0</v>
      </c>
      <c r="G23" s="834"/>
    </row>
    <row r="24" spans="1:7">
      <c r="A24" s="832">
        <v>16</v>
      </c>
      <c r="B24" s="833" t="s">
        <v>513</v>
      </c>
      <c r="C24" s="833" t="s">
        <v>514</v>
      </c>
      <c r="D24" s="832" t="s">
        <v>193</v>
      </c>
      <c r="E24" s="834">
        <f>'FRIT A106 -ACV'!F40</f>
        <v>12480</v>
      </c>
      <c r="F24" s="834">
        <f>'FRIT FO113-FHU'!G40</f>
        <v>37937</v>
      </c>
      <c r="G24" s="834"/>
    </row>
    <row r="25" spans="1:7">
      <c r="A25" s="832">
        <v>17</v>
      </c>
      <c r="B25" s="833" t="s">
        <v>515</v>
      </c>
      <c r="C25" s="833" t="s">
        <v>516</v>
      </c>
      <c r="D25" s="832" t="s">
        <v>193</v>
      </c>
      <c r="E25" s="834">
        <v>0</v>
      </c>
      <c r="F25" s="834">
        <v>0</v>
      </c>
      <c r="G25" s="834"/>
    </row>
    <row r="26" spans="1:7">
      <c r="A26" s="832">
        <v>18</v>
      </c>
      <c r="B26" s="833" t="s">
        <v>517</v>
      </c>
      <c r="C26" s="833" t="s">
        <v>518</v>
      </c>
      <c r="D26" s="832" t="s">
        <v>193</v>
      </c>
      <c r="E26" s="834">
        <v>0</v>
      </c>
      <c r="F26" s="834">
        <v>0</v>
      </c>
      <c r="G26" s="834"/>
    </row>
    <row r="27" spans="1:7">
      <c r="A27" s="832">
        <v>19</v>
      </c>
      <c r="B27" s="833" t="s">
        <v>519</v>
      </c>
      <c r="C27" s="833" t="s">
        <v>520</v>
      </c>
      <c r="D27" s="832" t="s">
        <v>193</v>
      </c>
      <c r="E27" s="834">
        <v>0</v>
      </c>
      <c r="F27" s="834">
        <v>0</v>
      </c>
      <c r="G27" s="834"/>
    </row>
    <row r="28" spans="1:7">
      <c r="A28" s="832">
        <v>20</v>
      </c>
      <c r="B28" s="833" t="s">
        <v>521</v>
      </c>
      <c r="C28" s="833" t="s">
        <v>522</v>
      </c>
      <c r="D28" s="832" t="s">
        <v>193</v>
      </c>
      <c r="E28" s="834">
        <v>0</v>
      </c>
      <c r="F28" s="834">
        <v>0</v>
      </c>
      <c r="G28" s="834"/>
    </row>
    <row r="29" spans="1:7">
      <c r="A29" s="832">
        <v>21</v>
      </c>
      <c r="B29" s="833" t="s">
        <v>523</v>
      </c>
      <c r="C29" s="833" t="s">
        <v>162</v>
      </c>
      <c r="D29" s="832" t="s">
        <v>193</v>
      </c>
      <c r="E29" s="834">
        <v>0</v>
      </c>
      <c r="F29" s="834">
        <v>0</v>
      </c>
      <c r="G29" s="834"/>
    </row>
    <row r="30" spans="1:7">
      <c r="A30" s="832">
        <v>22</v>
      </c>
      <c r="B30" s="833" t="s">
        <v>524</v>
      </c>
      <c r="C30" s="833" t="s">
        <v>525</v>
      </c>
      <c r="D30" s="832" t="s">
        <v>193</v>
      </c>
      <c r="E30" s="834">
        <v>0</v>
      </c>
      <c r="F30" s="834">
        <v>0</v>
      </c>
      <c r="G30" s="834"/>
    </row>
    <row r="31" spans="1:7">
      <c r="A31" s="832">
        <v>23</v>
      </c>
      <c r="B31" s="833" t="s">
        <v>526</v>
      </c>
      <c r="C31" s="833" t="s">
        <v>165</v>
      </c>
      <c r="D31" s="832" t="s">
        <v>193</v>
      </c>
      <c r="E31" s="834">
        <v>0</v>
      </c>
      <c r="F31" s="834">
        <v>0</v>
      </c>
      <c r="G31" s="834"/>
    </row>
    <row r="32" spans="1:7">
      <c r="A32" s="832">
        <v>24</v>
      </c>
      <c r="B32" s="833" t="s">
        <v>527</v>
      </c>
      <c r="C32" s="833" t="s">
        <v>528</v>
      </c>
      <c r="D32" s="832" t="s">
        <v>193</v>
      </c>
      <c r="E32" s="834">
        <v>0</v>
      </c>
      <c r="F32" s="834">
        <v>0</v>
      </c>
      <c r="G32" s="834"/>
    </row>
    <row r="33" spans="1:7">
      <c r="A33" s="832">
        <v>25</v>
      </c>
      <c r="B33" s="833" t="s">
        <v>529</v>
      </c>
      <c r="C33" s="833" t="s">
        <v>530</v>
      </c>
      <c r="D33" s="832" t="s">
        <v>193</v>
      </c>
      <c r="E33" s="834">
        <v>0</v>
      </c>
      <c r="F33" s="834">
        <v>0</v>
      </c>
      <c r="G33" s="834"/>
    </row>
    <row r="34" spans="1:7">
      <c r="A34" s="832">
        <v>26</v>
      </c>
      <c r="B34" s="833" t="s">
        <v>531</v>
      </c>
      <c r="C34" s="833" t="s">
        <v>164</v>
      </c>
      <c r="D34" s="832" t="s">
        <v>193</v>
      </c>
      <c r="E34" s="834">
        <f>'M004'!F40</f>
        <v>0</v>
      </c>
      <c r="F34" s="834">
        <f>'M004'!G40</f>
        <v>0</v>
      </c>
      <c r="G34" s="834"/>
    </row>
    <row r="35" spans="1:7">
      <c r="A35" s="832">
        <v>27</v>
      </c>
      <c r="B35" s="833" t="s">
        <v>532</v>
      </c>
      <c r="C35" s="833" t="s">
        <v>163</v>
      </c>
      <c r="D35" s="832" t="s">
        <v>193</v>
      </c>
      <c r="E35" s="834">
        <v>0</v>
      </c>
      <c r="F35" s="834">
        <v>0</v>
      </c>
      <c r="G35" s="834"/>
    </row>
    <row r="36" spans="1:7">
      <c r="A36" s="832">
        <v>28</v>
      </c>
      <c r="B36" s="833" t="s">
        <v>533</v>
      </c>
      <c r="C36" s="833" t="s">
        <v>534</v>
      </c>
      <c r="D36" s="832" t="s">
        <v>193</v>
      </c>
      <c r="E36" s="834">
        <f>'FRIT HGE91-FHG'!F40</f>
        <v>14101</v>
      </c>
      <c r="F36" s="834">
        <f>'FRIT HGE91-FHG'!G40</f>
        <v>14286</v>
      </c>
      <c r="G36" s="834"/>
    </row>
    <row r="37" spans="1:7">
      <c r="A37" s="832">
        <v>29</v>
      </c>
      <c r="B37" s="833" t="s">
        <v>535</v>
      </c>
      <c r="C37" s="833" t="s">
        <v>536</v>
      </c>
      <c r="D37" s="832" t="s">
        <v>193</v>
      </c>
      <c r="E37" s="834">
        <f>'TT KALI K200'!F40</f>
        <v>20722</v>
      </c>
      <c r="F37" s="834">
        <f>'TT KALI K200'!G40</f>
        <v>20722</v>
      </c>
      <c r="G37" s="834"/>
    </row>
    <row r="38" spans="1:7">
      <c r="A38" s="832">
        <v>30</v>
      </c>
      <c r="B38" s="833" t="s">
        <v>537</v>
      </c>
      <c r="C38" s="833" t="s">
        <v>538</v>
      </c>
      <c r="D38" s="832" t="s">
        <v>193</v>
      </c>
      <c r="E38" s="834">
        <f>'MT03VT-QĐ'!F40</f>
        <v>0</v>
      </c>
      <c r="F38" s="834">
        <f>'MT03VT-QĐ'!G40</f>
        <v>0</v>
      </c>
      <c r="G38" s="834"/>
    </row>
    <row r="39" spans="1:7">
      <c r="A39" s="832">
        <v>31</v>
      </c>
      <c r="B39" s="833" t="s">
        <v>539</v>
      </c>
      <c r="C39" s="833" t="s">
        <v>540</v>
      </c>
      <c r="D39" s="832" t="s">
        <v>193</v>
      </c>
      <c r="E39" s="834">
        <f>'Y327-QĐ'!F40</f>
        <v>0</v>
      </c>
      <c r="F39" s="834">
        <f>'Y327-QĐ'!G40</f>
        <v>0</v>
      </c>
      <c r="G39" s="834"/>
    </row>
    <row r="40" spans="1:7">
      <c r="A40" s="832">
        <v>32</v>
      </c>
      <c r="B40" s="833" t="s">
        <v>541</v>
      </c>
      <c r="C40" s="833" t="s">
        <v>542</v>
      </c>
      <c r="D40" s="832" t="s">
        <v>193</v>
      </c>
      <c r="E40" s="834">
        <f>'MT812-QĐ '!F40</f>
        <v>0</v>
      </c>
      <c r="F40" s="834">
        <f>'MT812-QĐ '!G40</f>
        <v>0</v>
      </c>
      <c r="G40" s="834"/>
    </row>
    <row r="41" spans="1:7">
      <c r="A41" s="832">
        <v>33</v>
      </c>
      <c r="B41" s="833" t="s">
        <v>543</v>
      </c>
      <c r="C41" s="833" t="s">
        <v>544</v>
      </c>
      <c r="D41" s="832" t="s">
        <v>193</v>
      </c>
      <c r="E41" s="834">
        <f>'BF-002A-QĐ '!F40</f>
        <v>0</v>
      </c>
      <c r="F41" s="834">
        <f>'BF-002A-QĐ '!G40</f>
        <v>0</v>
      </c>
      <c r="G41" s="834"/>
    </row>
    <row r="42" spans="1:7">
      <c r="A42" s="832">
        <v>34</v>
      </c>
      <c r="B42" s="833" t="s">
        <v>545</v>
      </c>
      <c r="C42" s="833" t="s">
        <v>546</v>
      </c>
      <c r="D42" s="832" t="s">
        <v>193</v>
      </c>
      <c r="E42" s="834">
        <v>0</v>
      </c>
      <c r="F42" s="834">
        <v>0</v>
      </c>
      <c r="G42" s="834"/>
    </row>
    <row r="43" spans="1:7">
      <c r="A43" s="832">
        <v>35</v>
      </c>
      <c r="B43" s="833" t="s">
        <v>547</v>
      </c>
      <c r="C43" s="833" t="s">
        <v>548</v>
      </c>
      <c r="D43" s="832" t="s">
        <v>193</v>
      </c>
      <c r="E43" s="834">
        <f>'FRIT A609'!F40</f>
        <v>24120</v>
      </c>
      <c r="F43" s="834">
        <f>'FRIT A609'!G40</f>
        <v>24313</v>
      </c>
      <c r="G43" s="834"/>
    </row>
    <row r="44" spans="1:7">
      <c r="A44" s="832">
        <v>36</v>
      </c>
      <c r="B44" s="833" t="s">
        <v>549</v>
      </c>
      <c r="C44" s="833" t="s">
        <v>330</v>
      </c>
      <c r="D44" s="832" t="s">
        <v>193</v>
      </c>
      <c r="E44" s="834">
        <v>0</v>
      </c>
      <c r="F44" s="834">
        <v>0</v>
      </c>
      <c r="G44" s="834"/>
    </row>
    <row r="45" spans="1:7">
      <c r="A45" s="832">
        <v>37</v>
      </c>
      <c r="B45" s="833" t="s">
        <v>550</v>
      </c>
      <c r="C45" s="833" t="s">
        <v>451</v>
      </c>
      <c r="D45" s="832" t="s">
        <v>193</v>
      </c>
      <c r="E45" s="834">
        <v>0</v>
      </c>
      <c r="F45" s="834">
        <v>0</v>
      </c>
      <c r="G45" s="834"/>
    </row>
    <row r="46" spans="1:7">
      <c r="A46" s="832">
        <v>38</v>
      </c>
      <c r="B46" s="833" t="s">
        <v>551</v>
      </c>
      <c r="C46" s="833" t="s">
        <v>552</v>
      </c>
      <c r="D46" s="832" t="s">
        <v>193</v>
      </c>
      <c r="E46" s="834">
        <f>'MT616-QĐ'!F40</f>
        <v>0</v>
      </c>
      <c r="F46" s="834">
        <f>'MT616-QĐ'!G40</f>
        <v>0</v>
      </c>
      <c r="G46" s="834"/>
    </row>
    <row r="47" spans="1:7">
      <c r="A47" s="832">
        <v>39</v>
      </c>
      <c r="B47" s="833" t="s">
        <v>553</v>
      </c>
      <c r="C47" s="833" t="s">
        <v>554</v>
      </c>
      <c r="D47" s="832" t="s">
        <v>193</v>
      </c>
      <c r="E47" s="834">
        <v>0</v>
      </c>
      <c r="F47" s="834">
        <v>0</v>
      </c>
      <c r="G47" s="834"/>
    </row>
    <row r="48" spans="1:7">
      <c r="A48" s="832">
        <v>40</v>
      </c>
      <c r="B48" s="833" t="s">
        <v>555</v>
      </c>
      <c r="C48" s="833" t="s">
        <v>556</v>
      </c>
      <c r="D48" s="832" t="s">
        <v>193</v>
      </c>
      <c r="E48" s="834">
        <f>'FRIT 1089-ACV'!F40</f>
        <v>0</v>
      </c>
      <c r="F48" s="834">
        <f>'FRIT 1089-ACV'!G40</f>
        <v>0</v>
      </c>
      <c r="G48" s="834"/>
    </row>
    <row r="49" spans="1:7">
      <c r="A49" s="832">
        <v>41</v>
      </c>
      <c r="B49" s="833" t="s">
        <v>557</v>
      </c>
      <c r="C49" s="833" t="s">
        <v>558</v>
      </c>
      <c r="D49" s="832" t="s">
        <v>193</v>
      </c>
      <c r="E49" s="834">
        <f>'FRIT A608 ACV'!F40</f>
        <v>0</v>
      </c>
      <c r="F49" s="834">
        <f>'FRIT A608 ACV'!G40</f>
        <v>0</v>
      </c>
      <c r="G49" s="834"/>
    </row>
    <row r="50" spans="1:7">
      <c r="A50" s="832">
        <v>42</v>
      </c>
      <c r="B50" s="833" t="s">
        <v>559</v>
      </c>
      <c r="C50" s="833" t="s">
        <v>560</v>
      </c>
      <c r="D50" s="832" t="s">
        <v>193</v>
      </c>
      <c r="E50" s="834">
        <f>'FRIT 502-ACV'!F40</f>
        <v>38925</v>
      </c>
      <c r="F50" s="834">
        <f>'FRIT 502-ACV'!G40</f>
        <v>39387</v>
      </c>
      <c r="G50" s="834"/>
    </row>
    <row r="51" spans="1:7">
      <c r="A51" s="832">
        <v>43</v>
      </c>
      <c r="B51" s="833" t="s">
        <v>561</v>
      </c>
      <c r="C51" s="833" t="s">
        <v>562</v>
      </c>
      <c r="D51" s="832" t="s">
        <v>193</v>
      </c>
      <c r="E51" s="834">
        <f>'FRIT FS459 FHU'!F40</f>
        <v>0</v>
      </c>
      <c r="F51" s="834">
        <f>'FRIT FS459 FHU'!G40</f>
        <v>0</v>
      </c>
      <c r="G51" s="834"/>
    </row>
    <row r="52" spans="1:7">
      <c r="A52" s="832">
        <v>44</v>
      </c>
      <c r="B52" s="833" t="s">
        <v>563</v>
      </c>
      <c r="C52" s="833" t="s">
        <v>564</v>
      </c>
      <c r="D52" s="832" t="s">
        <v>193</v>
      </c>
      <c r="E52" s="834">
        <f>'STTP-HNP'!F40</f>
        <v>2160.4999999999995</v>
      </c>
      <c r="F52" s="834">
        <f>E52</f>
        <v>2160.4999999999995</v>
      </c>
      <c r="G52" s="834"/>
    </row>
    <row r="53" spans="1:7">
      <c r="A53" s="832">
        <v>45</v>
      </c>
      <c r="B53" s="833" t="s">
        <v>565</v>
      </c>
      <c r="C53" s="833" t="s">
        <v>566</v>
      </c>
      <c r="D53" s="832" t="s">
        <v>193</v>
      </c>
      <c r="E53" s="834">
        <f>'ROCIMA 623-HVC'!F40</f>
        <v>0</v>
      </c>
      <c r="F53" s="834">
        <f>E53</f>
        <v>0</v>
      </c>
      <c r="G53" s="834"/>
    </row>
    <row r="54" spans="1:7">
      <c r="A54" s="832">
        <v>46</v>
      </c>
      <c r="B54" s="833" t="s">
        <v>567</v>
      </c>
      <c r="C54" s="833" t="s">
        <v>568</v>
      </c>
      <c r="D54" s="832" t="s">
        <v>193</v>
      </c>
      <c r="E54" s="834">
        <f>'ZIRCON ZS012-LGP'!F40</f>
        <v>0</v>
      </c>
      <c r="F54" s="834">
        <f>'ZIRCON ZS012-LGP'!G40</f>
        <v>0</v>
      </c>
      <c r="G54" s="834"/>
    </row>
    <row r="55" spans="1:7">
      <c r="A55" s="832">
        <v>47</v>
      </c>
      <c r="B55" s="833" t="s">
        <v>569</v>
      </c>
      <c r="C55" s="833" t="s">
        <v>570</v>
      </c>
      <c r="D55" s="832" t="s">
        <v>193</v>
      </c>
      <c r="E55" s="834">
        <f>'FRIT HGT03-FHG'!F40</f>
        <v>0</v>
      </c>
      <c r="F55" s="834">
        <f>'FRIT HGT03-FHG'!G40</f>
        <v>0</v>
      </c>
      <c r="G55" s="834"/>
    </row>
    <row r="56" spans="1:7">
      <c r="A56" s="832">
        <v>48</v>
      </c>
      <c r="B56" s="833" t="s">
        <v>571</v>
      </c>
      <c r="C56" s="833" t="s">
        <v>572</v>
      </c>
      <c r="D56" s="832" t="s">
        <v>193</v>
      </c>
      <c r="E56" s="834">
        <f>'CMC T26'!F40</f>
        <v>0</v>
      </c>
      <c r="F56" s="834">
        <f>E56</f>
        <v>0</v>
      </c>
      <c r="G56" s="834"/>
    </row>
    <row r="57" spans="1:7">
      <c r="A57" s="832">
        <v>49</v>
      </c>
      <c r="B57" s="833" t="s">
        <v>573</v>
      </c>
      <c r="C57" s="833" t="s">
        <v>574</v>
      </c>
      <c r="D57" s="832" t="s">
        <v>193</v>
      </c>
      <c r="E57" s="834">
        <f>'FRIT HGT05-FHG '!F40</f>
        <v>39690</v>
      </c>
      <c r="F57" s="834">
        <f>'FRIT HGT05-FHG '!G40</f>
        <v>39974</v>
      </c>
      <c r="G57" s="834"/>
    </row>
    <row r="58" spans="1:7">
      <c r="A58" s="832">
        <v>50</v>
      </c>
      <c r="B58" s="833" t="s">
        <v>575</v>
      </c>
      <c r="C58" s="833" t="s">
        <v>576</v>
      </c>
      <c r="D58" s="832" t="s">
        <v>193</v>
      </c>
      <c r="E58" s="834">
        <f>'COMPOUD TRÁNG ĐẾ'!F40</f>
        <v>3600</v>
      </c>
      <c r="F58" s="834">
        <f>E58</f>
        <v>3600</v>
      </c>
      <c r="G58" s="834"/>
    </row>
    <row r="59" spans="1:7">
      <c r="A59" s="832">
        <v>51</v>
      </c>
      <c r="B59" s="833" t="s">
        <v>577</v>
      </c>
      <c r="C59" s="833" t="s">
        <v>578</v>
      </c>
      <c r="D59" s="832" t="s">
        <v>193</v>
      </c>
      <c r="E59" s="834">
        <v>0</v>
      </c>
      <c r="F59" s="834">
        <v>0</v>
      </c>
      <c r="G59" s="834"/>
    </row>
    <row r="60" spans="1:7">
      <c r="A60" s="832">
        <v>52</v>
      </c>
      <c r="B60" s="833" t="s">
        <v>579</v>
      </c>
      <c r="C60" s="833" t="s">
        <v>580</v>
      </c>
      <c r="D60" s="832" t="s">
        <v>193</v>
      </c>
      <c r="E60" s="834">
        <v>0</v>
      </c>
      <c r="F60" s="834">
        <v>0</v>
      </c>
      <c r="G60" s="834"/>
    </row>
    <row r="61" spans="1:7">
      <c r="A61" s="832">
        <v>53</v>
      </c>
      <c r="B61" s="833" t="s">
        <v>581</v>
      </c>
      <c r="C61" s="833" t="s">
        <v>582</v>
      </c>
      <c r="D61" s="832" t="s">
        <v>193</v>
      </c>
      <c r="E61" s="834">
        <v>0</v>
      </c>
      <c r="F61" s="834">
        <v>0</v>
      </c>
      <c r="G61" s="834"/>
    </row>
    <row r="62" spans="1:7">
      <c r="A62" s="832">
        <v>54</v>
      </c>
      <c r="B62" s="833" t="s">
        <v>583</v>
      </c>
      <c r="C62" s="833" t="s">
        <v>584</v>
      </c>
      <c r="D62" s="832" t="s">
        <v>193</v>
      </c>
      <c r="E62" s="834">
        <v>0</v>
      </c>
      <c r="F62" s="834">
        <v>0</v>
      </c>
      <c r="G62" s="834"/>
    </row>
    <row r="63" spans="1:7">
      <c r="A63" s="832">
        <v>55</v>
      </c>
      <c r="B63" s="833" t="s">
        <v>585</v>
      </c>
      <c r="C63" s="833" t="s">
        <v>586</v>
      </c>
      <c r="D63" s="832" t="s">
        <v>193</v>
      </c>
      <c r="E63" s="834">
        <f>'KAOLANH AA INDO'!F40</f>
        <v>15512</v>
      </c>
      <c r="F63" s="834">
        <f>'KAOLANH AA INDO'!G40</f>
        <v>21039</v>
      </c>
      <c r="G63" s="834"/>
    </row>
    <row r="64" spans="1:7">
      <c r="A64" s="832">
        <v>56</v>
      </c>
      <c r="B64" s="833" t="s">
        <v>587</v>
      </c>
      <c r="C64" s="833" t="s">
        <v>588</v>
      </c>
      <c r="D64" s="832" t="s">
        <v>193</v>
      </c>
      <c r="E64" s="834">
        <f>'FRIT VFT03'!F40</f>
        <v>0</v>
      </c>
      <c r="F64" s="834">
        <f>'FRIT VFT03'!G40</f>
        <v>0</v>
      </c>
      <c r="G64" s="834"/>
    </row>
    <row r="65" spans="1:7">
      <c r="A65" s="832">
        <v>57</v>
      </c>
      <c r="B65" s="833" t="s">
        <v>589</v>
      </c>
      <c r="C65" s="833" t="s">
        <v>590</v>
      </c>
      <c r="D65" s="832" t="s">
        <v>193</v>
      </c>
      <c r="E65" s="834"/>
      <c r="F65" s="834">
        <f>'MÀU BE BG9454'!F40</f>
        <v>160</v>
      </c>
      <c r="G65" s="834"/>
    </row>
    <row r="66" spans="1:7">
      <c r="A66" s="832">
        <v>58</v>
      </c>
      <c r="B66" s="833" t="s">
        <v>591</v>
      </c>
      <c r="C66" s="833" t="s">
        <v>592</v>
      </c>
      <c r="D66" s="832" t="s">
        <v>193</v>
      </c>
      <c r="E66" s="834"/>
      <c r="F66" s="834">
        <f>'DD RỬA ĐẦU IN PL0115'!F40</f>
        <v>0</v>
      </c>
      <c r="G66" s="834"/>
    </row>
    <row r="67" spans="1:7">
      <c r="A67" s="832">
        <v>59</v>
      </c>
      <c r="B67" s="833" t="s">
        <v>593</v>
      </c>
      <c r="C67" s="833" t="s">
        <v>594</v>
      </c>
      <c r="D67" s="832" t="s">
        <v>193</v>
      </c>
      <c r="E67" s="834"/>
      <c r="F67" s="834">
        <f>'DD RỬA MÁY IN PL0101'!F40</f>
        <v>0</v>
      </c>
      <c r="G67" s="834"/>
    </row>
    <row r="68" spans="1:7">
      <c r="A68" s="832">
        <v>60</v>
      </c>
      <c r="B68" s="833" t="s">
        <v>595</v>
      </c>
      <c r="C68" s="833" t="s">
        <v>596</v>
      </c>
      <c r="D68" s="832" t="s">
        <v>193</v>
      </c>
      <c r="E68" s="834"/>
      <c r="F68" s="834">
        <f>'MÀU XANH AZ1476'!F40</f>
        <v>705</v>
      </c>
      <c r="G68" s="834"/>
    </row>
    <row r="69" spans="1:7">
      <c r="A69" s="832">
        <v>61</v>
      </c>
      <c r="B69" s="833" t="s">
        <v>597</v>
      </c>
      <c r="C69" s="833" t="s">
        <v>598</v>
      </c>
      <c r="D69" s="832" t="s">
        <v>193</v>
      </c>
      <c r="E69" s="834"/>
      <c r="F69" s="834">
        <f>'MÀU VÀNG CIK-AM5456'!F40</f>
        <v>810</v>
      </c>
      <c r="G69" s="834"/>
    </row>
    <row r="70" spans="1:7">
      <c r="A70" s="832">
        <v>62</v>
      </c>
      <c r="B70" s="833" t="s">
        <v>599</v>
      </c>
      <c r="C70" s="833" t="s">
        <v>600</v>
      </c>
      <c r="D70" s="832" t="s">
        <v>193</v>
      </c>
      <c r="E70" s="834"/>
      <c r="F70" s="834">
        <f>'MÀU NÂU MA5455'!F40</f>
        <v>174</v>
      </c>
      <c r="G70" s="834"/>
    </row>
    <row r="71" spans="1:7">
      <c r="A71" s="832">
        <v>63</v>
      </c>
      <c r="B71" s="833" t="s">
        <v>601</v>
      </c>
      <c r="C71" s="833" t="s">
        <v>602</v>
      </c>
      <c r="D71" s="832" t="s">
        <v>193</v>
      </c>
      <c r="E71" s="834"/>
      <c r="F71" s="834">
        <f>'HU CHÌM RC1151'!F40</f>
        <v>102</v>
      </c>
      <c r="G71" s="834"/>
    </row>
    <row r="72" spans="1:7">
      <c r="A72" s="832">
        <v>64</v>
      </c>
      <c r="B72" s="833" t="s">
        <v>603</v>
      </c>
      <c r="C72" s="833" t="s">
        <v>604</v>
      </c>
      <c r="D72" s="832" t="s">
        <v>193</v>
      </c>
      <c r="E72" s="834"/>
      <c r="F72" s="834">
        <f>'MÀUÀU HỒNG RO4118'!F40</f>
        <v>0</v>
      </c>
      <c r="G72" s="834"/>
    </row>
    <row r="73" spans="1:7">
      <c r="A73" s="832">
        <v>65</v>
      </c>
      <c r="B73" s="833" t="s">
        <v>605</v>
      </c>
      <c r="C73" s="833" t="s">
        <v>606</v>
      </c>
      <c r="D73" s="832" t="s">
        <v>193</v>
      </c>
      <c r="E73" s="834"/>
      <c r="F73" s="834">
        <f>'MÀU ĐEN NE6153'!F40</f>
        <v>48</v>
      </c>
      <c r="G73" s="834"/>
    </row>
    <row r="74" spans="1:7">
      <c r="A74" s="832">
        <v>66</v>
      </c>
      <c r="B74" s="833" t="s">
        <v>607</v>
      </c>
      <c r="C74" s="833" t="s">
        <v>608</v>
      </c>
      <c r="D74" s="832" t="s">
        <v>193</v>
      </c>
      <c r="E74" s="834"/>
      <c r="F74" s="834">
        <f>'HU NỔI LUS 1217'!F40</f>
        <v>72</v>
      </c>
      <c r="G74" s="834"/>
    </row>
    <row r="75" spans="1:7">
      <c r="A75" s="832">
        <v>67</v>
      </c>
      <c r="B75" s="833" t="s">
        <v>609</v>
      </c>
      <c r="C75" s="833" t="s">
        <v>610</v>
      </c>
      <c r="D75" s="832" t="s">
        <v>611</v>
      </c>
      <c r="E75" s="834"/>
      <c r="F75" s="834">
        <f>'VO PHE 30x60'!E40</f>
        <v>0</v>
      </c>
      <c r="G75" s="834"/>
    </row>
    <row r="76" spans="1:7">
      <c r="A76" s="832">
        <v>68</v>
      </c>
      <c r="B76" s="833" t="s">
        <v>612</v>
      </c>
      <c r="C76" s="833" t="s">
        <v>613</v>
      </c>
      <c r="D76" s="832" t="s">
        <v>143</v>
      </c>
      <c r="E76" s="834"/>
      <c r="F76" s="834">
        <f>'BANG KEO TRONG'!E40</f>
        <v>2760</v>
      </c>
      <c r="G76" s="834"/>
    </row>
    <row r="77" spans="1:7">
      <c r="A77" s="832">
        <v>69</v>
      </c>
      <c r="B77" s="833" t="s">
        <v>614</v>
      </c>
      <c r="C77" s="833" t="s">
        <v>615</v>
      </c>
      <c r="D77" s="832" t="s">
        <v>193</v>
      </c>
      <c r="E77" s="834"/>
      <c r="F77" s="834">
        <f>'BI CAO NHÔM D60'!F40</f>
        <v>0</v>
      </c>
      <c r="G77" s="834"/>
    </row>
    <row r="78" spans="1:7">
      <c r="A78" s="832">
        <v>70</v>
      </c>
      <c r="B78" s="833" t="s">
        <v>616</v>
      </c>
      <c r="C78" s="833" t="s">
        <v>617</v>
      </c>
      <c r="D78" s="832" t="s">
        <v>193</v>
      </c>
      <c r="E78" s="834"/>
      <c r="F78" s="834">
        <f>'DAY DAI PET'!N41+'DAY DAI PET'!O41</f>
        <v>3900</v>
      </c>
      <c r="G78" s="834">
        <f>'DAY DAI PET'!P41</f>
        <v>800</v>
      </c>
    </row>
    <row r="79" spans="1:7">
      <c r="A79" s="832">
        <v>71</v>
      </c>
      <c r="B79" s="833" t="s">
        <v>618</v>
      </c>
      <c r="C79" s="833" t="s">
        <v>619</v>
      </c>
      <c r="D79" s="832" t="s">
        <v>193</v>
      </c>
      <c r="E79" s="834"/>
      <c r="F79" s="834">
        <f>'BO SAT'!I40</f>
        <v>0</v>
      </c>
      <c r="G79" s="834">
        <f>'BO SAT'!K40</f>
        <v>0</v>
      </c>
    </row>
    <row r="80" spans="1:7">
      <c r="A80" s="832">
        <v>72</v>
      </c>
      <c r="B80" s="833" t="s">
        <v>620</v>
      </c>
      <c r="C80" s="833" t="s">
        <v>621</v>
      </c>
      <c r="D80" s="832" t="s">
        <v>611</v>
      </c>
      <c r="E80" s="834"/>
      <c r="F80" s="834">
        <f>'PALLET 1100x1100 cũ L1'!E40</f>
        <v>920</v>
      </c>
      <c r="G80" s="834"/>
    </row>
    <row r="81" spans="1:7">
      <c r="A81" s="832">
        <v>73</v>
      </c>
      <c r="B81" s="833" t="s">
        <v>622</v>
      </c>
      <c r="C81" s="833" t="s">
        <v>623</v>
      </c>
      <c r="D81" s="832" t="s">
        <v>193</v>
      </c>
      <c r="E81" s="834"/>
      <c r="F81" s="834">
        <v>0</v>
      </c>
      <c r="G81" s="834"/>
    </row>
    <row r="82" spans="1:7">
      <c r="A82" s="832">
        <v>74</v>
      </c>
      <c r="B82" s="833" t="s">
        <v>624</v>
      </c>
      <c r="C82" s="833" t="s">
        <v>625</v>
      </c>
      <c r="D82" s="832" t="s">
        <v>193</v>
      </c>
      <c r="E82" s="834"/>
      <c r="F82" s="834">
        <v>0</v>
      </c>
      <c r="G82" s="834"/>
    </row>
    <row r="83" spans="1:7">
      <c r="A83" s="832">
        <v>75</v>
      </c>
      <c r="B83" s="833" t="s">
        <v>626</v>
      </c>
      <c r="C83" s="833" t="s">
        <v>627</v>
      </c>
      <c r="D83" s="832" t="s">
        <v>193</v>
      </c>
      <c r="E83" s="834"/>
      <c r="F83" s="834">
        <v>0</v>
      </c>
      <c r="G83" s="834"/>
    </row>
    <row r="84" spans="1:7">
      <c r="A84" s="832">
        <v>76</v>
      </c>
      <c r="B84" s="833" t="s">
        <v>628</v>
      </c>
      <c r="C84" s="833" t="s">
        <v>629</v>
      </c>
      <c r="D84" s="832" t="s">
        <v>611</v>
      </c>
      <c r="E84" s="834"/>
      <c r="F84" s="834">
        <f>'DAO CAT DAN HOA'!E40</f>
        <v>0</v>
      </c>
      <c r="G84" s="834"/>
    </row>
    <row r="85" spans="1:7">
      <c r="A85" s="832">
        <v>77</v>
      </c>
      <c r="B85" s="833" t="s">
        <v>630</v>
      </c>
      <c r="C85" s="833" t="s">
        <v>631</v>
      </c>
      <c r="D85" s="832" t="s">
        <v>611</v>
      </c>
      <c r="E85" s="834"/>
      <c r="F85" s="834">
        <v>0</v>
      </c>
      <c r="G85" s="834"/>
    </row>
    <row r="86" spans="1:7">
      <c r="A86" s="832">
        <v>78</v>
      </c>
      <c r="B86" s="833" t="s">
        <v>632</v>
      </c>
      <c r="C86" s="833" t="s">
        <v>633</v>
      </c>
      <c r="D86" s="832" t="s">
        <v>611</v>
      </c>
      <c r="E86" s="834"/>
      <c r="F86" s="834">
        <f>'NEP GO 30x60 TH'!I40+'NEP GO 30x60 TH'!J40</f>
        <v>19600</v>
      </c>
      <c r="G86" s="834"/>
    </row>
    <row r="87" spans="1:7">
      <c r="A87" s="832">
        <v>79</v>
      </c>
      <c r="B87" s="833" t="s">
        <v>634</v>
      </c>
      <c r="C87" s="833" t="s">
        <v>635</v>
      </c>
      <c r="D87" s="832" t="s">
        <v>193</v>
      </c>
      <c r="E87" s="834"/>
      <c r="F87" s="834">
        <f>'BI TRUNG NHÔM D60'!F40</f>
        <v>18200</v>
      </c>
      <c r="G87" s="834"/>
    </row>
    <row r="88" spans="1:7">
      <c r="A88" s="832">
        <v>80</v>
      </c>
      <c r="B88" s="833" t="s">
        <v>636</v>
      </c>
      <c r="C88" s="833" t="s">
        <v>637</v>
      </c>
      <c r="D88" s="832" t="s">
        <v>611</v>
      </c>
      <c r="E88" s="834"/>
      <c r="F88" s="834">
        <v>0</v>
      </c>
      <c r="G88" s="834"/>
    </row>
    <row r="89" spans="1:7">
      <c r="A89" s="832">
        <v>81</v>
      </c>
      <c r="B89" s="833" t="s">
        <v>638</v>
      </c>
      <c r="C89" s="833" t="s">
        <v>639</v>
      </c>
      <c r="D89" s="832" t="s">
        <v>611</v>
      </c>
      <c r="E89" s="834"/>
      <c r="F89" s="834">
        <v>0</v>
      </c>
      <c r="G89" s="834"/>
    </row>
    <row r="90" spans="1:7">
      <c r="A90" s="832">
        <v>82</v>
      </c>
      <c r="B90" s="833" t="s">
        <v>640</v>
      </c>
      <c r="C90" s="833" t="s">
        <v>641</v>
      </c>
      <c r="D90" s="832" t="s">
        <v>193</v>
      </c>
      <c r="E90" s="834"/>
      <c r="F90" s="834">
        <f>'KE NHUA 8V 3060'!E40</f>
        <v>9345</v>
      </c>
      <c r="G90" s="834"/>
    </row>
    <row r="91" spans="1:7">
      <c r="A91" s="832">
        <v>83</v>
      </c>
      <c r="B91" s="833" t="s">
        <v>642</v>
      </c>
      <c r="C91" s="833" t="s">
        <v>643</v>
      </c>
      <c r="D91" s="832" t="s">
        <v>611</v>
      </c>
      <c r="E91" s="834"/>
      <c r="F91" s="834">
        <f>'PALLET 1100x1100x85'!I40+'PALLET 1100x1100x85'!J40</f>
        <v>0</v>
      </c>
      <c r="G91" s="834">
        <f>'PALLET 1100x1100x85'!K40</f>
        <v>0</v>
      </c>
    </row>
    <row r="92" spans="1:7">
      <c r="A92" s="832">
        <v>84</v>
      </c>
      <c r="B92" s="833" t="s">
        <v>644</v>
      </c>
      <c r="C92" s="833" t="s">
        <v>645</v>
      </c>
      <c r="D92" s="832" t="s">
        <v>611</v>
      </c>
      <c r="E92" s="834"/>
      <c r="F92" s="834">
        <f>'GR TIM 30x60-HA '!I40+'GR TIM 30x60-TTP'!I40</f>
        <v>0</v>
      </c>
      <c r="G92" s="834">
        <f>'GR TIM 30x60-TTP'!K40</f>
        <v>0</v>
      </c>
    </row>
    <row r="93" spans="1:7">
      <c r="A93" s="832">
        <v>85</v>
      </c>
      <c r="B93" s="833" t="s">
        <v>646</v>
      </c>
      <c r="C93" s="833" t="s">
        <v>647</v>
      </c>
      <c r="D93" s="832" t="s">
        <v>611</v>
      </c>
      <c r="E93" s="834"/>
      <c r="F93" s="834">
        <f>'GR XANH 30x60-TTP'!I40</f>
        <v>0</v>
      </c>
      <c r="G93" s="834">
        <f>'GR XANH 30x60-TTP'!K40</f>
        <v>0</v>
      </c>
    </row>
    <row r="94" spans="1:7">
      <c r="A94" s="832">
        <v>86</v>
      </c>
      <c r="B94" s="833" t="s">
        <v>648</v>
      </c>
      <c r="C94" s="833" t="s">
        <v>649</v>
      </c>
      <c r="D94" s="832" t="s">
        <v>193</v>
      </c>
      <c r="E94" s="834"/>
      <c r="F94" s="834">
        <f>'DAY DAI PP'!N41+'DAY DAI PP'!O41</f>
        <v>5730</v>
      </c>
      <c r="G94" s="834"/>
    </row>
    <row r="95" spans="1:7">
      <c r="A95" s="832">
        <v>87</v>
      </c>
      <c r="B95" s="833" t="s">
        <v>650</v>
      </c>
      <c r="C95" s="833" t="s">
        <v>651</v>
      </c>
      <c r="D95" s="832" t="s">
        <v>611</v>
      </c>
      <c r="E95" s="834"/>
      <c r="F95" s="834">
        <f>'LUXURY 30x60-HA'!I40+'LUXURY 30x60-HA'!J40</f>
        <v>0</v>
      </c>
      <c r="G95" s="834">
        <f>'LUXURY 30x60-HA'!K40</f>
        <v>0</v>
      </c>
    </row>
    <row r="96" spans="1:7">
      <c r="A96" s="832">
        <v>88</v>
      </c>
      <c r="B96" s="833" t="s">
        <v>652</v>
      </c>
      <c r="C96" s="833" t="s">
        <v>653</v>
      </c>
      <c r="D96" s="832" t="s">
        <v>611</v>
      </c>
      <c r="E96" s="834"/>
      <c r="F96" s="834">
        <f>'SAHADO NEW 30x60-HA'!J40</f>
        <v>0</v>
      </c>
      <c r="G96" s="834"/>
    </row>
    <row r="97" spans="1:7">
      <c r="A97" s="832">
        <v>89</v>
      </c>
      <c r="B97" s="833" t="s">
        <v>654</v>
      </c>
      <c r="C97" s="833" t="s">
        <v>655</v>
      </c>
      <c r="D97" s="832" t="s">
        <v>611</v>
      </c>
      <c r="E97" s="834"/>
      <c r="F97" s="834">
        <f>'ESPANA 30x60-HA'!I40</f>
        <v>2400</v>
      </c>
      <c r="G97" s="834"/>
    </row>
    <row r="98" spans="1:7">
      <c r="A98" s="832">
        <v>90</v>
      </c>
      <c r="B98" s="833" t="s">
        <v>656</v>
      </c>
      <c r="C98" s="833" t="s">
        <v>657</v>
      </c>
      <c r="D98" s="832" t="s">
        <v>611</v>
      </c>
      <c r="E98" s="834"/>
      <c r="F98" s="834">
        <f>'CROWN 30x60-HA '!I40</f>
        <v>0</v>
      </c>
      <c r="G98" s="834"/>
    </row>
    <row r="99" spans="1:7">
      <c r="A99" s="832">
        <v>91</v>
      </c>
      <c r="B99" s="833" t="s">
        <v>658</v>
      </c>
      <c r="C99" s="833" t="s">
        <v>659</v>
      </c>
      <c r="D99" s="832" t="s">
        <v>611</v>
      </c>
      <c r="E99" s="834"/>
      <c r="F99" s="834">
        <f>HAVIRA!E40</f>
        <v>1050</v>
      </c>
      <c r="G99" s="834"/>
    </row>
    <row r="100" spans="1:7">
      <c r="A100" s="832">
        <v>92</v>
      </c>
      <c r="B100" s="833" t="s">
        <v>660</v>
      </c>
      <c r="C100" s="833" t="s">
        <v>661</v>
      </c>
      <c r="D100" s="832" t="s">
        <v>611</v>
      </c>
      <c r="E100" s="834"/>
      <c r="F100" s="834">
        <f>'LUXURY 40x80-HA'!J40</f>
        <v>0</v>
      </c>
      <c r="G100" s="834"/>
    </row>
    <row r="101" spans="1:7">
      <c r="A101" s="832">
        <v>93</v>
      </c>
      <c r="B101" s="833" t="s">
        <v>662</v>
      </c>
      <c r="C101" s="833" t="s">
        <v>663</v>
      </c>
      <c r="D101" s="832" t="s">
        <v>193</v>
      </c>
      <c r="E101" s="834"/>
      <c r="F101" s="834">
        <f>'KE NHUA 4V 4080'!J40</f>
        <v>0</v>
      </c>
      <c r="G101" s="834"/>
    </row>
    <row r="102" spans="1:7">
      <c r="A102" s="832">
        <v>94</v>
      </c>
      <c r="B102" s="833" t="s">
        <v>664</v>
      </c>
      <c r="C102" s="833" t="s">
        <v>665</v>
      </c>
      <c r="D102" s="832" t="s">
        <v>611</v>
      </c>
      <c r="E102" s="834"/>
      <c r="F102" s="834">
        <f>'NEP GO 40x80 TH'!J40</f>
        <v>5200</v>
      </c>
      <c r="G102" s="834"/>
    </row>
    <row r="103" spans="1:7">
      <c r="A103" s="832">
        <v>95</v>
      </c>
      <c r="B103" s="833" t="s">
        <v>666</v>
      </c>
      <c r="C103" s="833" t="s">
        <v>667</v>
      </c>
      <c r="D103" s="832" t="s">
        <v>611</v>
      </c>
      <c r="E103" s="834"/>
      <c r="F103" s="834">
        <f>'VO PHE  40x80'!J40</f>
        <v>0</v>
      </c>
      <c r="G103" s="834"/>
    </row>
    <row r="104" spans="1:7">
      <c r="A104" s="832">
        <v>96</v>
      </c>
      <c r="B104" s="833" t="s">
        <v>668</v>
      </c>
      <c r="C104" s="833" t="s">
        <v>669</v>
      </c>
      <c r="D104" s="832" t="s">
        <v>611</v>
      </c>
      <c r="E104" s="834"/>
      <c r="F104" s="834">
        <f>'SAHADO 40x80-HA '!J40</f>
        <v>0</v>
      </c>
      <c r="G104" s="834"/>
    </row>
    <row r="105" spans="1:7">
      <c r="A105" s="832">
        <v>97</v>
      </c>
      <c r="B105" s="833" t="s">
        <v>670</v>
      </c>
      <c r="C105" s="833" t="s">
        <v>671</v>
      </c>
      <c r="D105" s="832" t="s">
        <v>611</v>
      </c>
      <c r="E105" s="834"/>
      <c r="F105" s="834">
        <f>'CROWN 40x80-HA'!J40</f>
        <v>0</v>
      </c>
      <c r="G105" s="834"/>
    </row>
    <row r="106" spans="1:7">
      <c r="A106" s="832">
        <v>98</v>
      </c>
      <c r="B106" s="833" t="s">
        <v>672</v>
      </c>
      <c r="C106" s="833" t="s">
        <v>673</v>
      </c>
      <c r="D106" s="832" t="s">
        <v>611</v>
      </c>
      <c r="E106" s="834"/>
      <c r="F106" s="834">
        <f>'ESPANA 40x80-HA '!J40</f>
        <v>0</v>
      </c>
      <c r="G106" s="834"/>
    </row>
    <row r="107" spans="1:7">
      <c r="A107" s="832">
        <v>99</v>
      </c>
      <c r="B107" s="833" t="s">
        <v>674</v>
      </c>
      <c r="C107" s="833" t="s">
        <v>675</v>
      </c>
      <c r="D107" s="832" t="s">
        <v>611</v>
      </c>
      <c r="E107" s="834"/>
      <c r="F107" s="834">
        <f>'CERAMIC 30x60-HA'!E40</f>
        <v>0</v>
      </c>
      <c r="G107" s="834"/>
    </row>
    <row r="108" spans="1:7">
      <c r="A108" s="832">
        <v>100</v>
      </c>
      <c r="B108" s="833" t="s">
        <v>676</v>
      </c>
      <c r="C108" s="833" t="s">
        <v>677</v>
      </c>
      <c r="D108" s="832" t="s">
        <v>611</v>
      </c>
      <c r="E108" s="834"/>
      <c r="F108" s="834">
        <f>ADONIS!E40</f>
        <v>0</v>
      </c>
      <c r="G108" s="834"/>
    </row>
    <row r="109" spans="1:7">
      <c r="D109" s="841" t="s">
        <v>678</v>
      </c>
      <c r="E109" s="842"/>
      <c r="F109" s="842"/>
    </row>
    <row r="110" spans="1:7" s="835" customFormat="1" ht="15" customHeight="1">
      <c r="A110" s="1556" t="s">
        <v>681</v>
      </c>
      <c r="B110" s="1556"/>
      <c r="C110" s="1664" t="s">
        <v>679</v>
      </c>
      <c r="D110" s="1664"/>
      <c r="E110" s="1556" t="s">
        <v>680</v>
      </c>
      <c r="F110" s="1556"/>
    </row>
    <row r="111" spans="1:7" s="843" customFormat="1">
      <c r="A111" s="1557" t="s">
        <v>685</v>
      </c>
      <c r="B111" s="1557"/>
      <c r="C111" s="1665" t="s">
        <v>685</v>
      </c>
      <c r="D111" s="1665"/>
      <c r="E111" s="1557" t="s">
        <v>685</v>
      </c>
      <c r="F111" s="1557"/>
    </row>
  </sheetData>
  <mergeCells count="14">
    <mergeCell ref="G7:G8"/>
    <mergeCell ref="A110:B110"/>
    <mergeCell ref="C110:D110"/>
    <mergeCell ref="E110:F110"/>
    <mergeCell ref="A111:B111"/>
    <mergeCell ref="C111:D111"/>
    <mergeCell ref="E111:F111"/>
    <mergeCell ref="A4:F4"/>
    <mergeCell ref="A5:F5"/>
    <mergeCell ref="A7:A8"/>
    <mergeCell ref="B7:B8"/>
    <mergeCell ref="C7:C8"/>
    <mergeCell ref="D7:D8"/>
    <mergeCell ref="E7:F7"/>
  </mergeCells>
  <pageMargins left="0.35" right="0.13" top="0.65" bottom="0.75" header="0.32" footer="0.3"/>
  <pageSetup orientation="portrait" horizontalDpi="0" verticalDpi="0"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273</vt:i4>
      </vt:variant>
      <vt:variant>
        <vt:lpstr>Named Ranges</vt:lpstr>
      </vt:variant>
      <vt:variant>
        <vt:i4>194</vt:i4>
      </vt:variant>
    </vt:vector>
  </HeadingPairs>
  <TitlesOfParts>
    <vt:vector size="467" baseType="lpstr">
      <vt:lpstr>CMC-ND1B-NĐ</vt:lpstr>
      <vt:lpstr>QUARTZ VH004-FTA</vt:lpstr>
      <vt:lpstr>FRIT FO102-FHU</vt:lpstr>
      <vt:lpstr>ZIRCON K1#</vt:lpstr>
      <vt:lpstr>HT082</vt:lpstr>
      <vt:lpstr>STTP LTP</vt:lpstr>
      <vt:lpstr>CMC FC3828-TQ</vt:lpstr>
      <vt:lpstr>Bi cao nhôm D40</vt:lpstr>
      <vt:lpstr>VT GR TIM AN HA 30X60</vt:lpstr>
      <vt:lpstr>VO PHE DONG TAY 30X60</vt:lpstr>
      <vt:lpstr>VO 30X30 GR XANH</vt:lpstr>
      <vt:lpstr>VO 30X30 SAHADO</vt:lpstr>
      <vt:lpstr>DAY DAI TAY PP</vt:lpstr>
      <vt:lpstr> PALLET GLP 105</vt:lpstr>
      <vt:lpstr>PALLET GPH110</vt:lpstr>
      <vt:lpstr>PALLET ITCO MỚI </vt:lpstr>
      <vt:lpstr>PALLET GIA KIM TÍN</vt:lpstr>
      <vt:lpstr>NEP GO PQ</vt:lpstr>
      <vt:lpstr>NEP GO GIA KIM TÍN</vt:lpstr>
      <vt:lpstr>NEP GO ITC</vt:lpstr>
      <vt:lpstr>NEP GO GLP</vt:lpstr>
      <vt:lpstr>KIM KEP DAI BANG HOI</vt:lpstr>
      <vt:lpstr>CAO LANH LOC BL</vt:lpstr>
      <vt:lpstr>DUNG MOI VADV 015</vt:lpstr>
      <vt:lpstr>MEN VG 443-658</vt:lpstr>
      <vt:lpstr>MUC XANH DUONG</vt:lpstr>
      <vt:lpstr>MUC VANG</vt:lpstr>
      <vt:lpstr>MUC CAM</vt:lpstr>
      <vt:lpstr>MUC NAU DO</vt:lpstr>
      <vt:lpstr>MUC HIEU UNG</vt:lpstr>
      <vt:lpstr>NUOC RUA</vt:lpstr>
      <vt:lpstr>FELDSPAR IDM</vt:lpstr>
      <vt:lpstr>TỔNG HỢP THÁNG</vt:lpstr>
      <vt:lpstr>SO SÁNH</vt:lpstr>
      <vt:lpstr>TH SX</vt:lpstr>
      <vt:lpstr>BAO BÌ </vt:lpstr>
      <vt:lpstr>KIỄM KÊ  T01.26 MEN</vt:lpstr>
      <vt:lpstr>KIỄM KÊ  T01.26 VẬT TƯ</vt:lpstr>
      <vt:lpstr>TH KẾ TOÁN</vt:lpstr>
      <vt:lpstr>FRIT HGE91-FHG</vt:lpstr>
      <vt:lpstr>FRIT A106 -ACV</vt:lpstr>
      <vt:lpstr>FRIT A103 -ACV</vt:lpstr>
      <vt:lpstr>FRIT FO113-FHU</vt:lpstr>
      <vt:lpstr>BF043 </vt:lpstr>
      <vt:lpstr>Cao lanh N2A</vt:lpstr>
      <vt:lpstr>Cao lanh BF046A</vt:lpstr>
      <vt:lpstr>BẢ MEN</vt:lpstr>
      <vt:lpstr>KAOLANH AA INDO</vt:lpstr>
      <vt:lpstr>KAOLANHVCT04A</vt:lpstr>
      <vt:lpstr>KAOLANH 168</vt:lpstr>
      <vt:lpstr>TT KALI K200</vt:lpstr>
      <vt:lpstr>FRIT FT3</vt:lpstr>
      <vt:lpstr>P. FELDSPAR K200-AD</vt:lpstr>
      <vt:lpstr>NHÔM ÔXIT AL2O3-HNP</vt:lpstr>
      <vt:lpstr>FRIT 1089-ACV</vt:lpstr>
      <vt:lpstr>FRIT A528</vt:lpstr>
      <vt:lpstr>FRIT 856</vt:lpstr>
      <vt:lpstr>FRIT HGT03-FHG</vt:lpstr>
      <vt:lpstr>FRIT VFT03</vt:lpstr>
      <vt:lpstr>FRIT A609</vt:lpstr>
      <vt:lpstr>FRIT VO22</vt:lpstr>
      <vt:lpstr>KAOLIN 1C-IMR</vt:lpstr>
      <vt:lpstr>ZIRCON ZS012-LGP</vt:lpstr>
      <vt:lpstr>ZIRCON ZS08</vt:lpstr>
      <vt:lpstr>ZIRCON ZRD5M</vt:lpstr>
      <vt:lpstr>FRIT 853-ACV</vt:lpstr>
      <vt:lpstr>FRIT 502-ACV</vt:lpstr>
      <vt:lpstr>FRIT FS459 FHU</vt:lpstr>
      <vt:lpstr>FRIT A608 ACV</vt:lpstr>
      <vt:lpstr>FRIT A608-2 ACV</vt:lpstr>
      <vt:lpstr>FRIT HGT05-FHG </vt:lpstr>
      <vt:lpstr>FRIT HT082</vt:lpstr>
      <vt:lpstr>FRIT PGB 1288B</vt:lpstr>
      <vt:lpstr>FRIT TM2001</vt:lpstr>
      <vt:lpstr>Sheet1</vt:lpstr>
      <vt:lpstr>FRIT TM2085</vt:lpstr>
      <vt:lpstr>FRIT 356</vt:lpstr>
      <vt:lpstr>FRIT 356 L</vt:lpstr>
      <vt:lpstr>FRIT 320</vt:lpstr>
      <vt:lpstr>FRIT 515</vt:lpstr>
      <vt:lpstr>FRIT 089</vt:lpstr>
      <vt:lpstr>DEF 305</vt:lpstr>
      <vt:lpstr>CMC T26</vt:lpstr>
      <vt:lpstr>CMC USK 60 THT</vt:lpstr>
      <vt:lpstr>CMC S50</vt:lpstr>
      <vt:lpstr>CMC G30</vt:lpstr>
      <vt:lpstr>CMC C20</vt:lpstr>
      <vt:lpstr>STTP-HNP</vt:lpstr>
      <vt:lpstr>ROCIMA 623-HVC</vt:lpstr>
      <vt:lpstr>PROMEX CHS4</vt:lpstr>
      <vt:lpstr>COMPOUD TRÁNG ĐẾ</vt:lpstr>
      <vt:lpstr>MAGIÊ ÔXIT MgO-HNP</vt:lpstr>
      <vt:lpstr>MGO- Men lót chân</vt:lpstr>
      <vt:lpstr>KAOLIN P08-KMD</vt:lpstr>
      <vt:lpstr>MT812-QĐ </vt:lpstr>
      <vt:lpstr>MT616-QĐ</vt:lpstr>
      <vt:lpstr>Y327-QĐ</vt:lpstr>
      <vt:lpstr>MT03VT-QĐ</vt:lpstr>
      <vt:lpstr>BF-002A-QĐ </vt:lpstr>
      <vt:lpstr>BALL CLAY BCO3-PV</vt:lpstr>
      <vt:lpstr>VM01</vt:lpstr>
      <vt:lpstr>VM06</vt:lpstr>
      <vt:lpstr>VFM41</vt:lpstr>
      <vt:lpstr>VF150521</vt:lpstr>
      <vt:lpstr>FO118</vt:lpstr>
      <vt:lpstr>A117</vt:lpstr>
      <vt:lpstr>FO102</vt:lpstr>
      <vt:lpstr>VF1205</vt:lpstr>
      <vt:lpstr>SUGAR</vt:lpstr>
      <vt:lpstr>SUGAR PNSG02 -01</vt:lpstr>
      <vt:lpstr>SUGAR PNSG02 - 05</vt:lpstr>
      <vt:lpstr>FRIT 288</vt:lpstr>
      <vt:lpstr>FRIT VS28</vt:lpstr>
      <vt:lpstr>FRIT VS68</vt:lpstr>
      <vt:lpstr>FRIT VS55</vt:lpstr>
      <vt:lpstr>BI TRUNG NHÔM D60</vt:lpstr>
      <vt:lpstr>BI TRUNG NHÔM D40</vt:lpstr>
      <vt:lpstr>BI CAO NHÔM D60</vt:lpstr>
      <vt:lpstr>BI CAO NHÔM D30</vt:lpstr>
      <vt:lpstr>MÀU XANH AZ1476</vt:lpstr>
      <vt:lpstr>MÀU NÂU MA5455</vt:lpstr>
      <vt:lpstr>MÀU VÀNG CIK-AM5456</vt:lpstr>
      <vt:lpstr>MÀU BE BG9454</vt:lpstr>
      <vt:lpstr>MÀU ĐEN NE6153</vt:lpstr>
      <vt:lpstr>MÀUÀU HỒNG RO4118</vt:lpstr>
      <vt:lpstr>HU CHÌM RC1151</vt:lpstr>
      <vt:lpstr>HU NỔI LUS 1217</vt:lpstr>
      <vt:lpstr>XANH LÁ 1236</vt:lpstr>
      <vt:lpstr>DD RỬA MÁY IN PL0101</vt:lpstr>
      <vt:lpstr>DD RỬA ĐẦU IN PL0115</vt:lpstr>
      <vt:lpstr>DAY DAI PP</vt:lpstr>
      <vt:lpstr>DAY DAI PET</vt:lpstr>
      <vt:lpstr>GR TIM 30x60-HA </vt:lpstr>
      <vt:lpstr>GR TIM 30x60-HA  NÂU</vt:lpstr>
      <vt:lpstr>GR TIM 5050-HA </vt:lpstr>
      <vt:lpstr>GR TIM 30x60-VH</vt:lpstr>
      <vt:lpstr>GR TIM 30x60-TTP</vt:lpstr>
      <vt:lpstr>GR XANH 30x60-HA</vt:lpstr>
      <vt:lpstr>GR XANH 30x60-HA nâu</vt:lpstr>
      <vt:lpstr>GR XANH 30x60-HA nâu MỚI</vt:lpstr>
      <vt:lpstr>GR XANH 30X60-VH</vt:lpstr>
      <vt:lpstr>GR XANH 30x60-TTP</vt:lpstr>
      <vt:lpstr>SAHADO NEW 30x60-VH</vt:lpstr>
      <vt:lpstr>SAHADO NEW 30x60-HA</vt:lpstr>
      <vt:lpstr>SAHADO NEW 30x60-HA nâu</vt:lpstr>
      <vt:lpstr>SAHADO 30x60-VH</vt:lpstr>
      <vt:lpstr>SAHADO 40x80-HA </vt:lpstr>
      <vt:lpstr>LUXURY 30x60-TTP</vt:lpstr>
      <vt:lpstr>LUXURY 30x60-HA</vt:lpstr>
      <vt:lpstr>LUXURY 30x60-HA nâu</vt:lpstr>
      <vt:lpstr>LUXURY 40x80-HA</vt:lpstr>
      <vt:lpstr>LUXURY 40x80-HA nâu</vt:lpstr>
      <vt:lpstr>LUXURY 40x80 5V-HA nâu </vt:lpstr>
      <vt:lpstr>LUXURY 5050-HA </vt:lpstr>
      <vt:lpstr>LUXURY 5050-HA giấy nâu</vt:lpstr>
      <vt:lpstr>LUXURY 4060-HA </vt:lpstr>
      <vt:lpstr>LUXURY 6060-HA </vt:lpstr>
      <vt:lpstr>LUXURY 6060-HA  5V</vt:lpstr>
      <vt:lpstr>CROWN 30x60-HA </vt:lpstr>
      <vt:lpstr>CROWN 40x80-HA</vt:lpstr>
      <vt:lpstr>CROWN 40x80-5V HA </vt:lpstr>
      <vt:lpstr>CROWN 50x50-HA</vt:lpstr>
      <vt:lpstr>CROWN 40x60-HA</vt:lpstr>
      <vt:lpstr>CROWN 60x60-HA </vt:lpstr>
      <vt:lpstr>CROWN 60x60-HA 5V</vt:lpstr>
      <vt:lpstr>ESPANA 30x60-VH</vt:lpstr>
      <vt:lpstr>ESPANA 30x60-HA</vt:lpstr>
      <vt:lpstr>ESPANA 30x60-HA nâu</vt:lpstr>
      <vt:lpstr>ESPANA 40x80-HA </vt:lpstr>
      <vt:lpstr>ESPANA 40x80-HA nâu</vt:lpstr>
      <vt:lpstr>ESPANA 40x80-5V HA nâu </vt:lpstr>
      <vt:lpstr>ESPANA 50x50-HA</vt:lpstr>
      <vt:lpstr>ESPANA 60x60-HA</vt:lpstr>
      <vt:lpstr>ESPANA 60x60-HA 5V</vt:lpstr>
      <vt:lpstr>ADONIS 40x80-HA</vt:lpstr>
      <vt:lpstr>GREEN ERA 4080</vt:lpstr>
      <vt:lpstr>GREEN ERA 4080 nâu</vt:lpstr>
      <vt:lpstr>GREEN ERA 4080 5V nâu </vt:lpstr>
      <vt:lpstr>CERAMIC 30x60-HA</vt:lpstr>
      <vt:lpstr>HAVIRA</vt:lpstr>
      <vt:lpstr>HAVIRA nâu</vt:lpstr>
      <vt:lpstr>HAVIRA 5050</vt:lpstr>
      <vt:lpstr>HAVIRA 6060</vt:lpstr>
      <vt:lpstr>HAVIRA 6060 5V</vt:lpstr>
      <vt:lpstr>HAVIRA 4080</vt:lpstr>
      <vt:lpstr>HAVIRA 4080 5V</vt:lpstr>
      <vt:lpstr>ADONIS</vt:lpstr>
      <vt:lpstr>GREEN ERA</vt:lpstr>
      <vt:lpstr>GREEN ERA nâu</vt:lpstr>
      <vt:lpstr>GREEN HOME</vt:lpstr>
      <vt:lpstr>GREEN HOME 6060</vt:lpstr>
      <vt:lpstr>GREEN HOME 6060 5V</vt:lpstr>
      <vt:lpstr>GREEN HOME 5050</vt:lpstr>
      <vt:lpstr>GREEN HOME 4080</vt:lpstr>
      <vt:lpstr>GREEN HOME 4080 5V</vt:lpstr>
      <vt:lpstr>UNITILE 4080 </vt:lpstr>
      <vt:lpstr>LUSTILE</vt:lpstr>
      <vt:lpstr>LUSTILE 4080 nâu</vt:lpstr>
      <vt:lpstr>LUSTILE 4080 nâu 5V</vt:lpstr>
      <vt:lpstr>PANA TILES 4080 nâu </vt:lpstr>
      <vt:lpstr>PANA TILES 4080 nâu  5V</vt:lpstr>
      <vt:lpstr>PANA TILES 3060 nâu </vt:lpstr>
      <vt:lpstr>TOP ONE 4080 nâu </vt:lpstr>
      <vt:lpstr>TOP ONE 4080 5V nâu </vt:lpstr>
      <vt:lpstr>TOP ONE 3060 nâu  </vt:lpstr>
      <vt:lpstr>TOP ONE 5050 nâu </vt:lpstr>
      <vt:lpstr>CROVINA 3060</vt:lpstr>
      <vt:lpstr>CROVINA 50</vt:lpstr>
      <vt:lpstr>CROVINA 60</vt:lpstr>
      <vt:lpstr>CROVINA 4080 5v</vt:lpstr>
      <vt:lpstr>T H PHUONG 4080 5v </vt:lpstr>
      <vt:lpstr>T H PHƯƠNG 3060</vt:lpstr>
      <vt:lpstr>T H PHƯƠNG 5050</vt:lpstr>
      <vt:lpstr>KARPO 3060</vt:lpstr>
      <vt:lpstr>VIDONA 3060</vt:lpstr>
      <vt:lpstr>KARPO 50</vt:lpstr>
      <vt:lpstr>VIDONA 50</vt:lpstr>
      <vt:lpstr>VIDONA 48</vt:lpstr>
      <vt:lpstr>VINA PHACON 36</vt:lpstr>
      <vt:lpstr>VINA PHACON 48</vt:lpstr>
      <vt:lpstr>PADOVA 48 </vt:lpstr>
      <vt:lpstr>PADOVA 36</vt:lpstr>
      <vt:lpstr>PADOVA 50</vt:lpstr>
      <vt:lpstr>VO PHE 30x60</vt:lpstr>
      <vt:lpstr>VO PHE  40x80</vt:lpstr>
      <vt:lpstr>VO PHE  5050</vt:lpstr>
      <vt:lpstr>VO PHE  4060</vt:lpstr>
      <vt:lpstr>VO PHE  6060</vt:lpstr>
      <vt:lpstr>PALLET 1100x1100x85</vt:lpstr>
      <vt:lpstr>PALLET 1100x1100x60</vt:lpstr>
      <vt:lpstr>PALLET 1100x1100 cũ L1</vt:lpstr>
      <vt:lpstr>PALLET cũ L2</vt:lpstr>
      <vt:lpstr>PALLET 145</vt:lpstr>
      <vt:lpstr>NEP GO 30x60 TH</vt:lpstr>
      <vt:lpstr>NEP GO 30x60-NM</vt:lpstr>
      <vt:lpstr>NEP GO 40x80 TH</vt:lpstr>
      <vt:lpstr>KE NHUA 8V 3060</vt:lpstr>
      <vt:lpstr>KE NHUA 4V 4080</vt:lpstr>
      <vt:lpstr>KE NHUA 5V 4080</vt:lpstr>
      <vt:lpstr>KE NHUA 6V 5050</vt:lpstr>
      <vt:lpstr>KE NHUA 5V 4060</vt:lpstr>
      <vt:lpstr>BO SAT</vt:lpstr>
      <vt:lpstr>BANG KEO TRONG</vt:lpstr>
      <vt:lpstr>KIM KEP DAY DAI</vt:lpstr>
      <vt:lpstr>TANG DAY DAI</vt:lpstr>
      <vt:lpstr>DAO CAT DAN HOA</vt:lpstr>
      <vt:lpstr>CAO LANH PT</vt:lpstr>
      <vt:lpstr>FRIT FO716</vt:lpstr>
      <vt:lpstr>CAO LANH GF-3005</vt:lpstr>
      <vt:lpstr>CAO LANH YS 09</vt:lpstr>
      <vt:lpstr>Bot TALC</vt:lpstr>
      <vt:lpstr>HIFIL-1</vt:lpstr>
      <vt:lpstr>FP940</vt:lpstr>
      <vt:lpstr>TANG CUNG XUONG</vt:lpstr>
      <vt:lpstr>SON CON LAN TREN</vt:lpstr>
      <vt:lpstr>SON CON LAN DUOI</vt:lpstr>
      <vt:lpstr>TB3008</vt:lpstr>
      <vt:lpstr>TB3001</vt:lpstr>
      <vt:lpstr>S501</vt:lpstr>
      <vt:lpstr>S250</vt:lpstr>
      <vt:lpstr>M004</vt:lpstr>
      <vt:lpstr>GB1660</vt:lpstr>
      <vt:lpstr>TB4139</vt:lpstr>
      <vt:lpstr>TB3007</vt:lpstr>
      <vt:lpstr>S130</vt:lpstr>
      <vt:lpstr>FRIT FV 090.540 - FTA</vt:lpstr>
      <vt:lpstr>FRIT 090.558 - FTA</vt:lpstr>
      <vt:lpstr>FRIT VF1101N.A-VNF</vt:lpstr>
      <vt:lpstr>MEN FV104-537</vt:lpstr>
      <vt:lpstr>FRIT PT02-PĐ</vt:lpstr>
      <vt:lpstr>TỔNG HỢP (2)</vt:lpstr>
      <vt:lpstr>Sheet2</vt:lpstr>
      <vt:lpstr>Sheet3</vt:lpstr>
      <vt:lpstr>A</vt:lpstr>
      <vt:lpstr>' PALLET GLP 105'!Print_Titles</vt:lpstr>
      <vt:lpstr>'A117'!Print_Titles</vt:lpstr>
      <vt:lpstr>ADONIS!Print_Titles</vt:lpstr>
      <vt:lpstr>'ADONIS 40x80-HA'!Print_Titles</vt:lpstr>
      <vt:lpstr>'BẢ MEN'!Print_Titles</vt:lpstr>
      <vt:lpstr>'BALL CLAY BCO3-PV'!Print_Titles</vt:lpstr>
      <vt:lpstr>'BANG KEO TRONG'!Print_Titles</vt:lpstr>
      <vt:lpstr>'BAO BÌ '!Print_Titles</vt:lpstr>
      <vt:lpstr>'BF-002A-QĐ '!Print_Titles</vt:lpstr>
      <vt:lpstr>'BF043 '!Print_Titles</vt:lpstr>
      <vt:lpstr>'BI CAO NHÔM D30'!Print_Titles</vt:lpstr>
      <vt:lpstr>'Bi cao nhôm D40'!Print_Titles</vt:lpstr>
      <vt:lpstr>'BI CAO NHÔM D60'!Print_Titles</vt:lpstr>
      <vt:lpstr>'BI TRUNG NHÔM D60'!Print_Titles</vt:lpstr>
      <vt:lpstr>'Cao lanh BF046A'!Print_Titles</vt:lpstr>
      <vt:lpstr>'Cao lanh N2A'!Print_Titles</vt:lpstr>
      <vt:lpstr>'CERAMIC 30x60-HA'!Print_Titles</vt:lpstr>
      <vt:lpstr>'CMC C20'!Print_Titles</vt:lpstr>
      <vt:lpstr>'COMPOUD TRÁNG ĐẾ'!Print_Titles</vt:lpstr>
      <vt:lpstr>'CROVINA 3060'!Print_Titles</vt:lpstr>
      <vt:lpstr>'CROVINA 4080 5v'!Print_Titles</vt:lpstr>
      <vt:lpstr>'CROVINA 50'!Print_Titles</vt:lpstr>
      <vt:lpstr>'CROVINA 60'!Print_Titles</vt:lpstr>
      <vt:lpstr>'CROWN 30x60-HA '!Print_Titles</vt:lpstr>
      <vt:lpstr>'CROWN 40x60-HA'!Print_Titles</vt:lpstr>
      <vt:lpstr>'CROWN 40x80-5V HA '!Print_Titles</vt:lpstr>
      <vt:lpstr>'CROWN 40x80-HA'!Print_Titles</vt:lpstr>
      <vt:lpstr>'CROWN 50x50-HA'!Print_Titles</vt:lpstr>
      <vt:lpstr>'CROWN 60x60-HA '!Print_Titles</vt:lpstr>
      <vt:lpstr>'CROWN 60x60-HA 5V'!Print_Titles</vt:lpstr>
      <vt:lpstr>'DAY DAI PP'!Print_Titles</vt:lpstr>
      <vt:lpstr>'DD RỬA ĐẦU IN PL0115'!Print_Titles</vt:lpstr>
      <vt:lpstr>'DD RỬA MÁY IN PL0101'!Print_Titles</vt:lpstr>
      <vt:lpstr>'ESPANA 30x60-HA'!Print_Titles</vt:lpstr>
      <vt:lpstr>'ESPANA 30x60-HA nâu'!Print_Titles</vt:lpstr>
      <vt:lpstr>'ESPANA 30x60-VH'!Print_Titles</vt:lpstr>
      <vt:lpstr>'ESPANA 40x80-5V HA nâu '!Print_Titles</vt:lpstr>
      <vt:lpstr>'ESPANA 40x80-HA '!Print_Titles</vt:lpstr>
      <vt:lpstr>'ESPANA 40x80-HA nâu'!Print_Titles</vt:lpstr>
      <vt:lpstr>'ESPANA 50x50-HA'!Print_Titles</vt:lpstr>
      <vt:lpstr>'ESPANA 60x60-HA'!Print_Titles</vt:lpstr>
      <vt:lpstr>'ESPANA 60x60-HA 5V'!Print_Titles</vt:lpstr>
      <vt:lpstr>'FO102'!Print_Titles</vt:lpstr>
      <vt:lpstr>'FO118'!Print_Titles</vt:lpstr>
      <vt:lpstr>'FRIT 089'!Print_Titles</vt:lpstr>
      <vt:lpstr>'FRIT 1089-ACV'!Print_Titles</vt:lpstr>
      <vt:lpstr>'FRIT 288'!Print_Titles</vt:lpstr>
      <vt:lpstr>'FRIT 320'!Print_Titles</vt:lpstr>
      <vt:lpstr>'FRIT 356'!Print_Titles</vt:lpstr>
      <vt:lpstr>'FRIT 356 L'!Print_Titles</vt:lpstr>
      <vt:lpstr>'FRIT 502-ACV'!Print_Titles</vt:lpstr>
      <vt:lpstr>'FRIT 515'!Print_Titles</vt:lpstr>
      <vt:lpstr>'FRIT 853-ACV'!Print_Titles</vt:lpstr>
      <vt:lpstr>'FRIT 856'!Print_Titles</vt:lpstr>
      <vt:lpstr>'FRIT A528'!Print_Titles</vt:lpstr>
      <vt:lpstr>'FRIT A608 ACV'!Print_Titles</vt:lpstr>
      <vt:lpstr>'FRIT A608-2 ACV'!Print_Titles</vt:lpstr>
      <vt:lpstr>'FRIT FO102-FHU'!Print_Titles</vt:lpstr>
      <vt:lpstr>'FRIT FO113-FHU'!Print_Titles</vt:lpstr>
      <vt:lpstr>'FRIT FS459 FHU'!Print_Titles</vt:lpstr>
      <vt:lpstr>'FRIT HT082'!Print_Titles</vt:lpstr>
      <vt:lpstr>'FRIT PGB 1288B'!Print_Titles</vt:lpstr>
      <vt:lpstr>'FRIT TM2001'!Print_Titles</vt:lpstr>
      <vt:lpstr>'FRIT TM2085'!Print_Titles</vt:lpstr>
      <vt:lpstr>'FRIT VS28'!Print_Titles</vt:lpstr>
      <vt:lpstr>'FRIT VS55'!Print_Titles</vt:lpstr>
      <vt:lpstr>'FRIT VS68'!Print_Titles</vt:lpstr>
      <vt:lpstr>'GR TIM 30x60-HA '!Print_Titles</vt:lpstr>
      <vt:lpstr>'GR TIM 30x60-HA  NÂU'!Print_Titles</vt:lpstr>
      <vt:lpstr>'GR TIM 30x60-TTP'!Print_Titles</vt:lpstr>
      <vt:lpstr>'GR TIM 5050-HA '!Print_Titles</vt:lpstr>
      <vt:lpstr>'GR XANH 30X60-VH'!Print_Titles</vt:lpstr>
      <vt:lpstr>'GREEN ERA'!Print_Titles</vt:lpstr>
      <vt:lpstr>'GREEN ERA 4080'!Print_Titles</vt:lpstr>
      <vt:lpstr>'GREEN ERA 4080 5V nâu '!Print_Titles</vt:lpstr>
      <vt:lpstr>'GREEN ERA 4080 nâu'!Print_Titles</vt:lpstr>
      <vt:lpstr>'GREEN ERA nâu'!Print_Titles</vt:lpstr>
      <vt:lpstr>'GREEN HOME'!Print_Titles</vt:lpstr>
      <vt:lpstr>'GREEN HOME 4080'!Print_Titles</vt:lpstr>
      <vt:lpstr>'GREEN HOME 4080 5V'!Print_Titles</vt:lpstr>
      <vt:lpstr>'GREEN HOME 5050'!Print_Titles</vt:lpstr>
      <vt:lpstr>'GREEN HOME 6060'!Print_Titles</vt:lpstr>
      <vt:lpstr>'GREEN HOME 6060 5V'!Print_Titles</vt:lpstr>
      <vt:lpstr>HAVIRA!Print_Titles</vt:lpstr>
      <vt:lpstr>'HAVIRA 4080'!Print_Titles</vt:lpstr>
      <vt:lpstr>'HAVIRA 4080 5V'!Print_Titles</vt:lpstr>
      <vt:lpstr>'HAVIRA 5050'!Print_Titles</vt:lpstr>
      <vt:lpstr>'HAVIRA 6060'!Print_Titles</vt:lpstr>
      <vt:lpstr>'HAVIRA 6060 5V'!Print_Titles</vt:lpstr>
      <vt:lpstr>'HAVIRA nâu'!Print_Titles</vt:lpstr>
      <vt:lpstr>'HT082'!Print_Titles</vt:lpstr>
      <vt:lpstr>'HU CHÌM RC1151'!Print_Titles</vt:lpstr>
      <vt:lpstr>'HU NỔI LUS 1217'!Print_Titles</vt:lpstr>
      <vt:lpstr>'KAOLANH 168'!Print_Titles</vt:lpstr>
      <vt:lpstr>'KAOLANH AA INDO'!Print_Titles</vt:lpstr>
      <vt:lpstr>KAOLANHVCT04A!Print_Titles</vt:lpstr>
      <vt:lpstr>'KARPO 3060'!Print_Titles</vt:lpstr>
      <vt:lpstr>'KARPO 50'!Print_Titles</vt:lpstr>
      <vt:lpstr>'KIỄM KÊ  T01.26 MEN'!Print_Titles</vt:lpstr>
      <vt:lpstr>'KIỄM KÊ  T01.26 VẬT TƯ'!Print_Titles</vt:lpstr>
      <vt:lpstr>'KIM KEP DAI BANG HOI'!Print_Titles</vt:lpstr>
      <vt:lpstr>LUSTILE!Print_Titles</vt:lpstr>
      <vt:lpstr>'LUSTILE 4080 nâu'!Print_Titles</vt:lpstr>
      <vt:lpstr>'LUSTILE 4080 nâu 5V'!Print_Titles</vt:lpstr>
      <vt:lpstr>'LUXURY 30x60-HA'!Print_Titles</vt:lpstr>
      <vt:lpstr>'LUXURY 30x60-HA nâu'!Print_Titles</vt:lpstr>
      <vt:lpstr>'LUXURY 30x60-TTP'!Print_Titles</vt:lpstr>
      <vt:lpstr>'LUXURY 4060-HA '!Print_Titles</vt:lpstr>
      <vt:lpstr>'LUXURY 40x80 5V-HA nâu '!Print_Titles</vt:lpstr>
      <vt:lpstr>'LUXURY 40x80-HA'!Print_Titles</vt:lpstr>
      <vt:lpstr>'LUXURY 40x80-HA nâu'!Print_Titles</vt:lpstr>
      <vt:lpstr>'LUXURY 5050-HA '!Print_Titles</vt:lpstr>
      <vt:lpstr>'LUXURY 5050-HA giấy nâu'!Print_Titles</vt:lpstr>
      <vt:lpstr>'LUXURY 6060-HA '!Print_Titles</vt:lpstr>
      <vt:lpstr>'LUXURY 6060-HA  5V'!Print_Titles</vt:lpstr>
      <vt:lpstr>'MAGIÊ ÔXIT MgO-HNP'!Print_Titles</vt:lpstr>
      <vt:lpstr>'MÀU BE BG9454'!Print_Titles</vt:lpstr>
      <vt:lpstr>'MÀU NÂU MA5455'!Print_Titles</vt:lpstr>
      <vt:lpstr>'MÀU VÀNG CIK-AM5456'!Print_Titles</vt:lpstr>
      <vt:lpstr>'MÀU XANH AZ1476'!Print_Titles</vt:lpstr>
      <vt:lpstr>'MEN VG 443-658'!Print_Titles</vt:lpstr>
      <vt:lpstr>'MGO- Men lót chân'!Print_Titles</vt:lpstr>
      <vt:lpstr>'MT03VT-QĐ'!Print_Titles</vt:lpstr>
      <vt:lpstr>'MT616-QĐ'!Print_Titles</vt:lpstr>
      <vt:lpstr>'MT812-QĐ '!Print_Titles</vt:lpstr>
      <vt:lpstr>'NEP GO 30x60 TH'!Print_Titles</vt:lpstr>
      <vt:lpstr>'NEP GO 30x60-NM'!Print_Titles</vt:lpstr>
      <vt:lpstr>'NEP GO 40x80 TH'!Print_Titles</vt:lpstr>
      <vt:lpstr>'NEP GO GIA KIM TÍN'!Print_Titles</vt:lpstr>
      <vt:lpstr>'NEP GO GLP'!Print_Titles</vt:lpstr>
      <vt:lpstr>'NEP GO ITC'!Print_Titles</vt:lpstr>
      <vt:lpstr>'NEP GO PQ'!Print_Titles</vt:lpstr>
      <vt:lpstr>'NHÔM ÔXIT AL2O3-HNP'!Print_Titles</vt:lpstr>
      <vt:lpstr>'P. FELDSPAR K200-AD'!Print_Titles</vt:lpstr>
      <vt:lpstr>'PADOVA 36'!Print_Titles</vt:lpstr>
      <vt:lpstr>'PADOVA 48 '!Print_Titles</vt:lpstr>
      <vt:lpstr>'PADOVA 50'!Print_Titles</vt:lpstr>
      <vt:lpstr>'PALLET 1100x1100 cũ L1'!Print_Titles</vt:lpstr>
      <vt:lpstr>'PALLET 1100x1100x60'!Print_Titles</vt:lpstr>
      <vt:lpstr>'PALLET 1100x1100x85'!Print_Titles</vt:lpstr>
      <vt:lpstr>'PALLET 145'!Print_Titles</vt:lpstr>
      <vt:lpstr>'PALLET cũ L2'!Print_Titles</vt:lpstr>
      <vt:lpstr>'PALLET GIA KIM TÍN'!Print_Titles</vt:lpstr>
      <vt:lpstr>'PALLET GPH110'!Print_Titles</vt:lpstr>
      <vt:lpstr>'PALLET ITCO MỚI '!Print_Titles</vt:lpstr>
      <vt:lpstr>'PANA TILES 3060 nâu '!Print_Titles</vt:lpstr>
      <vt:lpstr>'PANA TILES 4080 nâu '!Print_Titles</vt:lpstr>
      <vt:lpstr>'PANA TILES 4080 nâu  5V'!Print_Titles</vt:lpstr>
      <vt:lpstr>'PROMEX CHS4'!Print_Titles</vt:lpstr>
      <vt:lpstr>'QUARTZ VH004-FTA'!Print_Titles</vt:lpstr>
      <vt:lpstr>'ROCIMA 623-HVC'!Print_Titles</vt:lpstr>
      <vt:lpstr>'SAHADO NEW 30x60-HA'!Print_Titles</vt:lpstr>
      <vt:lpstr>'SAHADO NEW 30x60-HA nâu'!Print_Titles</vt:lpstr>
      <vt:lpstr>'SO SÁNH'!Print_Titles</vt:lpstr>
      <vt:lpstr>'STTP-HNP'!Print_Titles</vt:lpstr>
      <vt:lpstr>SUGAR!Print_Titles</vt:lpstr>
      <vt:lpstr>'SUGAR PNSG02 - 05'!Print_Titles</vt:lpstr>
      <vt:lpstr>'SUGAR PNSG02 -01'!Print_Titles</vt:lpstr>
      <vt:lpstr>'T H PHƯƠNG 3060'!Print_Titles</vt:lpstr>
      <vt:lpstr>'T H PHUONG 4080 5v '!Print_Titles</vt:lpstr>
      <vt:lpstr>'T H PHƯƠNG 5050'!Print_Titles</vt:lpstr>
      <vt:lpstr>'TH KẾ TOÁN'!Print_Titles</vt:lpstr>
      <vt:lpstr>'TH SX'!Print_Titles</vt:lpstr>
      <vt:lpstr>'TỔNG HỢP (2)'!Print_Titles</vt:lpstr>
      <vt:lpstr>'TỔNG HỢP THÁNG'!Print_Titles</vt:lpstr>
      <vt:lpstr>'TOP ONE 3060 nâu  '!Print_Titles</vt:lpstr>
      <vt:lpstr>'TOP ONE 4080 5V nâu '!Print_Titles</vt:lpstr>
      <vt:lpstr>'TOP ONE 4080 nâu '!Print_Titles</vt:lpstr>
      <vt:lpstr>'TOP ONE 5050 nâu '!Print_Titles</vt:lpstr>
      <vt:lpstr>'UNITILE 4080 '!Print_Titles</vt:lpstr>
      <vt:lpstr>'VF1205'!Print_Titles</vt:lpstr>
      <vt:lpstr>'VF150521'!Print_Titles</vt:lpstr>
      <vt:lpstr>'VFM41'!Print_Titles</vt:lpstr>
      <vt:lpstr>'VIDONA 3060'!Print_Titles</vt:lpstr>
      <vt:lpstr>'VIDONA 48'!Print_Titles</vt:lpstr>
      <vt:lpstr>'VIDONA 50'!Print_Titles</vt:lpstr>
      <vt:lpstr>'VINA PHACON 36'!Print_Titles</vt:lpstr>
      <vt:lpstr>'VINA PHACON 48'!Print_Titles</vt:lpstr>
      <vt:lpstr>'VM01'!Print_Titles</vt:lpstr>
      <vt:lpstr>'VM06'!Print_Titles</vt:lpstr>
      <vt:lpstr>'VO PHE  4060'!Print_Titles</vt:lpstr>
      <vt:lpstr>'VO PHE  40x80'!Print_Titles</vt:lpstr>
      <vt:lpstr>'VO PHE  5050'!Print_Titles</vt:lpstr>
      <vt:lpstr>'VO PHE  6060'!Print_Titles</vt:lpstr>
      <vt:lpstr>'VO PHE 30x60'!Print_Titles</vt:lpstr>
      <vt:lpstr>'VO PHE DONG TAY 30X60'!Print_Titles</vt:lpstr>
      <vt:lpstr>'VT GR TIM AN HA 30X60'!Print_Titles</vt:lpstr>
      <vt:lpstr>'XANH LÁ 1236'!Print_Titles</vt:lpstr>
      <vt:lpstr>'Y327-QĐ'!Print_Titles</vt:lpstr>
      <vt:lpstr>'ZIRCON K1#'!Print_Titles</vt:lpstr>
      <vt:lpstr>'ZIRCON ZRD5M'!Print_Titles</vt:lpstr>
      <vt:lpstr>'ZIRCON ZS012-LGP'!Print_Titles</vt:lpstr>
      <vt:lpstr>'ZIRCON ZS08'!Print_Titles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CAMAP</dc:creator>
  <cp:lastModifiedBy>Admin</cp:lastModifiedBy>
  <cp:lastPrinted>2026-01-21T01:23:03Z</cp:lastPrinted>
  <dcterms:created xsi:type="dcterms:W3CDTF">2016-07-19T01:58:25Z</dcterms:created>
  <dcterms:modified xsi:type="dcterms:W3CDTF">2026-08-18T08:21:18Z</dcterms:modified>
</cp:coreProperties>
</file>